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Рабочий стол\Шеллрокк\!! Коломна\!!! Модернизация жд пути\!!!! кс-2_ПРОЦЕНТОВАНИЕ\26г\4.апрель\мусор\"/>
    </mc:Choice>
  </mc:AlternateContent>
  <xr:revisionPtr revIDLastSave="0" documentId="13_ncr:1_{08499498-1307-4AB1-995B-CE0FE74BD676}" xr6:coauthVersionLast="47" xr6:coauthVersionMax="47" xr10:uidLastSave="{00000000-0000-0000-0000-000000000000}"/>
  <bookViews>
    <workbookView minimized="1" xWindow="3405" yWindow="3420" windowWidth="21600" windowHeight="11295" xr2:uid="{00000000-000D-0000-FFFF-FFFF00000000}"/>
  </bookViews>
  <sheets>
    <sheet name="под предв КС апрель" sheetId="10" r:id="rId1"/>
    <sheet name="под предв КС март 13 путь" sheetId="9" r:id="rId2"/>
    <sheet name="под предв КС март-стар" sheetId="8" r:id="rId3"/>
    <sheet name="для КС-2-26.02.2026" sheetId="6" r:id="rId4"/>
    <sheet name="ЛСР_Модернизация и замена жд пу" sheetId="7" r:id="rId5"/>
    <sheet name="для КС-2-18-12" sheetId="5" r:id="rId6"/>
    <sheet name="для КС-2" sheetId="3" r:id="rId7"/>
    <sheet name="Лист1" sheetId="4" r:id="rId8"/>
    <sheet name="смета" sheetId="1" r:id="rId9"/>
  </sheets>
  <definedNames>
    <definedName name="_xlnm._FilterDatabase" localSheetId="6" hidden="1">'для КС-2'!$A$1:$F$279</definedName>
    <definedName name="_xlnm._FilterDatabase" localSheetId="5" hidden="1">'для КС-2-18-12'!$A$1:$F$264</definedName>
    <definedName name="_xlnm._FilterDatabase" localSheetId="3" hidden="1">'для КС-2-26.02.2026'!$A$1:$F$288</definedName>
    <definedName name="_xlnm._FilterDatabase" localSheetId="0" hidden="1">'под предв КС апрель'!$A$1:$F$288</definedName>
    <definedName name="_xlnm._FilterDatabase" localSheetId="1" hidden="1">'под предв КС март 13 путь'!$A$1:$F$288</definedName>
    <definedName name="_xlnm._FilterDatabase" localSheetId="2" hidden="1">'под предв КС март-стар'!$A$1:$F$288</definedName>
    <definedName name="_xlnm._FilterDatabase" localSheetId="8" hidden="1">смета!$A$47:$N$1820</definedName>
    <definedName name="_xlnm.Print_Area" localSheetId="6">'для КС-2'!$A$1:$F$233</definedName>
    <definedName name="_xlnm.Print_Area" localSheetId="5">'для КС-2-18-12'!$A$1:$F$233</definedName>
    <definedName name="_xlnm.Print_Area" localSheetId="3">'для КС-2-26.02.2026'!$A$1:$F$233</definedName>
    <definedName name="_xlnm.Print_Area" localSheetId="4">'ЛСР_Модернизация и замена жд пу'!$A$1:$O$199</definedName>
    <definedName name="_xlnm.Print_Area" localSheetId="0">'под предв КС апрель'!$A$1:$F$233</definedName>
    <definedName name="_xlnm.Print_Area" localSheetId="1">'под предв КС март 13 путь'!$A$1:$F$233</definedName>
    <definedName name="_xlnm.Print_Area" localSheetId="2">'под предв КС март-стар'!$A$1:$F$233</definedName>
    <definedName name="_xlnm.Print_Area" localSheetId="8">смета!$A$1:$N$1864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Y21" i="10" l="1"/>
  <c r="Y204" i="10"/>
  <c r="Y199" i="10"/>
  <c r="Y198" i="10"/>
  <c r="Y197" i="10"/>
  <c r="Y196" i="10"/>
  <c r="Y195" i="10"/>
  <c r="Y189" i="10"/>
  <c r="Y190" i="10" s="1"/>
  <c r="Y191" i="10" s="1"/>
  <c r="Y188" i="10"/>
  <c r="Y206" i="10" s="1"/>
  <c r="Y209" i="10" s="1"/>
  <c r="Y182" i="10"/>
  <c r="Y185" i="10" s="1"/>
  <c r="Y180" i="10"/>
  <c r="Y165" i="10"/>
  <c r="Y166" i="10" s="1"/>
  <c r="Y167" i="10" s="1"/>
  <c r="Y164" i="10"/>
  <c r="Y26" i="10"/>
  <c r="Y23" i="10"/>
  <c r="Y19" i="10"/>
  <c r="Y18" i="10"/>
  <c r="Y16" i="10"/>
  <c r="Y12" i="10"/>
  <c r="Y4" i="10"/>
  <c r="Y5" i="10"/>
  <c r="Y6" i="10"/>
  <c r="Y7" i="10"/>
  <c r="Y8" i="10"/>
  <c r="Y9" i="10"/>
  <c r="Y3" i="10"/>
  <c r="Y25" i="10"/>
  <c r="Y24" i="10"/>
  <c r="Y20" i="10"/>
  <c r="W182" i="10"/>
  <c r="W185" i="10" s="1"/>
  <c r="W180" i="10"/>
  <c r="W165" i="10"/>
  <c r="W166" i="10" s="1"/>
  <c r="W167" i="10" s="1"/>
  <c r="W164" i="10"/>
  <c r="W21" i="10"/>
  <c r="W9" i="10"/>
  <c r="W8" i="10"/>
  <c r="W7" i="10"/>
  <c r="W6" i="10"/>
  <c r="W5" i="10"/>
  <c r="W23" i="10" s="1"/>
  <c r="W26" i="10" s="1"/>
  <c r="W4" i="10"/>
  <c r="W25" i="10"/>
  <c r="W24" i="10"/>
  <c r="U197" i="10" l="1"/>
  <c r="U204" i="10" l="1"/>
  <c r="U196" i="10"/>
  <c r="U198" i="10"/>
  <c r="U199" i="10"/>
  <c r="U195" i="10"/>
  <c r="U189" i="10"/>
  <c r="U190" i="10" s="1"/>
  <c r="U191" i="10" s="1"/>
  <c r="U188" i="10"/>
  <c r="U206" i="10" s="1"/>
  <c r="U209" i="10" s="1"/>
  <c r="U21" i="10"/>
  <c r="U6" i="10"/>
  <c r="U7" i="10" s="1"/>
  <c r="U8" i="10" s="1"/>
  <c r="U5" i="10"/>
  <c r="U23" i="10" s="1"/>
  <c r="U26" i="10" s="1"/>
  <c r="U4" i="10"/>
  <c r="U9" i="10" s="1"/>
  <c r="U25" i="10"/>
  <c r="U24" i="10"/>
  <c r="O253" i="10"/>
  <c r="O238" i="10"/>
  <c r="O239" i="10" s="1"/>
  <c r="O240" i="10" s="1"/>
  <c r="O237" i="10"/>
  <c r="O255" i="10" s="1"/>
  <c r="O258" i="10" s="1"/>
  <c r="G160" i="10"/>
  <c r="G156" i="10"/>
  <c r="G141" i="10"/>
  <c r="G142" i="10" s="1"/>
  <c r="G143" i="10" s="1"/>
  <c r="G140" i="10"/>
  <c r="G158" i="10" s="1"/>
  <c r="G161" i="10" s="1"/>
  <c r="G132" i="10"/>
  <c r="G117" i="10"/>
  <c r="G118" i="10" s="1"/>
  <c r="G119" i="10" s="1"/>
  <c r="G116" i="10"/>
  <c r="G134" i="10" s="1"/>
  <c r="G137" i="10" s="1"/>
  <c r="G88" i="10"/>
  <c r="G84" i="10"/>
  <c r="G70" i="10"/>
  <c r="G71" i="10" s="1"/>
  <c r="G69" i="10"/>
  <c r="G68" i="10"/>
  <c r="G86" i="10" s="1"/>
  <c r="G64" i="10"/>
  <c r="G60" i="10"/>
  <c r="G45" i="10"/>
  <c r="G46" i="10" s="1"/>
  <c r="G47" i="10" s="1"/>
  <c r="G44" i="10"/>
  <c r="G62" i="10" s="1"/>
  <c r="S25" i="10"/>
  <c r="Q25" i="10"/>
  <c r="O25" i="10"/>
  <c r="L25" i="10"/>
  <c r="S24" i="10"/>
  <c r="Q24" i="10"/>
  <c r="O24" i="10"/>
  <c r="N24" i="10"/>
  <c r="M24" i="10"/>
  <c r="L24" i="10"/>
  <c r="S21" i="10"/>
  <c r="Q21" i="10"/>
  <c r="O21" i="10"/>
  <c r="N21" i="10"/>
  <c r="M21" i="10"/>
  <c r="K21" i="10"/>
  <c r="J21" i="10"/>
  <c r="I21" i="10"/>
  <c r="H21" i="10"/>
  <c r="G21" i="10"/>
  <c r="O20" i="10"/>
  <c r="N20" i="10"/>
  <c r="M20" i="10"/>
  <c r="W20" i="10" s="1"/>
  <c r="K20" i="10"/>
  <c r="U20" i="10" s="1"/>
  <c r="J20" i="10"/>
  <c r="I20" i="10"/>
  <c r="S20" i="10" s="1"/>
  <c r="H20" i="10"/>
  <c r="G20" i="10"/>
  <c r="Q20" i="10" s="1"/>
  <c r="L19" i="10"/>
  <c r="S18" i="10"/>
  <c r="O18" i="10"/>
  <c r="N18" i="10"/>
  <c r="M18" i="10"/>
  <c r="K18" i="10"/>
  <c r="J18" i="10"/>
  <c r="I18" i="10"/>
  <c r="H18" i="10"/>
  <c r="G18" i="10"/>
  <c r="L18" i="10" s="1"/>
  <c r="O16" i="10"/>
  <c r="L16" i="10"/>
  <c r="S14" i="10"/>
  <c r="O14" i="10"/>
  <c r="L14" i="10"/>
  <c r="O12" i="10"/>
  <c r="L12" i="10"/>
  <c r="Q9" i="10"/>
  <c r="O9" i="10"/>
  <c r="N9" i="10"/>
  <c r="M9" i="10"/>
  <c r="K9" i="10"/>
  <c r="J9" i="10"/>
  <c r="I9" i="10"/>
  <c r="H9" i="10"/>
  <c r="G9" i="10"/>
  <c r="L9" i="10" s="1"/>
  <c r="J7" i="10"/>
  <c r="J8" i="10" s="1"/>
  <c r="H7" i="10"/>
  <c r="H8" i="10" s="1"/>
  <c r="G7" i="10"/>
  <c r="G8" i="10" s="1"/>
  <c r="S6" i="10"/>
  <c r="S7" i="10" s="1"/>
  <c r="S8" i="10" s="1"/>
  <c r="Q6" i="10"/>
  <c r="Q7" i="10" s="1"/>
  <c r="Q8" i="10" s="1"/>
  <c r="O6" i="10"/>
  <c r="O7" i="10" s="1"/>
  <c r="O8" i="10" s="1"/>
  <c r="N6" i="10"/>
  <c r="N7" i="10" s="1"/>
  <c r="N8" i="10" s="1"/>
  <c r="M6" i="10"/>
  <c r="M7" i="10" s="1"/>
  <c r="M8" i="10" s="1"/>
  <c r="K6" i="10"/>
  <c r="K7" i="10" s="1"/>
  <c r="K8" i="10" s="1"/>
  <c r="J6" i="10"/>
  <c r="I6" i="10"/>
  <c r="I7" i="10" s="1"/>
  <c r="H6" i="10"/>
  <c r="G6" i="10"/>
  <c r="S5" i="10"/>
  <c r="S23" i="10" s="1"/>
  <c r="S26" i="10" s="1"/>
  <c r="Q5" i="10"/>
  <c r="Q23" i="10" s="1"/>
  <c r="Q26" i="10" s="1"/>
  <c r="O5" i="10"/>
  <c r="O23" i="10" s="1"/>
  <c r="O26" i="10" s="1"/>
  <c r="N5" i="10"/>
  <c r="N23" i="10" s="1"/>
  <c r="N26" i="10" s="1"/>
  <c r="M5" i="10"/>
  <c r="M23" i="10" s="1"/>
  <c r="M26" i="10" s="1"/>
  <c r="K5" i="10"/>
  <c r="K23" i="10" s="1"/>
  <c r="K26" i="10" s="1"/>
  <c r="J5" i="10"/>
  <c r="J23" i="10" s="1"/>
  <c r="J26" i="10" s="1"/>
  <c r="I5" i="10"/>
  <c r="I23" i="10" s="1"/>
  <c r="I26" i="10" s="1"/>
  <c r="H5" i="10"/>
  <c r="H23" i="10" s="1"/>
  <c r="H26" i="10" s="1"/>
  <c r="G5" i="10"/>
  <c r="G23" i="10" s="1"/>
  <c r="G26" i="10" s="1"/>
  <c r="Q4" i="10"/>
  <c r="O4" i="10"/>
  <c r="N4" i="10"/>
  <c r="M4" i="10"/>
  <c r="K4" i="10"/>
  <c r="J4" i="10"/>
  <c r="I4" i="10"/>
  <c r="G4" i="10"/>
  <c r="L4" i="10" s="1"/>
  <c r="L3" i="10"/>
  <c r="S21" i="9"/>
  <c r="S18" i="9"/>
  <c r="S14" i="9"/>
  <c r="S8" i="9"/>
  <c r="S7" i="9"/>
  <c r="S6" i="9"/>
  <c r="S5" i="9"/>
  <c r="O255" i="9"/>
  <c r="O258" i="9" s="1"/>
  <c r="O253" i="9"/>
  <c r="O238" i="9"/>
  <c r="O239" i="9" s="1"/>
  <c r="O240" i="9" s="1"/>
  <c r="O237" i="9"/>
  <c r="G160" i="9"/>
  <c r="G156" i="9"/>
  <c r="G142" i="9"/>
  <c r="G143" i="9" s="1"/>
  <c r="G141" i="9"/>
  <c r="G140" i="9"/>
  <c r="G158" i="9" s="1"/>
  <c r="G134" i="9"/>
  <c r="G137" i="9" s="1"/>
  <c r="G132" i="9"/>
  <c r="G117" i="9"/>
  <c r="G118" i="9" s="1"/>
  <c r="G119" i="9" s="1"/>
  <c r="G116" i="9"/>
  <c r="G88" i="9"/>
  <c r="G84" i="9"/>
  <c r="G70" i="9"/>
  <c r="G71" i="9" s="1"/>
  <c r="G69" i="9"/>
  <c r="G68" i="9"/>
  <c r="G86" i="9" s="1"/>
  <c r="G89" i="9" s="1"/>
  <c r="G64" i="9"/>
  <c r="G62" i="9"/>
  <c r="G65" i="9" s="1"/>
  <c r="G60" i="9"/>
  <c r="G45" i="9"/>
  <c r="G46" i="9" s="1"/>
  <c r="G47" i="9" s="1"/>
  <c r="G44" i="9"/>
  <c r="S25" i="9"/>
  <c r="Q25" i="9"/>
  <c r="O25" i="9"/>
  <c r="L25" i="9"/>
  <c r="S24" i="9"/>
  <c r="Q24" i="9"/>
  <c r="O24" i="9"/>
  <c r="N24" i="9"/>
  <c r="M24" i="9"/>
  <c r="L24" i="9"/>
  <c r="Q23" i="9"/>
  <c r="Q26" i="9" s="1"/>
  <c r="O23" i="9"/>
  <c r="O26" i="9" s="1"/>
  <c r="Q21" i="9"/>
  <c r="O21" i="9"/>
  <c r="N21" i="9"/>
  <c r="M21" i="9"/>
  <c r="L21" i="9"/>
  <c r="K21" i="9"/>
  <c r="J21" i="9"/>
  <c r="I21" i="9"/>
  <c r="H21" i="9"/>
  <c r="G21" i="9"/>
  <c r="Q20" i="9"/>
  <c r="O20" i="9"/>
  <c r="N20" i="9"/>
  <c r="M20" i="9"/>
  <c r="K20" i="9"/>
  <c r="J20" i="9"/>
  <c r="I20" i="9"/>
  <c r="S20" i="9" s="1"/>
  <c r="H20" i="9"/>
  <c r="G20" i="9"/>
  <c r="L19" i="9"/>
  <c r="O18" i="9"/>
  <c r="N18" i="9"/>
  <c r="M18" i="9"/>
  <c r="K18" i="9"/>
  <c r="J18" i="9"/>
  <c r="I18" i="9"/>
  <c r="H18" i="9"/>
  <c r="G18" i="9"/>
  <c r="L18" i="9" s="1"/>
  <c r="O16" i="9"/>
  <c r="L16" i="9"/>
  <c r="O14" i="9"/>
  <c r="L14" i="9"/>
  <c r="O12" i="9"/>
  <c r="L12" i="9"/>
  <c r="Q9" i="9"/>
  <c r="O9" i="9"/>
  <c r="N9" i="9"/>
  <c r="M9" i="9"/>
  <c r="K9" i="9"/>
  <c r="J9" i="9"/>
  <c r="I9" i="9"/>
  <c r="H9" i="9"/>
  <c r="G9" i="9"/>
  <c r="L9" i="9" s="1"/>
  <c r="N8" i="9"/>
  <c r="H8" i="9"/>
  <c r="G8" i="9"/>
  <c r="Q7" i="9"/>
  <c r="Q8" i="9" s="1"/>
  <c r="O7" i="9"/>
  <c r="O8" i="9" s="1"/>
  <c r="N7" i="9"/>
  <c r="K7" i="9"/>
  <c r="K8" i="9" s="1"/>
  <c r="J7" i="9"/>
  <c r="J8" i="9" s="1"/>
  <c r="H7" i="9"/>
  <c r="G7" i="9"/>
  <c r="Q6" i="9"/>
  <c r="O6" i="9"/>
  <c r="N6" i="9"/>
  <c r="M6" i="9"/>
  <c r="L6" i="9"/>
  <c r="K6" i="9"/>
  <c r="J6" i="9"/>
  <c r="I6" i="9"/>
  <c r="I7" i="9" s="1"/>
  <c r="H6" i="9"/>
  <c r="G6" i="9"/>
  <c r="Q5" i="9"/>
  <c r="O5" i="9"/>
  <c r="N5" i="9"/>
  <c r="N23" i="9" s="1"/>
  <c r="N26" i="9" s="1"/>
  <c r="M5" i="9"/>
  <c r="M23" i="9" s="1"/>
  <c r="K5" i="9"/>
  <c r="K23" i="9" s="1"/>
  <c r="K26" i="9" s="1"/>
  <c r="J5" i="9"/>
  <c r="J23" i="9" s="1"/>
  <c r="J26" i="9" s="1"/>
  <c r="I5" i="9"/>
  <c r="I23" i="9" s="1"/>
  <c r="I26" i="9" s="1"/>
  <c r="H5" i="9"/>
  <c r="H23" i="9" s="1"/>
  <c r="H26" i="9" s="1"/>
  <c r="G5" i="9"/>
  <c r="L5" i="9" s="1"/>
  <c r="Q4" i="9"/>
  <c r="O4" i="9"/>
  <c r="N4" i="9"/>
  <c r="M4" i="9"/>
  <c r="K4" i="9"/>
  <c r="J4" i="9"/>
  <c r="I4" i="9"/>
  <c r="G4" i="9"/>
  <c r="L4" i="9" s="1"/>
  <c r="L3" i="9"/>
  <c r="S26" i="8"/>
  <c r="S23" i="8"/>
  <c r="S21" i="8"/>
  <c r="S18" i="8"/>
  <c r="S16" i="8"/>
  <c r="S14" i="8"/>
  <c r="S12" i="8"/>
  <c r="S4" i="8"/>
  <c r="S5" i="8"/>
  <c r="S6" i="8"/>
  <c r="S7" i="8"/>
  <c r="S8" i="8"/>
  <c r="S9" i="8"/>
  <c r="S3" i="8"/>
  <c r="U4" i="8"/>
  <c r="U5" i="8"/>
  <c r="U6" i="8"/>
  <c r="U7" i="8"/>
  <c r="U8" i="8"/>
  <c r="U9" i="8"/>
  <c r="U10" i="8"/>
  <c r="U11" i="8"/>
  <c r="U12" i="8"/>
  <c r="U13" i="8"/>
  <c r="U14" i="8"/>
  <c r="U15" i="8"/>
  <c r="U16" i="8"/>
  <c r="U17" i="8"/>
  <c r="U18" i="8"/>
  <c r="U19" i="8"/>
  <c r="U20" i="8"/>
  <c r="U21" i="8"/>
  <c r="U22" i="8"/>
  <c r="U23" i="8"/>
  <c r="U24" i="8"/>
  <c r="U25" i="8"/>
  <c r="U26" i="8"/>
  <c r="U3" i="8"/>
  <c r="S25" i="8"/>
  <c r="S24" i="8"/>
  <c r="S20" i="8"/>
  <c r="O255" i="8"/>
  <c r="O258" i="8" s="1"/>
  <c r="O253" i="8"/>
  <c r="O239" i="8"/>
  <c r="O240" i="8" s="1"/>
  <c r="O238" i="8"/>
  <c r="O237" i="8"/>
  <c r="G160" i="8"/>
  <c r="G156" i="8"/>
  <c r="G141" i="8"/>
  <c r="G142" i="8" s="1"/>
  <c r="G143" i="8" s="1"/>
  <c r="G140" i="8"/>
  <c r="G158" i="8" s="1"/>
  <c r="G134" i="8"/>
  <c r="G137" i="8" s="1"/>
  <c r="G132" i="8"/>
  <c r="G117" i="8"/>
  <c r="G118" i="8" s="1"/>
  <c r="G119" i="8" s="1"/>
  <c r="G116" i="8"/>
  <c r="G88" i="8"/>
  <c r="G84" i="8"/>
  <c r="G70" i="8"/>
  <c r="G71" i="8" s="1"/>
  <c r="G69" i="8"/>
  <c r="G68" i="8"/>
  <c r="G86" i="8" s="1"/>
  <c r="G89" i="8" s="1"/>
  <c r="G64" i="8"/>
  <c r="G62" i="8"/>
  <c r="G65" i="8" s="1"/>
  <c r="G60" i="8"/>
  <c r="G45" i="8"/>
  <c r="G46" i="8" s="1"/>
  <c r="G47" i="8" s="1"/>
  <c r="G44" i="8"/>
  <c r="Q25" i="8"/>
  <c r="O25" i="8"/>
  <c r="L25" i="8"/>
  <c r="Q24" i="8"/>
  <c r="O24" i="8"/>
  <c r="N24" i="8"/>
  <c r="M24" i="8"/>
  <c r="L24" i="8"/>
  <c r="I23" i="8"/>
  <c r="I26" i="8" s="1"/>
  <c r="H23" i="8"/>
  <c r="H26" i="8" s="1"/>
  <c r="G23" i="8"/>
  <c r="G26" i="8" s="1"/>
  <c r="Q21" i="8"/>
  <c r="O21" i="8"/>
  <c r="N21" i="8"/>
  <c r="M21" i="8"/>
  <c r="K21" i="8"/>
  <c r="J21" i="8"/>
  <c r="I21" i="8"/>
  <c r="H21" i="8"/>
  <c r="G21" i="8"/>
  <c r="L21" i="8" s="1"/>
  <c r="Q20" i="8"/>
  <c r="O20" i="8"/>
  <c r="N20" i="8"/>
  <c r="M20" i="8"/>
  <c r="K20" i="8"/>
  <c r="J20" i="8"/>
  <c r="I20" i="8"/>
  <c r="H20" i="8"/>
  <c r="L20" i="8" s="1"/>
  <c r="G20" i="8"/>
  <c r="L19" i="8"/>
  <c r="O18" i="8"/>
  <c r="N18" i="8"/>
  <c r="M18" i="8"/>
  <c r="K18" i="8"/>
  <c r="J18" i="8"/>
  <c r="I18" i="8"/>
  <c r="H18" i="8"/>
  <c r="G18" i="8"/>
  <c r="L18" i="8" s="1"/>
  <c r="O16" i="8"/>
  <c r="L16" i="8"/>
  <c r="O14" i="8"/>
  <c r="L14" i="8"/>
  <c r="O12" i="8"/>
  <c r="L12" i="8"/>
  <c r="Q9" i="8"/>
  <c r="O9" i="8"/>
  <c r="N9" i="8"/>
  <c r="M9" i="8"/>
  <c r="K9" i="8"/>
  <c r="J9" i="8"/>
  <c r="I9" i="8"/>
  <c r="H9" i="8"/>
  <c r="G9" i="8"/>
  <c r="L9" i="8" s="1"/>
  <c r="O8" i="8"/>
  <c r="N8" i="8"/>
  <c r="M8" i="8"/>
  <c r="O7" i="8"/>
  <c r="N7" i="8"/>
  <c r="M7" i="8"/>
  <c r="K7" i="8"/>
  <c r="K8" i="8" s="1"/>
  <c r="J7" i="8"/>
  <c r="J8" i="8" s="1"/>
  <c r="I7" i="8"/>
  <c r="I8" i="8" s="1"/>
  <c r="H7" i="8"/>
  <c r="H8" i="8" s="1"/>
  <c r="G7" i="8"/>
  <c r="L7" i="8" s="1"/>
  <c r="Q6" i="8"/>
  <c r="Q7" i="8" s="1"/>
  <c r="Q8" i="8" s="1"/>
  <c r="O6" i="8"/>
  <c r="N6" i="8"/>
  <c r="M6" i="8"/>
  <c r="K6" i="8"/>
  <c r="J6" i="8"/>
  <c r="I6" i="8"/>
  <c r="H6" i="8"/>
  <c r="G6" i="8"/>
  <c r="L6" i="8" s="1"/>
  <c r="Q5" i="8"/>
  <c r="Q23" i="8" s="1"/>
  <c r="Q26" i="8" s="1"/>
  <c r="O5" i="8"/>
  <c r="O23" i="8" s="1"/>
  <c r="O26" i="8" s="1"/>
  <c r="N5" i="8"/>
  <c r="N23" i="8" s="1"/>
  <c r="N26" i="8" s="1"/>
  <c r="M5" i="8"/>
  <c r="M23" i="8" s="1"/>
  <c r="M26" i="8" s="1"/>
  <c r="K5" i="8"/>
  <c r="K23" i="8" s="1"/>
  <c r="K26" i="8" s="1"/>
  <c r="J5" i="8"/>
  <c r="J23" i="8" s="1"/>
  <c r="J26" i="8" s="1"/>
  <c r="I5" i="8"/>
  <c r="H5" i="8"/>
  <c r="G5" i="8"/>
  <c r="Q4" i="8"/>
  <c r="O4" i="8"/>
  <c r="N4" i="8"/>
  <c r="M4" i="8"/>
  <c r="K4" i="8"/>
  <c r="J4" i="8"/>
  <c r="I4" i="8"/>
  <c r="G4" i="8"/>
  <c r="L4" i="8" s="1"/>
  <c r="L3" i="8"/>
  <c r="G4" i="6"/>
  <c r="P1" i="6"/>
  <c r="Q21" i="6"/>
  <c r="Q9" i="6"/>
  <c r="Q6" i="6"/>
  <c r="Q5" i="6"/>
  <c r="Q4" i="6"/>
  <c r="Q25" i="6"/>
  <c r="Q24" i="6"/>
  <c r="Q23" i="6"/>
  <c r="Q26" i="6" s="1"/>
  <c r="Q20" i="6"/>
  <c r="Q7" i="6"/>
  <c r="Q8" i="6" s="1"/>
  <c r="O25" i="6"/>
  <c r="O24" i="6"/>
  <c r="O20" i="6"/>
  <c r="O253" i="6"/>
  <c r="O238" i="6"/>
  <c r="O239" i="6" s="1"/>
  <c r="O240" i="6" s="1"/>
  <c r="O237" i="6"/>
  <c r="O21" i="6"/>
  <c r="O18" i="6"/>
  <c r="O16" i="6"/>
  <c r="O14" i="6"/>
  <c r="O12" i="6"/>
  <c r="O9" i="6"/>
  <c r="O6" i="6"/>
  <c r="O5" i="6"/>
  <c r="O4" i="6"/>
  <c r="O255" i="6"/>
  <c r="O23" i="6"/>
  <c r="O26" i="6" s="1"/>
  <c r="O7" i="6"/>
  <c r="O8" i="6" s="1"/>
  <c r="G160" i="6"/>
  <c r="G156" i="6"/>
  <c r="G141" i="6"/>
  <c r="G142" i="6" s="1"/>
  <c r="G143" i="6" s="1"/>
  <c r="G140" i="6"/>
  <c r="G158" i="6" s="1"/>
  <c r="G161" i="6" s="1"/>
  <c r="G132" i="6"/>
  <c r="G117" i="6"/>
  <c r="G118" i="6" s="1"/>
  <c r="G119" i="6" s="1"/>
  <c r="G116" i="6"/>
  <c r="G134" i="6" s="1"/>
  <c r="G137" i="6" s="1"/>
  <c r="G88" i="6"/>
  <c r="G84" i="6"/>
  <c r="G70" i="6"/>
  <c r="G71" i="6" s="1"/>
  <c r="G69" i="6"/>
  <c r="G68" i="6"/>
  <c r="G86" i="6" s="1"/>
  <c r="G89" i="6" s="1"/>
  <c r="G64" i="6"/>
  <c r="G60" i="6"/>
  <c r="G45" i="6"/>
  <c r="G46" i="6" s="1"/>
  <c r="G47" i="6" s="1"/>
  <c r="G44" i="6"/>
  <c r="G62" i="6" s="1"/>
  <c r="G65" i="6" s="1"/>
  <c r="L25" i="6"/>
  <c r="N24" i="6"/>
  <c r="M24" i="6"/>
  <c r="L24" i="6"/>
  <c r="N21" i="6"/>
  <c r="M21" i="6"/>
  <c r="K21" i="6"/>
  <c r="J21" i="6"/>
  <c r="I21" i="6"/>
  <c r="H21" i="6"/>
  <c r="G21" i="6"/>
  <c r="N20" i="6"/>
  <c r="M20" i="6"/>
  <c r="K20" i="6"/>
  <c r="J20" i="6"/>
  <c r="I20" i="6"/>
  <c r="H20" i="6"/>
  <c r="G20" i="6"/>
  <c r="L20" i="6" s="1"/>
  <c r="L19" i="6"/>
  <c r="N18" i="6"/>
  <c r="M18" i="6"/>
  <c r="K18" i="6"/>
  <c r="J18" i="6"/>
  <c r="I18" i="6"/>
  <c r="H18" i="6"/>
  <c r="G18" i="6"/>
  <c r="L16" i="6"/>
  <c r="L14" i="6"/>
  <c r="L12" i="6"/>
  <c r="N9" i="6"/>
  <c r="M9" i="6"/>
  <c r="K9" i="6"/>
  <c r="J9" i="6"/>
  <c r="I9" i="6"/>
  <c r="H9" i="6"/>
  <c r="G9" i="6"/>
  <c r="J7" i="6"/>
  <c r="J8" i="6" s="1"/>
  <c r="H7" i="6"/>
  <c r="G7" i="6"/>
  <c r="G8" i="6" s="1"/>
  <c r="N6" i="6"/>
  <c r="N7" i="6" s="1"/>
  <c r="N8" i="6" s="1"/>
  <c r="M6" i="6"/>
  <c r="M7" i="6" s="1"/>
  <c r="M8" i="6" s="1"/>
  <c r="K6" i="6"/>
  <c r="K7" i="6" s="1"/>
  <c r="K8" i="6" s="1"/>
  <c r="J6" i="6"/>
  <c r="I6" i="6"/>
  <c r="I7" i="6" s="1"/>
  <c r="I8" i="6" s="1"/>
  <c r="H6" i="6"/>
  <c r="G6" i="6"/>
  <c r="L6" i="6" s="1"/>
  <c r="N5" i="6"/>
  <c r="N23" i="6" s="1"/>
  <c r="N26" i="6" s="1"/>
  <c r="M5" i="6"/>
  <c r="M23" i="6" s="1"/>
  <c r="M26" i="6" s="1"/>
  <c r="K5" i="6"/>
  <c r="K23" i="6" s="1"/>
  <c r="K26" i="6" s="1"/>
  <c r="J5" i="6"/>
  <c r="J23" i="6" s="1"/>
  <c r="J26" i="6" s="1"/>
  <c r="I5" i="6"/>
  <c r="I23" i="6" s="1"/>
  <c r="I26" i="6" s="1"/>
  <c r="H5" i="6"/>
  <c r="H23" i="6" s="1"/>
  <c r="H26" i="6" s="1"/>
  <c r="G5" i="6"/>
  <c r="G23" i="6" s="1"/>
  <c r="G26" i="6" s="1"/>
  <c r="N4" i="6"/>
  <c r="M4" i="6"/>
  <c r="K4" i="6"/>
  <c r="J4" i="6"/>
  <c r="I4" i="6"/>
  <c r="L3" i="6"/>
  <c r="O4" i="5"/>
  <c r="O26" i="5"/>
  <c r="N26" i="5"/>
  <c r="N4" i="5"/>
  <c r="K26" i="5"/>
  <c r="J26" i="5"/>
  <c r="I26" i="5"/>
  <c r="H26" i="5"/>
  <c r="G26" i="5"/>
  <c r="G89" i="10" l="1"/>
  <c r="L21" i="10"/>
  <c r="L20" i="10"/>
  <c r="G65" i="10"/>
  <c r="L6" i="10"/>
  <c r="L26" i="10"/>
  <c r="I8" i="10"/>
  <c r="L8" i="10" s="1"/>
  <c r="L7" i="10"/>
  <c r="L5" i="10"/>
  <c r="L23" i="10"/>
  <c r="L20" i="9"/>
  <c r="I8" i="9"/>
  <c r="L8" i="9" s="1"/>
  <c r="L7" i="9"/>
  <c r="G161" i="9"/>
  <c r="M26" i="9"/>
  <c r="M7" i="9"/>
  <c r="G23" i="9"/>
  <c r="G161" i="8"/>
  <c r="L26" i="8"/>
  <c r="L23" i="8"/>
  <c r="G8" i="8"/>
  <c r="L8" i="8" s="1"/>
  <c r="L5" i="8"/>
  <c r="O258" i="6"/>
  <c r="L18" i="6"/>
  <c r="L21" i="6"/>
  <c r="L9" i="6"/>
  <c r="L4" i="6"/>
  <c r="L7" i="6"/>
  <c r="L26" i="6"/>
  <c r="L23" i="6"/>
  <c r="H8" i="6"/>
  <c r="L8" i="6" s="1"/>
  <c r="L5" i="6"/>
  <c r="O24" i="5"/>
  <c r="O21" i="5"/>
  <c r="O20" i="5"/>
  <c r="O18" i="5"/>
  <c r="O9" i="5"/>
  <c r="O8" i="5"/>
  <c r="O7" i="5"/>
  <c r="O6" i="5"/>
  <c r="O5" i="5"/>
  <c r="O23" i="5" s="1"/>
  <c r="N24" i="5"/>
  <c r="N21" i="5"/>
  <c r="N20" i="5"/>
  <c r="N18" i="5"/>
  <c r="N9" i="5"/>
  <c r="N7" i="5"/>
  <c r="N6" i="5"/>
  <c r="N5" i="5"/>
  <c r="N8" i="5"/>
  <c r="N23" i="5"/>
  <c r="G140" i="5"/>
  <c r="J18" i="5"/>
  <c r="L18" i="5"/>
  <c r="K20" i="5"/>
  <c r="K18" i="5"/>
  <c r="K9" i="5"/>
  <c r="K8" i="5"/>
  <c r="J8" i="5"/>
  <c r="I8" i="5"/>
  <c r="G20" i="5"/>
  <c r="I18" i="5"/>
  <c r="K21" i="5"/>
  <c r="K7" i="5"/>
  <c r="K6" i="5"/>
  <c r="K5" i="5"/>
  <c r="K23" i="5"/>
  <c r="K4" i="5"/>
  <c r="J20" i="5"/>
  <c r="L4" i="5"/>
  <c r="L5" i="5"/>
  <c r="L6" i="5"/>
  <c r="L7" i="5"/>
  <c r="L9" i="5"/>
  <c r="L12" i="5"/>
  <c r="L14" i="5"/>
  <c r="L16" i="5"/>
  <c r="L19" i="5"/>
  <c r="L21" i="5"/>
  <c r="L23" i="5"/>
  <c r="L24" i="5"/>
  <c r="L25" i="5"/>
  <c r="L3" i="5"/>
  <c r="G156" i="5"/>
  <c r="G26" i="9" l="1"/>
  <c r="L26" i="9" s="1"/>
  <c r="L23" i="9"/>
  <c r="M8" i="9"/>
  <c r="L8" i="5"/>
  <c r="L20" i="5"/>
  <c r="J23" i="5"/>
  <c r="J21" i="5"/>
  <c r="J9" i="5"/>
  <c r="J7" i="5"/>
  <c r="J6" i="5"/>
  <c r="J5" i="5"/>
  <c r="J4" i="5"/>
  <c r="G134" i="5"/>
  <c r="G137" i="5" s="1"/>
  <c r="G132" i="5"/>
  <c r="G119" i="5"/>
  <c r="G118" i="5"/>
  <c r="G117" i="5"/>
  <c r="G116" i="5"/>
  <c r="G88" i="5"/>
  <c r="G86" i="5"/>
  <c r="G89" i="5" s="1"/>
  <c r="G84" i="5"/>
  <c r="G71" i="5"/>
  <c r="G70" i="5"/>
  <c r="G69" i="5"/>
  <c r="G68" i="5"/>
  <c r="G160" i="5"/>
  <c r="G142" i="5"/>
  <c r="G143" i="5" s="1"/>
  <c r="G141" i="5"/>
  <c r="G64" i="5"/>
  <c r="G60" i="5"/>
  <c r="G45" i="5"/>
  <c r="G46" i="5" s="1"/>
  <c r="G44" i="5"/>
  <c r="I21" i="5"/>
  <c r="H21" i="5"/>
  <c r="G21" i="5"/>
  <c r="I20" i="5"/>
  <c r="H20" i="5"/>
  <c r="H18" i="5"/>
  <c r="G18" i="5"/>
  <c r="I9" i="5"/>
  <c r="H9" i="5"/>
  <c r="G9" i="5"/>
  <c r="H7" i="5"/>
  <c r="H8" i="5" s="1"/>
  <c r="G7" i="5"/>
  <c r="G8" i="5" s="1"/>
  <c r="I6" i="5"/>
  <c r="I7" i="5" s="1"/>
  <c r="H6" i="5"/>
  <c r="G6" i="5"/>
  <c r="I5" i="5"/>
  <c r="I23" i="5" s="1"/>
  <c r="H5" i="5"/>
  <c r="H23" i="5" s="1"/>
  <c r="G5" i="5"/>
  <c r="I4" i="5"/>
  <c r="G4" i="5"/>
  <c r="G62" i="5" l="1"/>
  <c r="G23" i="5"/>
  <c r="G47" i="5"/>
  <c r="L26" i="5"/>
  <c r="G158" i="5"/>
  <c r="G65" i="5" l="1"/>
  <c r="G161" i="5"/>
  <c r="H202" i="3" l="1"/>
  <c r="G202" i="3"/>
  <c r="P33" i="3"/>
  <c r="K32" i="3"/>
  <c r="I14" i="3"/>
  <c r="I13" i="3" s="1"/>
  <c r="H14" i="3"/>
  <c r="G14" i="3"/>
  <c r="G13" i="3" s="1"/>
  <c r="H32" i="3"/>
  <c r="L18" i="3"/>
  <c r="K18" i="3"/>
  <c r="L3" i="3"/>
  <c r="K3" i="3"/>
  <c r="AG117" i="3"/>
  <c r="AG116" i="3"/>
  <c r="AK63" i="3"/>
  <c r="O29" i="3"/>
  <c r="L33" i="3"/>
  <c r="L32" i="3"/>
  <c r="L31" i="3"/>
  <c r="K37" i="3"/>
  <c r="K36" i="3"/>
  <c r="J34" i="3"/>
  <c r="J33" i="3"/>
  <c r="J13" i="3"/>
  <c r="F242" i="3"/>
  <c r="F241" i="3"/>
  <c r="G16" i="3"/>
  <c r="I4" i="3"/>
  <c r="H4" i="3"/>
  <c r="G4" i="3"/>
  <c r="J28" i="3"/>
  <c r="H162" i="3"/>
  <c r="H66" i="3"/>
  <c r="G160" i="3"/>
  <c r="H160" i="3" s="1"/>
  <c r="G158" i="3"/>
  <c r="G156" i="3"/>
  <c r="H156" i="3" s="1"/>
  <c r="G155" i="3"/>
  <c r="H155" i="3" s="1"/>
  <c r="G154" i="3"/>
  <c r="H154" i="3" s="1"/>
  <c r="G152" i="3"/>
  <c r="H152" i="3" s="1"/>
  <c r="G143" i="3"/>
  <c r="G142" i="3"/>
  <c r="G141" i="3"/>
  <c r="G140" i="3"/>
  <c r="H159" i="3"/>
  <c r="G153" i="3"/>
  <c r="H153" i="3" s="1"/>
  <c r="H151" i="3"/>
  <c r="H150" i="3"/>
  <c r="H149" i="3"/>
  <c r="G148" i="3"/>
  <c r="H148" i="3" s="1"/>
  <c r="H147" i="3"/>
  <c r="H146" i="3"/>
  <c r="H145" i="3"/>
  <c r="H144" i="3"/>
  <c r="H139" i="3"/>
  <c r="J5" i="3"/>
  <c r="J6" i="3"/>
  <c r="J7" i="3"/>
  <c r="J8" i="3"/>
  <c r="J9" i="3"/>
  <c r="J10" i="3"/>
  <c r="J11" i="3"/>
  <c r="J12" i="3"/>
  <c r="J15" i="3"/>
  <c r="J17" i="3"/>
  <c r="J18" i="3"/>
  <c r="J19" i="3"/>
  <c r="J20" i="3"/>
  <c r="J21" i="3"/>
  <c r="J23" i="3"/>
  <c r="J24" i="3"/>
  <c r="J3" i="3"/>
  <c r="I21" i="3"/>
  <c r="I20" i="3"/>
  <c r="I18" i="3"/>
  <c r="I11" i="3"/>
  <c r="I9" i="3"/>
  <c r="I6" i="3"/>
  <c r="I7" i="3" s="1"/>
  <c r="I8" i="3" s="1"/>
  <c r="I23" i="3"/>
  <c r="I26" i="3" s="1"/>
  <c r="I5" i="3"/>
  <c r="G21" i="3"/>
  <c r="G20" i="3"/>
  <c r="G18" i="3"/>
  <c r="G17" i="3"/>
  <c r="G11" i="3"/>
  <c r="G9" i="3"/>
  <c r="G6" i="3"/>
  <c r="G5" i="3"/>
  <c r="J16" i="3" l="1"/>
  <c r="J14" i="3"/>
  <c r="J4" i="3"/>
  <c r="G161" i="3"/>
  <c r="H161" i="3" s="1"/>
  <c r="H158" i="3"/>
  <c r="H143" i="3"/>
  <c r="H142" i="3"/>
  <c r="H140" i="3"/>
  <c r="H141" i="3"/>
  <c r="H21" i="3"/>
  <c r="H20" i="3"/>
  <c r="H18" i="3"/>
  <c r="H13" i="3"/>
  <c r="H9" i="3"/>
  <c r="H7" i="3"/>
  <c r="H8" i="3" s="1"/>
  <c r="G57" i="3"/>
  <c r="H57" i="3" s="1"/>
  <c r="G52" i="3"/>
  <c r="H52" i="3" s="1"/>
  <c r="H44" i="3"/>
  <c r="H45" i="3"/>
  <c r="H48" i="3"/>
  <c r="H49" i="3"/>
  <c r="H50" i="3"/>
  <c r="H51" i="3"/>
  <c r="H53" i="3"/>
  <c r="H54" i="3"/>
  <c r="H55" i="3"/>
  <c r="H56" i="3"/>
  <c r="H63" i="3"/>
  <c r="H43" i="3"/>
  <c r="G60" i="3"/>
  <c r="H60" i="3" s="1"/>
  <c r="G59" i="3"/>
  <c r="H59" i="3" s="1"/>
  <c r="G58" i="3"/>
  <c r="H58" i="3" s="1"/>
  <c r="G46" i="3"/>
  <c r="H46" i="3" s="1"/>
  <c r="H6" i="3"/>
  <c r="G45" i="3"/>
  <c r="G44" i="3"/>
  <c r="G62" i="3" s="1"/>
  <c r="H5" i="3"/>
  <c r="H23" i="3"/>
  <c r="H25" i="3"/>
  <c r="J25" i="3" s="1"/>
  <c r="G64" i="3"/>
  <c r="H64" i="3" s="1"/>
  <c r="G7" i="3"/>
  <c r="G8" i="3" s="1"/>
  <c r="G23" i="3"/>
  <c r="F235" i="3"/>
  <c r="F236" i="3" s="1"/>
  <c r="J27" i="3" l="1"/>
  <c r="F240" i="3" s="1"/>
  <c r="G65" i="3"/>
  <c r="H65" i="3" s="1"/>
  <c r="H62" i="3"/>
  <c r="G47" i="3"/>
  <c r="H47" i="3" s="1"/>
  <c r="H26" i="3"/>
  <c r="J26" i="3" s="1"/>
  <c r="G26" i="3"/>
  <c r="J29" i="3" l="1"/>
  <c r="F243" i="3" s="1"/>
  <c r="F244" i="3" s="1"/>
  <c r="F245" i="3" s="1"/>
  <c r="S23" i="9" l="1"/>
  <c r="S26" i="9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v.duraev</author>
  </authors>
  <commentList>
    <comment ref="H4" authorId="0" shapeId="0" xr:uid="{3628F1CF-13DB-4C44-86E0-5AD3C1B3266E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Разборки пути не было, была большая стрелка</t>
        </r>
      </text>
    </comment>
    <comment ref="K9" authorId="0" shapeId="0" xr:uid="{9CA0D469-72F3-4B13-B0F6-3F9DE062FC0C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Забыли на 1000 разделить</t>
        </r>
      </text>
    </comment>
    <comment ref="G20" authorId="0" shapeId="0" xr:uid="{9175B635-DA2D-4C20-B2B8-21868C5F869D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Ошиблись, вместо метров поставили количество резов</t>
        </r>
      </text>
    </comment>
    <comment ref="K20" authorId="0" shapeId="0" xr:uid="{DA0C6DCB-1F8C-4952-B384-2C6AB4AE21A9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Ошиблись в формуле</t>
        </r>
      </text>
    </comment>
    <comment ref="H24" authorId="0" shapeId="0" xr:uid="{982F5498-8CBE-4037-B2A9-B8C60D01D434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Разборки пути не было</t>
        </r>
      </text>
    </comment>
    <comment ref="G56" authorId="0" shapeId="0" xr:uid="{A4170539-A41E-4753-B72C-9124E987709D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В монтаж стрелок входит монтаж накладок и болтов</t>
        </r>
      </text>
    </comment>
    <comment ref="G80" authorId="0" shapeId="0" xr:uid="{0DADB341-B998-45CE-BC58-4F390092B6E1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В монтаж стрелок входит монтаж накладок и болтов</t>
        </r>
      </text>
    </comment>
    <comment ref="G128" authorId="0" shapeId="0" xr:uid="{87CEF90C-05AF-423E-9C09-16E9A6B4A963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В монтаж стрелок входит монтаж накладок и болтов</t>
        </r>
      </text>
    </comment>
    <comment ref="G140" authorId="0" shapeId="0" xr:uid="{805F169A-2183-4897-9C4F-2AAE8A4024F8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Опечатка</t>
        </r>
      </text>
    </comment>
    <comment ref="G152" authorId="0" shapeId="0" xr:uid="{587E6B95-A7DD-4E3E-90EC-7291A1FD32A9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В монтаж стрелок входит монтаж накладок и болтов</t>
        </r>
      </text>
    </comment>
    <comment ref="O249" authorId="0" shapeId="0" xr:uid="{C0085068-82A3-426D-B6FA-77944F5CA610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В монтаж стрелок входит монтаж накладок и болтов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v.duraev</author>
  </authors>
  <commentList>
    <comment ref="H4" authorId="0" shapeId="0" xr:uid="{3367BB58-A234-47A0-A46E-DFCD09464055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Разборки пути не было, была большая стрелка</t>
        </r>
      </text>
    </comment>
    <comment ref="K9" authorId="0" shapeId="0" xr:uid="{8C8B2E5D-7214-4389-82FC-332FA38E1193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Забыли на 1000 разделить</t>
        </r>
      </text>
    </comment>
    <comment ref="G20" authorId="0" shapeId="0" xr:uid="{8CF76FA7-1495-4FF2-9A60-229A034DC693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Ошиблись, вместо метров поставили количество резов</t>
        </r>
      </text>
    </comment>
    <comment ref="K20" authorId="0" shapeId="0" xr:uid="{C11AD1BB-F996-4BE7-99ED-E2B8BCCA4D6C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Ошиблись в формуле</t>
        </r>
      </text>
    </comment>
    <comment ref="H24" authorId="0" shapeId="0" xr:uid="{4DA7F836-97FB-409D-B7E1-F5A372584F85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Разборки пути не было</t>
        </r>
      </text>
    </comment>
    <comment ref="G56" authorId="0" shapeId="0" xr:uid="{D22BA909-6ECE-496F-8934-3BF004927695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В монтаж стрелок входит монтаж накладок и болтов</t>
        </r>
      </text>
    </comment>
    <comment ref="G80" authorId="0" shapeId="0" xr:uid="{9FCEDCC6-EC89-4F4F-A90B-7C57868FBCAD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В монтаж стрелок входит монтаж накладок и болтов</t>
        </r>
      </text>
    </comment>
    <comment ref="G128" authorId="0" shapeId="0" xr:uid="{A83C94D0-1F02-40E1-87F2-978B28E93713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В монтаж стрелок входит монтаж накладок и болтов</t>
        </r>
      </text>
    </comment>
    <comment ref="G140" authorId="0" shapeId="0" xr:uid="{A4B2B46C-0E3A-479F-92B7-3344B7E8012F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Опечатка</t>
        </r>
      </text>
    </comment>
    <comment ref="G152" authorId="0" shapeId="0" xr:uid="{E35F0A2E-62A1-4A50-932C-27DA1A2A57B9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В монтаж стрелок входит монтаж накладок и болтов</t>
        </r>
      </text>
    </comment>
    <comment ref="O249" authorId="0" shapeId="0" xr:uid="{49ADE122-3C38-4064-ADD1-FA1756182DD7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В монтаж стрелок входит монтаж накладок и болтов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v.duraev</author>
  </authors>
  <commentList>
    <comment ref="H4" authorId="0" shapeId="0" xr:uid="{AE02AE14-46BD-49B2-94B0-A7F217C8395F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Разборки пути не было, была большая стрелка</t>
        </r>
      </text>
    </comment>
    <comment ref="K9" authorId="0" shapeId="0" xr:uid="{3A643372-2C0F-4D72-93D3-5F662998A19D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Забыли на 1000 разделить</t>
        </r>
      </text>
    </comment>
    <comment ref="G20" authorId="0" shapeId="0" xr:uid="{4A0CBF99-EB8F-4F3B-BD42-6D9A2349BF11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Ошиблись, вместо метров поставили количество резов</t>
        </r>
      </text>
    </comment>
    <comment ref="K20" authorId="0" shapeId="0" xr:uid="{2A2E7FE1-8846-4F92-BB0D-C09B8CF5B546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Ошиблись в формуле</t>
        </r>
      </text>
    </comment>
    <comment ref="H24" authorId="0" shapeId="0" xr:uid="{1A3A2FDB-5DEE-437D-8D82-A9A67C974106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Разборки пути не было</t>
        </r>
      </text>
    </comment>
    <comment ref="G56" authorId="0" shapeId="0" xr:uid="{EE148AAB-CA38-4035-BC22-48714BD989C7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В монтаж стрелок входит монтаж накладок и болтов</t>
        </r>
      </text>
    </comment>
    <comment ref="G80" authorId="0" shapeId="0" xr:uid="{AB807465-A49C-49A0-94BD-2A04121F3794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В монтаж стрелок входит монтаж накладок и болтов</t>
        </r>
      </text>
    </comment>
    <comment ref="G128" authorId="0" shapeId="0" xr:uid="{1EB9BCEC-6F9D-4612-9A6A-E5BF61F14C4B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В монтаж стрелок входит монтаж накладок и болтов</t>
        </r>
      </text>
    </comment>
    <comment ref="G140" authorId="0" shapeId="0" xr:uid="{2DF88672-2EF7-43BC-B19E-E135897806D4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Опечатка</t>
        </r>
      </text>
    </comment>
    <comment ref="G152" authorId="0" shapeId="0" xr:uid="{39AF749A-B017-4300-97AD-EEA44514BFD0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В монтаж стрелок входит монтаж накладок и болтов</t>
        </r>
      </text>
    </comment>
    <comment ref="O249" authorId="0" shapeId="0" xr:uid="{D0473D7A-70FE-40DB-93E0-C459E0BA56E8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В монтаж стрелок входит монтаж накладок и болтов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v.duraev</author>
  </authors>
  <commentList>
    <comment ref="H4" authorId="0" shapeId="0" xr:uid="{D1CD6920-86E2-4F65-8845-7520840A29BE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Разборки пути не было, была большая стрелка</t>
        </r>
      </text>
    </comment>
    <comment ref="K9" authorId="0" shapeId="0" xr:uid="{1E00A9FE-C4B2-4867-B1A0-D1D8F7341E5B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Забыли на 1000 разделить</t>
        </r>
      </text>
    </comment>
    <comment ref="G20" authorId="0" shapeId="0" xr:uid="{EF55C0A5-81B6-4055-AFE9-E9BDB722AB5C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Ошиблись, вместо метров поставили количество резов</t>
        </r>
      </text>
    </comment>
    <comment ref="K20" authorId="0" shapeId="0" xr:uid="{EAC7592B-C4C8-4E72-838C-26E1653D4A6A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Ошиблись в формуле</t>
        </r>
      </text>
    </comment>
    <comment ref="H24" authorId="0" shapeId="0" xr:uid="{C87657A6-54E9-40A6-805C-FD7145EC6468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Разборки пути не было</t>
        </r>
      </text>
    </comment>
    <comment ref="G56" authorId="0" shapeId="0" xr:uid="{CE77275B-8A9C-48A2-BA22-610324EDA66C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В монтаж стрелок входит монтаж накладок и болтов</t>
        </r>
      </text>
    </comment>
    <comment ref="G80" authorId="0" shapeId="0" xr:uid="{FBDF2F73-5449-4159-942C-938A70D50731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В монтаж стрелок входит монтаж накладок и болтов</t>
        </r>
      </text>
    </comment>
    <comment ref="G128" authorId="0" shapeId="0" xr:uid="{600982AA-E88C-4A4A-8783-FA7B0411E4A7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В монтаж стрелок входит монтаж накладок и болтов</t>
        </r>
      </text>
    </comment>
    <comment ref="G140" authorId="0" shapeId="0" xr:uid="{F651B0E3-9FA3-4C38-B7FC-FEAE56600EE1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Опечатка</t>
        </r>
      </text>
    </comment>
    <comment ref="G152" authorId="0" shapeId="0" xr:uid="{774B7EF1-B9CE-4AFA-8B7B-E16DEB720019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В монтаж стрелок входит монтаж накладок и болтов</t>
        </r>
      </text>
    </comment>
    <comment ref="O249" authorId="0" shapeId="0" xr:uid="{220F4FB3-06B3-4060-AAB9-9359DDB09832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В монтаж стрелок входит монтаж накладок и болтов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v.duraev</author>
  </authors>
  <commentList>
    <comment ref="H4" authorId="0" shapeId="0" xr:uid="{5C01C209-1269-480A-836B-FD212090C616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Разборки пути не было, была большая стрелка</t>
        </r>
      </text>
    </comment>
    <comment ref="K9" authorId="0" shapeId="0" xr:uid="{974249F0-795A-431D-A332-0D36FCE9E7E8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Забыли на 1000 разделить</t>
        </r>
      </text>
    </comment>
    <comment ref="G20" authorId="0" shapeId="0" xr:uid="{0564840E-51C7-4157-8761-644AFDA7CFBE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Ошиблись, вместо метров поставили количество резов</t>
        </r>
      </text>
    </comment>
    <comment ref="K20" authorId="0" shapeId="0" xr:uid="{274AA3A1-3B5C-499D-BC66-97988474CFEB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Ошиблись в формуле</t>
        </r>
      </text>
    </comment>
    <comment ref="H24" authorId="0" shapeId="0" xr:uid="{FC8DC3B5-D931-45F9-9AA9-4E0A49564384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Разборки пути не было</t>
        </r>
      </text>
    </comment>
    <comment ref="G56" authorId="0" shapeId="0" xr:uid="{2FA6143B-9048-4BDE-BFFE-4A229255AA54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В монтаж стрелок входит монтаж накладок и болтов</t>
        </r>
      </text>
    </comment>
    <comment ref="G80" authorId="0" shapeId="0" xr:uid="{CF65A56C-2B8F-464D-93A6-38F4CF528075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В монтаж стрелок входит монтаж накладок и болтов</t>
        </r>
      </text>
    </comment>
    <comment ref="G128" authorId="0" shapeId="0" xr:uid="{4E9AF02D-30A8-4C63-8361-6417637B4FD0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В монтаж стрелок входит монтаж накладок и болтов</t>
        </r>
      </text>
    </comment>
    <comment ref="G140" authorId="0" shapeId="0" xr:uid="{5C57D78C-7917-4A9F-98C0-B1F995A6DDEA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Опечатка</t>
        </r>
      </text>
    </comment>
    <comment ref="G152" authorId="0" shapeId="0" xr:uid="{EAD61B18-BE15-4B29-A218-1D71BC6FED72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В монтаж стрелок входит монтаж накладок и болтов</t>
        </r>
      </text>
    </comment>
  </commentList>
</comments>
</file>

<file path=xl/sharedStrings.xml><?xml version="1.0" encoding="utf-8"?>
<sst xmlns="http://schemas.openxmlformats.org/spreadsheetml/2006/main" count="11140" uniqueCount="599">
  <si>
    <t>Утверждено приказом Минстроя РФ № 421/пр от 4 августа 2020 г. в редакции приказа № 557/пр от 7 июля 2022 г.</t>
  </si>
  <si>
    <t>Наименование программного продукта</t>
  </si>
  <si>
    <t>ГРАНД-Смета, версия 2025.2</t>
  </si>
  <si>
    <t xml:space="preserve">Наименование редакции сметных нормативов  </t>
  </si>
  <si>
    <t>Изменения в сметные нормы, федеральные единичные расценки и отдельные составляющие к ним, включенные в федеральный реестр сметных нормативов приказами Минстроя России от 26 декабря 2019 г. № 871/пр, 872/пр, 873/пр, 874/пр, 875/пр, 876/пр (в ред. приказов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962/пр)</t>
  </si>
  <si>
    <t xml:space="preserve">Реквизиты приказа Минстроя России об утверждении дополнений и изменений к сметным нормативам </t>
  </si>
  <si>
    <t>Приказы Минстроя России от 26.12.2019 г. № 871/пр, 872/пр, 873/пр, 874/пр, 875/пр, 876/пр,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</si>
  <si>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</si>
  <si>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нормативного правового  акта 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</si>
  <si>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</si>
  <si>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>50. Московская область</t>
  </si>
  <si>
    <t xml:space="preserve">Наименование зоны субъекта Российской Федерации </t>
  </si>
  <si>
    <t>(наименование стройки)</t>
  </si>
  <si>
    <t>Модернизация железнодорожного пути и стрелочных переводов  на территории АО "Коломенский завод".</t>
  </si>
  <si>
    <t>(наименование объекта капитального строительства)</t>
  </si>
  <si>
    <t>ЛОКАЛЬНЫЙ СМЕТНЫЙ РАСЧЕТ (СМЕТА) № 2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</si>
  <si>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</si>
  <si>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</si>
  <si>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</si>
  <si>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</si>
  <si>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</si>
  <si>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Ведомость объемов работ</t>
  </si>
  <si>
    <t>(проектная и (или) иная техническая документация)</t>
  </si>
  <si>
    <t xml:space="preserve">Составлен(а) в текущем (базисном) уровне цен </t>
  </si>
  <si>
    <t>II квартал 2025 года (01.01.2000)</t>
  </si>
  <si>
    <t xml:space="preserve">Сметная стоимость </t>
  </si>
  <si>
    <t>(9457,18)</t>
  </si>
  <si>
    <t>тыс.руб.</t>
  </si>
  <si>
    <t>в том числе:</t>
  </si>
  <si>
    <t>строительных работ</t>
  </si>
  <si>
    <t>(7872,79)</t>
  </si>
  <si>
    <t>Средства на оплату труда рабочих</t>
  </si>
  <si>
    <t>(15,12)</t>
  </si>
  <si>
    <t>монтажных работ</t>
  </si>
  <si>
    <t>(8,19)</t>
  </si>
  <si>
    <t>Нормативные затраты труда рабочих</t>
  </si>
  <si>
    <t>чел.час.</t>
  </si>
  <si>
    <t>оборудования</t>
  </si>
  <si>
    <t>(0)</t>
  </si>
  <si>
    <t>Нормативные затраты труда машинистов</t>
  </si>
  <si>
    <t>прочих затрат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</si>
  <si>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</si>
  <si>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</si>
  <si>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</si>
  <si>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</si>
  <si>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</si>
  <si>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</si>
  <si>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</si>
  <si>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</si>
  <si>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</si>
  <si>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</si>
  <si>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</si>
  <si>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</si>
  <si>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</si>
  <si>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Устройство путей</t>
  </si>
  <si>
    <t>1</t>
  </si>
  <si>
    <t>ФЕР01-02-058-05</t>
  </si>
  <si>
    <t>Копание ям вручную без креплений для стоек и столбов: с откосами глубиной до 1,5 м, группа грунтов 1</t>
  </si>
  <si>
    <t>100 м3</t>
  </si>
  <si>
    <t>ОТ</t>
  </si>
  <si>
    <t>ЗТ</t>
  </si>
  <si>
    <t>чел.-ч</t>
  </si>
  <si>
    <t>Итого по расценке</t>
  </si>
  <si>
    <t>ФОТ</t>
  </si>
  <si>
    <t>Приказ № 812/пр от 21.12.2020 Прил. п.1.2</t>
  </si>
  <si>
    <t>НР Земляные работы, выполняемые ручным способом</t>
  </si>
  <si>
    <t>%</t>
  </si>
  <si>
    <t>Приказ № 774/пр от 11.12.2020 Прил. п.1.2, Приказ № 774/пр от 11.12.2020 п.16</t>
  </si>
  <si>
    <t>СП Земляные работы, выполняемые ручным способом</t>
  </si>
  <si>
    <t>Всего по позиции</t>
  </si>
  <si>
    <t>2</t>
  </si>
  <si>
    <t>ФЕР28-01-006-01</t>
  </si>
  <si>
    <t>Разборка пути звеньями рельсошпальной решетки, шпалы: деревянные</t>
  </si>
  <si>
    <t>км пути</t>
  </si>
  <si>
    <t>ЭМ</t>
  </si>
  <si>
    <t>3</t>
  </si>
  <si>
    <t>в т.ч. ОТм</t>
  </si>
  <si>
    <t>ЗТм</t>
  </si>
  <si>
    <t>Приказ № 812/пр от 21.12.2020 Прил. п.22</t>
  </si>
  <si>
    <t>НР Железные дороги</t>
  </si>
  <si>
    <t>Приказ № 774/пр от 11.12.2020 Прил. п.22, Приказ № 774/пр от 11.12.2020 п.16</t>
  </si>
  <si>
    <t>СП Железные дороги</t>
  </si>
  <si>
    <t>ФЕРр68-12-2</t>
  </si>
  <si>
    <t>Разборка покрытий и оснований: щебеночных/применит. Выемка грунта (загрязнённого балласта) под основание стр.перевода</t>
  </si>
  <si>
    <t>Пр/812-102.0-1</t>
  </si>
  <si>
    <t>НР Благоустройство (ремонтно-строительные)</t>
  </si>
  <si>
    <t>Пр/774-102.0</t>
  </si>
  <si>
    <t>СП Благоустройство (ремонтно-строительные)</t>
  </si>
  <si>
    <t>4</t>
  </si>
  <si>
    <t>ФЕР01-02-005-01</t>
  </si>
  <si>
    <t>Уплотнение грунта пневматическими трамбовками, группа грунтов: 1-2</t>
  </si>
  <si>
    <t>Приказ № 812/пр от 21.12.2020 Прил. п.1.1</t>
  </si>
  <si>
    <t>НР Земляные работы, выполняемые механизированным способом</t>
  </si>
  <si>
    <t>Приказ № 774/пр от 11.12.2020 Прил. п.1.1, Приказ № 774/пр от 11.12.2020 п.16</t>
  </si>
  <si>
    <t>СП Земляные работы, выполняемые механизированным способом</t>
  </si>
  <si>
    <t>5</t>
  </si>
  <si>
    <t>ФЕР27-04-001-04</t>
  </si>
  <si>
    <t>Устройство подстилающих и выравнивающих слоев оснований: из щебня</t>
  </si>
  <si>
    <t>М</t>
  </si>
  <si>
    <t>Приказ № 812/пр от 21.12.2020 Прил. п.21 (в ред. пр. № 636/пр от 02.09.2021)</t>
  </si>
  <si>
    <t>НР Автомобильные дороги</t>
  </si>
  <si>
    <t>Приказ № 774/пр от 11.12.2020 Прил. п.21 (в ред. пр. № 317/пр от 22.04.2022), Приказ № 774/пр от 11.12.2020 п.16</t>
  </si>
  <si>
    <t>СП Автомобильные дороги</t>
  </si>
  <si>
    <t>6</t>
  </si>
  <si>
    <t>ТЦ_25.1.00.00_50_5047268891_30.07.2025_02</t>
  </si>
  <si>
    <t>Щебень гранитный 20/40 (РЖД)</t>
  </si>
  <si>
    <t>м3</t>
  </si>
  <si>
    <t>Цена=6140/9,5</t>
  </si>
  <si>
    <t>ЗСР МАТ=1,012 к расх.</t>
  </si>
  <si>
    <t>7</t>
  </si>
  <si>
    <t>ФЕР28-01-004-08</t>
  </si>
  <si>
    <t>Укладка пути отдельными элементами на железобетонных шпалах тип рельсов: Р65, длина рельсов 12,5 м, на 1 км число шпал 1840</t>
  </si>
  <si>
    <t>8</t>
  </si>
  <si>
    <t>ФССЦ-25.1.02.01-0035</t>
  </si>
  <si>
    <t>Шпалы железобетонные Ш1, объем бетона 0,106 м3, расход стали 7,25 кг</t>
  </si>
  <si>
    <t>шт</t>
  </si>
  <si>
    <t>9</t>
  </si>
  <si>
    <t>ФССЦ-25.1.05.02-0006</t>
  </si>
  <si>
    <t>Подкладка раздельного скрепления железнодорожного пути КБ-65</t>
  </si>
  <si>
    <t>10</t>
  </si>
  <si>
    <t>ТЦ_25.1.05.05_77_7801649287_02.09.2025_02</t>
  </si>
  <si>
    <t>Шпала железобетонная, Ш1 1-й сорт, в комплекте со скреплением КБ-65</t>
  </si>
  <si>
    <t>Цена=15730,00/9,5/1,2</t>
  </si>
  <si>
    <t>ТР МАТ=1,03 к расх.</t>
  </si>
  <si>
    <t>11</t>
  </si>
  <si>
    <t>ФССЦ-25.1.04.04-0003</t>
  </si>
  <si>
    <t>Болты для рельсовых стыков железнодорожного пути с гайками, М27х160-180 мм</t>
  </si>
  <si>
    <t>т</t>
  </si>
  <si>
    <t>12</t>
  </si>
  <si>
    <t>Болт стыковой М27х160 в сборе</t>
  </si>
  <si>
    <t>тн</t>
  </si>
  <si>
    <t>Цена=318000/9,5/1,2</t>
  </si>
  <si>
    <t>13</t>
  </si>
  <si>
    <t>ФССЦ-25.1.05.01-0002</t>
  </si>
  <si>
    <t>Накладка рельсовая двухголовая 2Р65</t>
  </si>
  <si>
    <t>14</t>
  </si>
  <si>
    <t>Накладка 1Р-65 (106 шт.)</t>
  </si>
  <si>
    <t>Цена=429168/9,5/1,2</t>
  </si>
  <si>
    <t>15</t>
  </si>
  <si>
    <t>ФССЦ-25.1.05.05-0043</t>
  </si>
  <si>
    <t>Рельсы железнодорожные Р-65 категория Т1</t>
  </si>
  <si>
    <t>м</t>
  </si>
  <si>
    <t>16</t>
  </si>
  <si>
    <t>Рельсы РП65 ДТ350, L=12.5 м (75 шт.)</t>
  </si>
  <si>
    <t>Цена=200000/9,5/1,2</t>
  </si>
  <si>
    <t>17</t>
  </si>
  <si>
    <t>Накладки переходные Р65/Р50 литые</t>
  </si>
  <si>
    <t>компл.</t>
  </si>
  <si>
    <t>Цена=18876/9,5/1,2</t>
  </si>
  <si>
    <t>18</t>
  </si>
  <si>
    <t>ФЕР09-05-006-01</t>
  </si>
  <si>
    <t>Резка стального профилированного настила/применит. Резка рельс при стыковке с сущ. путями, 38 шт</t>
  </si>
  <si>
    <t>м реза</t>
  </si>
  <si>
    <t>Приказ № 812/пр от 21.12.2020 Прил. п.9</t>
  </si>
  <si>
    <t>НР Строительные металлические конструкции</t>
  </si>
  <si>
    <t>Приказ № 774/пр от 11.12.2020 Прил. п.9, Приказ № 774/пр от 11.12.2020 п.16</t>
  </si>
  <si>
    <t>СП Строительные металлические конструкции</t>
  </si>
  <si>
    <t>19</t>
  </si>
  <si>
    <t>ФЕР28-01-027-04</t>
  </si>
  <si>
    <t>Балластировка пути и стрелочных переводов на железобетонных шпалах, балласт: щебеночный</t>
  </si>
  <si>
    <t>1000 м3</t>
  </si>
  <si>
    <t>Прочие работы</t>
  </si>
  <si>
    <t>20</t>
  </si>
  <si>
    <t>ФССЦпг-01-01-01-043</t>
  </si>
  <si>
    <t>Погрузка при автомобильных перевозках мусора строительного с погрузкой экскаваторами емкостью ковша до 0,5 м3/погрузка загрязнённого щебня,  грунта и мусора</t>
  </si>
  <si>
    <t>1 т груза</t>
  </si>
  <si>
    <t>21</t>
  </si>
  <si>
    <t>ФССЦпг-01-01-01-026</t>
  </si>
  <si>
    <t>Погрузка при автомобильных перевозках переводов стрелочных и пересечений, рельс/погрузка демонтированного рельса и элементов скрепления, включая накладки</t>
  </si>
  <si>
    <t>22</t>
  </si>
  <si>
    <t>ФССЦпг-01-01-01-008</t>
  </si>
  <si>
    <t>Погрузка при автомобильных перевозках леса пиленого, погонажа плотничного, шпал/погрузка демонтированной шпалы</t>
  </si>
  <si>
    <t>23</t>
  </si>
  <si>
    <t>ФССЦпг-03-21-01-002</t>
  </si>
  <si>
    <t>Перевозка грузов I класса автомобилями-самосвалами грузоподъемностью 10 т работающих вне карьера на расстояние до 2 км</t>
  </si>
  <si>
    <t>Итоги по разделу 1 Устройство путей :</t>
  </si>
  <si>
    <t xml:space="preserve">     Всего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</si>
  <si>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</si>
  <si>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</si>
  <si>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</si>
  <si>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</si>
  <si>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</si>
  <si>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     в том числе:</t>
  </si>
  <si>
    <t xml:space="preserve">                         Материалы без учета дополнительной перевозки</t>
  </si>
  <si>
    <t xml:space="preserve">                         Дополнительная перевозка</t>
  </si>
  <si>
    <t xml:space="preserve">               Перевозка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</si>
  <si>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</si>
  <si>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</si>
  <si>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</si>
  <si>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</si>
  <si>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</si>
  <si>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</si>
  <si>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</si>
  <si>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</si>
  <si>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</si>
  <si>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Перевозка</t>
  </si>
  <si>
    <t xml:space="preserve">          Дополнительная перевозка, относимая на стоимость строительных работ</t>
  </si>
  <si>
    <t xml:space="preserve">     Всего ФОТ (справочно)</t>
  </si>
  <si>
    <t xml:space="preserve">     Всего накладные расходы (справочно)</t>
  </si>
  <si>
    <t xml:space="preserve">     Всего сметная прибыль (справочно)</t>
  </si>
  <si>
    <t xml:space="preserve"> Всего по разделу 1 Устройство путей</t>
  </si>
  <si>
    <t xml:space="preserve">     справочно:</t>
  </si>
  <si>
    <t xml:space="preserve">          Затраты труда рабочих</t>
  </si>
  <si>
    <t>733,080716</t>
  </si>
  <si>
    <t xml:space="preserve">          Затраты труда машинистов</t>
  </si>
  <si>
    <t>195,334675</t>
  </si>
  <si>
    <t>Раздел 2. Демонтаж СП 6/в 1/6, правая</t>
  </si>
  <si>
    <t>24</t>
  </si>
  <si>
    <t>ФЕР28-01-023-02</t>
  </si>
  <si>
    <t>Разборка стрелочных переводов на деревянных брусьях на базе, марка перевода: 1/9. Прим.</t>
  </si>
  <si>
    <t>компл</t>
  </si>
  <si>
    <t>25</t>
  </si>
  <si>
    <t>Погрузка при автомобильных перевозках переводов стрелочных и пересечений, рельс</t>
  </si>
  <si>
    <t>26</t>
  </si>
  <si>
    <t>Погрузка при автомобильных перевозках леса пиленого, погонажа плотничного, шпал</t>
  </si>
  <si>
    <t>27</t>
  </si>
  <si>
    <t>Итоги по разделу 2 Демонтаж СП 6/в 1/6, правая :</t>
  </si>
  <si>
    <t xml:space="preserve"> Всего по разделу 2 Демонтаж СП 6/в 1/6, правая</t>
  </si>
  <si>
    <t>35,01</t>
  </si>
  <si>
    <t>1,71</t>
  </si>
  <si>
    <t>Раздел 3. Демонтаж СПЗ 1/6, правая</t>
  </si>
  <si>
    <t>28</t>
  </si>
  <si>
    <t>29</t>
  </si>
  <si>
    <t>30</t>
  </si>
  <si>
    <t>31</t>
  </si>
  <si>
    <t>Итоги по разделу 3 Демонтаж СПЗ 1/6, правая :</t>
  </si>
  <si>
    <t xml:space="preserve"> Всего по разделу 3 Демонтаж СПЗ 1/6, правая</t>
  </si>
  <si>
    <t>Раздел 4. Демонтаж СП15 1/9, правая</t>
  </si>
  <si>
    <t>32</t>
  </si>
  <si>
    <t>33</t>
  </si>
  <si>
    <t>34</t>
  </si>
  <si>
    <t>35</t>
  </si>
  <si>
    <t>Итоги по разделу 4 Демонтаж СП15 1/9, правая :</t>
  </si>
  <si>
    <t xml:space="preserve"> Всего по разделу 4 Демонтаж СП15 1/9, правая</t>
  </si>
  <si>
    <t>Раздел 5. Замена СП6 1/7,  левая</t>
  </si>
  <si>
    <t>36</t>
  </si>
  <si>
    <t>37</t>
  </si>
  <si>
    <t>38</t>
  </si>
  <si>
    <t>39</t>
  </si>
  <si>
    <t>40</t>
  </si>
  <si>
    <t>41</t>
  </si>
  <si>
    <t>ФЕР28-01-018-13</t>
  </si>
  <si>
    <t>Укладка стрелочного перевода типа Р65 блоками кранами на железнодорожном ходу, брусья деревянные, марка перевода: 1/9 без укладки разделительного слоя</t>
  </si>
  <si>
    <t>42</t>
  </si>
  <si>
    <t>ТЦ_25.1.01.02_77_7729790078_30.07.2025_02</t>
  </si>
  <si>
    <t>Брус композитный</t>
  </si>
  <si>
    <t>комплект</t>
  </si>
  <si>
    <t>Цена=1600000/9,5</t>
  </si>
  <si>
    <t>43</t>
  </si>
  <si>
    <t>ТЦ_25.1.06.15_77_7718148430_01.07.2025_02</t>
  </si>
  <si>
    <t>Перевод стрелочный типа Р65 марки 1/7 проект ЛПTП.665121.103M, левый</t>
  </si>
  <si>
    <t>Цена=3450000/9,5</t>
  </si>
  <si>
    <t>44</t>
  </si>
  <si>
    <t>ФЕРм37-01-013-04</t>
  </si>
  <si>
    <t>Монтаж машин и механизмов на открытой площадке, масса машин и механизмов: 0,5 т/применит. Монтаж переводного механизма (флюгарки)</t>
  </si>
  <si>
    <t>Пр/812-079.0-1</t>
  </si>
  <si>
    <t>НР Оборудование общего назначения</t>
  </si>
  <si>
    <t>Пр/774-079.0</t>
  </si>
  <si>
    <t>СП Оборудование общего назначения</t>
  </si>
  <si>
    <t>45</t>
  </si>
  <si>
    <t>ФССЦ-25.1.01.04-0031</t>
  </si>
  <si>
    <t>Шпалы непропитанные для железных дорог, тип I</t>
  </si>
  <si>
    <t>46</t>
  </si>
  <si>
    <t>ТЦ_25.1.01.02_77_7729790078_30.07.2025_03</t>
  </si>
  <si>
    <t>Брусья полимерные композитные 4.5 м</t>
  </si>
  <si>
    <t>Цена=42081,00/9,5</t>
  </si>
  <si>
    <t>47</t>
  </si>
  <si>
    <t>ТЦ_25.1.06.00_77_7718148430_01.07.2025_02</t>
  </si>
  <si>
    <t>Ручной переводной механизм проект ЛПТП665131.009 (в комплекте с закладкой стрелочной)</t>
  </si>
  <si>
    <t>Цена=150410,00/9,5</t>
  </si>
  <si>
    <t>48</t>
  </si>
  <si>
    <t>Закладка запорная в сборе</t>
  </si>
  <si>
    <t>Цена=4810/1,2/9,5</t>
  </si>
  <si>
    <t>49</t>
  </si>
  <si>
    <t>ФЕР32-09-001-01</t>
  </si>
  <si>
    <t>Сборка стыков на болтах/применит. Монтаж стыковочных накладок Р-65 (6-ти отверстных)</t>
  </si>
  <si>
    <t>100 шт</t>
  </si>
  <si>
    <t>Пр/812-026.0-1</t>
  </si>
  <si>
    <t>НР Трамвайные пути</t>
  </si>
  <si>
    <t>Пр/774-026.0, Приказ № 774/пр от 11.12.2020 п.16</t>
  </si>
  <si>
    <t>СП Трамвайные пути</t>
  </si>
  <si>
    <t>50</t>
  </si>
  <si>
    <t>ФССЦ-25.1.04.04-0012</t>
  </si>
  <si>
    <t>Болты для рельсовых стыков, диаметр 24 мм, класс 8,8</t>
  </si>
  <si>
    <t>51</t>
  </si>
  <si>
    <t>Накладка 1Р-65 (12 шт.)</t>
  </si>
  <si>
    <t>52</t>
  </si>
  <si>
    <t>53</t>
  </si>
  <si>
    <t>ФЕР28-01-027-01</t>
  </si>
  <si>
    <t>Балластировка пути и стрелочных переводов на деревянных шпалах, балласт: щебеночный</t>
  </si>
  <si>
    <t>54</t>
  </si>
  <si>
    <t>55</t>
  </si>
  <si>
    <t>Погрузка при автомобильных перевозках переводов стрелочных и пересечений, рельс/погрузка демонтированных  элементов стрелочного перевода, скрепления, включая накладки</t>
  </si>
  <si>
    <t>56</t>
  </si>
  <si>
    <t>Погрузка при автомобильных перевозках леса пиленого, погонажа плотничного, шпал/погрузка демонтированных брусьев и шпалы</t>
  </si>
  <si>
    <t>57</t>
  </si>
  <si>
    <t>Итоги по разделу 5 Замена СП6 1/7,  левая :</t>
  </si>
  <si>
    <t xml:space="preserve">     Монтажные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</si>
  <si>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</si>
  <si>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</si>
  <si>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</si>
  <si>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</si>
  <si>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</si>
  <si>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</si>
  <si>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Всего по разделу 5 Замена СП6 1/7,  левая</t>
  </si>
  <si>
    <t>115,6055138</t>
  </si>
  <si>
    <t>34,1088317</t>
  </si>
  <si>
    <t>Раздел 6. Замена СП7 1/7,  левая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</si>
  <si>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</si>
  <si>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</si>
  <si>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</si>
  <si>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</si>
  <si>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</si>
  <si>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</si>
  <si>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</si>
  <si>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</si>
  <si>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</si>
  <si>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</si>
  <si>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</si>
  <si>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</si>
  <si>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</si>
  <si>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</si>
  <si>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</si>
  <si>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</si>
  <si>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</si>
  <si>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</si>
  <si>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</si>
  <si>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</si>
  <si>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</si>
  <si>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</si>
  <si>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Итоги по разделу 6 Замена СП7 1/7,  левая :</t>
  </si>
  <si>
    <t xml:space="preserve"> Всего по разделу 6 Замена СП7 1/7,  левая</t>
  </si>
  <si>
    <t>114,364251</t>
  </si>
  <si>
    <t>33,517219</t>
  </si>
  <si>
    <t>Раздел 7. Замена СП8 1/7,  левая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</si>
  <si>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</si>
  <si>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</si>
  <si>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</si>
  <si>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</si>
  <si>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</si>
  <si>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</si>
  <si>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</si>
  <si>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</si>
  <si>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</si>
  <si>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</si>
  <si>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</si>
  <si>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</si>
  <si>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</si>
  <si>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</si>
  <si>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</si>
  <si>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</si>
  <si>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</si>
  <si>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</si>
  <si>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</si>
  <si>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</si>
  <si>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</si>
  <si>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</si>
  <si>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Итоги по разделу 7 Замена СП8 1/7,  левая :</t>
  </si>
  <si>
    <t xml:space="preserve"> Всего по разделу 7 Замена СП8 1/7,  левая</t>
  </si>
  <si>
    <t>113,575279</t>
  </si>
  <si>
    <t>33,142811</t>
  </si>
  <si>
    <t>Раздел 8. Замена СП9 1/7,  левая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</si>
  <si>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</si>
  <si>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</si>
  <si>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</si>
  <si>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</si>
  <si>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</si>
  <si>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</si>
  <si>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</si>
  <si>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</si>
  <si>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</si>
  <si>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</si>
  <si>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</si>
  <si>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</si>
  <si>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</si>
  <si>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</si>
  <si>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</si>
  <si>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</si>
  <si>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</si>
  <si>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</si>
  <si>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</si>
  <si>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</si>
  <si>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</si>
  <si>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</si>
  <si>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Итоги по разделу 8 Замена СП9 1/7,  левая :</t>
  </si>
  <si>
    <t xml:space="preserve"> Всего по разделу 8 Замена СП9 1/7,  левая</t>
  </si>
  <si>
    <t>112,567464</t>
  </si>
  <si>
    <t>32,654201</t>
  </si>
  <si>
    <t>Раздел 9. Замена СП10 1/7,  левая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</si>
  <si>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</si>
  <si>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</si>
  <si>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</si>
  <si>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</si>
  <si>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</si>
  <si>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</si>
  <si>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</si>
  <si>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</si>
  <si>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</si>
  <si>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</si>
  <si>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</si>
  <si>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</si>
  <si>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</si>
  <si>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</si>
  <si>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</si>
  <si>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</si>
  <si>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</si>
  <si>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</si>
  <si>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</si>
  <si>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</si>
  <si>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</si>
  <si>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</si>
  <si>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Итоги по разделу 9 Замена СП10 1/7,  левая :</t>
  </si>
  <si>
    <t xml:space="preserve"> Всего по разделу 9 Замена СП10 1/7,  левая</t>
  </si>
  <si>
    <t>114,598553</t>
  </si>
  <si>
    <t>33,635167</t>
  </si>
  <si>
    <t>Раздел 10. Замена СП11 1/7,  левая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</si>
  <si>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</si>
  <si>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</si>
  <si>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</si>
  <si>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</si>
  <si>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</si>
  <si>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</si>
  <si>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</si>
  <si>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</si>
  <si>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</si>
  <si>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</si>
  <si>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</si>
  <si>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</si>
  <si>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</si>
  <si>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</si>
  <si>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</si>
  <si>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</si>
  <si>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</si>
  <si>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</si>
  <si>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</si>
  <si>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</si>
  <si>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</si>
  <si>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</si>
  <si>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Итоги по разделу 10 Замена СП11 1/7,  левая :</t>
  </si>
  <si>
    <t xml:space="preserve"> Всего по разделу 10 Замена СП11 1/7,  левая</t>
  </si>
  <si>
    <t>113,055286</t>
  </si>
  <si>
    <t>32,894629</t>
  </si>
  <si>
    <t>Раздел 11. Замена СП13 1/7,  левая</t>
  </si>
  <si>
    <t>168</t>
  </si>
  <si>
    <t>169</t>
  </si>
  <si>
    <t>170</t>
  </si>
  <si>
    <t>171</t>
  </si>
  <si>
    <t>172</t>
  </si>
  <si>
    <t>173</t>
  </si>
  <si>
    <t>174</t>
  </si>
  <si>
    <t>175</t>
  </si>
  <si>
    <t>Перевод стрелочный типа Р65 марки 1/7 проект ЛПTП.665121.103M, правый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</si>
  <si>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</si>
  <si>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</si>
  <si>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</si>
  <si>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</si>
  <si>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</si>
  <si>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</si>
  <si>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</si>
  <si>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</si>
  <si>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</si>
  <si>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</si>
  <si>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</si>
  <si>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</si>
  <si>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</si>
  <si>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</si>
  <si>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Итоги по разделу 11 Замена СП13 1/7,  левая :</t>
  </si>
  <si>
    <t xml:space="preserve"> Всего по разделу 11 Замена СП13 1/7,  левая</t>
  </si>
  <si>
    <t>113,016974</t>
  </si>
  <si>
    <t>32,870021</t>
  </si>
  <si>
    <t>Раздел 12. Замена СП14 1/7,  правая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</si>
  <si>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</si>
  <si>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</si>
  <si>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</si>
  <si>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</si>
  <si>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</si>
  <si>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</si>
  <si>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</si>
  <si>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</si>
  <si>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</si>
  <si>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</si>
  <si>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</si>
  <si>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</si>
  <si>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</si>
  <si>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</si>
  <si>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</si>
  <si>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</si>
  <si>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</si>
  <si>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</si>
  <si>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</si>
  <si>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</si>
  <si>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</si>
  <si>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</si>
  <si>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Итоги по разделу 12 Замена СП14 1/7,  правая :</t>
  </si>
  <si>
    <t xml:space="preserve"> Всего по разделу 12 Замена СП14 1/7,  правая</t>
  </si>
  <si>
    <t>114,219526</t>
  </si>
  <si>
    <t>33,451709</t>
  </si>
  <si>
    <t>Итоги по смете:</t>
  </si>
  <si>
    <t xml:space="preserve"> Всего</t>
  </si>
  <si>
    <t xml:space="preserve">     НДС 20%</t>
  </si>
  <si>
    <t xml:space="preserve"> ВСЕГО по смете</t>
  </si>
  <si>
    <t>Проверил: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</si>
  <si>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</si>
  <si>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</si>
  <si>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</si>
  <si>
    <t>СОГЛАСОВАНО</t>
  </si>
  <si>
    <t>УТВЕРЖДАЮ</t>
  </si>
  <si>
    <t>Генеральный директор</t>
  </si>
  <si>
    <t>Директор по эксплуатации и безопасности</t>
  </si>
  <si>
    <t>производственной деятельности АО "Коломенский завод"</t>
  </si>
  <si>
    <t>______________ В.С. Степанкевич</t>
  </si>
  <si>
    <t>__ _______________ 2025г.</t>
  </si>
  <si>
    <t>Приложение №3.1</t>
  </si>
  <si>
    <t>к Договору № 5-КЗ-КИКГС от 08.09.2025г.</t>
  </si>
  <si>
    <t>[должность, (инициалы, фамилия)]</t>
  </si>
  <si>
    <t>Главный специалист ОпС                    В.И. Понтрягин</t>
  </si>
  <si>
    <t>ООО "КиКГЕОСТРОЙ"</t>
  </si>
  <si>
    <t>______________ Ю.Ф. Кесслер</t>
  </si>
  <si>
    <t>7п</t>
  </si>
  <si>
    <t>6сп</t>
  </si>
  <si>
    <t>0,31м3 доп)</t>
  </si>
  <si>
    <t>10сп</t>
  </si>
  <si>
    <t>Итого с ндс</t>
  </si>
  <si>
    <t>сред за м пути</t>
  </si>
  <si>
    <t>уложено м пути</t>
  </si>
  <si>
    <t>объем</t>
  </si>
  <si>
    <t>Итого смета</t>
  </si>
  <si>
    <t>шпала вперемешку</t>
  </si>
  <si>
    <t>уточнить</t>
  </si>
  <si>
    <t>жб шпалу куда?</t>
  </si>
  <si>
    <t>В планируемую КС</t>
  </si>
  <si>
    <t>по ИД СП10+СП6+7путь</t>
  </si>
  <si>
    <t>СП7 (до 17.12)</t>
  </si>
  <si>
    <t>СП9 (физика есть)</t>
  </si>
  <si>
    <t>10м путей (возможно)</t>
  </si>
  <si>
    <t>Всего</t>
  </si>
  <si>
    <t>с НДС</t>
  </si>
  <si>
    <t>руб</t>
  </si>
  <si>
    <t>9сп</t>
  </si>
  <si>
    <t>7сп</t>
  </si>
  <si>
    <t>х</t>
  </si>
  <si>
    <t>объем кс</t>
  </si>
  <si>
    <t>для КС</t>
  </si>
  <si>
    <t>6п</t>
  </si>
  <si>
    <t>8п</t>
  </si>
  <si>
    <t>КС-2 2026</t>
  </si>
  <si>
    <t>Не процентуем, задвоение объемов</t>
  </si>
  <si>
    <t>Замена 1 рельса длиной 3,79м+3,88м в допник</t>
  </si>
  <si>
    <t>Моего геодеза не было еще, пока принимаю Вашу площадь</t>
  </si>
  <si>
    <t>14+15</t>
  </si>
  <si>
    <t>кс февраль</t>
  </si>
  <si>
    <t>5,43м Р50 бу в доп</t>
  </si>
  <si>
    <t>в кс-0, в составе расценки на монтаж</t>
  </si>
  <si>
    <t>в КС-0, 5компл в доп</t>
  </si>
  <si>
    <t>путь-7</t>
  </si>
  <si>
    <t>в КС-0, 2компл в доп</t>
  </si>
  <si>
    <t>ЖУРНАЛ УЧЕТА ВЫПОЛНЕННЫХ РАБОТ</t>
  </si>
  <si>
    <t xml:space="preserve">на </t>
  </si>
  <si>
    <t>2 Модернизация железнодорожного пути и стрелочных переводов  на территории АО "Коломенский завод".</t>
  </si>
  <si>
    <t/>
  </si>
  <si>
    <t>(наименование работ и затрат)</t>
  </si>
  <si>
    <t>Номер</t>
  </si>
  <si>
    <t>Конструктивные элементы и виды работ</t>
  </si>
  <si>
    <t>Номер единичной расценки</t>
  </si>
  <si>
    <t>Единица измере-
ния</t>
  </si>
  <si>
    <t>Коли-
чество работ по смете</t>
  </si>
  <si>
    <t>Сметная (договор-
ная) стои-
мость, руб</t>
  </si>
  <si>
    <t>Выполнено работ</t>
  </si>
  <si>
    <t>Остаток работ на Март 2026г.</t>
  </si>
  <si>
    <t>п.п.</t>
  </si>
  <si>
    <t>поз. по сме-
те</t>
  </si>
  <si>
    <t>Декабрь 2025г.</t>
  </si>
  <si>
    <t>Февраль 2026г.</t>
  </si>
  <si>
    <t>ВСЕГО, с Декабря 2025г. по Февраль 2026г.</t>
  </si>
  <si>
    <t>количество</t>
  </si>
  <si>
    <t>стоимость</t>
  </si>
  <si>
    <t>УПД №1 от 30.01.2026г. ООО "Шеллрокк"</t>
  </si>
  <si>
    <t>УПД №2 от 30.01.2026г. ООО "Шеллрокк"</t>
  </si>
  <si>
    <t>Итого:</t>
  </si>
  <si>
    <t>Материалы:</t>
  </si>
  <si>
    <t>Машины и механизмы:</t>
  </si>
  <si>
    <t>ФОТ:</t>
  </si>
  <si>
    <t>Накладные расходы:</t>
  </si>
  <si>
    <t>Сметная прибыль:</t>
  </si>
  <si>
    <t>Итого до начисления лимитированных затрат:</t>
  </si>
  <si>
    <t>Всего, с НДС:</t>
  </si>
  <si>
    <t>путь 13+14</t>
  </si>
  <si>
    <t>кс март (37,5+66)=103,5м</t>
  </si>
  <si>
    <t>кс март 13 путь 37,5м</t>
  </si>
  <si>
    <t>13сп</t>
  </si>
  <si>
    <t>кс апрель 13сп</t>
  </si>
  <si>
    <t>2 в доп</t>
  </si>
  <si>
    <t>0,052 в доп</t>
  </si>
  <si>
    <t>11сп</t>
  </si>
  <si>
    <t>кс апрель 11сп</t>
  </si>
  <si>
    <t>0,068 в доп</t>
  </si>
  <si>
    <t>кс апрель сумма</t>
  </si>
  <si>
    <t>11сп+13сп</t>
  </si>
  <si>
    <t>5,как по смете, 0,2 тогда в доп.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</si>
</sst>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0.0000"/>
    <numFmt numFmtId="165" formatCode="0.000"/>
    <numFmt numFmtId="166" formatCode="0.0"/>
    <numFmt numFmtId="167" formatCode="0.00000"/>
    <numFmt numFmtId="168" formatCode="0.000000"/>
    <numFmt numFmtId="169" formatCode="0.0000000"/>
    <numFmt numFmtId="170" formatCode="#,##0.0000"/>
    <numFmt numFmtId="171" formatCode="#,##0.000"/>
    <numFmt numFmtId="172" formatCode="#,##0.00000"/>
  </numFmts>
  <fonts count="32" x14ac:knownFonts="1">
    <font>
      <sz val="11"/>
      <color theme="1"/>
      <name val="Calibri"/>
      <family val="2"/>
      <charset val="204"/>
      <scheme val="minor"/>
    </font>
    <font>
      <sz val="8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sz val="8"/>
      <name val="Arial"/>
      <family val="2"/>
      <charset val="204"/>
    </font>
    <font>
      <i/>
      <sz val="8"/>
      <name val="Arial"/>
      <family val="2"/>
      <charset val="204"/>
    </font>
    <font>
      <b/>
      <sz val="14"/>
      <name val="Arial"/>
      <family val="2"/>
      <charset val="204"/>
    </font>
    <font>
      <b/>
      <sz val="8"/>
      <name val="Arial"/>
      <family val="2"/>
      <charset val="204"/>
    </font>
    <font>
      <b/>
      <sz val="9"/>
      <color rgb="FF000000"/>
      <name val="Arial"/>
      <family val="2"/>
      <charset val="204"/>
    </font>
    <font>
      <i/>
      <sz val="8"/>
      <color rgb="FF7F7F7F"/>
      <name val="Arial"/>
      <family val="2"/>
      <charset val="204"/>
    </font>
    <font>
      <sz val="8"/>
      <color rgb="FF000000"/>
      <name val="Arial"/>
      <charset val="204"/>
    </font>
    <font>
      <sz val="11"/>
      <color rgb="FFFF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8"/>
      <color rgb="FFFF0000"/>
      <name val="Arial"/>
      <family val="2"/>
      <charset val="204"/>
    </font>
    <font>
      <b/>
      <sz val="11"/>
      <color rgb="FFFF0000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0"/>
      <name val="Arial Cyr"/>
      <charset val="204"/>
    </font>
    <font>
      <sz val="10"/>
      <name val="Arial"/>
      <charset val="204"/>
    </font>
    <font>
      <b/>
      <sz val="10"/>
      <name val="Arial"/>
      <charset val="204"/>
    </font>
    <font>
      <i/>
      <sz val="8"/>
      <name val="Arial"/>
      <charset val="204"/>
    </font>
    <font>
      <i/>
      <sz val="10"/>
      <name val="Arial"/>
      <charset val="204"/>
    </font>
    <font>
      <sz val="9"/>
      <name val="Arial"/>
      <charset val="204"/>
    </font>
    <font>
      <sz val="8"/>
      <name val="Arial"/>
      <charset val="204"/>
    </font>
    <font>
      <b/>
      <sz val="12"/>
      <name val="Arial"/>
      <charset val="204"/>
    </font>
    <font>
      <b/>
      <sz val="9"/>
      <name val="Arial"/>
      <charset val="204"/>
    </font>
    <font>
      <b/>
      <sz val="8"/>
      <name val="Arial"/>
      <charset val="204"/>
    </font>
    <font>
      <sz val="11"/>
      <color theme="1" tint="0.499984740745262"/>
      <name val="Calibri"/>
      <family val="2"/>
      <charset val="204"/>
      <scheme val="minor"/>
    </font>
    <font>
      <i/>
      <sz val="9"/>
      <color theme="1" tint="0.499984740745262"/>
      <name val="Calibri"/>
      <family val="2"/>
      <charset val="204"/>
      <scheme val="minor"/>
    </font>
    <font>
      <b/>
      <sz val="11"/>
      <color theme="1" tint="0.499984740745262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7030A0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</borders>
  <cellStyleXfs count="3">
    <xf numFmtId="0" fontId="0" fillId="0" borderId="0"/>
    <xf numFmtId="0" fontId="3" fillId="0" borderId="0"/>
    <xf numFmtId="0" fontId="19" fillId="0" borderId="0"/>
  </cellStyleXfs>
  <cellXfs count="378">
    <xf numFmtId="0" fontId="0" fillId="0" borderId="0" xfId="0"/>
    <xf numFmtId="49" fontId="1" fillId="0" borderId="0" xfId="0" applyNumberFormat="1" applyFont="1" applyFill="1" applyBorder="1" applyAlignment="1" applyProtection="1"/>
    <xf numFmtId="49" fontId="4" fillId="0" borderId="0" xfId="0" applyNumberFormat="1" applyFont="1" applyFill="1" applyBorder="1" applyAlignment="1" applyProtection="1">
      <alignment horizontal="right"/>
    </xf>
    <xf numFmtId="49" fontId="4" fillId="0" borderId="0" xfId="0" applyNumberFormat="1" applyFont="1" applyFill="1" applyBorder="1" applyAlignment="1" applyProtection="1"/>
    <xf numFmtId="49" fontId="4" fillId="0" borderId="0" xfId="0" applyNumberFormat="1" applyFont="1" applyFill="1" applyBorder="1" applyAlignment="1" applyProtection="1">
      <alignment horizontal="left" vertical="top"/>
    </xf>
    <xf numFmtId="49" fontId="4" fillId="0" borderId="0" xfId="0" applyNumberFormat="1" applyFont="1" applyFill="1" applyBorder="1" applyAlignment="1" applyProtection="1">
      <alignment vertical="top"/>
    </xf>
    <xf numFmtId="49" fontId="4" fillId="0" borderId="0" xfId="0" applyNumberFormat="1" applyFont="1" applyFill="1" applyBorder="1" applyAlignment="1" applyProtection="1">
      <alignment wrapText="1"/>
    </xf>
    <xf numFmtId="49" fontId="4" fillId="0" borderId="0" xfId="0" applyNumberFormat="1" applyFont="1" applyFill="1" applyBorder="1" applyAlignment="1" applyProtection="1">
      <alignment horizontal="left"/>
    </xf>
    <xf numFmtId="49" fontId="5" fillId="0" borderId="0" xfId="0" applyNumberFormat="1" applyFont="1" applyFill="1" applyBorder="1" applyAlignment="1" applyProtection="1">
      <alignment horizontal="center" vertical="top"/>
    </xf>
    <xf numFmtId="49" fontId="6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5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7" fillId="0" borderId="0" xfId="0" applyNumberFormat="1" applyFont="1" applyFill="1" applyBorder="1" applyAlignment="1" applyProtection="1">
      <alignment horizontal="left"/>
    </xf>
    <xf numFmtId="49" fontId="4" fillId="0" borderId="0" xfId="0" applyNumberFormat="1" applyFont="1" applyFill="1" applyBorder="1" applyAlignment="1" applyProtection="1">
      <alignment horizontal="center"/>
    </xf>
    <xf numFmtId="0" fontId="4" fillId="0" borderId="0" xfId="0" applyNumberFormat="1" applyFont="1" applyFill="1" applyBorder="1" applyAlignment="1" applyProtection="1"/>
    <xf numFmtId="0" fontId="4" fillId="0" borderId="0" xfId="0" applyNumberFormat="1" applyFont="1" applyFill="1" applyBorder="1" applyAlignment="1" applyProtection="1">
      <alignment horizontal="center"/>
    </xf>
    <xf numFmtId="4" fontId="4" fillId="0" borderId="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horizontal="right"/>
    </xf>
    <xf numFmtId="0" fontId="4" fillId="0" borderId="0" xfId="0" applyNumberFormat="1" applyFont="1" applyFill="1" applyBorder="1" applyAlignment="1" applyProtection="1">
      <alignment horizontal="left"/>
    </xf>
    <xf numFmtId="0" fontId="4" fillId="0" borderId="0" xfId="0" applyNumberFormat="1" applyFont="1" applyFill="1" applyBorder="1" applyAlignment="1" applyProtection="1">
      <alignment vertical="center" wrapText="1"/>
    </xf>
    <xf numFmtId="0" fontId="5" fillId="0" borderId="0" xfId="0" applyNumberFormat="1" applyFont="1" applyFill="1" applyBorder="1" applyAlignment="1" applyProtection="1"/>
    <xf numFmtId="2" fontId="4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7" fillId="0" borderId="0" xfId="0" applyNumberFormat="1" applyFont="1" applyFill="1" applyBorder="1" applyAlignment="1" applyProtection="1"/>
    <xf numFmtId="49" fontId="4" fillId="0" borderId="1" xfId="0" applyNumberFormat="1" applyFont="1" applyFill="1" applyBorder="1" applyAlignment="1" applyProtection="1">
      <alignment horizontal="right"/>
    </xf>
    <xf numFmtId="49" fontId="1" fillId="0" borderId="2" xfId="0" applyNumberFormat="1" applyFont="1" applyFill="1" applyBorder="1" applyAlignment="1" applyProtection="1">
      <alignment horizontal="right"/>
    </xf>
    <xf numFmtId="49" fontId="1" fillId="0" borderId="0" xfId="0" applyNumberFormat="1" applyFont="1" applyFill="1" applyBorder="1" applyAlignment="1" applyProtection="1">
      <alignment vertical="center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49" fontId="2" fillId="0" borderId="7" xfId="0" applyNumberFormat="1" applyFont="1" applyFill="1" applyBorder="1" applyAlignment="1" applyProtection="1">
      <alignment horizontal="center" vertical="top" wrapText="1"/>
    </xf>
    <xf numFmtId="49" fontId="2" fillId="0" borderId="3" xfId="0" applyNumberFormat="1" applyFont="1" applyFill="1" applyBorder="1" applyAlignment="1" applyProtection="1">
      <alignment horizontal="left" vertical="top" wrapText="1"/>
    </xf>
    <xf numFmtId="49" fontId="2" fillId="0" borderId="3" xfId="0" applyNumberFormat="1" applyFont="1" applyFill="1" applyBorder="1" applyAlignment="1" applyProtection="1">
      <alignment horizontal="center" vertical="top" wrapText="1"/>
    </xf>
    <xf numFmtId="0" fontId="2" fillId="0" borderId="3" xfId="0" applyNumberFormat="1" applyFont="1" applyFill="1" applyBorder="1" applyAlignment="1" applyProtection="1">
      <alignment horizontal="center" vertical="top" wrapText="1"/>
    </xf>
    <xf numFmtId="1" fontId="2" fillId="0" borderId="3" xfId="0" applyNumberFormat="1" applyFont="1" applyFill="1" applyBorder="1" applyAlignment="1" applyProtection="1">
      <alignment horizontal="center" vertical="top" wrapText="1"/>
    </xf>
    <xf numFmtId="164" fontId="2" fillId="0" borderId="3" xfId="0" applyNumberFormat="1" applyFont="1" applyFill="1" applyBorder="1" applyAlignment="1" applyProtection="1">
      <alignment horizontal="center" vertical="top" wrapText="1"/>
    </xf>
    <xf numFmtId="0" fontId="2" fillId="0" borderId="3" xfId="0" applyNumberFormat="1" applyFont="1" applyFill="1" applyBorder="1" applyAlignment="1" applyProtection="1">
      <alignment horizontal="right" vertical="top" wrapText="1"/>
    </xf>
    <xf numFmtId="0" fontId="2" fillId="0" borderId="8" xfId="0" applyNumberFormat="1" applyFont="1" applyFill="1" applyBorder="1" applyAlignment="1" applyProtection="1">
      <alignment horizontal="right" vertical="top" wrapText="1"/>
    </xf>
    <xf numFmtId="0" fontId="1" fillId="0" borderId="9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10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10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center" vertical="top" wrapText="1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0" fontId="1" fillId="0" borderId="3" xfId="0" applyNumberFormat="1" applyFont="1" applyFill="1" applyBorder="1" applyAlignment="1" applyProtection="1">
      <alignment horizontal="center" vertical="top" wrapText="1"/>
    </xf>
    <xf numFmtId="2" fontId="1" fillId="0" borderId="3" xfId="0" applyNumberFormat="1" applyFont="1" applyFill="1" applyBorder="1" applyAlignment="1" applyProtection="1">
      <alignment horizontal="right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49" fontId="2" fillId="0" borderId="9" xfId="0" applyNumberFormat="1" applyFont="1" applyFill="1" applyBorder="1" applyAlignment="1" applyProtection="1">
      <alignment horizontal="center" vertical="top" wrapText="1"/>
    </xf>
    <xf numFmtId="49" fontId="2" fillId="0" borderId="0" xfId="0" applyNumberFormat="1" applyFont="1" applyFill="1" applyBorder="1" applyAlignment="1" applyProtection="1">
      <alignment horizontal="left" vertical="top" wrapText="1"/>
    </xf>
    <xf numFmtId="2" fontId="2" fillId="0" borderId="3" xfId="0" applyNumberFormat="1" applyFont="1" applyFill="1" applyBorder="1" applyAlignment="1" applyProtection="1">
      <alignment horizontal="right" vertical="top" wrapText="1"/>
    </xf>
    <xf numFmtId="4" fontId="2" fillId="0" borderId="8" xfId="0" applyNumberFormat="1" applyFont="1" applyFill="1" applyBorder="1" applyAlignment="1" applyProtection="1">
      <alignment horizontal="right" vertical="top" wrapText="1"/>
    </xf>
    <xf numFmtId="2" fontId="2" fillId="0" borderId="3" xfId="0" applyNumberFormat="1" applyFont="1" applyFill="1" applyBorder="1" applyAlignment="1" applyProtection="1">
      <alignment horizontal="center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3" xfId="0" applyNumberFormat="1" applyFont="1" applyFill="1" applyBorder="1" applyAlignment="1" applyProtection="1">
      <alignment horizontal="right" vertical="top" wrapText="1"/>
    </xf>
    <xf numFmtId="4" fontId="2" fillId="0" borderId="3" xfId="0" applyNumberFormat="1" applyFont="1" applyFill="1" applyBorder="1" applyAlignment="1" applyProtection="1">
      <alignment horizontal="right" vertical="top" wrapText="1"/>
    </xf>
    <xf numFmtId="165" fontId="2" fillId="0" borderId="3" xfId="0" applyNumberFormat="1" applyFont="1" applyFill="1" applyBorder="1" applyAlignment="1" applyProtection="1">
      <alignment horizontal="center" vertical="top" wrapText="1"/>
    </xf>
    <xf numFmtId="167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10" xfId="0" applyNumberFormat="1" applyFont="1" applyFill="1" applyBorder="1" applyAlignment="1" applyProtection="1">
      <alignment horizontal="right" vertical="top" wrapText="1"/>
    </xf>
    <xf numFmtId="166" fontId="2" fillId="0" borderId="3" xfId="0" applyNumberFormat="1" applyFont="1" applyFill="1" applyBorder="1" applyAlignment="1" applyProtection="1">
      <alignment horizontal="center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9" xfId="0" applyNumberFormat="1" applyFont="1" applyFill="1" applyBorder="1" applyAlignment="1" applyProtection="1">
      <alignment vertical="center" wrapText="1"/>
    </xf>
    <xf numFmtId="168" fontId="1" fillId="0" borderId="0" xfId="0" applyNumberFormat="1" applyFont="1" applyFill="1" applyBorder="1" applyAlignment="1" applyProtection="1">
      <alignment horizontal="center" vertical="top" wrapText="1"/>
    </xf>
    <xf numFmtId="167" fontId="2" fillId="0" borderId="3" xfId="0" applyNumberFormat="1" applyFont="1" applyFill="1" applyBorder="1" applyAlignment="1" applyProtection="1">
      <alignment horizontal="center" vertical="top" wrapText="1"/>
    </xf>
    <xf numFmtId="0" fontId="1" fillId="0" borderId="11" xfId="0" applyNumberFormat="1" applyFont="1" applyFill="1" applyBorder="1" applyAlignment="1" applyProtection="1"/>
    <xf numFmtId="49" fontId="2" fillId="0" borderId="1" xfId="0" applyNumberFormat="1" applyFont="1" applyFill="1" applyBorder="1" applyAlignment="1" applyProtection="1">
      <alignment horizontal="center" vertical="top" wrapText="1"/>
    </xf>
    <xf numFmtId="0" fontId="2" fillId="0" borderId="1" xfId="0" applyNumberFormat="1" applyFont="1" applyFill="1" applyBorder="1" applyAlignment="1" applyProtection="1">
      <alignment horizontal="left" vertical="top" wrapText="1"/>
    </xf>
    <xf numFmtId="0" fontId="2" fillId="0" borderId="1" xfId="0" applyNumberFormat="1" applyFont="1" applyFill="1" applyBorder="1" applyAlignment="1" applyProtection="1">
      <alignment horizontal="center" vertical="top" wrapText="1"/>
    </xf>
    <xf numFmtId="0" fontId="2" fillId="0" borderId="1" xfId="0" applyNumberFormat="1" applyFont="1" applyFill="1" applyBorder="1" applyAlignment="1" applyProtection="1">
      <alignment horizontal="right" vertical="top" wrapText="1"/>
    </xf>
    <xf numFmtId="0" fontId="1" fillId="0" borderId="12" xfId="0" applyNumberFormat="1" applyFont="1" applyFill="1" applyBorder="1" applyAlignment="1" applyProtection="1">
      <alignment horizontal="center" vertical="top" wrapText="1"/>
    </xf>
    <xf numFmtId="49" fontId="2" fillId="0" borderId="0" xfId="0" applyNumberFormat="1" applyFont="1" applyFill="1" applyBorder="1" applyAlignment="1" applyProtection="1">
      <alignment horizontal="right" vertical="top" wrapText="1"/>
    </xf>
    <xf numFmtId="0" fontId="2" fillId="0" borderId="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horizontal="center" vertical="top"/>
    </xf>
    <xf numFmtId="0" fontId="2" fillId="0" borderId="10" xfId="0" applyNumberFormat="1" applyFont="1" applyFill="1" applyBorder="1" applyAlignment="1" applyProtection="1">
      <alignment horizontal="right" vertical="top"/>
    </xf>
    <xf numFmtId="49" fontId="1" fillId="0" borderId="9" xfId="0" applyNumberFormat="1" applyFont="1" applyFill="1" applyBorder="1" applyAlignment="1" applyProtection="1"/>
    <xf numFmtId="4" fontId="4" fillId="0" borderId="0" xfId="0" applyNumberFormat="1" applyFont="1" applyFill="1" applyBorder="1" applyAlignment="1" applyProtection="1">
      <alignment horizontal="right" vertical="top"/>
    </xf>
    <xf numFmtId="0" fontId="4" fillId="0" borderId="0" xfId="0" applyNumberFormat="1" applyFont="1" applyFill="1" applyBorder="1" applyAlignment="1" applyProtection="1">
      <alignment horizontal="center" vertical="top"/>
    </xf>
    <xf numFmtId="4" fontId="4" fillId="0" borderId="10" xfId="0" applyNumberFormat="1" applyFont="1" applyFill="1" applyBorder="1" applyAlignment="1" applyProtection="1">
      <alignment horizontal="right" vertical="top"/>
    </xf>
    <xf numFmtId="0" fontId="4" fillId="0" borderId="0" xfId="0" applyNumberFormat="1" applyFont="1" applyFill="1" applyBorder="1" applyAlignment="1" applyProtection="1">
      <alignment horizontal="right" vertical="top"/>
    </xf>
    <xf numFmtId="0" fontId="4" fillId="0" borderId="10" xfId="0" applyNumberFormat="1" applyFont="1" applyFill="1" applyBorder="1" applyAlignment="1" applyProtection="1">
      <alignment horizontal="right" vertical="top"/>
    </xf>
    <xf numFmtId="4" fontId="2" fillId="0" borderId="0" xfId="0" applyNumberFormat="1" applyFont="1" applyFill="1" applyBorder="1" applyAlignment="1" applyProtection="1">
      <alignment horizontal="right" vertical="top"/>
    </xf>
    <xf numFmtId="4" fontId="2" fillId="0" borderId="10" xfId="0" applyNumberFormat="1" applyFont="1" applyFill="1" applyBorder="1" applyAlignment="1" applyProtection="1">
      <alignment horizontal="right" vertical="top"/>
    </xf>
    <xf numFmtId="49" fontId="1" fillId="0" borderId="0" xfId="0" applyNumberFormat="1" applyFont="1" applyFill="1" applyBorder="1" applyAlignment="1" applyProtection="1">
      <alignment vertical="top" wrapText="1"/>
    </xf>
    <xf numFmtId="2" fontId="2" fillId="0" borderId="8" xfId="0" applyNumberFormat="1" applyFont="1" applyFill="1" applyBorder="1" applyAlignment="1" applyProtection="1">
      <alignment horizontal="right" vertical="top" wrapText="1"/>
    </xf>
    <xf numFmtId="2" fontId="4" fillId="0" borderId="0" xfId="0" applyNumberFormat="1" applyFont="1" applyFill="1" applyBorder="1" applyAlignment="1" applyProtection="1">
      <alignment horizontal="right" vertical="top"/>
    </xf>
    <xf numFmtId="2" fontId="4" fillId="0" borderId="10" xfId="0" applyNumberFormat="1" applyFont="1" applyFill="1" applyBorder="1" applyAlignment="1" applyProtection="1">
      <alignment horizontal="right" vertical="top"/>
    </xf>
    <xf numFmtId="169" fontId="1" fillId="0" borderId="0" xfId="0" applyNumberFormat="1" applyFont="1" applyFill="1" applyBorder="1" applyAlignment="1" applyProtection="1">
      <alignment horizontal="center" vertical="top" wrapText="1"/>
    </xf>
    <xf numFmtId="49" fontId="1" fillId="0" borderId="1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vertical="top"/>
    </xf>
    <xf numFmtId="0" fontId="1" fillId="0" borderId="1" xfId="0" applyNumberFormat="1" applyFont="1" applyFill="1" applyBorder="1" applyAlignment="1" applyProtection="1">
      <alignment vertical="top"/>
    </xf>
    <xf numFmtId="0" fontId="1" fillId="0" borderId="12" xfId="0" applyNumberFormat="1" applyFont="1" applyFill="1" applyBorder="1" applyAlignment="1" applyProtection="1">
      <alignment vertical="top"/>
    </xf>
    <xf numFmtId="49" fontId="9" fillId="0" borderId="9" xfId="0" applyNumberFormat="1" applyFont="1" applyFill="1" applyBorder="1" applyAlignment="1" applyProtection="1"/>
    <xf numFmtId="4" fontId="2" fillId="0" borderId="1" xfId="0" applyNumberFormat="1" applyFont="1" applyFill="1" applyBorder="1" applyAlignment="1" applyProtection="1">
      <alignment horizontal="right" vertical="top"/>
    </xf>
    <xf numFmtId="2" fontId="2" fillId="0" borderId="1" xfId="0" applyNumberFormat="1" applyFont="1" applyFill="1" applyBorder="1" applyAlignment="1" applyProtection="1">
      <alignment horizontal="center" vertical="top"/>
    </xf>
    <xf numFmtId="3" fontId="2" fillId="0" borderId="12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0" fontId="4" fillId="0" borderId="0" xfId="0" applyNumberFormat="1" applyFont="1" applyFill="1" applyBorder="1" applyAlignment="1" applyProtection="1">
      <alignment vertical="top"/>
    </xf>
    <xf numFmtId="49" fontId="10" fillId="0" borderId="0" xfId="0" applyNumberFormat="1" applyFont="1" applyFill="1" applyBorder="1" applyAlignment="1" applyProtection="1"/>
    <xf numFmtId="0" fontId="10" fillId="0" borderId="0" xfId="0" applyNumberFormat="1" applyFont="1" applyFill="1" applyBorder="1" applyAlignment="1" applyProtection="1"/>
    <xf numFmtId="0" fontId="10" fillId="0" borderId="0" xfId="0" applyNumberFormat="1" applyFont="1" applyFill="1" applyBorder="1" applyAlignment="1" applyProtection="1">
      <alignment wrapText="1"/>
    </xf>
    <xf numFmtId="49" fontId="2" fillId="0" borderId="4" xfId="0" applyNumberFormat="1" applyFont="1" applyFill="1" applyBorder="1" applyAlignment="1" applyProtection="1">
      <alignment horizontal="center" vertical="center" wrapText="1"/>
    </xf>
    <xf numFmtId="0" fontId="2" fillId="0" borderId="4" xfId="0" applyNumberFormat="1" applyFont="1" applyFill="1" applyBorder="1" applyAlignment="1" applyProtection="1">
      <alignment horizontal="center" vertical="center" wrapText="1"/>
    </xf>
    <xf numFmtId="49" fontId="8" fillId="0" borderId="4" xfId="0" applyNumberFormat="1" applyFont="1" applyFill="1" applyBorder="1" applyAlignment="1" applyProtection="1">
      <alignment vertical="center"/>
    </xf>
    <xf numFmtId="49" fontId="8" fillId="3" borderId="4" xfId="0" applyNumberFormat="1" applyFont="1" applyFill="1" applyBorder="1" applyAlignment="1" applyProtection="1">
      <alignment vertical="center"/>
    </xf>
    <xf numFmtId="49" fontId="2" fillId="3" borderId="4" xfId="0" applyNumberFormat="1" applyFont="1" applyFill="1" applyBorder="1" applyAlignment="1" applyProtection="1">
      <alignment vertical="center"/>
    </xf>
    <xf numFmtId="49" fontId="2" fillId="0" borderId="4" xfId="0" applyNumberFormat="1" applyFont="1" applyFill="1" applyBorder="1" applyAlignment="1" applyProtection="1">
      <alignment vertical="center"/>
    </xf>
    <xf numFmtId="49" fontId="8" fillId="2" borderId="4" xfId="0" applyNumberFormat="1" applyFont="1" applyFill="1" applyBorder="1" applyAlignment="1" applyProtection="1">
      <alignment vertical="center"/>
    </xf>
    <xf numFmtId="49" fontId="2" fillId="2" borderId="4" xfId="0" applyNumberFormat="1" applyFont="1" applyFill="1" applyBorder="1" applyAlignment="1" applyProtection="1">
      <alignment vertical="center"/>
    </xf>
    <xf numFmtId="49" fontId="8" fillId="0" borderId="4" xfId="0" applyNumberFormat="1" applyFont="1" applyFill="1" applyBorder="1" applyAlignment="1" applyProtection="1">
      <alignment horizontal="center" vertical="center"/>
    </xf>
    <xf numFmtId="49" fontId="8" fillId="3" borderId="4" xfId="0" applyNumberFormat="1" applyFont="1" applyFill="1" applyBorder="1" applyAlignment="1" applyProtection="1">
      <alignment horizontal="center" vertical="center"/>
    </xf>
    <xf numFmtId="49" fontId="2" fillId="3" borderId="4" xfId="0" applyNumberFormat="1" applyFont="1" applyFill="1" applyBorder="1" applyAlignment="1" applyProtection="1">
      <alignment horizontal="center" vertical="center"/>
    </xf>
    <xf numFmtId="49" fontId="2" fillId="0" borderId="4" xfId="0" applyNumberFormat="1" applyFont="1" applyFill="1" applyBorder="1" applyAlignment="1" applyProtection="1">
      <alignment horizontal="center" vertical="center"/>
    </xf>
    <xf numFmtId="49" fontId="8" fillId="2" borderId="4" xfId="0" applyNumberFormat="1" applyFont="1" applyFill="1" applyBorder="1" applyAlignment="1" applyProtection="1">
      <alignment horizontal="center" vertical="center"/>
    </xf>
    <xf numFmtId="49" fontId="2" fillId="2" borderId="4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horizontal="center" vertical="center" wrapText="1"/>
    </xf>
    <xf numFmtId="0" fontId="0" fillId="4" borderId="4" xfId="0" applyFill="1" applyBorder="1" applyAlignment="1">
      <alignment vertical="center"/>
    </xf>
    <xf numFmtId="0" fontId="0" fillId="0" borderId="0" xfId="0" applyAlignment="1">
      <alignment vertical="center"/>
    </xf>
    <xf numFmtId="0" fontId="0" fillId="2" borderId="0" xfId="0" applyFill="1" applyAlignment="1">
      <alignment vertical="center"/>
    </xf>
    <xf numFmtId="0" fontId="0" fillId="3" borderId="0" xfId="0" applyFill="1" applyAlignment="1">
      <alignment vertical="center"/>
    </xf>
    <xf numFmtId="0" fontId="0" fillId="0" borderId="0" xfId="0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11" fillId="3" borderId="4" xfId="0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4" fontId="2" fillId="0" borderId="4" xfId="0" applyNumberFormat="1" applyFont="1" applyFill="1" applyBorder="1" applyAlignment="1" applyProtection="1">
      <alignment horizontal="center" vertical="center" wrapText="1"/>
    </xf>
    <xf numFmtId="4" fontId="0" fillId="0" borderId="0" xfId="0" applyNumberFormat="1" applyAlignment="1">
      <alignment horizontal="center" vertical="center" wrapText="1"/>
    </xf>
    <xf numFmtId="4" fontId="11" fillId="4" borderId="4" xfId="0" applyNumberFormat="1" applyFont="1" applyFill="1" applyBorder="1" applyAlignment="1">
      <alignment horizontal="center" vertical="center"/>
    </xf>
    <xf numFmtId="4" fontId="8" fillId="0" borderId="4" xfId="0" applyNumberFormat="1" applyFont="1" applyFill="1" applyBorder="1" applyAlignment="1" applyProtection="1">
      <alignment vertical="center"/>
    </xf>
    <xf numFmtId="4" fontId="0" fillId="0" borderId="0" xfId="0" applyNumberFormat="1" applyAlignment="1">
      <alignment horizontal="center" vertical="center"/>
    </xf>
    <xf numFmtId="4" fontId="8" fillId="3" borderId="4" xfId="0" applyNumberFormat="1" applyFont="1" applyFill="1" applyBorder="1" applyAlignment="1" applyProtection="1">
      <alignment vertical="center"/>
    </xf>
    <xf numFmtId="4" fontId="0" fillId="3" borderId="4" xfId="0" applyNumberFormat="1" applyFill="1" applyBorder="1" applyAlignment="1">
      <alignment horizontal="center" vertical="center"/>
    </xf>
    <xf numFmtId="4" fontId="11" fillId="3" borderId="4" xfId="0" applyNumberFormat="1" applyFont="1" applyFill="1" applyBorder="1" applyAlignment="1">
      <alignment horizontal="center" vertical="center"/>
    </xf>
    <xf numFmtId="4" fontId="2" fillId="3" borderId="4" xfId="0" applyNumberFormat="1" applyFont="1" applyFill="1" applyBorder="1" applyAlignment="1" applyProtection="1">
      <alignment vertical="center"/>
    </xf>
    <xf numFmtId="4" fontId="11" fillId="0" borderId="0" xfId="0" applyNumberFormat="1" applyFont="1" applyAlignment="1">
      <alignment horizontal="center" vertical="center"/>
    </xf>
    <xf numFmtId="4" fontId="2" fillId="0" borderId="4" xfId="0" applyNumberFormat="1" applyFont="1" applyFill="1" applyBorder="1" applyAlignment="1" applyProtection="1">
      <alignment vertical="center"/>
    </xf>
    <xf numFmtId="4" fontId="8" fillId="2" borderId="4" xfId="0" applyNumberFormat="1" applyFont="1" applyFill="1" applyBorder="1" applyAlignment="1" applyProtection="1">
      <alignment vertical="center"/>
    </xf>
    <xf numFmtId="4" fontId="0" fillId="2" borderId="0" xfId="0" applyNumberFormat="1" applyFill="1" applyAlignment="1">
      <alignment horizontal="center" vertical="center"/>
    </xf>
    <xf numFmtId="4" fontId="11" fillId="2" borderId="0" xfId="0" applyNumberFormat="1" applyFont="1" applyFill="1" applyAlignment="1">
      <alignment horizontal="center" vertical="center"/>
    </xf>
    <xf numFmtId="4" fontId="2" fillId="2" borderId="4" xfId="0" applyNumberFormat="1" applyFont="1" applyFill="1" applyBorder="1" applyAlignment="1" applyProtection="1">
      <alignment vertical="center"/>
    </xf>
    <xf numFmtId="4" fontId="14" fillId="3" borderId="4" xfId="0" applyNumberFormat="1" applyFont="1" applyFill="1" applyBorder="1" applyAlignment="1">
      <alignment horizontal="center" vertical="center"/>
    </xf>
    <xf numFmtId="49" fontId="13" fillId="3" borderId="4" xfId="0" applyNumberFormat="1" applyFont="1" applyFill="1" applyBorder="1" applyAlignment="1" applyProtection="1">
      <alignment horizontal="center" vertical="center"/>
    </xf>
    <xf numFmtId="49" fontId="13" fillId="3" borderId="4" xfId="0" applyNumberFormat="1" applyFont="1" applyFill="1" applyBorder="1" applyAlignment="1" applyProtection="1">
      <alignment horizontal="left" vertical="center"/>
    </xf>
    <xf numFmtId="49" fontId="13" fillId="3" borderId="4" xfId="0" applyNumberFormat="1" applyFont="1" applyFill="1" applyBorder="1" applyAlignment="1" applyProtection="1">
      <alignment vertical="center"/>
    </xf>
    <xf numFmtId="0" fontId="13" fillId="3" borderId="4" xfId="0" applyNumberFormat="1" applyFont="1" applyFill="1" applyBorder="1" applyAlignment="1" applyProtection="1">
      <alignment horizontal="center" vertical="center"/>
    </xf>
    <xf numFmtId="4" fontId="13" fillId="3" borderId="4" xfId="0" applyNumberFormat="1" applyFont="1" applyFill="1" applyBorder="1" applyAlignment="1" applyProtection="1">
      <alignment horizontal="right" vertical="center"/>
    </xf>
    <xf numFmtId="0" fontId="14" fillId="3" borderId="0" xfId="0" applyFont="1" applyFill="1" applyAlignment="1">
      <alignment vertical="center"/>
    </xf>
    <xf numFmtId="0" fontId="11" fillId="4" borderId="0" xfId="0" applyFont="1" applyFill="1" applyAlignment="1">
      <alignment vertical="center"/>
    </xf>
    <xf numFmtId="49" fontId="2" fillId="0" borderId="4" xfId="0" applyNumberFormat="1" applyFont="1" applyFill="1" applyBorder="1" applyAlignment="1" applyProtection="1">
      <alignment horizontal="left" vertical="center"/>
    </xf>
    <xf numFmtId="0" fontId="2" fillId="0" borderId="4" xfId="0" applyNumberFormat="1" applyFont="1" applyFill="1" applyBorder="1" applyAlignment="1" applyProtection="1">
      <alignment horizontal="center" vertical="center"/>
    </xf>
    <xf numFmtId="4" fontId="2" fillId="0" borderId="4" xfId="0" applyNumberFormat="1" applyFont="1" applyFill="1" applyBorder="1" applyAlignment="1" applyProtection="1">
      <alignment horizontal="right" vertical="center"/>
    </xf>
    <xf numFmtId="49" fontId="2" fillId="3" borderId="4" xfId="0" applyNumberFormat="1" applyFont="1" applyFill="1" applyBorder="1" applyAlignment="1" applyProtection="1">
      <alignment horizontal="left" vertical="center"/>
    </xf>
    <xf numFmtId="0" fontId="2" fillId="3" borderId="4" xfId="0" applyNumberFormat="1" applyFont="1" applyFill="1" applyBorder="1" applyAlignment="1" applyProtection="1">
      <alignment horizontal="center" vertical="center"/>
    </xf>
    <xf numFmtId="4" fontId="2" fillId="3" borderId="4" xfId="0" applyNumberFormat="1" applyFont="1" applyFill="1" applyBorder="1" applyAlignment="1" applyProtection="1">
      <alignment horizontal="right" vertical="center"/>
    </xf>
    <xf numFmtId="49" fontId="13" fillId="0" borderId="4" xfId="0" applyNumberFormat="1" applyFont="1" applyFill="1" applyBorder="1" applyAlignment="1" applyProtection="1">
      <alignment horizontal="center" vertical="center"/>
    </xf>
    <xf numFmtId="49" fontId="13" fillId="0" borderId="4" xfId="0" applyNumberFormat="1" applyFont="1" applyFill="1" applyBorder="1" applyAlignment="1" applyProtection="1">
      <alignment horizontal="left" vertical="center"/>
    </xf>
    <xf numFmtId="49" fontId="13" fillId="0" borderId="4" xfId="0" applyNumberFormat="1" applyFont="1" applyFill="1" applyBorder="1" applyAlignment="1" applyProtection="1">
      <alignment vertical="center"/>
    </xf>
    <xf numFmtId="0" fontId="13" fillId="0" borderId="4" xfId="0" applyNumberFormat="1" applyFont="1" applyFill="1" applyBorder="1" applyAlignment="1" applyProtection="1">
      <alignment horizontal="center" vertical="center"/>
    </xf>
    <xf numFmtId="4" fontId="13" fillId="0" borderId="4" xfId="0" applyNumberFormat="1" applyFont="1" applyFill="1" applyBorder="1" applyAlignment="1" applyProtection="1">
      <alignment horizontal="right" vertical="center"/>
    </xf>
    <xf numFmtId="0" fontId="11" fillId="0" borderId="0" xfId="0" applyFont="1" applyAlignment="1">
      <alignment vertical="center"/>
    </xf>
    <xf numFmtId="49" fontId="2" fillId="2" borderId="4" xfId="0" applyNumberFormat="1" applyFont="1" applyFill="1" applyBorder="1" applyAlignment="1" applyProtection="1">
      <alignment horizontal="left" vertical="center"/>
    </xf>
    <xf numFmtId="0" fontId="2" fillId="2" borderId="4" xfId="0" applyNumberFormat="1" applyFont="1" applyFill="1" applyBorder="1" applyAlignment="1" applyProtection="1">
      <alignment horizontal="center" vertical="center"/>
    </xf>
    <xf numFmtId="4" fontId="2" fillId="2" borderId="4" xfId="0" applyNumberFormat="1" applyFont="1" applyFill="1" applyBorder="1" applyAlignment="1" applyProtection="1">
      <alignment horizontal="right" vertical="center"/>
    </xf>
    <xf numFmtId="49" fontId="13" fillId="2" borderId="4" xfId="0" applyNumberFormat="1" applyFont="1" applyFill="1" applyBorder="1" applyAlignment="1" applyProtection="1">
      <alignment horizontal="center" vertical="center"/>
    </xf>
    <xf numFmtId="49" fontId="13" fillId="2" borderId="4" xfId="0" applyNumberFormat="1" applyFont="1" applyFill="1" applyBorder="1" applyAlignment="1" applyProtection="1">
      <alignment horizontal="left" vertical="center"/>
    </xf>
    <xf numFmtId="49" fontId="13" fillId="2" borderId="4" xfId="0" applyNumberFormat="1" applyFont="1" applyFill="1" applyBorder="1" applyAlignment="1" applyProtection="1">
      <alignment vertical="center"/>
    </xf>
    <xf numFmtId="0" fontId="13" fillId="2" borderId="4" xfId="0" applyNumberFormat="1" applyFont="1" applyFill="1" applyBorder="1" applyAlignment="1" applyProtection="1">
      <alignment horizontal="center" vertical="center"/>
    </xf>
    <xf numFmtId="4" fontId="13" fillId="2" borderId="4" xfId="0" applyNumberFormat="1" applyFont="1" applyFill="1" applyBorder="1" applyAlignment="1" applyProtection="1">
      <alignment horizontal="right" vertical="center"/>
    </xf>
    <xf numFmtId="0" fontId="11" fillId="2" borderId="0" xfId="0" applyFont="1" applyFill="1" applyAlignment="1">
      <alignment vertical="center"/>
    </xf>
    <xf numFmtId="0" fontId="11" fillId="3" borderId="0" xfId="0" applyFont="1" applyFill="1" applyAlignment="1">
      <alignment vertical="center"/>
    </xf>
    <xf numFmtId="0" fontId="0" fillId="0" borderId="4" xfId="0" applyBorder="1" applyAlignment="1">
      <alignment vertical="center"/>
    </xf>
    <xf numFmtId="0" fontId="0" fillId="0" borderId="4" xfId="0" applyBorder="1" applyAlignment="1">
      <alignment horizontal="center" vertical="center"/>
    </xf>
    <xf numFmtId="4" fontId="0" fillId="0" borderId="4" xfId="0" applyNumberFormat="1" applyBorder="1" applyAlignment="1">
      <alignment vertical="center"/>
    </xf>
    <xf numFmtId="4" fontId="0" fillId="0" borderId="0" xfId="0" applyNumberFormat="1" applyAlignment="1">
      <alignment vertical="center"/>
    </xf>
    <xf numFmtId="0" fontId="0" fillId="2" borderId="4" xfId="0" applyFill="1" applyBorder="1" applyAlignment="1">
      <alignment horizontal="center" vertical="center"/>
    </xf>
    <xf numFmtId="0" fontId="12" fillId="3" borderId="4" xfId="0" applyFont="1" applyFill="1" applyBorder="1" applyAlignment="1">
      <alignment horizontal="center" vertical="center"/>
    </xf>
    <xf numFmtId="0" fontId="12" fillId="2" borderId="4" xfId="0" applyFont="1" applyFill="1" applyBorder="1" applyAlignment="1">
      <alignment horizontal="center" vertical="center"/>
    </xf>
    <xf numFmtId="4" fontId="12" fillId="2" borderId="4" xfId="0" applyNumberFormat="1" applyFont="1" applyFill="1" applyBorder="1" applyAlignment="1">
      <alignment vertical="center"/>
    </xf>
    <xf numFmtId="0" fontId="11" fillId="5" borderId="4" xfId="0" applyFont="1" applyFill="1" applyBorder="1" applyAlignment="1">
      <alignment vertical="center"/>
    </xf>
    <xf numFmtId="4" fontId="11" fillId="5" borderId="4" xfId="0" applyNumberFormat="1" applyFont="1" applyFill="1" applyBorder="1" applyAlignment="1">
      <alignment vertical="center"/>
    </xf>
    <xf numFmtId="0" fontId="12" fillId="5" borderId="4" xfId="0" applyFont="1" applyFill="1" applyBorder="1" applyAlignment="1">
      <alignment horizontal="center" vertical="center"/>
    </xf>
    <xf numFmtId="4" fontId="12" fillId="5" borderId="4" xfId="0" applyNumberFormat="1" applyFont="1" applyFill="1" applyBorder="1" applyAlignment="1">
      <alignment horizontal="center" vertical="center"/>
    </xf>
    <xf numFmtId="4" fontId="12" fillId="3" borderId="4" xfId="0" applyNumberFormat="1" applyFont="1" applyFill="1" applyBorder="1" applyAlignment="1">
      <alignment horizontal="center" vertical="center"/>
    </xf>
    <xf numFmtId="0" fontId="12" fillId="5" borderId="4" xfId="0" applyFont="1" applyFill="1" applyBorder="1" applyAlignment="1">
      <alignment horizontal="center" vertical="center" wrapText="1"/>
    </xf>
    <xf numFmtId="4" fontId="12" fillId="5" borderId="4" xfId="0" applyNumberFormat="1" applyFont="1" applyFill="1" applyBorder="1" applyAlignment="1">
      <alignment vertical="center"/>
    </xf>
    <xf numFmtId="0" fontId="12" fillId="5" borderId="4" xfId="0" applyFont="1" applyFill="1" applyBorder="1" applyAlignment="1">
      <alignment horizontal="right" vertical="center"/>
    </xf>
    <xf numFmtId="4" fontId="0" fillId="3" borderId="0" xfId="0" applyNumberFormat="1" applyFill="1" applyAlignment="1">
      <alignment vertical="center"/>
    </xf>
    <xf numFmtId="4" fontId="0" fillId="3" borderId="13" xfId="0" applyNumberFormat="1" applyFill="1" applyBorder="1" applyAlignment="1">
      <alignment horizontal="center" vertical="center"/>
    </xf>
    <xf numFmtId="0" fontId="14" fillId="5" borderId="4" xfId="0" applyFont="1" applyFill="1" applyBorder="1" applyAlignment="1">
      <alignment horizontal="right" vertical="center"/>
    </xf>
    <xf numFmtId="0" fontId="14" fillId="5" borderId="4" xfId="0" applyFont="1" applyFill="1" applyBorder="1" applyAlignment="1">
      <alignment horizontal="center" vertical="center"/>
    </xf>
    <xf numFmtId="4" fontId="14" fillId="5" borderId="4" xfId="0" applyNumberFormat="1" applyFont="1" applyFill="1" applyBorder="1" applyAlignment="1">
      <alignment vertical="center"/>
    </xf>
    <xf numFmtId="0" fontId="16" fillId="4" borderId="4" xfId="0" applyFont="1" applyFill="1" applyBorder="1" applyAlignment="1">
      <alignment vertical="center"/>
    </xf>
    <xf numFmtId="0" fontId="12" fillId="3" borderId="4" xfId="0" applyFont="1" applyFill="1" applyBorder="1" applyAlignment="1">
      <alignment horizontal="left" vertical="center" wrapText="1"/>
    </xf>
    <xf numFmtId="4" fontId="12" fillId="3" borderId="4" xfId="0" applyNumberFormat="1" applyFont="1" applyFill="1" applyBorder="1" applyAlignment="1">
      <alignment vertical="center"/>
    </xf>
    <xf numFmtId="0" fontId="12" fillId="2" borderId="4" xfId="0" applyFont="1" applyFill="1" applyBorder="1" applyAlignment="1">
      <alignment horizontal="left" vertical="center" wrapText="1"/>
    </xf>
    <xf numFmtId="4" fontId="16" fillId="3" borderId="4" xfId="0" applyNumberFormat="1" applyFont="1" applyFill="1" applyBorder="1" applyAlignment="1">
      <alignment horizontal="center" vertical="center"/>
    </xf>
    <xf numFmtId="0" fontId="16" fillId="3" borderId="4" xfId="0" applyFont="1" applyFill="1" applyBorder="1" applyAlignment="1">
      <alignment horizontal="center" vertical="center"/>
    </xf>
    <xf numFmtId="4" fontId="0" fillId="2" borderId="4" xfId="0" applyNumberFormat="1" applyFill="1" applyBorder="1" applyAlignment="1">
      <alignment horizontal="center" vertical="center"/>
    </xf>
    <xf numFmtId="4" fontId="16" fillId="2" borderId="4" xfId="0" applyNumberFormat="1" applyFont="1" applyFill="1" applyBorder="1" applyAlignment="1">
      <alignment horizontal="center" vertical="center"/>
    </xf>
    <xf numFmtId="0" fontId="16" fillId="2" borderId="4" xfId="0" applyFont="1" applyFill="1" applyBorder="1" applyAlignment="1">
      <alignment horizontal="center" vertical="center"/>
    </xf>
    <xf numFmtId="170" fontId="0" fillId="3" borderId="4" xfId="0" applyNumberFormat="1" applyFill="1" applyBorder="1" applyAlignment="1">
      <alignment horizontal="center" vertical="center"/>
    </xf>
    <xf numFmtId="3" fontId="0" fillId="3" borderId="4" xfId="0" applyNumberFormat="1" applyFill="1" applyBorder="1" applyAlignment="1">
      <alignment horizontal="center" vertical="center"/>
    </xf>
    <xf numFmtId="172" fontId="0" fillId="3" borderId="4" xfId="0" applyNumberFormat="1" applyFill="1" applyBorder="1" applyAlignment="1">
      <alignment horizontal="center" vertical="center"/>
    </xf>
    <xf numFmtId="171" fontId="0" fillId="3" borderId="4" xfId="0" applyNumberFormat="1" applyFill="1" applyBorder="1" applyAlignment="1">
      <alignment horizontal="center" vertical="center"/>
    </xf>
    <xf numFmtId="4" fontId="12" fillId="0" borderId="0" xfId="0" applyNumberFormat="1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vertical="center"/>
    </xf>
    <xf numFmtId="4" fontId="12" fillId="0" borderId="4" xfId="0" applyNumberFormat="1" applyFont="1" applyFill="1" applyBorder="1" applyAlignment="1">
      <alignment horizontal="center" vertical="center"/>
    </xf>
    <xf numFmtId="49" fontId="8" fillId="0" borderId="4" xfId="0" applyNumberFormat="1" applyFont="1" applyFill="1" applyBorder="1" applyAlignment="1" applyProtection="1">
      <alignment vertical="center" wrapText="1"/>
    </xf>
    <xf numFmtId="49" fontId="2" fillId="0" borderId="4" xfId="0" applyNumberFormat="1" applyFont="1" applyFill="1" applyBorder="1" applyAlignment="1" applyProtection="1">
      <alignment vertical="center" wrapText="1"/>
    </xf>
    <xf numFmtId="49" fontId="13" fillId="0" borderId="4" xfId="0" applyNumberFormat="1" applyFont="1" applyFill="1" applyBorder="1" applyAlignment="1" applyProtection="1">
      <alignment vertical="center" wrapText="1"/>
    </xf>
    <xf numFmtId="4" fontId="0" fillId="0" borderId="0" xfId="0" applyNumberFormat="1" applyFill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12" fillId="0" borderId="4" xfId="0" applyFont="1" applyFill="1" applyBorder="1" applyAlignment="1">
      <alignment horizontal="center" vertical="center"/>
    </xf>
    <xf numFmtId="4" fontId="0" fillId="0" borderId="4" xfId="0" applyNumberFormat="1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4" fontId="11" fillId="0" borderId="4" xfId="0" applyNumberFormat="1" applyFont="1" applyFill="1" applyBorder="1" applyAlignment="1">
      <alignment horizontal="center" vertical="center"/>
    </xf>
    <xf numFmtId="0" fontId="11" fillId="0" borderId="0" xfId="0" applyFont="1" applyFill="1" applyAlignment="1">
      <alignment vertical="center"/>
    </xf>
    <xf numFmtId="4" fontId="0" fillId="0" borderId="0" xfId="0" applyNumberFormat="1" applyFill="1" applyAlignment="1">
      <alignment horizontal="center" vertical="center"/>
    </xf>
    <xf numFmtId="0" fontId="14" fillId="0" borderId="0" xfId="0" applyFont="1" applyFill="1" applyAlignment="1">
      <alignment vertical="center"/>
    </xf>
    <xf numFmtId="0" fontId="11" fillId="0" borderId="0" xfId="0" applyFont="1" applyFill="1" applyAlignment="1">
      <alignment horizontal="center" vertical="center"/>
    </xf>
    <xf numFmtId="4" fontId="11" fillId="0" borderId="0" xfId="0" applyNumberFormat="1" applyFont="1" applyFill="1" applyAlignment="1">
      <alignment horizontal="center" vertical="center"/>
    </xf>
    <xf numFmtId="4" fontId="0" fillId="0" borderId="0" xfId="0" applyNumberFormat="1" applyFill="1" applyAlignment="1">
      <alignment vertical="center"/>
    </xf>
    <xf numFmtId="0" fontId="0" fillId="0" borderId="0" xfId="0" applyFill="1" applyAlignment="1">
      <alignment vertical="center" wrapText="1"/>
    </xf>
    <xf numFmtId="164" fontId="16" fillId="3" borderId="4" xfId="0" applyNumberFormat="1" applyFont="1" applyFill="1" applyBorder="1" applyAlignment="1">
      <alignment horizontal="center" vertical="center"/>
    </xf>
    <xf numFmtId="170" fontId="16" fillId="3" borderId="4" xfId="0" applyNumberFormat="1" applyFont="1" applyFill="1" applyBorder="1" applyAlignment="1">
      <alignment horizontal="center" vertical="center"/>
    </xf>
    <xf numFmtId="164" fontId="0" fillId="3" borderId="4" xfId="0" applyNumberFormat="1" applyFill="1" applyBorder="1" applyAlignment="1">
      <alignment horizontal="center" vertical="center"/>
    </xf>
    <xf numFmtId="165" fontId="0" fillId="3" borderId="4" xfId="0" applyNumberFormat="1" applyFill="1" applyBorder="1" applyAlignment="1">
      <alignment horizontal="center" vertical="center"/>
    </xf>
    <xf numFmtId="49" fontId="8" fillId="2" borderId="4" xfId="0" applyNumberFormat="1" applyFont="1" applyFill="1" applyBorder="1" applyAlignment="1" applyProtection="1">
      <alignment vertical="center" wrapText="1"/>
    </xf>
    <xf numFmtId="49" fontId="7" fillId="0" borderId="4" xfId="0" applyNumberFormat="1" applyFont="1" applyFill="1" applyBorder="1" applyAlignment="1" applyProtection="1">
      <alignment vertical="center" wrapText="1"/>
    </xf>
    <xf numFmtId="0" fontId="2" fillId="6" borderId="4" xfId="0" applyNumberFormat="1" applyFont="1" applyFill="1" applyBorder="1" applyAlignment="1" applyProtection="1">
      <alignment horizontal="center" vertical="center"/>
    </xf>
    <xf numFmtId="0" fontId="7" fillId="6" borderId="4" xfId="0" applyNumberFormat="1" applyFont="1" applyFill="1" applyBorder="1" applyAlignment="1" applyProtection="1">
      <alignment horizontal="center" vertical="center"/>
    </xf>
    <xf numFmtId="4" fontId="0" fillId="6" borderId="4" xfId="0" applyNumberFormat="1" applyFill="1" applyBorder="1" applyAlignment="1">
      <alignment horizontal="center" vertical="center"/>
    </xf>
    <xf numFmtId="0" fontId="0" fillId="6" borderId="4" xfId="0" applyFill="1" applyBorder="1" applyAlignment="1">
      <alignment horizontal="center" vertical="center"/>
    </xf>
    <xf numFmtId="0" fontId="16" fillId="6" borderId="4" xfId="0" applyFont="1" applyFill="1" applyBorder="1" applyAlignment="1">
      <alignment horizontal="center" vertical="center"/>
    </xf>
    <xf numFmtId="171" fontId="0" fillId="6" borderId="4" xfId="0" applyNumberFormat="1" applyFill="1" applyBorder="1" applyAlignment="1">
      <alignment horizontal="center" vertical="center"/>
    </xf>
    <xf numFmtId="167" fontId="16" fillId="3" borderId="4" xfId="0" applyNumberFormat="1" applyFont="1" applyFill="1" applyBorder="1" applyAlignment="1">
      <alignment horizontal="center" vertical="center"/>
    </xf>
    <xf numFmtId="2" fontId="0" fillId="3" borderId="4" xfId="0" applyNumberFormat="1" applyFill="1" applyBorder="1" applyAlignment="1">
      <alignment horizontal="center" vertical="center"/>
    </xf>
    <xf numFmtId="167" fontId="0" fillId="3" borderId="4" xfId="0" applyNumberFormat="1" applyFill="1" applyBorder="1" applyAlignment="1">
      <alignment horizontal="center" vertical="center"/>
    </xf>
    <xf numFmtId="0" fontId="12" fillId="4" borderId="0" xfId="0" applyFont="1" applyFill="1" applyAlignment="1">
      <alignment horizontal="centerContinuous" vertical="center" wrapText="1"/>
    </xf>
    <xf numFmtId="49" fontId="2" fillId="6" borderId="4" xfId="0" applyNumberFormat="1" applyFont="1" applyFill="1" applyBorder="1" applyAlignment="1" applyProtection="1">
      <alignment horizontal="center" vertical="center"/>
    </xf>
    <xf numFmtId="49" fontId="2" fillId="6" borderId="4" xfId="0" applyNumberFormat="1" applyFont="1" applyFill="1" applyBorder="1" applyAlignment="1" applyProtection="1">
      <alignment horizontal="left" vertical="center"/>
    </xf>
    <xf numFmtId="49" fontId="2" fillId="6" borderId="4" xfId="0" applyNumberFormat="1" applyFont="1" applyFill="1" applyBorder="1" applyAlignment="1" applyProtection="1">
      <alignment vertical="center" wrapText="1"/>
    </xf>
    <xf numFmtId="4" fontId="2" fillId="6" borderId="4" xfId="0" applyNumberFormat="1" applyFont="1" applyFill="1" applyBorder="1" applyAlignment="1" applyProtection="1">
      <alignment horizontal="right" vertical="center"/>
    </xf>
    <xf numFmtId="4" fontId="16" fillId="6" borderId="4" xfId="0" applyNumberFormat="1" applyFont="1" applyFill="1" applyBorder="1" applyAlignment="1">
      <alignment horizontal="center" vertical="center"/>
    </xf>
    <xf numFmtId="49" fontId="7" fillId="0" borderId="4" xfId="0" applyNumberFormat="1" applyFont="1" applyFill="1" applyBorder="1" applyAlignment="1" applyProtection="1">
      <alignment horizontal="center" vertical="center"/>
    </xf>
    <xf numFmtId="49" fontId="7" fillId="0" borderId="4" xfId="0" applyNumberFormat="1" applyFont="1" applyFill="1" applyBorder="1" applyAlignment="1" applyProtection="1">
      <alignment horizontal="left" vertical="center"/>
    </xf>
    <xf numFmtId="0" fontId="7" fillId="0" borderId="4" xfId="0" applyNumberFormat="1" applyFont="1" applyFill="1" applyBorder="1" applyAlignment="1" applyProtection="1">
      <alignment horizontal="center" vertical="center"/>
    </xf>
    <xf numFmtId="4" fontId="7" fillId="0" borderId="4" xfId="0" applyNumberFormat="1" applyFont="1" applyFill="1" applyBorder="1" applyAlignment="1" applyProtection="1">
      <alignment horizontal="right" vertical="center"/>
    </xf>
    <xf numFmtId="0" fontId="7" fillId="3" borderId="4" xfId="0" applyNumberFormat="1" applyFont="1" applyFill="1" applyBorder="1" applyAlignment="1" applyProtection="1">
      <alignment horizontal="center" vertical="center"/>
    </xf>
    <xf numFmtId="49" fontId="7" fillId="6" borderId="4" xfId="0" applyNumberFormat="1" applyFont="1" applyFill="1" applyBorder="1" applyAlignment="1" applyProtection="1">
      <alignment horizontal="center" vertical="center"/>
    </xf>
    <xf numFmtId="49" fontId="7" fillId="6" borderId="4" xfId="0" applyNumberFormat="1" applyFont="1" applyFill="1" applyBorder="1" applyAlignment="1" applyProtection="1">
      <alignment horizontal="left" vertical="center"/>
    </xf>
    <xf numFmtId="49" fontId="7" fillId="6" borderId="4" xfId="0" applyNumberFormat="1" applyFont="1" applyFill="1" applyBorder="1" applyAlignment="1" applyProtection="1">
      <alignment vertical="center" wrapText="1"/>
    </xf>
    <xf numFmtId="4" fontId="7" fillId="6" borderId="4" xfId="0" applyNumberFormat="1" applyFont="1" applyFill="1" applyBorder="1" applyAlignment="1" applyProtection="1">
      <alignment horizontal="right" vertical="center"/>
    </xf>
    <xf numFmtId="49" fontId="7" fillId="6" borderId="4" xfId="0" applyNumberFormat="1" applyFont="1" applyFill="1" applyBorder="1" applyAlignment="1" applyProtection="1">
      <alignment vertical="center"/>
    </xf>
    <xf numFmtId="0" fontId="12" fillId="4" borderId="0" xfId="0" applyFont="1" applyFill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/>
    </xf>
    <xf numFmtId="0" fontId="20" fillId="0" borderId="0" xfId="2" applyFont="1" applyAlignment="1">
      <alignment horizontal="left" vertical="justify"/>
    </xf>
    <xf numFmtId="49" fontId="20" fillId="0" borderId="0" xfId="2" applyNumberFormat="1" applyFont="1" applyAlignment="1">
      <alignment horizontal="left" vertical="top"/>
    </xf>
    <xf numFmtId="49" fontId="20" fillId="0" borderId="0" xfId="2" applyNumberFormat="1" applyFont="1" applyAlignment="1">
      <alignment horizontal="left" vertical="center"/>
    </xf>
    <xf numFmtId="0" fontId="20" fillId="0" borderId="0" xfId="2" applyFont="1" applyAlignment="1">
      <alignment horizontal="left" vertical="top"/>
    </xf>
    <xf numFmtId="0" fontId="20" fillId="0" borderId="0" xfId="2" applyFont="1" applyAlignment="1">
      <alignment horizontal="left" vertical="center"/>
    </xf>
    <xf numFmtId="0" fontId="21" fillId="0" borderId="0" xfId="2" applyFont="1" applyAlignment="1">
      <alignment horizontal="center" vertical="top"/>
    </xf>
    <xf numFmtId="0" fontId="20" fillId="0" borderId="0" xfId="2" applyFont="1" applyAlignment="1">
      <alignment horizontal="right" vertical="top" wrapText="1"/>
    </xf>
    <xf numFmtId="0" fontId="20" fillId="0" borderId="0" xfId="2" applyFont="1" applyAlignment="1">
      <alignment horizontal="right" vertical="top"/>
    </xf>
    <xf numFmtId="0" fontId="20" fillId="0" borderId="0" xfId="2" applyFont="1" applyAlignment="1">
      <alignment vertical="top"/>
    </xf>
    <xf numFmtId="0" fontId="20" fillId="0" borderId="0" xfId="2" applyFont="1" applyAlignment="1">
      <alignment horizontal="left" vertical="top" wrapText="1"/>
    </xf>
    <xf numFmtId="0" fontId="20" fillId="0" borderId="0" xfId="2" applyFont="1" applyAlignment="1">
      <alignment horizontal="center" vertical="top" wrapText="1"/>
    </xf>
    <xf numFmtId="0" fontId="20" fillId="0" borderId="0" xfId="2" applyFont="1" applyAlignment="1">
      <alignment horizontal="left" vertical="center" wrapText="1"/>
    </xf>
    <xf numFmtId="0" fontId="20" fillId="0" borderId="0" xfId="2" applyFont="1" applyAlignment="1">
      <alignment horizontal="right" vertical="center" wrapText="1"/>
    </xf>
    <xf numFmtId="0" fontId="21" fillId="0" borderId="0" xfId="2" applyFont="1" applyAlignment="1">
      <alignment horizontal="left" vertical="top"/>
    </xf>
    <xf numFmtId="0" fontId="20" fillId="0" borderId="0" xfId="2" applyFont="1" applyAlignment="1">
      <alignment horizontal="center" vertical="center"/>
    </xf>
    <xf numFmtId="0" fontId="19" fillId="0" borderId="0" xfId="2"/>
    <xf numFmtId="0" fontId="20" fillId="0" borderId="0" xfId="2" applyFont="1" applyAlignment="1">
      <alignment vertical="top" wrapText="1"/>
    </xf>
    <xf numFmtId="0" fontId="20" fillId="0" borderId="0" xfId="2" applyFont="1"/>
    <xf numFmtId="0" fontId="22" fillId="0" borderId="0" xfId="2" applyFont="1" applyAlignment="1">
      <alignment horizontal="center" vertical="top"/>
    </xf>
    <xf numFmtId="0" fontId="23" fillId="0" borderId="0" xfId="2" applyFont="1" applyAlignment="1">
      <alignment horizontal="center" vertical="top"/>
    </xf>
    <xf numFmtId="0" fontId="20" fillId="0" borderId="14" xfId="2" applyFont="1" applyBorder="1" applyAlignment="1">
      <alignment horizontal="left" vertical="center"/>
    </xf>
    <xf numFmtId="49" fontId="20" fillId="0" borderId="14" xfId="2" applyNumberFormat="1" applyFont="1" applyBorder="1" applyAlignment="1">
      <alignment horizontal="left" vertical="top"/>
    </xf>
    <xf numFmtId="49" fontId="20" fillId="0" borderId="14" xfId="2" applyNumberFormat="1" applyFont="1" applyBorder="1" applyAlignment="1">
      <alignment horizontal="center" vertical="center"/>
    </xf>
    <xf numFmtId="0" fontId="20" fillId="0" borderId="14" xfId="2" applyFont="1" applyBorder="1" applyAlignment="1">
      <alignment horizontal="right" vertical="top"/>
    </xf>
    <xf numFmtId="0" fontId="20" fillId="0" borderId="14" xfId="2" applyFont="1" applyBorder="1" applyAlignment="1">
      <alignment horizontal="center" vertical="top"/>
    </xf>
    <xf numFmtId="0" fontId="20" fillId="0" borderId="0" xfId="2" applyFont="1" applyAlignment="1">
      <alignment vertical="center"/>
    </xf>
    <xf numFmtId="0" fontId="20" fillId="0" borderId="0" xfId="2" applyFont="1" applyAlignment="1">
      <alignment vertical="center" wrapText="1"/>
    </xf>
    <xf numFmtId="0" fontId="24" fillId="0" borderId="16" xfId="2" applyFont="1" applyBorder="1" applyAlignment="1">
      <alignment horizontal="center" vertical="top" wrapText="1"/>
    </xf>
    <xf numFmtId="0" fontId="24" fillId="0" borderId="0" xfId="2" applyFont="1" applyAlignment="1">
      <alignment horizontal="center" vertical="top" wrapText="1"/>
    </xf>
    <xf numFmtId="0" fontId="24" fillId="0" borderId="0" xfId="2" applyFont="1" applyAlignment="1">
      <alignment horizontal="center" vertical="center" wrapText="1"/>
    </xf>
    <xf numFmtId="0" fontId="24" fillId="0" borderId="0" xfId="2" applyFont="1" applyAlignment="1">
      <alignment horizontal="right" vertical="center" wrapText="1"/>
    </xf>
    <xf numFmtId="0" fontId="24" fillId="0" borderId="15" xfId="2" applyFont="1" applyBorder="1" applyAlignment="1">
      <alignment horizontal="center" vertical="center" wrapText="1"/>
    </xf>
    <xf numFmtId="49" fontId="25" fillId="0" borderId="15" xfId="2" applyNumberFormat="1" applyFont="1" applyBorder="1" applyAlignment="1">
      <alignment horizontal="center" vertical="center" wrapText="1"/>
    </xf>
    <xf numFmtId="0" fontId="25" fillId="0" borderId="16" xfId="2" applyFont="1" applyBorder="1" applyAlignment="1">
      <alignment horizontal="right" vertical="top" wrapText="1"/>
    </xf>
    <xf numFmtId="0" fontId="25" fillId="0" borderId="0" xfId="2" applyFont="1" applyAlignment="1">
      <alignment horizontal="right" vertical="top" wrapText="1"/>
    </xf>
    <xf numFmtId="0" fontId="25" fillId="0" borderId="0" xfId="2" applyFont="1" applyAlignment="1">
      <alignment horizontal="center" vertical="top" wrapText="1"/>
    </xf>
    <xf numFmtId="0" fontId="25" fillId="0" borderId="0" xfId="2" applyFont="1" applyAlignment="1">
      <alignment horizontal="right" vertical="center" wrapText="1"/>
    </xf>
    <xf numFmtId="49" fontId="25" fillId="0" borderId="15" xfId="2" applyNumberFormat="1" applyFont="1" applyBorder="1" applyAlignment="1">
      <alignment horizontal="center" vertical="top" wrapText="1"/>
    </xf>
    <xf numFmtId="49" fontId="25" fillId="0" borderId="15" xfId="2" applyNumberFormat="1" applyFont="1" applyBorder="1" applyAlignment="1">
      <alignment horizontal="left" vertical="top" wrapText="1"/>
    </xf>
    <xf numFmtId="0" fontId="25" fillId="0" borderId="15" xfId="2" applyFont="1" applyBorder="1" applyAlignment="1">
      <alignment horizontal="center" vertical="top" wrapText="1"/>
    </xf>
    <xf numFmtId="4" fontId="25" fillId="0" borderId="15" xfId="2" applyNumberFormat="1" applyFont="1" applyBorder="1" applyAlignment="1">
      <alignment horizontal="right" vertical="top" wrapText="1"/>
    </xf>
    <xf numFmtId="4" fontId="25" fillId="0" borderId="15" xfId="2" applyNumberFormat="1" applyFont="1" applyBorder="1" applyAlignment="1">
      <alignment horizontal="right" vertical="top"/>
    </xf>
    <xf numFmtId="4" fontId="28" fillId="0" borderId="15" xfId="2" applyNumberFormat="1" applyFont="1" applyBorder="1" applyAlignment="1">
      <alignment horizontal="right" vertical="top"/>
    </xf>
    <xf numFmtId="0" fontId="20" fillId="0" borderId="17" xfId="2" applyFont="1" applyBorder="1" applyAlignment="1">
      <alignment horizontal="right" vertical="top" wrapText="1"/>
    </xf>
    <xf numFmtId="0" fontId="20" fillId="0" borderId="0" xfId="2" applyFont="1" applyAlignment="1">
      <alignment horizontal="center" vertical="justify"/>
    </xf>
    <xf numFmtId="49" fontId="20" fillId="0" borderId="0" xfId="2" applyNumberFormat="1" applyFont="1" applyAlignment="1">
      <alignment horizontal="center" vertical="justify"/>
    </xf>
    <xf numFmtId="0" fontId="25" fillId="0" borderId="0" xfId="2" applyFont="1" applyAlignment="1">
      <alignment vertical="top"/>
    </xf>
    <xf numFmtId="0" fontId="25" fillId="0" borderId="0" xfId="2" applyFont="1"/>
    <xf numFmtId="0" fontId="25" fillId="0" borderId="0" xfId="2" applyFont="1" applyAlignment="1">
      <alignment vertical="top" wrapText="1"/>
    </xf>
    <xf numFmtId="0" fontId="25" fillId="0" borderId="0" xfId="2" applyFont="1" applyAlignment="1">
      <alignment vertical="center" wrapText="1"/>
    </xf>
    <xf numFmtId="0" fontId="25" fillId="0" borderId="0" xfId="2" applyFont="1" applyAlignment="1">
      <alignment horizontal="center" vertical="center" wrapText="1"/>
    </xf>
    <xf numFmtId="0" fontId="25" fillId="0" borderId="0" xfId="2" applyFont="1" applyAlignment="1">
      <alignment horizontal="center" vertical="center"/>
    </xf>
    <xf numFmtId="0" fontId="12" fillId="0" borderId="0" xfId="0" applyFont="1" applyFill="1" applyAlignment="1">
      <alignment horizontal="center" vertical="center" wrapText="1"/>
    </xf>
    <xf numFmtId="0" fontId="29" fillId="0" borderId="0" xfId="0" applyFont="1" applyFill="1" applyAlignment="1">
      <alignment horizontal="center" vertical="center" wrapText="1"/>
    </xf>
    <xf numFmtId="0" fontId="29" fillId="0" borderId="0" xfId="0" applyFont="1" applyFill="1" applyAlignment="1">
      <alignment vertical="center"/>
    </xf>
    <xf numFmtId="0" fontId="30" fillId="0" borderId="0" xfId="0" applyFont="1" applyFill="1" applyAlignment="1">
      <alignment vertical="center"/>
    </xf>
    <xf numFmtId="0" fontId="31" fillId="0" borderId="0" xfId="0" applyFont="1" applyFill="1" applyAlignment="1">
      <alignment vertical="center"/>
    </xf>
    <xf numFmtId="0" fontId="29" fillId="0" borderId="0" xfId="0" applyFont="1" applyAlignment="1">
      <alignment vertical="center"/>
    </xf>
    <xf numFmtId="49" fontId="13" fillId="6" borderId="4" xfId="0" applyNumberFormat="1" applyFont="1" applyFill="1" applyBorder="1" applyAlignment="1" applyProtection="1">
      <alignment horizontal="center" vertical="center"/>
    </xf>
    <xf numFmtId="49" fontId="13" fillId="6" borderId="4" xfId="0" applyNumberFormat="1" applyFont="1" applyFill="1" applyBorder="1" applyAlignment="1" applyProtection="1">
      <alignment horizontal="left" vertical="center"/>
    </xf>
    <xf numFmtId="49" fontId="13" fillId="6" borderId="4" xfId="0" applyNumberFormat="1" applyFont="1" applyFill="1" applyBorder="1" applyAlignment="1" applyProtection="1">
      <alignment vertical="center" wrapText="1"/>
    </xf>
    <xf numFmtId="0" fontId="13" fillId="6" borderId="4" xfId="0" applyNumberFormat="1" applyFont="1" applyFill="1" applyBorder="1" applyAlignment="1" applyProtection="1">
      <alignment horizontal="center" vertical="center"/>
    </xf>
    <xf numFmtId="4" fontId="13" fillId="6" borderId="4" xfId="0" applyNumberFormat="1" applyFont="1" applyFill="1" applyBorder="1" applyAlignment="1" applyProtection="1">
      <alignment horizontal="right" vertical="center"/>
    </xf>
    <xf numFmtId="0" fontId="0" fillId="7" borderId="0" xfId="0" applyFill="1" applyAlignment="1">
      <alignment horizontal="center" vertical="center" wrapText="1"/>
    </xf>
    <xf numFmtId="0" fontId="0" fillId="7" borderId="0" xfId="0" applyFill="1" applyAlignment="1">
      <alignment vertical="center"/>
    </xf>
    <xf numFmtId="0" fontId="14" fillId="7" borderId="0" xfId="0" applyFont="1" applyFill="1" applyAlignment="1">
      <alignment vertical="center"/>
    </xf>
    <xf numFmtId="0" fontId="11" fillId="7" borderId="0" xfId="0" applyFont="1" applyFill="1" applyAlignment="1">
      <alignment vertical="center"/>
    </xf>
    <xf numFmtId="0" fontId="20" fillId="0" borderId="1" xfId="2" applyFont="1" applyBorder="1" applyAlignment="1">
      <alignment vertical="top" wrapText="1"/>
    </xf>
    <xf numFmtId="0" fontId="24" fillId="0" borderId="15" xfId="2" applyFont="1" applyBorder="1" applyAlignment="1">
      <alignment horizontal="center" vertical="center" wrapText="1"/>
    </xf>
    <xf numFmtId="49" fontId="24" fillId="0" borderId="15" xfId="2" applyNumberFormat="1" applyFont="1" applyBorder="1" applyAlignment="1">
      <alignment horizontal="center" vertical="center" wrapText="1"/>
    </xf>
    <xf numFmtId="0" fontId="26" fillId="0" borderId="15" xfId="2" applyFont="1" applyBorder="1" applyAlignment="1">
      <alignment horizontal="left" vertical="top" wrapText="1"/>
    </xf>
    <xf numFmtId="0" fontId="20" fillId="0" borderId="15" xfId="2" applyFont="1" applyBorder="1" applyAlignment="1">
      <alignment horizontal="right" vertical="top" wrapText="1"/>
    </xf>
    <xf numFmtId="0" fontId="28" fillId="0" borderId="15" xfId="2" applyFont="1" applyBorder="1" applyAlignment="1">
      <alignment horizontal="right" vertical="top" wrapText="1"/>
    </xf>
    <xf numFmtId="0" fontId="27" fillId="0" borderId="15" xfId="2" applyFont="1" applyBorder="1" applyAlignment="1">
      <alignment horizontal="left" vertical="top" wrapText="1"/>
    </xf>
    <xf numFmtId="0" fontId="25" fillId="0" borderId="15" xfId="2" applyFont="1" applyBorder="1" applyAlignment="1">
      <alignment horizontal="righ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49" fontId="4" fillId="0" borderId="1" xfId="0" applyNumberFormat="1" applyFont="1" applyFill="1" applyBorder="1" applyAlignment="1" applyProtection="1">
      <alignment vertical="top" wrapText="1"/>
    </xf>
    <xf numFmtId="49" fontId="4" fillId="0" borderId="1" xfId="0" applyNumberFormat="1" applyFont="1" applyFill="1" applyBorder="1" applyAlignment="1" applyProtection="1">
      <alignment horizontal="right" vertical="top" wrapText="1"/>
    </xf>
    <xf numFmtId="0" fontId="5" fillId="0" borderId="3" xfId="0" applyNumberFormat="1" applyFont="1" applyFill="1" applyBorder="1" applyAlignment="1" applyProtection="1">
      <alignment horizontal="center" vertical="top"/>
    </xf>
    <xf numFmtId="49" fontId="1" fillId="0" borderId="0" xfId="0" applyNumberFormat="1" applyFont="1" applyFill="1" applyBorder="1" applyAlignment="1" applyProtection="1">
      <alignment vertical="top" wrapText="1"/>
    </xf>
    <xf numFmtId="49" fontId="2" fillId="0" borderId="0" xfId="0" applyNumberFormat="1" applyFont="1" applyFill="1" applyBorder="1" applyAlignment="1" applyProtection="1">
      <alignment vertical="top" wrapText="1"/>
    </xf>
    <xf numFmtId="49" fontId="2" fillId="0" borderId="3" xfId="0" applyNumberFormat="1" applyFont="1" applyFill="1" applyBorder="1" applyAlignment="1" applyProtection="1">
      <alignment horizontal="left" vertical="top" wrapText="1"/>
    </xf>
    <xf numFmtId="49" fontId="2" fillId="0" borderId="5" xfId="0" applyNumberFormat="1" applyFont="1" applyFill="1" applyBorder="1" applyAlignment="1" applyProtection="1">
      <alignment horizontal="left" vertical="center" wrapText="1"/>
    </xf>
    <xf numFmtId="49" fontId="2" fillId="0" borderId="2" xfId="0" applyNumberFormat="1" applyFont="1" applyFill="1" applyBorder="1" applyAlignment="1" applyProtection="1">
      <alignment horizontal="left" vertical="center" wrapText="1"/>
    </xf>
    <xf numFmtId="49" fontId="2" fillId="0" borderId="6" xfId="0" applyNumberFormat="1" applyFont="1" applyFill="1" applyBorder="1" applyAlignment="1" applyProtection="1">
      <alignment horizontal="left" vertical="center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horizontal="left" vertical="top" wrapText="1"/>
    </xf>
    <xf numFmtId="49" fontId="1" fillId="0" borderId="10" xfId="0" applyNumberFormat="1" applyFont="1" applyFill="1" applyBorder="1" applyAlignment="1" applyProtection="1">
      <alignment horizontal="left" vertical="top" wrapText="1"/>
    </xf>
    <xf numFmtId="0" fontId="1" fillId="0" borderId="10" xfId="0" applyNumberFormat="1" applyFont="1" applyFill="1" applyBorder="1" applyAlignment="1" applyProtection="1">
      <alignment horizontal="left" vertical="top" wrapText="1"/>
    </xf>
    <xf numFmtId="49" fontId="8" fillId="0" borderId="5" xfId="0" applyNumberFormat="1" applyFont="1" applyFill="1" applyBorder="1" applyAlignment="1" applyProtection="1">
      <alignment horizontal="left" vertical="center" wrapText="1"/>
    </xf>
    <xf numFmtId="49" fontId="8" fillId="0" borderId="2" xfId="0" applyNumberFormat="1" applyFont="1" applyFill="1" applyBorder="1" applyAlignment="1" applyProtection="1">
      <alignment horizontal="left" vertical="center" wrapText="1"/>
    </xf>
    <xf numFmtId="49" fontId="8" fillId="0" borderId="6" xfId="0" applyNumberFormat="1" applyFont="1" applyFill="1" applyBorder="1" applyAlignment="1" applyProtection="1">
      <alignment horizontal="left" vertical="center" wrapText="1"/>
    </xf>
    <xf numFmtId="49" fontId="5" fillId="0" borderId="3" xfId="0" applyNumberFormat="1" applyFont="1" applyFill="1" applyBorder="1" applyAlignment="1" applyProtection="1">
      <alignment horizontal="center"/>
    </xf>
    <xf numFmtId="49" fontId="4" fillId="0" borderId="1" xfId="0" applyNumberFormat="1" applyFont="1" applyFill="1" applyBorder="1" applyAlignment="1" applyProtection="1">
      <alignment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4" fontId="4" fillId="0" borderId="2" xfId="0" applyNumberFormat="1" applyFont="1" applyFill="1" applyBorder="1" applyAlignment="1" applyProtection="1">
      <alignment horizontal="right"/>
    </xf>
    <xf numFmtId="0" fontId="4" fillId="0" borderId="2" xfId="0" applyNumberFormat="1" applyFont="1" applyFill="1" applyBorder="1" applyAlignment="1" applyProtection="1">
      <alignment horizontal="center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10" fillId="0" borderId="0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>
      <alignment horizontal="center" wrapText="1"/>
    </xf>
    <xf numFmtId="49" fontId="5" fillId="0" borderId="3" xfId="0" applyNumberFormat="1" applyFont="1" applyFill="1" applyBorder="1" applyAlignment="1" applyProtection="1">
      <alignment horizontal="center" vertical="top"/>
    </xf>
    <xf numFmtId="49" fontId="6" fillId="0" borderId="0" xfId="0" applyNumberFormat="1" applyFont="1" applyFill="1" applyBorder="1" applyAlignment="1" applyProtection="1">
      <alignment horizontal="center"/>
    </xf>
    <xf numFmtId="49" fontId="4" fillId="0" borderId="1" xfId="0" applyNumberFormat="1" applyFont="1" applyFill="1" applyBorder="1" applyAlignment="1" applyProtection="1">
      <alignment horizontal="center" wrapText="1"/>
    </xf>
    <xf numFmtId="49" fontId="4" fillId="0" borderId="0" xfId="0" applyNumberFormat="1" applyFont="1" applyFill="1" applyBorder="1" applyAlignment="1" applyProtection="1">
      <alignment horizontal="left" vertical="top" wrapText="1"/>
    </xf>
    <xf numFmtId="0" fontId="4" fillId="0" borderId="2" xfId="0" applyNumberFormat="1" applyFont="1" applyFill="1" applyBorder="1" applyAlignment="1" applyProtection="1">
      <alignment horizontal="left" wrapText="1"/>
    </xf>
    <xf numFmtId="49" fontId="4" fillId="0" borderId="0" xfId="0" applyNumberFormat="1" applyFont="1" applyFill="1" applyBorder="1" applyAlignment="1" applyProtection="1">
      <alignment horizontal="left" vertical="top"/>
    </xf>
    <xf numFmtId="49" fontId="4" fillId="0" borderId="1" xfId="0" applyNumberFormat="1" applyFont="1" applyFill="1" applyBorder="1" applyAlignment="1" applyProtection="1">
      <alignment horizontal="left" wrapText="1"/>
    </xf>
    <xf numFmtId="0" fontId="4" fillId="0" borderId="0" xfId="0" applyNumberFormat="1" applyFont="1" applyFill="1" applyBorder="1" applyAlignment="1" applyProtection="1">
      <alignment horizontal="left" vertical="top" wrapText="1"/>
    </xf>
    <xf numFmtId="0" fontId="1" fillId="0" borderId="4" xfId="0" applyNumberFormat="1" applyFont="1" applyFill="1" applyBorder="1" applyAlignment="1" applyProtection="1">
      <alignment horizontal="center" vertical="center"/>
    </xf>
  </cellXfs>
  <cellStyles count="3">
    <cellStyle name="Обычный" xfId="0" builtinId="0"/>
    <cellStyle name="Обычный 2" xfId="1" xr:uid="{00000000-0005-0000-0000-000001000000}"/>
    <cellStyle name="Обычный 3" xfId="2" xr:uid="{015C278F-6EA3-4990-9500-BD55D36D8ED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26</xdr:col>
      <xdr:colOff>0</xdr:colOff>
      <xdr:row>68</xdr:row>
      <xdr:rowOff>0</xdr:rowOff>
    </xdr:from>
    <xdr:to>
      <xdr:col>64</xdr:col>
      <xdr:colOff>575062</xdr:colOff>
      <xdr:row>108</xdr:row>
      <xdr:rowOff>1064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AAD0CE8F-3B37-4C8F-95B7-7DCA116599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0466393" y="13335000"/>
          <a:ext cx="25530563" cy="762106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41</xdr:col>
      <xdr:colOff>565542</xdr:colOff>
      <xdr:row>54</xdr:row>
      <xdr:rowOff>77646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CF73B520-BC53-4DC2-B646-407A6E2989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5559142" cy="1036464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6921EC-C1A4-4DDC-959B-4F4F41CF0FCB}">
  <sheetPr>
    <tabColor rgb="FF00B050"/>
    <pageSetUpPr fitToPage="1"/>
  </sheetPr>
  <dimension ref="A1:Z258"/>
  <sheetViews>
    <sheetView tabSelected="1" zoomScaleNormal="100" workbookViewId="0">
      <pane ySplit="1" topLeftCell="A12" activePane="bottomLeft" state="frozen"/>
      <selection pane="bottomLeft" activeCell="Y22" sqref="Y22"/>
    </sheetView>
  </sheetViews>
  <sheetFormatPr defaultRowHeight="15" x14ac:dyDescent="0.25"/>
  <cols>
    <col min="1" max="1" width="5.85546875" style="218" customWidth="1"/>
    <col min="2" max="2" width="17.42578125" style="218" customWidth="1"/>
    <col min="3" max="3" width="58.140625" style="235" customWidth="1"/>
    <col min="4" max="4" width="11.140625" style="217" customWidth="1"/>
    <col min="5" max="5" width="11" style="217" customWidth="1"/>
    <col min="6" max="6" width="13.140625" style="234" customWidth="1"/>
    <col min="7" max="7" width="11.140625" style="230" hidden="1" customWidth="1"/>
    <col min="8" max="8" width="10.7109375" style="217" hidden="1" customWidth="1"/>
    <col min="9" max="9" width="10.7109375" style="218" hidden="1" customWidth="1"/>
    <col min="10" max="10" width="9.42578125" style="218" hidden="1" customWidth="1"/>
    <col min="11" max="11" width="10.42578125" style="218" hidden="1" customWidth="1"/>
    <col min="12" max="12" width="10.85546875" style="218" hidden="1" customWidth="1"/>
    <col min="13" max="15" width="9.140625" style="218" hidden="1" customWidth="1"/>
    <col min="16" max="16" width="20.28515625" style="218" hidden="1" customWidth="1"/>
    <col min="17" max="17" width="9.140625" style="218" hidden="1" customWidth="1"/>
    <col min="18" max="18" width="19.7109375" style="218" hidden="1" customWidth="1"/>
    <col min="19" max="19" width="11.140625" style="218" hidden="1" customWidth="1"/>
    <col min="20" max="20" width="2.28515625" style="333" customWidth="1"/>
    <col min="21" max="21" width="11.140625" style="218" customWidth="1"/>
    <col min="22" max="22" width="9.140625" style="323"/>
    <col min="23" max="23" width="11.140625" style="218" customWidth="1"/>
    <col min="24" max="24" width="9.140625" style="218"/>
    <col min="25" max="25" width="21.7109375" style="218" customWidth="1"/>
    <col min="26" max="16384" width="9.140625" style="218"/>
  </cols>
  <sheetData>
    <row r="1" spans="1:25" s="224" customFormat="1" ht="56.25" x14ac:dyDescent="0.25">
      <c r="A1" s="112" t="s">
        <v>42</v>
      </c>
      <c r="B1" s="113" t="s">
        <v>43</v>
      </c>
      <c r="C1" s="113" t="s">
        <v>44</v>
      </c>
      <c r="D1" s="113" t="s">
        <v>45</v>
      </c>
      <c r="E1" s="113" t="s">
        <v>46</v>
      </c>
      <c r="F1" s="137" t="s">
        <v>49</v>
      </c>
      <c r="G1" s="223"/>
      <c r="O1" s="321" t="s">
        <v>550</v>
      </c>
      <c r="Q1" s="321" t="s">
        <v>550</v>
      </c>
      <c r="S1" s="321" t="s">
        <v>588</v>
      </c>
      <c r="T1" s="332"/>
      <c r="U1" s="267" t="s">
        <v>590</v>
      </c>
      <c r="V1" s="322"/>
      <c r="W1" s="267" t="s">
        <v>594</v>
      </c>
      <c r="Y1" s="267" t="s">
        <v>596</v>
      </c>
    </row>
    <row r="2" spans="1:25" x14ac:dyDescent="0.25">
      <c r="A2" s="118" t="s">
        <v>54</v>
      </c>
      <c r="B2" s="118"/>
      <c r="C2" s="240"/>
      <c r="D2" s="120"/>
      <c r="E2" s="120"/>
      <c r="F2" s="140"/>
      <c r="G2" s="219" t="s">
        <v>518</v>
      </c>
      <c r="H2" s="225" t="s">
        <v>519</v>
      </c>
      <c r="I2" s="225" t="s">
        <v>521</v>
      </c>
      <c r="J2" s="225" t="s">
        <v>538</v>
      </c>
      <c r="K2" s="225" t="s">
        <v>539</v>
      </c>
      <c r="L2" s="225" t="s">
        <v>542</v>
      </c>
      <c r="M2" s="225" t="s">
        <v>543</v>
      </c>
      <c r="N2" s="225" t="s">
        <v>544</v>
      </c>
      <c r="O2" s="225" t="s">
        <v>549</v>
      </c>
      <c r="Q2" s="225" t="s">
        <v>554</v>
      </c>
      <c r="S2" s="225">
        <v>13</v>
      </c>
      <c r="U2" s="225" t="s">
        <v>589</v>
      </c>
      <c r="W2" s="225" t="s">
        <v>593</v>
      </c>
      <c r="Y2" s="217" t="s">
        <v>597</v>
      </c>
    </row>
    <row r="3" spans="1:25" ht="22.5" x14ac:dyDescent="0.25">
      <c r="A3" s="123" t="s">
        <v>55</v>
      </c>
      <c r="B3" s="160" t="s">
        <v>56</v>
      </c>
      <c r="C3" s="221" t="s">
        <v>57</v>
      </c>
      <c r="D3" s="123" t="s">
        <v>58</v>
      </c>
      <c r="E3" s="161">
        <v>0.17549999999999999</v>
      </c>
      <c r="F3" s="162">
        <v>18806.66</v>
      </c>
      <c r="G3" s="226">
        <v>0</v>
      </c>
      <c r="H3" s="227">
        <v>0</v>
      </c>
      <c r="I3" s="227">
        <v>0</v>
      </c>
      <c r="J3" s="227">
        <v>0</v>
      </c>
      <c r="K3" s="227">
        <v>0</v>
      </c>
      <c r="L3" s="226">
        <f>SUM(G3:K3)</f>
        <v>0</v>
      </c>
      <c r="M3" s="227">
        <v>0</v>
      </c>
      <c r="N3" s="227">
        <v>0</v>
      </c>
      <c r="O3" s="132">
        <v>0</v>
      </c>
      <c r="Q3" s="132">
        <v>0</v>
      </c>
      <c r="S3" s="132">
        <v>0</v>
      </c>
      <c r="U3" s="132">
        <v>0</v>
      </c>
      <c r="W3" s="132">
        <v>0</v>
      </c>
      <c r="Y3" s="132">
        <f>U3+W3</f>
        <v>0</v>
      </c>
    </row>
    <row r="4" spans="1:25" ht="22.5" x14ac:dyDescent="0.25">
      <c r="A4" s="123" t="s">
        <v>70</v>
      </c>
      <c r="B4" s="160" t="s">
        <v>71</v>
      </c>
      <c r="C4" s="221" t="s">
        <v>72</v>
      </c>
      <c r="D4" s="123" t="s">
        <v>73</v>
      </c>
      <c r="E4" s="161">
        <v>0.78</v>
      </c>
      <c r="F4" s="147">
        <v>207758.2</v>
      </c>
      <c r="G4" s="236">
        <f>37.5/1000</f>
        <v>3.7499999999999999E-2</v>
      </c>
      <c r="H4" s="236">
        <v>0</v>
      </c>
      <c r="I4" s="248">
        <f>37.95/1000</f>
        <v>3.7950000000000005E-2</v>
      </c>
      <c r="J4" s="248">
        <f>(6+2.92)/1000</f>
        <v>8.9199999999999991E-3</v>
      </c>
      <c r="K4" s="248">
        <f>5.25/1000</f>
        <v>5.2500000000000003E-3</v>
      </c>
      <c r="L4" s="212">
        <f t="shared" ref="L4:L26" si="0">SUM(G4:K4)</f>
        <v>8.9620000000000005E-2</v>
      </c>
      <c r="M4" s="248">
        <f>37.5/1000</f>
        <v>3.7499999999999999E-2</v>
      </c>
      <c r="N4" s="248">
        <f>37.5/1000</f>
        <v>3.7499999999999999E-2</v>
      </c>
      <c r="O4" s="248">
        <f>0.0225+0.0125</f>
        <v>3.5000000000000003E-2</v>
      </c>
      <c r="P4" s="229" t="s">
        <v>551</v>
      </c>
      <c r="Q4" s="248">
        <f>34.92/1000</f>
        <v>3.492E-2</v>
      </c>
      <c r="S4" s="132">
        <v>3.7499999999999999E-2</v>
      </c>
      <c r="U4" s="132">
        <f>59.8/2/1000</f>
        <v>2.9899999999999999E-2</v>
      </c>
      <c r="W4" s="132">
        <f>41.96/2/1000</f>
        <v>2.0980000000000002E-2</v>
      </c>
      <c r="Y4" s="132">
        <f t="shared" ref="Y4:Y9" si="1">U4+W4</f>
        <v>5.0880000000000002E-2</v>
      </c>
    </row>
    <row r="5" spans="1:25" ht="22.5" x14ac:dyDescent="0.25">
      <c r="A5" s="123" t="s">
        <v>75</v>
      </c>
      <c r="B5" s="117" t="s">
        <v>82</v>
      </c>
      <c r="C5" s="221" t="s">
        <v>83</v>
      </c>
      <c r="D5" s="123" t="s">
        <v>58</v>
      </c>
      <c r="E5" s="161">
        <v>4.5659999999999998</v>
      </c>
      <c r="F5" s="147">
        <v>90796.58</v>
      </c>
      <c r="G5" s="237">
        <f>29.98/100</f>
        <v>0.29980000000000001</v>
      </c>
      <c r="H5" s="236">
        <f>5.95/100</f>
        <v>5.9500000000000004E-2</v>
      </c>
      <c r="I5" s="236">
        <f>30.44/100</f>
        <v>0.3044</v>
      </c>
      <c r="J5" s="236">
        <f>6.59/100</f>
        <v>6.59E-2</v>
      </c>
      <c r="K5" s="236">
        <f>4.93/100</f>
        <v>4.9299999999999997E-2</v>
      </c>
      <c r="L5" s="238">
        <f t="shared" si="0"/>
        <v>0.77889999999999993</v>
      </c>
      <c r="M5" s="236">
        <f>31.06/100</f>
        <v>0.31059999999999999</v>
      </c>
      <c r="N5" s="236">
        <f>27.73/100</f>
        <v>0.27729999999999999</v>
      </c>
      <c r="O5" s="236">
        <f>(17.25+9.3)/100</f>
        <v>0.26550000000000001</v>
      </c>
      <c r="Q5" s="236">
        <f>30.83/100</f>
        <v>0.30829999999999996</v>
      </c>
      <c r="S5" s="132">
        <f>26.24/100</f>
        <v>0.26239999999999997</v>
      </c>
      <c r="U5" s="132">
        <f>19.95/100</f>
        <v>0.19949999999999998</v>
      </c>
      <c r="W5" s="132">
        <f>14.9/100</f>
        <v>0.14899999999999999</v>
      </c>
      <c r="Y5" s="132">
        <f t="shared" si="1"/>
        <v>0.34849999999999998</v>
      </c>
    </row>
    <row r="6" spans="1:25" ht="22.5" x14ac:dyDescent="0.25">
      <c r="A6" s="123" t="s">
        <v>88</v>
      </c>
      <c r="B6" s="160" t="s">
        <v>89</v>
      </c>
      <c r="C6" s="221" t="s">
        <v>90</v>
      </c>
      <c r="D6" s="123" t="s">
        <v>58</v>
      </c>
      <c r="E6" s="161">
        <v>2.08</v>
      </c>
      <c r="F6" s="162">
        <v>38470.42</v>
      </c>
      <c r="G6" s="238">
        <f>14.12/100</f>
        <v>0.14119999999999999</v>
      </c>
      <c r="H6" s="212">
        <f>2.48/100</f>
        <v>2.4799999999999999E-2</v>
      </c>
      <c r="I6" s="238">
        <f>13.06/100</f>
        <v>0.13059999999999999</v>
      </c>
      <c r="J6" s="249">
        <f>3/100</f>
        <v>0.03</v>
      </c>
      <c r="K6" s="238">
        <f>2.08/100</f>
        <v>2.0799999999999999E-2</v>
      </c>
      <c r="L6" s="238">
        <f t="shared" si="0"/>
        <v>0.34739999999999999</v>
      </c>
      <c r="M6" s="212">
        <f>14.55/100</f>
        <v>0.14550000000000002</v>
      </c>
      <c r="N6" s="238">
        <f>13.48/100</f>
        <v>0.1348</v>
      </c>
      <c r="O6" s="238">
        <f>(7.33+4.3)/100</f>
        <v>0.11629999999999999</v>
      </c>
      <c r="Q6" s="238">
        <f>13.33/100</f>
        <v>0.1333</v>
      </c>
      <c r="S6" s="132">
        <f>15.01/100</f>
        <v>0.15010000000000001</v>
      </c>
      <c r="U6" s="132">
        <f>9.37/100</f>
        <v>9.3699999999999992E-2</v>
      </c>
      <c r="W6" s="132">
        <f>7.01/100</f>
        <v>7.0099999999999996E-2</v>
      </c>
      <c r="Y6" s="132">
        <f t="shared" si="1"/>
        <v>0.1638</v>
      </c>
    </row>
    <row r="7" spans="1:25" ht="22.5" x14ac:dyDescent="0.25">
      <c r="A7" s="123" t="s">
        <v>95</v>
      </c>
      <c r="B7" s="160" t="s">
        <v>96</v>
      </c>
      <c r="C7" s="221" t="s">
        <v>97</v>
      </c>
      <c r="D7" s="123" t="s">
        <v>58</v>
      </c>
      <c r="E7" s="161">
        <v>2.08</v>
      </c>
      <c r="F7" s="162">
        <v>316235.57</v>
      </c>
      <c r="G7" s="238">
        <f>14.12/100</f>
        <v>0.14119999999999999</v>
      </c>
      <c r="H7" s="238">
        <f>2.48/100</f>
        <v>2.4799999999999999E-2</v>
      </c>
      <c r="I7" s="238">
        <f>I6</f>
        <v>0.13059999999999999</v>
      </c>
      <c r="J7" s="249">
        <f>3/100</f>
        <v>0.03</v>
      </c>
      <c r="K7" s="238">
        <f>K6</f>
        <v>2.0799999999999999E-2</v>
      </c>
      <c r="L7" s="238">
        <f t="shared" si="0"/>
        <v>0.34739999999999999</v>
      </c>
      <c r="M7" s="238">
        <f>M6</f>
        <v>0.14550000000000002</v>
      </c>
      <c r="N7" s="238">
        <f>N6</f>
        <v>0.1348</v>
      </c>
      <c r="O7" s="238">
        <f>O6</f>
        <v>0.11629999999999999</v>
      </c>
      <c r="Q7" s="238">
        <f>Q6</f>
        <v>0.1333</v>
      </c>
      <c r="S7" s="132">
        <f>S6</f>
        <v>0.15010000000000001</v>
      </c>
      <c r="U7" s="132">
        <f>U6</f>
        <v>9.3699999999999992E-2</v>
      </c>
      <c r="W7" s="132">
        <f>W6</f>
        <v>7.0099999999999996E-2</v>
      </c>
      <c r="Y7" s="132">
        <f t="shared" si="1"/>
        <v>0.1638</v>
      </c>
    </row>
    <row r="8" spans="1:25" x14ac:dyDescent="0.25">
      <c r="A8" s="123" t="s">
        <v>103</v>
      </c>
      <c r="B8" s="160" t="s">
        <v>104</v>
      </c>
      <c r="C8" s="221" t="s">
        <v>105</v>
      </c>
      <c r="D8" s="123" t="s">
        <v>106</v>
      </c>
      <c r="E8" s="161">
        <v>262.08</v>
      </c>
      <c r="F8" s="162">
        <v>1628491.9</v>
      </c>
      <c r="G8" s="212">
        <f>1.26*100*G7</f>
        <v>17.7912</v>
      </c>
      <c r="H8" s="212">
        <f>1.26*100*H7</f>
        <v>3.1248</v>
      </c>
      <c r="I8" s="212">
        <f>1.26*100*I7</f>
        <v>16.4556</v>
      </c>
      <c r="J8" s="212">
        <f>1.26*100*J7</f>
        <v>3.78</v>
      </c>
      <c r="K8" s="212">
        <f>1.26*100*K7</f>
        <v>2.6208</v>
      </c>
      <c r="L8" s="212">
        <f t="shared" si="0"/>
        <v>43.772400000000005</v>
      </c>
      <c r="M8" s="212">
        <f>1.26*100*M7</f>
        <v>18.333000000000002</v>
      </c>
      <c r="N8" s="212">
        <f>1.26*100*N7</f>
        <v>16.9848</v>
      </c>
      <c r="O8" s="212">
        <f>1.26*100*O7</f>
        <v>14.653799999999999</v>
      </c>
      <c r="Q8" s="212">
        <f>1.26*100*Q7</f>
        <v>16.7958</v>
      </c>
      <c r="S8" s="212">
        <f>1.26*100*S7</f>
        <v>18.912600000000001</v>
      </c>
      <c r="U8" s="212">
        <f>1.26*100*U7</f>
        <v>11.806199999999999</v>
      </c>
      <c r="W8" s="212">
        <f>1.26*100*W7</f>
        <v>8.8325999999999993</v>
      </c>
      <c r="Y8" s="132">
        <f t="shared" si="1"/>
        <v>20.638799999999996</v>
      </c>
    </row>
    <row r="9" spans="1:25" ht="22.5" x14ac:dyDescent="0.25">
      <c r="A9" s="123" t="s">
        <v>109</v>
      </c>
      <c r="B9" s="160" t="s">
        <v>110</v>
      </c>
      <c r="C9" s="221" t="s">
        <v>111</v>
      </c>
      <c r="D9" s="123" t="s">
        <v>73</v>
      </c>
      <c r="E9" s="161">
        <v>0.4647</v>
      </c>
      <c r="F9" s="162">
        <v>7513342.6799999997</v>
      </c>
      <c r="G9" s="238">
        <f>37.5/1000</f>
        <v>3.7499999999999999E-2</v>
      </c>
      <c r="H9" s="238">
        <f>6.4/1000</f>
        <v>6.4000000000000003E-3</v>
      </c>
      <c r="I9" s="250">
        <f>37.95/1000</f>
        <v>3.7950000000000005E-2</v>
      </c>
      <c r="J9" s="250">
        <f>8.92/1000</f>
        <v>8.9199999999999991E-3</v>
      </c>
      <c r="K9" s="250">
        <f>5.25/1000</f>
        <v>5.2500000000000003E-3</v>
      </c>
      <c r="L9" s="238">
        <f t="shared" si="0"/>
        <v>9.6020000000000008E-2</v>
      </c>
      <c r="M9" s="238">
        <f>37.5/1000</f>
        <v>3.7499999999999999E-2</v>
      </c>
      <c r="N9" s="238">
        <f>37.5/1000</f>
        <v>3.7499999999999999E-2</v>
      </c>
      <c r="O9" s="238">
        <f>(22.5+12.5)/1000</f>
        <v>3.5000000000000003E-2</v>
      </c>
      <c r="Q9" s="238">
        <f>34.92/1000</f>
        <v>3.492E-2</v>
      </c>
      <c r="S9" s="132">
        <v>3.7499999999999999E-2</v>
      </c>
      <c r="U9" s="132">
        <f>U4</f>
        <v>2.9899999999999999E-2</v>
      </c>
      <c r="W9" s="132">
        <f>W4</f>
        <v>2.0980000000000002E-2</v>
      </c>
      <c r="Y9" s="132">
        <f t="shared" si="1"/>
        <v>5.0880000000000002E-2</v>
      </c>
    </row>
    <row r="10" spans="1:25" s="229" customFormat="1" ht="22.5" x14ac:dyDescent="0.25">
      <c r="A10" s="166" t="s">
        <v>112</v>
      </c>
      <c r="B10" s="167" t="s">
        <v>113</v>
      </c>
      <c r="C10" s="222" t="s">
        <v>114</v>
      </c>
      <c r="D10" s="166" t="s">
        <v>115</v>
      </c>
      <c r="E10" s="169">
        <v>-855</v>
      </c>
      <c r="F10" s="170">
        <v>-1527842.25</v>
      </c>
      <c r="G10" s="228" t="s">
        <v>540</v>
      </c>
      <c r="H10" s="228" t="s">
        <v>540</v>
      </c>
      <c r="I10" s="228" t="s">
        <v>540</v>
      </c>
      <c r="J10" s="228" t="s">
        <v>540</v>
      </c>
      <c r="K10" s="228" t="s">
        <v>540</v>
      </c>
      <c r="L10" s="228" t="s">
        <v>540</v>
      </c>
      <c r="M10" s="228" t="s">
        <v>540</v>
      </c>
      <c r="N10" s="228" t="s">
        <v>540</v>
      </c>
      <c r="O10" s="228" t="s">
        <v>540</v>
      </c>
      <c r="Q10" s="228" t="s">
        <v>540</v>
      </c>
      <c r="S10" s="228" t="s">
        <v>540</v>
      </c>
      <c r="T10" s="333"/>
      <c r="U10" s="228" t="s">
        <v>540</v>
      </c>
      <c r="V10" s="323"/>
      <c r="W10" s="228" t="s">
        <v>540</v>
      </c>
      <c r="Y10" s="228" t="s">
        <v>540</v>
      </c>
    </row>
    <row r="11" spans="1:25" s="229" customFormat="1" x14ac:dyDescent="0.25">
      <c r="A11" s="166" t="s">
        <v>116</v>
      </c>
      <c r="B11" s="167" t="s">
        <v>117</v>
      </c>
      <c r="C11" s="222" t="s">
        <v>118</v>
      </c>
      <c r="D11" s="166" t="s">
        <v>115</v>
      </c>
      <c r="E11" s="169">
        <v>-1710</v>
      </c>
      <c r="F11" s="170">
        <v>-708444.45</v>
      </c>
      <c r="G11" s="228" t="s">
        <v>540</v>
      </c>
      <c r="H11" s="228" t="s">
        <v>540</v>
      </c>
      <c r="I11" s="228" t="s">
        <v>540</v>
      </c>
      <c r="J11" s="228" t="s">
        <v>540</v>
      </c>
      <c r="K11" s="228" t="s">
        <v>540</v>
      </c>
      <c r="L11" s="228" t="s">
        <v>540</v>
      </c>
      <c r="M11" s="228" t="s">
        <v>540</v>
      </c>
      <c r="N11" s="228" t="s">
        <v>540</v>
      </c>
      <c r="O11" s="228" t="s">
        <v>540</v>
      </c>
      <c r="Q11" s="228" t="s">
        <v>540</v>
      </c>
      <c r="S11" s="228" t="s">
        <v>540</v>
      </c>
      <c r="T11" s="333"/>
      <c r="U11" s="228" t="s">
        <v>540</v>
      </c>
      <c r="V11" s="323"/>
      <c r="W11" s="228" t="s">
        <v>540</v>
      </c>
      <c r="Y11" s="228" t="s">
        <v>540</v>
      </c>
    </row>
    <row r="12" spans="1:25" ht="22.5" x14ac:dyDescent="0.25">
      <c r="A12" s="123" t="s">
        <v>119</v>
      </c>
      <c r="B12" s="160" t="s">
        <v>120</v>
      </c>
      <c r="C12" s="221" t="s">
        <v>121</v>
      </c>
      <c r="D12" s="123" t="s">
        <v>115</v>
      </c>
      <c r="E12" s="161">
        <v>855</v>
      </c>
      <c r="F12" s="162">
        <v>11682341.33</v>
      </c>
      <c r="G12" s="143">
        <v>69</v>
      </c>
      <c r="H12" s="132">
        <v>12</v>
      </c>
      <c r="I12" s="132">
        <v>61</v>
      </c>
      <c r="J12" s="132">
        <v>8</v>
      </c>
      <c r="K12" s="132">
        <v>11</v>
      </c>
      <c r="L12" s="213">
        <f t="shared" si="0"/>
        <v>161</v>
      </c>
      <c r="M12" s="132">
        <v>69</v>
      </c>
      <c r="N12" s="132">
        <v>69</v>
      </c>
      <c r="O12" s="132">
        <f>32+23</f>
        <v>55</v>
      </c>
      <c r="Q12" s="132">
        <v>64</v>
      </c>
      <c r="S12" s="132">
        <v>68</v>
      </c>
      <c r="U12" s="132">
        <v>41</v>
      </c>
      <c r="W12" s="132">
        <v>26</v>
      </c>
      <c r="Y12" s="132">
        <f t="shared" ref="Y12" si="2">U12+W12</f>
        <v>67</v>
      </c>
    </row>
    <row r="13" spans="1:25" s="229" customFormat="1" ht="22.5" x14ac:dyDescent="0.25">
      <c r="A13" s="166" t="s">
        <v>124</v>
      </c>
      <c r="B13" s="167" t="s">
        <v>125</v>
      </c>
      <c r="C13" s="222" t="s">
        <v>126</v>
      </c>
      <c r="D13" s="166" t="s">
        <v>127</v>
      </c>
      <c r="E13" s="169">
        <v>-0.307</v>
      </c>
      <c r="F13" s="170">
        <v>-30401.62</v>
      </c>
      <c r="G13" s="228" t="s">
        <v>540</v>
      </c>
      <c r="H13" s="228" t="s">
        <v>540</v>
      </c>
      <c r="I13" s="228" t="s">
        <v>540</v>
      </c>
      <c r="J13" s="228" t="s">
        <v>540</v>
      </c>
      <c r="K13" s="228" t="s">
        <v>540</v>
      </c>
      <c r="L13" s="228" t="s">
        <v>540</v>
      </c>
      <c r="M13" s="228" t="s">
        <v>540</v>
      </c>
      <c r="N13" s="228" t="s">
        <v>540</v>
      </c>
      <c r="O13" s="228" t="s">
        <v>540</v>
      </c>
      <c r="Q13" s="228" t="s">
        <v>540</v>
      </c>
      <c r="S13" s="228" t="s">
        <v>540</v>
      </c>
      <c r="T13" s="333"/>
      <c r="U13" s="228" t="s">
        <v>540</v>
      </c>
      <c r="V13" s="323"/>
      <c r="W13" s="228" t="s">
        <v>540</v>
      </c>
      <c r="Y13" s="228" t="s">
        <v>540</v>
      </c>
    </row>
    <row r="14" spans="1:25" x14ac:dyDescent="0.25">
      <c r="A14" s="123" t="s">
        <v>128</v>
      </c>
      <c r="B14" s="160" t="s">
        <v>120</v>
      </c>
      <c r="C14" s="221" t="s">
        <v>129</v>
      </c>
      <c r="D14" s="123" t="s">
        <v>130</v>
      </c>
      <c r="E14" s="161">
        <v>0.307</v>
      </c>
      <c r="F14" s="162">
        <v>84801.18</v>
      </c>
      <c r="G14" s="239">
        <v>5.1999999999999998E-2</v>
      </c>
      <c r="H14" s="239">
        <v>1.2999999999999999E-2</v>
      </c>
      <c r="I14" s="239">
        <v>0.05</v>
      </c>
      <c r="J14" s="239">
        <v>1.2999999999999999E-2</v>
      </c>
      <c r="K14" s="239">
        <v>1.4E-2</v>
      </c>
      <c r="L14" s="239">
        <f t="shared" si="0"/>
        <v>0.14200000000000002</v>
      </c>
      <c r="M14" s="239">
        <v>5.7000000000000002E-2</v>
      </c>
      <c r="N14" s="239">
        <v>5.5E-2</v>
      </c>
      <c r="O14" s="239">
        <f>0.023+0.017</f>
        <v>0.04</v>
      </c>
      <c r="Q14" s="239">
        <v>5.1999999999999998E-2</v>
      </c>
      <c r="S14" s="132">
        <f>0.05</f>
        <v>0.05</v>
      </c>
      <c r="U14" s="245">
        <v>5.1999999999999998E-2</v>
      </c>
      <c r="V14" s="323" t="s">
        <v>592</v>
      </c>
      <c r="W14" s="245">
        <v>6.8000000000000005E-2</v>
      </c>
      <c r="X14" s="323" t="s">
        <v>595</v>
      </c>
      <c r="Y14" s="245">
        <v>0</v>
      </c>
    </row>
    <row r="15" spans="1:25" s="229" customFormat="1" x14ac:dyDescent="0.25">
      <c r="A15" s="166" t="s">
        <v>132</v>
      </c>
      <c r="B15" s="167" t="s">
        <v>133</v>
      </c>
      <c r="C15" s="222" t="s">
        <v>134</v>
      </c>
      <c r="D15" s="166" t="s">
        <v>115</v>
      </c>
      <c r="E15" s="169">
        <v>-149</v>
      </c>
      <c r="F15" s="170">
        <v>-205672.15</v>
      </c>
      <c r="G15" s="228" t="s">
        <v>540</v>
      </c>
      <c r="H15" s="228" t="s">
        <v>540</v>
      </c>
      <c r="I15" s="228" t="s">
        <v>540</v>
      </c>
      <c r="J15" s="228" t="s">
        <v>540</v>
      </c>
      <c r="K15" s="228" t="s">
        <v>540</v>
      </c>
      <c r="L15" s="228" t="s">
        <v>540</v>
      </c>
      <c r="M15" s="228" t="s">
        <v>540</v>
      </c>
      <c r="N15" s="228" t="s">
        <v>540</v>
      </c>
      <c r="O15" s="228" t="s">
        <v>540</v>
      </c>
      <c r="Q15" s="228" t="s">
        <v>540</v>
      </c>
      <c r="S15" s="228" t="s">
        <v>540</v>
      </c>
      <c r="T15" s="333"/>
      <c r="U15" s="228" t="s">
        <v>540</v>
      </c>
      <c r="V15" s="323"/>
      <c r="W15" s="228" t="s">
        <v>540</v>
      </c>
      <c r="Y15" s="228" t="s">
        <v>540</v>
      </c>
    </row>
    <row r="16" spans="1:25" x14ac:dyDescent="0.25">
      <c r="A16" s="123" t="s">
        <v>135</v>
      </c>
      <c r="B16" s="160" t="s">
        <v>120</v>
      </c>
      <c r="C16" s="221" t="s">
        <v>136</v>
      </c>
      <c r="D16" s="123" t="s">
        <v>130</v>
      </c>
      <c r="E16" s="161">
        <v>3.18</v>
      </c>
      <c r="F16" s="162">
        <v>1185471.18</v>
      </c>
      <c r="G16" s="239">
        <v>0.36</v>
      </c>
      <c r="H16" s="239">
        <v>0.12</v>
      </c>
      <c r="I16" s="239">
        <v>0.24</v>
      </c>
      <c r="J16" s="239">
        <v>0.12</v>
      </c>
      <c r="K16" s="239">
        <v>0.12</v>
      </c>
      <c r="L16" s="239">
        <f t="shared" si="0"/>
        <v>0.96</v>
      </c>
      <c r="M16" s="239">
        <v>0.24</v>
      </c>
      <c r="N16" s="239">
        <v>0.24</v>
      </c>
      <c r="O16" s="239">
        <f>0.24+0.18</f>
        <v>0.42</v>
      </c>
      <c r="Q16" s="239">
        <v>0.36</v>
      </c>
      <c r="S16" s="132">
        <v>0.24</v>
      </c>
      <c r="U16" s="132">
        <v>0.36</v>
      </c>
      <c r="W16" s="186">
        <v>0</v>
      </c>
      <c r="Y16" s="132">
        <f t="shared" ref="Y16" si="3">U16+W16</f>
        <v>0.36</v>
      </c>
    </row>
    <row r="17" spans="1:25" s="229" customFormat="1" x14ac:dyDescent="0.25">
      <c r="A17" s="166" t="s">
        <v>138</v>
      </c>
      <c r="B17" s="167" t="s">
        <v>139</v>
      </c>
      <c r="C17" s="222" t="s">
        <v>140</v>
      </c>
      <c r="D17" s="166" t="s">
        <v>141</v>
      </c>
      <c r="E17" s="169">
        <v>-929.4</v>
      </c>
      <c r="F17" s="170">
        <v>-3100850.16</v>
      </c>
      <c r="G17" s="228" t="s">
        <v>540</v>
      </c>
      <c r="H17" s="228" t="s">
        <v>540</v>
      </c>
      <c r="I17" s="228" t="s">
        <v>540</v>
      </c>
      <c r="J17" s="228" t="s">
        <v>540</v>
      </c>
      <c r="K17" s="228" t="s">
        <v>540</v>
      </c>
      <c r="L17" s="228" t="s">
        <v>540</v>
      </c>
      <c r="M17" s="228" t="s">
        <v>540</v>
      </c>
      <c r="N17" s="228" t="s">
        <v>540</v>
      </c>
      <c r="O17" s="228" t="s">
        <v>540</v>
      </c>
      <c r="Q17" s="228" t="s">
        <v>540</v>
      </c>
      <c r="S17" s="228" t="s">
        <v>540</v>
      </c>
      <c r="T17" s="333"/>
      <c r="U17" s="228" t="s">
        <v>540</v>
      </c>
      <c r="V17" s="323"/>
      <c r="W17" s="228" t="s">
        <v>540</v>
      </c>
      <c r="Y17" s="228" t="s">
        <v>540</v>
      </c>
    </row>
    <row r="18" spans="1:25" x14ac:dyDescent="0.25">
      <c r="A18" s="123" t="s">
        <v>142</v>
      </c>
      <c r="B18" s="160" t="s">
        <v>120</v>
      </c>
      <c r="C18" s="221" t="s">
        <v>143</v>
      </c>
      <c r="D18" s="123" t="s">
        <v>130</v>
      </c>
      <c r="E18" s="161">
        <v>60.75</v>
      </c>
      <c r="F18" s="162">
        <v>10553895.23</v>
      </c>
      <c r="G18" s="239">
        <f>64.88*37.5*2/1000</f>
        <v>4.8659999999999997</v>
      </c>
      <c r="H18" s="239">
        <f>64.88*6.4*2/1000</f>
        <v>0.83046399999999998</v>
      </c>
      <c r="I18" s="239">
        <f>64.88*37.95*2/1000</f>
        <v>4.9243920000000001</v>
      </c>
      <c r="J18" s="239">
        <f>64.88*8.92*2/1000</f>
        <v>1.1574591999999999</v>
      </c>
      <c r="K18" s="239">
        <f>64.88*5.25*2/1000</f>
        <v>0.68123999999999996</v>
      </c>
      <c r="L18" s="239">
        <f t="shared" si="0"/>
        <v>12.4595552</v>
      </c>
      <c r="M18" s="239">
        <f>64.88*75/1000</f>
        <v>4.8659999999999997</v>
      </c>
      <c r="N18" s="239">
        <f>64.88*75/1000</f>
        <v>4.8659999999999997</v>
      </c>
      <c r="O18" s="239">
        <f>2.92+1.62</f>
        <v>4.54</v>
      </c>
      <c r="P18" s="229"/>
      <c r="Q18" s="239">
        <v>4.53</v>
      </c>
      <c r="S18" s="132">
        <f>64.88*75/1000</f>
        <v>4.8659999999999997</v>
      </c>
      <c r="U18" s="132">
        <v>3.88</v>
      </c>
      <c r="W18" s="132">
        <v>2.72</v>
      </c>
      <c r="Y18" s="132">
        <f t="shared" ref="Y18:Y19" si="4">U18+W18</f>
        <v>6.6</v>
      </c>
    </row>
    <row r="19" spans="1:25" x14ac:dyDescent="0.25">
      <c r="A19" s="123" t="s">
        <v>145</v>
      </c>
      <c r="B19" s="160" t="s">
        <v>120</v>
      </c>
      <c r="C19" s="221" t="s">
        <v>146</v>
      </c>
      <c r="D19" s="123" t="s">
        <v>147</v>
      </c>
      <c r="E19" s="161">
        <v>16</v>
      </c>
      <c r="F19" s="162">
        <v>262341.27</v>
      </c>
      <c r="G19" s="208">
        <v>2</v>
      </c>
      <c r="H19" s="208">
        <v>0</v>
      </c>
      <c r="I19" s="208">
        <v>4</v>
      </c>
      <c r="J19" s="208">
        <v>0</v>
      </c>
      <c r="K19" s="208">
        <v>0</v>
      </c>
      <c r="L19" s="213">
        <f t="shared" si="0"/>
        <v>6</v>
      </c>
      <c r="M19" s="208">
        <v>4</v>
      </c>
      <c r="N19" s="208">
        <v>4</v>
      </c>
      <c r="O19" s="208">
        <v>2</v>
      </c>
      <c r="P19" s="229" t="s">
        <v>553</v>
      </c>
      <c r="Q19" s="268">
        <v>0</v>
      </c>
      <c r="R19" s="229" t="s">
        <v>555</v>
      </c>
      <c r="S19" s="268">
        <v>0</v>
      </c>
      <c r="U19" s="268">
        <v>0</v>
      </c>
      <c r="V19" s="323" t="s">
        <v>591</v>
      </c>
      <c r="W19" s="208">
        <v>0</v>
      </c>
      <c r="Y19" s="132">
        <f t="shared" si="4"/>
        <v>0</v>
      </c>
    </row>
    <row r="20" spans="1:25" ht="22.5" x14ac:dyDescent="0.25">
      <c r="A20" s="252" t="s">
        <v>149</v>
      </c>
      <c r="B20" s="253" t="s">
        <v>150</v>
      </c>
      <c r="C20" s="254" t="s">
        <v>151</v>
      </c>
      <c r="D20" s="252" t="s">
        <v>152</v>
      </c>
      <c r="E20" s="242">
        <v>6.84</v>
      </c>
      <c r="F20" s="255">
        <v>2675.92</v>
      </c>
      <c r="G20" s="244">
        <f>0.18*2</f>
        <v>0.36</v>
      </c>
      <c r="H20" s="245">
        <f>E20/38*6</f>
        <v>1.08</v>
      </c>
      <c r="I20" s="245">
        <f>E20/38*4</f>
        <v>0.72</v>
      </c>
      <c r="J20" s="245">
        <f>E20/38*7</f>
        <v>1.26</v>
      </c>
      <c r="K20" s="244">
        <f>E20/38*6</f>
        <v>1.08</v>
      </c>
      <c r="L20" s="244">
        <f t="shared" si="0"/>
        <v>4.5</v>
      </c>
      <c r="M20" s="245">
        <f>E20/38*3</f>
        <v>0.54</v>
      </c>
      <c r="N20" s="245">
        <f>E20/38*3</f>
        <v>0.54</v>
      </c>
      <c r="O20" s="245">
        <f>E20/38*8*0</f>
        <v>0</v>
      </c>
      <c r="P20" s="229" t="s">
        <v>552</v>
      </c>
      <c r="Q20" s="245">
        <f>G20/38*8*0</f>
        <v>0</v>
      </c>
      <c r="S20" s="245">
        <f>I20/38*8*0</f>
        <v>0</v>
      </c>
      <c r="U20" s="245">
        <f>K20/38*8*0</f>
        <v>0</v>
      </c>
      <c r="W20" s="245">
        <f>M20/38*8*0</f>
        <v>0</v>
      </c>
      <c r="Y20" s="245">
        <f>O20/38*8*0</f>
        <v>0</v>
      </c>
    </row>
    <row r="21" spans="1:25" ht="22.5" x14ac:dyDescent="0.25">
      <c r="A21" s="123" t="s">
        <v>157</v>
      </c>
      <c r="B21" s="160" t="s">
        <v>158</v>
      </c>
      <c r="C21" s="221" t="s">
        <v>159</v>
      </c>
      <c r="D21" s="123" t="s">
        <v>160</v>
      </c>
      <c r="E21" s="161">
        <v>0.2051</v>
      </c>
      <c r="F21" s="162">
        <v>534393.89</v>
      </c>
      <c r="G21" s="214">
        <f>15.35/1000</f>
        <v>1.5349999999999999E-2</v>
      </c>
      <c r="H21" s="132">
        <f>2.71/1000</f>
        <v>2.7100000000000002E-3</v>
      </c>
      <c r="I21" s="132">
        <f>14.62/1000</f>
        <v>1.4619999999999999E-2</v>
      </c>
      <c r="J21" s="250">
        <f>4.24/1000</f>
        <v>4.2399999999999998E-3</v>
      </c>
      <c r="K21" s="132">
        <f>2.14/1000</f>
        <v>2.14E-3</v>
      </c>
      <c r="L21" s="214">
        <f t="shared" si="0"/>
        <v>3.9060000000000004E-2</v>
      </c>
      <c r="M21" s="250">
        <f>16.13/1000</f>
        <v>1.6129999999999999E-2</v>
      </c>
      <c r="N21" s="250">
        <f>14.21/1000</f>
        <v>1.421E-2</v>
      </c>
      <c r="O21" s="250">
        <f>(8.53+4.39)/1000</f>
        <v>1.2919999999999997E-2</v>
      </c>
      <c r="Q21" s="250">
        <f>14.66/1000</f>
        <v>1.4659999999999999E-2</v>
      </c>
      <c r="S21" s="132">
        <f>17.11/1000</f>
        <v>1.711E-2</v>
      </c>
      <c r="U21" s="132">
        <f>10.9/1000</f>
        <v>1.09E-2</v>
      </c>
      <c r="W21" s="132">
        <f>8.83/100</f>
        <v>8.8300000000000003E-2</v>
      </c>
      <c r="Y21" s="132">
        <f>U21+W21</f>
        <v>9.920000000000001E-2</v>
      </c>
    </row>
    <row r="22" spans="1:25" x14ac:dyDescent="0.25">
      <c r="A22" s="117" t="s">
        <v>161</v>
      </c>
      <c r="B22" s="117"/>
      <c r="C22" s="221"/>
      <c r="D22" s="123"/>
      <c r="E22" s="123"/>
      <c r="F22" s="147"/>
      <c r="G22" s="226"/>
      <c r="H22" s="227"/>
      <c r="I22" s="227"/>
      <c r="J22" s="227"/>
      <c r="K22" s="227"/>
      <c r="L22" s="226"/>
      <c r="M22" s="227"/>
      <c r="N22" s="227"/>
      <c r="O22" s="227"/>
      <c r="Q22" s="227"/>
      <c r="S22" s="227"/>
      <c r="U22" s="227"/>
      <c r="W22" s="227"/>
      <c r="Y22" s="227"/>
    </row>
    <row r="23" spans="1:25" ht="33.75" x14ac:dyDescent="0.25">
      <c r="A23" s="123" t="s">
        <v>162</v>
      </c>
      <c r="B23" s="160" t="s">
        <v>163</v>
      </c>
      <c r="C23" s="221" t="s">
        <v>164</v>
      </c>
      <c r="D23" s="123" t="s">
        <v>165</v>
      </c>
      <c r="E23" s="161">
        <v>829.75</v>
      </c>
      <c r="F23" s="162">
        <v>42756.02</v>
      </c>
      <c r="G23" s="143">
        <f>(G3+G5)*1.75*100</f>
        <v>52.465000000000003</v>
      </c>
      <c r="H23" s="143">
        <f>(H3+H5)*1.75*100</f>
        <v>10.412500000000001</v>
      </c>
      <c r="I23" s="143">
        <f>(I3+I5)*1.75*100</f>
        <v>53.269999999999996</v>
      </c>
      <c r="J23" s="207">
        <f>(J3+J5)*1.75*100</f>
        <v>11.532499999999999</v>
      </c>
      <c r="K23" s="207">
        <f>(K3+K5)*1.75*100</f>
        <v>8.6274999999999995</v>
      </c>
      <c r="L23" s="215">
        <f t="shared" si="0"/>
        <v>136.3075</v>
      </c>
      <c r="M23" s="207">
        <f>(M3+M5)*1.75*100</f>
        <v>54.354999999999997</v>
      </c>
      <c r="N23" s="207">
        <f>(N3+N5)*1.75*100</f>
        <v>48.527500000000003</v>
      </c>
      <c r="O23" s="207">
        <f>(O3+O5)*1.75*100</f>
        <v>46.462499999999999</v>
      </c>
      <c r="Q23" s="207">
        <f>(Q3+Q5)*1.75*100</f>
        <v>53.952499999999993</v>
      </c>
      <c r="S23" s="207">
        <f>(S3+S5)*1.75*100</f>
        <v>45.919999999999995</v>
      </c>
      <c r="U23" s="207">
        <f>(U3+U5)*1.75*100</f>
        <v>34.912499999999994</v>
      </c>
      <c r="W23" s="207">
        <f>(W3+W5)*1.75*100</f>
        <v>26.074999999999999</v>
      </c>
      <c r="Y23" s="249">
        <f t="shared" ref="Y21:Y23" si="5">U23+W23</f>
        <v>60.987499999999997</v>
      </c>
    </row>
    <row r="24" spans="1:25" ht="33.75" x14ac:dyDescent="0.25">
      <c r="A24" s="252" t="s">
        <v>166</v>
      </c>
      <c r="B24" s="253" t="s">
        <v>167</v>
      </c>
      <c r="C24" s="254" t="s">
        <v>168</v>
      </c>
      <c r="D24" s="252" t="s">
        <v>165</v>
      </c>
      <c r="E24" s="242">
        <v>86.37</v>
      </c>
      <c r="F24" s="255">
        <v>11384.09</v>
      </c>
      <c r="G24" s="244">
        <v>3.89</v>
      </c>
      <c r="H24" s="245">
        <v>0</v>
      </c>
      <c r="I24" s="245">
        <v>3.93</v>
      </c>
      <c r="J24" s="246">
        <v>0.93</v>
      </c>
      <c r="K24" s="246">
        <v>0.54</v>
      </c>
      <c r="L24" s="247">
        <f t="shared" si="0"/>
        <v>9.2899999999999991</v>
      </c>
      <c r="M24" s="246">
        <f>4.07+0.03</f>
        <v>4.1000000000000005</v>
      </c>
      <c r="N24" s="246">
        <f>3.89+0.17+0.01</f>
        <v>4.07</v>
      </c>
      <c r="O24" s="246">
        <f>(2.33+0.025+1.58)*0</f>
        <v>0</v>
      </c>
      <c r="P24" s="229" t="s">
        <v>552</v>
      </c>
      <c r="Q24" s="246">
        <f>(2.33+0.025+1.58)*0</f>
        <v>0</v>
      </c>
      <c r="S24" s="246">
        <f>(2.33+0.025+1.58)*0</f>
        <v>0</v>
      </c>
      <c r="U24" s="246">
        <f>(2.33+0.025+1.58)*0</f>
        <v>0</v>
      </c>
      <c r="W24" s="246">
        <f>(2.33+0.025+1.58)*0</f>
        <v>0</v>
      </c>
      <c r="Y24" s="246">
        <f>(2.33+0.025+1.58)*0</f>
        <v>0</v>
      </c>
    </row>
    <row r="25" spans="1:25" ht="22.5" x14ac:dyDescent="0.25">
      <c r="A25" s="252" t="s">
        <v>169</v>
      </c>
      <c r="B25" s="253" t="s">
        <v>170</v>
      </c>
      <c r="C25" s="254" t="s">
        <v>171</v>
      </c>
      <c r="D25" s="252" t="s">
        <v>165</v>
      </c>
      <c r="E25" s="242">
        <v>133.68</v>
      </c>
      <c r="F25" s="255">
        <v>22849.25</v>
      </c>
      <c r="G25" s="256">
        <v>2.8</v>
      </c>
      <c r="H25" s="246">
        <v>0</v>
      </c>
      <c r="I25" s="246">
        <v>2.48</v>
      </c>
      <c r="J25" s="246">
        <v>1.2</v>
      </c>
      <c r="K25" s="246">
        <v>0.56000000000000005</v>
      </c>
      <c r="L25" s="247">
        <f t="shared" si="0"/>
        <v>7.0399999999999991</v>
      </c>
      <c r="M25" s="246">
        <v>4.4800000000000004</v>
      </c>
      <c r="N25" s="246">
        <v>5.04</v>
      </c>
      <c r="O25" s="246">
        <f>(2+0.8)*0</f>
        <v>0</v>
      </c>
      <c r="P25" s="229" t="s">
        <v>552</v>
      </c>
      <c r="Q25" s="246">
        <f>(2+0.8)*0</f>
        <v>0</v>
      </c>
      <c r="S25" s="246">
        <f>(2+0.8)*0</f>
        <v>0</v>
      </c>
      <c r="U25" s="246">
        <f>(2+0.8)*0</f>
        <v>0</v>
      </c>
      <c r="W25" s="246">
        <f>(2+0.8)*0</f>
        <v>0</v>
      </c>
      <c r="Y25" s="246">
        <f>(2+0.8)*0</f>
        <v>0</v>
      </c>
    </row>
    <row r="26" spans="1:25" ht="33.75" x14ac:dyDescent="0.25">
      <c r="A26" s="123" t="s">
        <v>172</v>
      </c>
      <c r="B26" s="160" t="s">
        <v>173</v>
      </c>
      <c r="C26" s="221" t="s">
        <v>174</v>
      </c>
      <c r="D26" s="123" t="s">
        <v>165</v>
      </c>
      <c r="E26" s="161">
        <v>1049.8</v>
      </c>
      <c r="F26" s="162">
        <v>65727.17</v>
      </c>
      <c r="G26" s="215">
        <f>G23</f>
        <v>52.465000000000003</v>
      </c>
      <c r="H26" s="215">
        <f t="shared" ref="H26:K26" si="6">H23</f>
        <v>10.412500000000001</v>
      </c>
      <c r="I26" s="215">
        <f t="shared" si="6"/>
        <v>53.269999999999996</v>
      </c>
      <c r="J26" s="215">
        <f t="shared" si="6"/>
        <v>11.532499999999999</v>
      </c>
      <c r="K26" s="215">
        <f t="shared" si="6"/>
        <v>8.6274999999999995</v>
      </c>
      <c r="L26" s="215">
        <f t="shared" si="0"/>
        <v>136.3075</v>
      </c>
      <c r="M26" s="215">
        <f t="shared" ref="M26:U26" si="7">M23</f>
        <v>54.354999999999997</v>
      </c>
      <c r="N26" s="215">
        <f t="shared" si="7"/>
        <v>48.527500000000003</v>
      </c>
      <c r="O26" s="215">
        <f t="shared" si="7"/>
        <v>46.462499999999999</v>
      </c>
      <c r="Q26" s="215">
        <f t="shared" si="7"/>
        <v>53.952499999999993</v>
      </c>
      <c r="S26" s="215">
        <f t="shared" si="7"/>
        <v>45.919999999999995</v>
      </c>
      <c r="U26" s="215">
        <f t="shared" si="7"/>
        <v>34.912499999999994</v>
      </c>
      <c r="W26" s="215">
        <f t="shared" ref="W26" si="8">W23</f>
        <v>26.074999999999999</v>
      </c>
      <c r="Y26" s="239">
        <f t="shared" ref="Y26" si="9">U26+W26</f>
        <v>60.987499999999997</v>
      </c>
    </row>
    <row r="27" spans="1:25" hidden="1" x14ac:dyDescent="0.25">
      <c r="A27" s="114" t="s">
        <v>206</v>
      </c>
      <c r="B27" s="114"/>
      <c r="C27" s="220"/>
      <c r="D27" s="120"/>
      <c r="E27" s="120"/>
      <c r="F27" s="140"/>
    </row>
    <row r="28" spans="1:25" ht="22.5" hidden="1" x14ac:dyDescent="0.25">
      <c r="A28" s="123" t="s">
        <v>207</v>
      </c>
      <c r="B28" s="160" t="s">
        <v>208</v>
      </c>
      <c r="C28" s="221" t="s">
        <v>209</v>
      </c>
      <c r="D28" s="123" t="s">
        <v>210</v>
      </c>
      <c r="E28" s="161">
        <v>1</v>
      </c>
      <c r="F28" s="162">
        <v>44914.41</v>
      </c>
    </row>
    <row r="29" spans="1:25" ht="22.5" hidden="1" x14ac:dyDescent="0.25">
      <c r="A29" s="123" t="s">
        <v>211</v>
      </c>
      <c r="B29" s="160" t="s">
        <v>167</v>
      </c>
      <c r="C29" s="221" t="s">
        <v>212</v>
      </c>
      <c r="D29" s="123" t="s">
        <v>165</v>
      </c>
      <c r="E29" s="161">
        <v>8.6199999999999992</v>
      </c>
      <c r="F29" s="162">
        <v>1136.1500000000001</v>
      </c>
    </row>
    <row r="30" spans="1:25" ht="22.5" hidden="1" x14ac:dyDescent="0.25">
      <c r="A30" s="123" t="s">
        <v>213</v>
      </c>
      <c r="B30" s="160" t="s">
        <v>170</v>
      </c>
      <c r="C30" s="221" t="s">
        <v>214</v>
      </c>
      <c r="D30" s="123" t="s">
        <v>165</v>
      </c>
      <c r="E30" s="161">
        <v>5.04</v>
      </c>
      <c r="F30" s="162">
        <v>861.54</v>
      </c>
    </row>
    <row r="31" spans="1:25" ht="33.75" hidden="1" x14ac:dyDescent="0.25">
      <c r="A31" s="123" t="s">
        <v>215</v>
      </c>
      <c r="B31" s="160" t="s">
        <v>173</v>
      </c>
      <c r="C31" s="221" t="s">
        <v>174</v>
      </c>
      <c r="D31" s="123" t="s">
        <v>165</v>
      </c>
      <c r="E31" s="161">
        <v>13.66</v>
      </c>
      <c r="F31" s="162">
        <v>855.28</v>
      </c>
    </row>
    <row r="32" spans="1:25" hidden="1" x14ac:dyDescent="0.25">
      <c r="A32" s="114" t="s">
        <v>220</v>
      </c>
      <c r="B32" s="114"/>
      <c r="C32" s="220"/>
      <c r="D32" s="120"/>
      <c r="E32" s="120"/>
      <c r="F32" s="140"/>
    </row>
    <row r="33" spans="1:8" ht="22.5" hidden="1" x14ac:dyDescent="0.25">
      <c r="A33" s="123" t="s">
        <v>221</v>
      </c>
      <c r="B33" s="160" t="s">
        <v>208</v>
      </c>
      <c r="C33" s="221" t="s">
        <v>209</v>
      </c>
      <c r="D33" s="123" t="s">
        <v>210</v>
      </c>
      <c r="E33" s="161">
        <v>1</v>
      </c>
      <c r="F33" s="162">
        <v>44914.41</v>
      </c>
    </row>
    <row r="34" spans="1:8" ht="22.5" hidden="1" x14ac:dyDescent="0.25">
      <c r="A34" s="123" t="s">
        <v>222</v>
      </c>
      <c r="B34" s="160" t="s">
        <v>167</v>
      </c>
      <c r="C34" s="221" t="s">
        <v>212</v>
      </c>
      <c r="D34" s="123" t="s">
        <v>165</v>
      </c>
      <c r="E34" s="161">
        <v>8.6199999999999992</v>
      </c>
      <c r="F34" s="162">
        <v>1136.1500000000001</v>
      </c>
    </row>
    <row r="35" spans="1:8" ht="22.5" hidden="1" x14ac:dyDescent="0.25">
      <c r="A35" s="123" t="s">
        <v>223</v>
      </c>
      <c r="B35" s="160" t="s">
        <v>170</v>
      </c>
      <c r="C35" s="221" t="s">
        <v>214</v>
      </c>
      <c r="D35" s="123" t="s">
        <v>165</v>
      </c>
      <c r="E35" s="161">
        <v>5.04</v>
      </c>
      <c r="F35" s="162">
        <v>861.54</v>
      </c>
    </row>
    <row r="36" spans="1:8" ht="33.75" hidden="1" x14ac:dyDescent="0.25">
      <c r="A36" s="123" t="s">
        <v>224</v>
      </c>
      <c r="B36" s="160" t="s">
        <v>173</v>
      </c>
      <c r="C36" s="221" t="s">
        <v>174</v>
      </c>
      <c r="D36" s="123" t="s">
        <v>165</v>
      </c>
      <c r="E36" s="161">
        <v>13.66</v>
      </c>
      <c r="F36" s="162">
        <v>855.28</v>
      </c>
    </row>
    <row r="37" spans="1:8" hidden="1" x14ac:dyDescent="0.25">
      <c r="A37" s="114" t="s">
        <v>227</v>
      </c>
      <c r="B37" s="114"/>
      <c r="C37" s="220"/>
      <c r="D37" s="120"/>
      <c r="E37" s="120"/>
      <c r="F37" s="140"/>
    </row>
    <row r="38" spans="1:8" ht="22.5" hidden="1" x14ac:dyDescent="0.25">
      <c r="A38" s="123" t="s">
        <v>228</v>
      </c>
      <c r="B38" s="160" t="s">
        <v>208</v>
      </c>
      <c r="C38" s="221" t="s">
        <v>209</v>
      </c>
      <c r="D38" s="123" t="s">
        <v>210</v>
      </c>
      <c r="E38" s="161">
        <v>1</v>
      </c>
      <c r="F38" s="162">
        <v>44914.41</v>
      </c>
    </row>
    <row r="39" spans="1:8" ht="22.5" hidden="1" x14ac:dyDescent="0.25">
      <c r="A39" s="123" t="s">
        <v>229</v>
      </c>
      <c r="B39" s="160" t="s">
        <v>167</v>
      </c>
      <c r="C39" s="221" t="s">
        <v>212</v>
      </c>
      <c r="D39" s="123" t="s">
        <v>165</v>
      </c>
      <c r="E39" s="161">
        <v>11.71</v>
      </c>
      <c r="F39" s="162">
        <v>1543.51</v>
      </c>
    </row>
    <row r="40" spans="1:8" ht="22.5" hidden="1" x14ac:dyDescent="0.25">
      <c r="A40" s="123" t="s">
        <v>230</v>
      </c>
      <c r="B40" s="160" t="s">
        <v>170</v>
      </c>
      <c r="C40" s="221" t="s">
        <v>214</v>
      </c>
      <c r="D40" s="123" t="s">
        <v>165</v>
      </c>
      <c r="E40" s="161">
        <v>5.04</v>
      </c>
      <c r="F40" s="162">
        <v>861.54</v>
      </c>
    </row>
    <row r="41" spans="1:8" ht="33.75" hidden="1" x14ac:dyDescent="0.25">
      <c r="A41" s="123" t="s">
        <v>231</v>
      </c>
      <c r="B41" s="160" t="s">
        <v>173</v>
      </c>
      <c r="C41" s="221" t="s">
        <v>174</v>
      </c>
      <c r="D41" s="123" t="s">
        <v>165</v>
      </c>
      <c r="E41" s="161">
        <v>16.75</v>
      </c>
      <c r="F41" s="162">
        <v>1048.79</v>
      </c>
    </row>
    <row r="42" spans="1:8" hidden="1" x14ac:dyDescent="0.25">
      <c r="A42" s="118" t="s">
        <v>234</v>
      </c>
      <c r="B42" s="118"/>
      <c r="C42" s="240"/>
      <c r="D42" s="120"/>
      <c r="E42" s="120"/>
      <c r="F42" s="140"/>
      <c r="G42" s="219" t="s">
        <v>541</v>
      </c>
      <c r="H42" s="218"/>
    </row>
    <row r="43" spans="1:8" ht="22.5" hidden="1" x14ac:dyDescent="0.25">
      <c r="A43" s="123" t="s">
        <v>235</v>
      </c>
      <c r="B43" s="160" t="s">
        <v>208</v>
      </c>
      <c r="C43" s="241" t="s">
        <v>209</v>
      </c>
      <c r="D43" s="123" t="s">
        <v>210</v>
      </c>
      <c r="E43" s="161">
        <v>1</v>
      </c>
      <c r="F43" s="162">
        <v>44914.41</v>
      </c>
      <c r="G43" s="213">
        <v>1</v>
      </c>
      <c r="H43" s="218"/>
    </row>
    <row r="44" spans="1:8" ht="22.5" hidden="1" x14ac:dyDescent="0.25">
      <c r="A44" s="123" t="s">
        <v>236</v>
      </c>
      <c r="B44" s="160" t="s">
        <v>82</v>
      </c>
      <c r="C44" s="221" t="s">
        <v>83</v>
      </c>
      <c r="D44" s="123" t="s">
        <v>58</v>
      </c>
      <c r="E44" s="161">
        <v>0.34</v>
      </c>
      <c r="F44" s="162">
        <v>6761.04</v>
      </c>
      <c r="G44" s="215">
        <f>20.1/100</f>
        <v>0.20100000000000001</v>
      </c>
      <c r="H44" s="218"/>
    </row>
    <row r="45" spans="1:8" ht="22.5" hidden="1" x14ac:dyDescent="0.25">
      <c r="A45" s="123" t="s">
        <v>237</v>
      </c>
      <c r="B45" s="160" t="s">
        <v>89</v>
      </c>
      <c r="C45" s="221" t="s">
        <v>90</v>
      </c>
      <c r="D45" s="123" t="s">
        <v>58</v>
      </c>
      <c r="E45" s="161">
        <v>0.15540000000000001</v>
      </c>
      <c r="F45" s="162">
        <v>2874.51</v>
      </c>
      <c r="G45" s="212">
        <f>10.09/100</f>
        <v>0.1009</v>
      </c>
      <c r="H45" s="218"/>
    </row>
    <row r="46" spans="1:8" ht="22.5" hidden="1" x14ac:dyDescent="0.25">
      <c r="A46" s="123" t="s">
        <v>238</v>
      </c>
      <c r="B46" s="160" t="s">
        <v>96</v>
      </c>
      <c r="C46" s="221" t="s">
        <v>97</v>
      </c>
      <c r="D46" s="123" t="s">
        <v>58</v>
      </c>
      <c r="E46" s="161">
        <v>0.155</v>
      </c>
      <c r="F46" s="162">
        <v>23565.74</v>
      </c>
      <c r="G46" s="212">
        <f>G45</f>
        <v>0.1009</v>
      </c>
      <c r="H46" s="218"/>
    </row>
    <row r="47" spans="1:8" hidden="1" x14ac:dyDescent="0.25">
      <c r="A47" s="123" t="s">
        <v>239</v>
      </c>
      <c r="B47" s="160" t="s">
        <v>104</v>
      </c>
      <c r="C47" s="221" t="s">
        <v>105</v>
      </c>
      <c r="D47" s="123" t="s">
        <v>106</v>
      </c>
      <c r="E47" s="161">
        <v>19.53</v>
      </c>
      <c r="F47" s="162">
        <v>121353.95</v>
      </c>
      <c r="G47" s="212">
        <f>1.26*100*G46</f>
        <v>12.7134</v>
      </c>
      <c r="H47" s="218"/>
    </row>
    <row r="48" spans="1:8" ht="33.75" hidden="1" x14ac:dyDescent="0.25">
      <c r="A48" s="123" t="s">
        <v>240</v>
      </c>
      <c r="B48" s="160" t="s">
        <v>241</v>
      </c>
      <c r="C48" s="221" t="s">
        <v>242</v>
      </c>
      <c r="D48" s="123" t="s">
        <v>210</v>
      </c>
      <c r="E48" s="161">
        <v>1</v>
      </c>
      <c r="F48" s="162">
        <v>207003.6</v>
      </c>
      <c r="G48" s="164">
        <v>1</v>
      </c>
      <c r="H48" s="218"/>
    </row>
    <row r="49" spans="1:22" hidden="1" x14ac:dyDescent="0.25">
      <c r="A49" s="123" t="s">
        <v>243</v>
      </c>
      <c r="B49" s="160" t="s">
        <v>244</v>
      </c>
      <c r="C49" s="221" t="s">
        <v>245</v>
      </c>
      <c r="D49" s="123" t="s">
        <v>246</v>
      </c>
      <c r="E49" s="161">
        <v>1</v>
      </c>
      <c r="F49" s="162">
        <v>1667776.02</v>
      </c>
      <c r="G49" s="164">
        <v>1</v>
      </c>
      <c r="H49" s="218"/>
    </row>
    <row r="50" spans="1:22" ht="22.5" hidden="1" x14ac:dyDescent="0.25">
      <c r="A50" s="123" t="s">
        <v>248</v>
      </c>
      <c r="B50" s="160" t="s">
        <v>249</v>
      </c>
      <c r="C50" s="221" t="s">
        <v>250</v>
      </c>
      <c r="D50" s="123" t="s">
        <v>246</v>
      </c>
      <c r="E50" s="161">
        <v>1</v>
      </c>
      <c r="F50" s="162">
        <v>3596141.97</v>
      </c>
      <c r="G50" s="164">
        <v>1</v>
      </c>
      <c r="H50" s="218"/>
    </row>
    <row r="51" spans="1:22" ht="33.75" hidden="1" x14ac:dyDescent="0.25">
      <c r="A51" s="123" t="s">
        <v>252</v>
      </c>
      <c r="B51" s="160" t="s">
        <v>253</v>
      </c>
      <c r="C51" s="221" t="s">
        <v>254</v>
      </c>
      <c r="D51" s="123" t="s">
        <v>115</v>
      </c>
      <c r="E51" s="161">
        <v>1</v>
      </c>
      <c r="F51" s="162">
        <v>42192.34</v>
      </c>
      <c r="G51" s="164">
        <v>1</v>
      </c>
      <c r="H51" s="218"/>
    </row>
    <row r="52" spans="1:22" s="231" customFormat="1" hidden="1" x14ac:dyDescent="0.25">
      <c r="A52" s="257" t="s">
        <v>259</v>
      </c>
      <c r="B52" s="258" t="s">
        <v>260</v>
      </c>
      <c r="C52" s="241" t="s">
        <v>261</v>
      </c>
      <c r="D52" s="257" t="s">
        <v>115</v>
      </c>
      <c r="E52" s="259">
        <v>-2</v>
      </c>
      <c r="F52" s="260">
        <v>-5066.7299999999996</v>
      </c>
      <c r="G52" s="261">
        <v>-2</v>
      </c>
      <c r="H52" s="218"/>
      <c r="T52" s="334"/>
      <c r="V52" s="323"/>
    </row>
    <row r="53" spans="1:22" hidden="1" x14ac:dyDescent="0.25">
      <c r="A53" s="123" t="s">
        <v>262</v>
      </c>
      <c r="B53" s="160" t="s">
        <v>263</v>
      </c>
      <c r="C53" s="221" t="s">
        <v>264</v>
      </c>
      <c r="D53" s="123" t="s">
        <v>115</v>
      </c>
      <c r="E53" s="161">
        <v>2</v>
      </c>
      <c r="F53" s="162">
        <v>87727.09</v>
      </c>
      <c r="G53" s="164">
        <v>2</v>
      </c>
      <c r="H53" s="218"/>
    </row>
    <row r="54" spans="1:22" ht="22.5" hidden="1" x14ac:dyDescent="0.25">
      <c r="A54" s="123" t="s">
        <v>266</v>
      </c>
      <c r="B54" s="160" t="s">
        <v>267</v>
      </c>
      <c r="C54" s="221" t="s">
        <v>268</v>
      </c>
      <c r="D54" s="123" t="s">
        <v>115</v>
      </c>
      <c r="E54" s="161">
        <v>1</v>
      </c>
      <c r="F54" s="162">
        <v>156781.35</v>
      </c>
      <c r="G54" s="164">
        <v>1</v>
      </c>
      <c r="H54" s="218"/>
    </row>
    <row r="55" spans="1:22" hidden="1" x14ac:dyDescent="0.25">
      <c r="A55" s="123" t="s">
        <v>270</v>
      </c>
      <c r="B55" s="160" t="s">
        <v>120</v>
      </c>
      <c r="C55" s="221" t="s">
        <v>271</v>
      </c>
      <c r="D55" s="123" t="s">
        <v>115</v>
      </c>
      <c r="E55" s="161">
        <v>1</v>
      </c>
      <c r="F55" s="162">
        <v>4178.1000000000004</v>
      </c>
      <c r="G55" s="164">
        <v>1</v>
      </c>
      <c r="H55" s="218"/>
    </row>
    <row r="56" spans="1:22" ht="22.5" hidden="1" x14ac:dyDescent="0.25">
      <c r="A56" s="252" t="s">
        <v>273</v>
      </c>
      <c r="B56" s="253" t="s">
        <v>274</v>
      </c>
      <c r="C56" s="254" t="s">
        <v>275</v>
      </c>
      <c r="D56" s="252" t="s">
        <v>276</v>
      </c>
      <c r="E56" s="242">
        <v>0.06</v>
      </c>
      <c r="F56" s="255">
        <v>15658.24</v>
      </c>
      <c r="G56" s="242">
        <v>0</v>
      </c>
      <c r="H56" s="218" t="s">
        <v>546</v>
      </c>
    </row>
    <row r="57" spans="1:22" s="231" customFormat="1" hidden="1" x14ac:dyDescent="0.25">
      <c r="A57" s="262" t="s">
        <v>281</v>
      </c>
      <c r="B57" s="263" t="s">
        <v>282</v>
      </c>
      <c r="C57" s="264" t="s">
        <v>283</v>
      </c>
      <c r="D57" s="262" t="s">
        <v>127</v>
      </c>
      <c r="E57" s="243">
        <v>-2.9000000000000001E-2</v>
      </c>
      <c r="F57" s="265">
        <v>-2679.86</v>
      </c>
      <c r="G57" s="243">
        <v>0</v>
      </c>
      <c r="H57" s="218" t="s">
        <v>546</v>
      </c>
      <c r="T57" s="334"/>
      <c r="V57" s="323"/>
    </row>
    <row r="58" spans="1:22" hidden="1" x14ac:dyDescent="0.25">
      <c r="A58" s="252" t="s">
        <v>284</v>
      </c>
      <c r="B58" s="253" t="s">
        <v>120</v>
      </c>
      <c r="C58" s="254" t="s">
        <v>285</v>
      </c>
      <c r="D58" s="252" t="s">
        <v>130</v>
      </c>
      <c r="E58" s="242">
        <v>0.36</v>
      </c>
      <c r="F58" s="255">
        <v>134204.32</v>
      </c>
      <c r="G58" s="243">
        <v>0</v>
      </c>
      <c r="H58" s="218" t="s">
        <v>546</v>
      </c>
    </row>
    <row r="59" spans="1:22" hidden="1" x14ac:dyDescent="0.25">
      <c r="A59" s="252" t="s">
        <v>286</v>
      </c>
      <c r="B59" s="253" t="s">
        <v>120</v>
      </c>
      <c r="C59" s="254" t="s">
        <v>129</v>
      </c>
      <c r="D59" s="252" t="s">
        <v>130</v>
      </c>
      <c r="E59" s="242">
        <v>2.9000000000000001E-2</v>
      </c>
      <c r="F59" s="255">
        <v>8010.5</v>
      </c>
      <c r="G59" s="243">
        <v>0</v>
      </c>
      <c r="H59" s="218" t="s">
        <v>546</v>
      </c>
    </row>
    <row r="60" spans="1:22" ht="22.5" hidden="1" x14ac:dyDescent="0.25">
      <c r="A60" s="123" t="s">
        <v>287</v>
      </c>
      <c r="B60" s="160" t="s">
        <v>288</v>
      </c>
      <c r="C60" s="221" t="s">
        <v>289</v>
      </c>
      <c r="D60" s="123" t="s">
        <v>160</v>
      </c>
      <c r="E60" s="161">
        <v>1.333E-2</v>
      </c>
      <c r="F60" s="162">
        <v>34759.839999999997</v>
      </c>
      <c r="G60" s="214">
        <f>E60</f>
        <v>1.333E-2</v>
      </c>
      <c r="H60" s="218"/>
    </row>
    <row r="61" spans="1:22" hidden="1" x14ac:dyDescent="0.25">
      <c r="A61" s="117" t="s">
        <v>161</v>
      </c>
      <c r="B61" s="117"/>
      <c r="C61" s="221"/>
      <c r="D61" s="123"/>
      <c r="E61" s="123"/>
      <c r="F61" s="147"/>
      <c r="G61" s="226"/>
      <c r="H61" s="218"/>
    </row>
    <row r="62" spans="1:22" ht="33.75" hidden="1" x14ac:dyDescent="0.25">
      <c r="A62" s="123" t="s">
        <v>290</v>
      </c>
      <c r="B62" s="160" t="s">
        <v>163</v>
      </c>
      <c r="C62" s="221" t="s">
        <v>164</v>
      </c>
      <c r="D62" s="123" t="s">
        <v>165</v>
      </c>
      <c r="E62" s="161">
        <v>59.55</v>
      </c>
      <c r="F62" s="162">
        <v>3068.48</v>
      </c>
      <c r="G62" s="143">
        <f>G44*1.75*100</f>
        <v>35.174999999999997</v>
      </c>
      <c r="H62" s="218"/>
    </row>
    <row r="63" spans="1:22" ht="33.75" hidden="1" x14ac:dyDescent="0.25">
      <c r="A63" s="123" t="s">
        <v>291</v>
      </c>
      <c r="B63" s="160" t="s">
        <v>167</v>
      </c>
      <c r="C63" s="221" t="s">
        <v>292</v>
      </c>
      <c r="D63" s="123" t="s">
        <v>165</v>
      </c>
      <c r="E63" s="161">
        <v>9.9</v>
      </c>
      <c r="F63" s="162">
        <v>1304.8699999999999</v>
      </c>
      <c r="G63" s="143">
        <v>8.85</v>
      </c>
      <c r="H63" s="218"/>
    </row>
    <row r="64" spans="1:22" ht="22.5" hidden="1" x14ac:dyDescent="0.25">
      <c r="A64" s="123" t="s">
        <v>293</v>
      </c>
      <c r="B64" s="160" t="s">
        <v>170</v>
      </c>
      <c r="C64" s="221" t="s">
        <v>294</v>
      </c>
      <c r="D64" s="123" t="s">
        <v>165</v>
      </c>
      <c r="E64" s="161">
        <v>5</v>
      </c>
      <c r="F64" s="162">
        <v>854.62</v>
      </c>
      <c r="G64" s="143">
        <f>1.6+3.4</f>
        <v>5</v>
      </c>
      <c r="H64" s="218"/>
    </row>
    <row r="65" spans="1:22" ht="33.75" hidden="1" x14ac:dyDescent="0.25">
      <c r="A65" s="123" t="s">
        <v>295</v>
      </c>
      <c r="B65" s="160" t="s">
        <v>173</v>
      </c>
      <c r="C65" s="221" t="s">
        <v>174</v>
      </c>
      <c r="D65" s="123" t="s">
        <v>165</v>
      </c>
      <c r="E65" s="161">
        <v>74.45</v>
      </c>
      <c r="F65" s="162">
        <v>4661.3</v>
      </c>
      <c r="G65" s="143">
        <f>G62+G63+G64</f>
        <v>49.024999999999999</v>
      </c>
      <c r="H65" s="218"/>
    </row>
    <row r="66" spans="1:22" hidden="1" x14ac:dyDescent="0.25">
      <c r="A66" s="118" t="s">
        <v>307</v>
      </c>
      <c r="B66" s="118"/>
      <c r="C66" s="240"/>
      <c r="D66" s="120"/>
      <c r="E66" s="120"/>
      <c r="F66" s="140"/>
      <c r="G66" s="216" t="s">
        <v>541</v>
      </c>
    </row>
    <row r="67" spans="1:22" ht="22.5" hidden="1" x14ac:dyDescent="0.25">
      <c r="A67" s="123" t="s">
        <v>308</v>
      </c>
      <c r="B67" s="160" t="s">
        <v>208</v>
      </c>
      <c r="C67" s="221" t="s">
        <v>209</v>
      </c>
      <c r="D67" s="123" t="s">
        <v>210</v>
      </c>
      <c r="E67" s="161">
        <v>1</v>
      </c>
      <c r="F67" s="162">
        <v>44914.41</v>
      </c>
      <c r="G67" s="164">
        <v>1</v>
      </c>
    </row>
    <row r="68" spans="1:22" ht="22.5" hidden="1" x14ac:dyDescent="0.25">
      <c r="A68" s="123" t="s">
        <v>309</v>
      </c>
      <c r="B68" s="160" t="s">
        <v>82</v>
      </c>
      <c r="C68" s="221" t="s">
        <v>83</v>
      </c>
      <c r="D68" s="123" t="s">
        <v>58</v>
      </c>
      <c r="E68" s="161">
        <v>0.28999999999999998</v>
      </c>
      <c r="F68" s="162">
        <v>5766.65</v>
      </c>
      <c r="G68" s="212">
        <f>21.71/100</f>
        <v>0.21710000000000002</v>
      </c>
    </row>
    <row r="69" spans="1:22" ht="22.5" hidden="1" x14ac:dyDescent="0.25">
      <c r="A69" s="123" t="s">
        <v>310</v>
      </c>
      <c r="B69" s="160" t="s">
        <v>89</v>
      </c>
      <c r="C69" s="221" t="s">
        <v>90</v>
      </c>
      <c r="D69" s="123" t="s">
        <v>58</v>
      </c>
      <c r="E69" s="161">
        <v>0.1361</v>
      </c>
      <c r="F69" s="162">
        <v>2517.83</v>
      </c>
      <c r="G69" s="212">
        <f>10.4/100</f>
        <v>0.10400000000000001</v>
      </c>
    </row>
    <row r="70" spans="1:22" ht="22.5" hidden="1" x14ac:dyDescent="0.25">
      <c r="A70" s="123" t="s">
        <v>311</v>
      </c>
      <c r="B70" s="160" t="s">
        <v>96</v>
      </c>
      <c r="C70" s="221" t="s">
        <v>97</v>
      </c>
      <c r="D70" s="123" t="s">
        <v>58</v>
      </c>
      <c r="E70" s="161">
        <v>0.13600000000000001</v>
      </c>
      <c r="F70" s="162">
        <v>20676.61</v>
      </c>
      <c r="G70" s="212">
        <f>10.4/100</f>
        <v>0.10400000000000001</v>
      </c>
    </row>
    <row r="71" spans="1:22" hidden="1" x14ac:dyDescent="0.25">
      <c r="A71" s="123" t="s">
        <v>312</v>
      </c>
      <c r="B71" s="160" t="s">
        <v>104</v>
      </c>
      <c r="C71" s="221" t="s">
        <v>105</v>
      </c>
      <c r="D71" s="123" t="s">
        <v>106</v>
      </c>
      <c r="E71" s="161">
        <v>17.14</v>
      </c>
      <c r="F71" s="162">
        <v>106503.17</v>
      </c>
      <c r="G71" s="143">
        <f>1.26*G70*100</f>
        <v>13.104000000000001</v>
      </c>
    </row>
    <row r="72" spans="1:22" ht="33.75" hidden="1" x14ac:dyDescent="0.25">
      <c r="A72" s="123" t="s">
        <v>313</v>
      </c>
      <c r="B72" s="160" t="s">
        <v>241</v>
      </c>
      <c r="C72" s="221" t="s">
        <v>242</v>
      </c>
      <c r="D72" s="123" t="s">
        <v>210</v>
      </c>
      <c r="E72" s="161">
        <v>1</v>
      </c>
      <c r="F72" s="162">
        <v>207003.6</v>
      </c>
      <c r="G72" s="164">
        <v>1</v>
      </c>
    </row>
    <row r="73" spans="1:22" hidden="1" x14ac:dyDescent="0.25">
      <c r="A73" s="123" t="s">
        <v>314</v>
      </c>
      <c r="B73" s="160" t="s">
        <v>244</v>
      </c>
      <c r="C73" s="221" t="s">
        <v>245</v>
      </c>
      <c r="D73" s="123" t="s">
        <v>246</v>
      </c>
      <c r="E73" s="161">
        <v>1</v>
      </c>
      <c r="F73" s="162">
        <v>1667776.02</v>
      </c>
      <c r="G73" s="164">
        <v>1</v>
      </c>
    </row>
    <row r="74" spans="1:22" ht="22.5" hidden="1" x14ac:dyDescent="0.25">
      <c r="A74" s="123" t="s">
        <v>315</v>
      </c>
      <c r="B74" s="160" t="s">
        <v>249</v>
      </c>
      <c r="C74" s="221" t="s">
        <v>250</v>
      </c>
      <c r="D74" s="123" t="s">
        <v>246</v>
      </c>
      <c r="E74" s="161">
        <v>1</v>
      </c>
      <c r="F74" s="162">
        <v>3596141.97</v>
      </c>
      <c r="G74" s="164">
        <v>1</v>
      </c>
    </row>
    <row r="75" spans="1:22" ht="33.75" hidden="1" x14ac:dyDescent="0.25">
      <c r="A75" s="123" t="s">
        <v>316</v>
      </c>
      <c r="B75" s="160" t="s">
        <v>253</v>
      </c>
      <c r="C75" s="221" t="s">
        <v>254</v>
      </c>
      <c r="D75" s="123" t="s">
        <v>115</v>
      </c>
      <c r="E75" s="161">
        <v>1</v>
      </c>
      <c r="F75" s="162">
        <v>42192.34</v>
      </c>
      <c r="G75" s="164">
        <v>1</v>
      </c>
    </row>
    <row r="76" spans="1:22" s="229" customFormat="1" hidden="1" x14ac:dyDescent="0.25">
      <c r="A76" s="257" t="s">
        <v>317</v>
      </c>
      <c r="B76" s="258" t="s">
        <v>260</v>
      </c>
      <c r="C76" s="241" t="s">
        <v>261</v>
      </c>
      <c r="D76" s="257" t="s">
        <v>115</v>
      </c>
      <c r="E76" s="259">
        <v>-2</v>
      </c>
      <c r="F76" s="260">
        <v>-5066.7299999999996</v>
      </c>
      <c r="G76" s="261">
        <v>-2</v>
      </c>
      <c r="H76" s="232"/>
      <c r="T76" s="335"/>
      <c r="V76" s="323"/>
    </row>
    <row r="77" spans="1:22" hidden="1" x14ac:dyDescent="0.25">
      <c r="A77" s="123" t="s">
        <v>318</v>
      </c>
      <c r="B77" s="160" t="s">
        <v>263</v>
      </c>
      <c r="C77" s="221" t="s">
        <v>264</v>
      </c>
      <c r="D77" s="123" t="s">
        <v>115</v>
      </c>
      <c r="E77" s="161">
        <v>2</v>
      </c>
      <c r="F77" s="162">
        <v>87727.09</v>
      </c>
      <c r="G77" s="164">
        <v>2</v>
      </c>
    </row>
    <row r="78" spans="1:22" ht="22.5" hidden="1" x14ac:dyDescent="0.25">
      <c r="A78" s="123" t="s">
        <v>319</v>
      </c>
      <c r="B78" s="160" t="s">
        <v>267</v>
      </c>
      <c r="C78" s="221" t="s">
        <v>268</v>
      </c>
      <c r="D78" s="123" t="s">
        <v>115</v>
      </c>
      <c r="E78" s="161">
        <v>1</v>
      </c>
      <c r="F78" s="162">
        <v>156781.35</v>
      </c>
      <c r="G78" s="164">
        <v>1</v>
      </c>
    </row>
    <row r="79" spans="1:22" hidden="1" x14ac:dyDescent="0.25">
      <c r="A79" s="123" t="s">
        <v>320</v>
      </c>
      <c r="B79" s="160" t="s">
        <v>120</v>
      </c>
      <c r="C79" s="221" t="s">
        <v>271</v>
      </c>
      <c r="D79" s="123" t="s">
        <v>115</v>
      </c>
      <c r="E79" s="161">
        <v>1</v>
      </c>
      <c r="F79" s="162">
        <v>4178.1000000000004</v>
      </c>
      <c r="G79" s="164">
        <v>1</v>
      </c>
    </row>
    <row r="80" spans="1:22" ht="22.5" hidden="1" x14ac:dyDescent="0.25">
      <c r="A80" s="262" t="s">
        <v>321</v>
      </c>
      <c r="B80" s="263" t="s">
        <v>274</v>
      </c>
      <c r="C80" s="264" t="s">
        <v>275</v>
      </c>
      <c r="D80" s="262" t="s">
        <v>276</v>
      </c>
      <c r="E80" s="243">
        <v>0.06</v>
      </c>
      <c r="F80" s="265">
        <v>15658.24</v>
      </c>
      <c r="G80" s="243">
        <v>0</v>
      </c>
      <c r="H80" s="218" t="s">
        <v>546</v>
      </c>
    </row>
    <row r="81" spans="1:22" s="229" customFormat="1" hidden="1" x14ac:dyDescent="0.25">
      <c r="A81" s="262" t="s">
        <v>322</v>
      </c>
      <c r="B81" s="263" t="s">
        <v>282</v>
      </c>
      <c r="C81" s="264" t="s">
        <v>283</v>
      </c>
      <c r="D81" s="262" t="s">
        <v>127</v>
      </c>
      <c r="E81" s="243">
        <v>-2.9000000000000001E-2</v>
      </c>
      <c r="F81" s="265">
        <v>-2679.86</v>
      </c>
      <c r="G81" s="243">
        <v>0</v>
      </c>
      <c r="H81" s="218" t="s">
        <v>546</v>
      </c>
      <c r="T81" s="335"/>
      <c r="V81" s="323"/>
    </row>
    <row r="82" spans="1:22" hidden="1" x14ac:dyDescent="0.25">
      <c r="A82" s="262" t="s">
        <v>323</v>
      </c>
      <c r="B82" s="263" t="s">
        <v>120</v>
      </c>
      <c r="C82" s="264" t="s">
        <v>285</v>
      </c>
      <c r="D82" s="262" t="s">
        <v>130</v>
      </c>
      <c r="E82" s="243">
        <v>0.36</v>
      </c>
      <c r="F82" s="265">
        <v>134204.32</v>
      </c>
      <c r="G82" s="243">
        <v>0</v>
      </c>
      <c r="H82" s="218" t="s">
        <v>546</v>
      </c>
    </row>
    <row r="83" spans="1:22" hidden="1" x14ac:dyDescent="0.25">
      <c r="A83" s="262" t="s">
        <v>324</v>
      </c>
      <c r="B83" s="263" t="s">
        <v>120</v>
      </c>
      <c r="C83" s="264" t="s">
        <v>129</v>
      </c>
      <c r="D83" s="262" t="s">
        <v>130</v>
      </c>
      <c r="E83" s="243">
        <v>2.9000000000000001E-2</v>
      </c>
      <c r="F83" s="265">
        <v>8010.5</v>
      </c>
      <c r="G83" s="243">
        <v>0</v>
      </c>
      <c r="H83" s="218" t="s">
        <v>546</v>
      </c>
    </row>
    <row r="84" spans="1:22" ht="22.5" hidden="1" x14ac:dyDescent="0.25">
      <c r="A84" s="123" t="s">
        <v>325</v>
      </c>
      <c r="B84" s="160" t="s">
        <v>288</v>
      </c>
      <c r="C84" s="221" t="s">
        <v>289</v>
      </c>
      <c r="D84" s="123" t="s">
        <v>160</v>
      </c>
      <c r="E84" s="161">
        <v>1.3299999999999999E-2</v>
      </c>
      <c r="F84" s="162">
        <v>34682.379999999997</v>
      </c>
      <c r="G84" s="212">
        <f>E84</f>
        <v>1.3299999999999999E-2</v>
      </c>
    </row>
    <row r="85" spans="1:22" hidden="1" x14ac:dyDescent="0.25">
      <c r="A85" s="117" t="s">
        <v>161</v>
      </c>
      <c r="B85" s="117"/>
      <c r="C85" s="221"/>
      <c r="D85" s="123"/>
      <c r="E85" s="123"/>
      <c r="F85" s="147"/>
      <c r="G85" s="226"/>
    </row>
    <row r="86" spans="1:22" ht="33.75" hidden="1" x14ac:dyDescent="0.25">
      <c r="A86" s="123" t="s">
        <v>326</v>
      </c>
      <c r="B86" s="160" t="s">
        <v>163</v>
      </c>
      <c r="C86" s="221" t="s">
        <v>164</v>
      </c>
      <c r="D86" s="123" t="s">
        <v>165</v>
      </c>
      <c r="E86" s="161">
        <v>50.7</v>
      </c>
      <c r="F86" s="162">
        <v>2612.5700000000002</v>
      </c>
      <c r="G86" s="143">
        <f>G68*1.75*100</f>
        <v>37.9925</v>
      </c>
    </row>
    <row r="87" spans="1:22" ht="33.75" hidden="1" x14ac:dyDescent="0.25">
      <c r="A87" s="123" t="s">
        <v>327</v>
      </c>
      <c r="B87" s="160" t="s">
        <v>167</v>
      </c>
      <c r="C87" s="221" t="s">
        <v>292</v>
      </c>
      <c r="D87" s="123" t="s">
        <v>165</v>
      </c>
      <c r="E87" s="161">
        <v>9.9</v>
      </c>
      <c r="F87" s="162">
        <v>1304.8699999999999</v>
      </c>
      <c r="G87" s="143">
        <v>8.84</v>
      </c>
    </row>
    <row r="88" spans="1:22" ht="22.5" hidden="1" x14ac:dyDescent="0.25">
      <c r="A88" s="123" t="s">
        <v>328</v>
      </c>
      <c r="B88" s="160" t="s">
        <v>170</v>
      </c>
      <c r="C88" s="221" t="s">
        <v>294</v>
      </c>
      <c r="D88" s="123" t="s">
        <v>165</v>
      </c>
      <c r="E88" s="161">
        <v>5</v>
      </c>
      <c r="F88" s="162">
        <v>854.62</v>
      </c>
      <c r="G88" s="143">
        <f>1.7+3.1</f>
        <v>4.8</v>
      </c>
    </row>
    <row r="89" spans="1:22" ht="33.75" hidden="1" x14ac:dyDescent="0.25">
      <c r="A89" s="123" t="s">
        <v>329</v>
      </c>
      <c r="B89" s="160" t="s">
        <v>173</v>
      </c>
      <c r="C89" s="221" t="s">
        <v>174</v>
      </c>
      <c r="D89" s="123" t="s">
        <v>165</v>
      </c>
      <c r="E89" s="161">
        <v>65.599999999999994</v>
      </c>
      <c r="F89" s="162">
        <v>4107.2299999999996</v>
      </c>
      <c r="G89" s="143">
        <f>G86+G87+G88</f>
        <v>51.632499999999993</v>
      </c>
    </row>
    <row r="90" spans="1:22" hidden="1" x14ac:dyDescent="0.25">
      <c r="A90" s="114" t="s">
        <v>334</v>
      </c>
      <c r="B90" s="114"/>
      <c r="C90" s="220"/>
      <c r="D90" s="120"/>
      <c r="E90" s="120"/>
      <c r="F90" s="140"/>
    </row>
    <row r="91" spans="1:22" ht="22.5" hidden="1" x14ac:dyDescent="0.25">
      <c r="A91" s="123" t="s">
        <v>335</v>
      </c>
      <c r="B91" s="160" t="s">
        <v>208</v>
      </c>
      <c r="C91" s="221" t="s">
        <v>209</v>
      </c>
      <c r="D91" s="123" t="s">
        <v>210</v>
      </c>
      <c r="E91" s="161">
        <v>1</v>
      </c>
      <c r="F91" s="162">
        <v>44914.41</v>
      </c>
    </row>
    <row r="92" spans="1:22" ht="22.5" hidden="1" x14ac:dyDescent="0.25">
      <c r="A92" s="123" t="s">
        <v>336</v>
      </c>
      <c r="B92" s="160" t="s">
        <v>82</v>
      </c>
      <c r="C92" s="221" t="s">
        <v>83</v>
      </c>
      <c r="D92" s="123" t="s">
        <v>58</v>
      </c>
      <c r="E92" s="161">
        <v>0.25800000000000001</v>
      </c>
      <c r="F92" s="162">
        <v>5130.6099999999997</v>
      </c>
    </row>
    <row r="93" spans="1:22" ht="22.5" hidden="1" x14ac:dyDescent="0.25">
      <c r="A93" s="123" t="s">
        <v>337</v>
      </c>
      <c r="B93" s="160" t="s">
        <v>89</v>
      </c>
      <c r="C93" s="221" t="s">
        <v>90</v>
      </c>
      <c r="D93" s="123" t="s">
        <v>58</v>
      </c>
      <c r="E93" s="161">
        <v>0.1237</v>
      </c>
      <c r="F93" s="162">
        <v>2287.64</v>
      </c>
    </row>
    <row r="94" spans="1:22" ht="22.5" hidden="1" x14ac:dyDescent="0.25">
      <c r="A94" s="123" t="s">
        <v>338</v>
      </c>
      <c r="B94" s="160" t="s">
        <v>96</v>
      </c>
      <c r="C94" s="221" t="s">
        <v>97</v>
      </c>
      <c r="D94" s="123" t="s">
        <v>58</v>
      </c>
      <c r="E94" s="161">
        <v>0.124</v>
      </c>
      <c r="F94" s="162">
        <v>18852.34</v>
      </c>
    </row>
    <row r="95" spans="1:22" hidden="1" x14ac:dyDescent="0.25">
      <c r="A95" s="123" t="s">
        <v>339</v>
      </c>
      <c r="B95" s="160" t="s">
        <v>104</v>
      </c>
      <c r="C95" s="221" t="s">
        <v>105</v>
      </c>
      <c r="D95" s="123" t="s">
        <v>106</v>
      </c>
      <c r="E95" s="161">
        <v>15.62</v>
      </c>
      <c r="F95" s="162">
        <v>97058.27</v>
      </c>
    </row>
    <row r="96" spans="1:22" ht="33.75" hidden="1" x14ac:dyDescent="0.25">
      <c r="A96" s="123" t="s">
        <v>340</v>
      </c>
      <c r="B96" s="160" t="s">
        <v>241</v>
      </c>
      <c r="C96" s="221" t="s">
        <v>242</v>
      </c>
      <c r="D96" s="123" t="s">
        <v>210</v>
      </c>
      <c r="E96" s="161">
        <v>1</v>
      </c>
      <c r="F96" s="162">
        <v>207003.6</v>
      </c>
    </row>
    <row r="97" spans="1:22" hidden="1" x14ac:dyDescent="0.25">
      <c r="A97" s="123" t="s">
        <v>341</v>
      </c>
      <c r="B97" s="160" t="s">
        <v>244</v>
      </c>
      <c r="C97" s="221" t="s">
        <v>245</v>
      </c>
      <c r="D97" s="123" t="s">
        <v>246</v>
      </c>
      <c r="E97" s="161">
        <v>1</v>
      </c>
      <c r="F97" s="162">
        <v>1667776.02</v>
      </c>
    </row>
    <row r="98" spans="1:22" ht="22.5" hidden="1" x14ac:dyDescent="0.25">
      <c r="A98" s="123" t="s">
        <v>342</v>
      </c>
      <c r="B98" s="160" t="s">
        <v>249</v>
      </c>
      <c r="C98" s="221" t="s">
        <v>250</v>
      </c>
      <c r="D98" s="123" t="s">
        <v>246</v>
      </c>
      <c r="E98" s="161">
        <v>1</v>
      </c>
      <c r="F98" s="162">
        <v>3596141.97</v>
      </c>
    </row>
    <row r="99" spans="1:22" ht="33.75" hidden="1" x14ac:dyDescent="0.25">
      <c r="A99" s="123" t="s">
        <v>343</v>
      </c>
      <c r="B99" s="160" t="s">
        <v>253</v>
      </c>
      <c r="C99" s="221" t="s">
        <v>254</v>
      </c>
      <c r="D99" s="123" t="s">
        <v>115</v>
      </c>
      <c r="E99" s="161">
        <v>1</v>
      </c>
      <c r="F99" s="162">
        <v>42192.34</v>
      </c>
    </row>
    <row r="100" spans="1:22" s="229" customFormat="1" hidden="1" x14ac:dyDescent="0.25">
      <c r="A100" s="166" t="s">
        <v>344</v>
      </c>
      <c r="B100" s="167" t="s">
        <v>260</v>
      </c>
      <c r="C100" s="222" t="s">
        <v>261</v>
      </c>
      <c r="D100" s="166" t="s">
        <v>115</v>
      </c>
      <c r="E100" s="169">
        <v>-2</v>
      </c>
      <c r="F100" s="170">
        <v>-5066.7299999999996</v>
      </c>
      <c r="G100" s="233"/>
      <c r="H100" s="232"/>
      <c r="T100" s="335"/>
      <c r="V100" s="323"/>
    </row>
    <row r="101" spans="1:22" hidden="1" x14ac:dyDescent="0.25">
      <c r="A101" s="123" t="s">
        <v>345</v>
      </c>
      <c r="B101" s="160" t="s">
        <v>263</v>
      </c>
      <c r="C101" s="221" t="s">
        <v>264</v>
      </c>
      <c r="D101" s="123" t="s">
        <v>115</v>
      </c>
      <c r="E101" s="161">
        <v>2</v>
      </c>
      <c r="F101" s="162">
        <v>87727.09</v>
      </c>
    </row>
    <row r="102" spans="1:22" ht="22.5" hidden="1" x14ac:dyDescent="0.25">
      <c r="A102" s="123" t="s">
        <v>346</v>
      </c>
      <c r="B102" s="160" t="s">
        <v>267</v>
      </c>
      <c r="C102" s="221" t="s">
        <v>268</v>
      </c>
      <c r="D102" s="123" t="s">
        <v>115</v>
      </c>
      <c r="E102" s="161">
        <v>1</v>
      </c>
      <c r="F102" s="162">
        <v>156781.35</v>
      </c>
    </row>
    <row r="103" spans="1:22" hidden="1" x14ac:dyDescent="0.25">
      <c r="A103" s="123" t="s">
        <v>347</v>
      </c>
      <c r="B103" s="160" t="s">
        <v>120</v>
      </c>
      <c r="C103" s="221" t="s">
        <v>271</v>
      </c>
      <c r="D103" s="123" t="s">
        <v>115</v>
      </c>
      <c r="E103" s="161">
        <v>1</v>
      </c>
      <c r="F103" s="162">
        <v>4178.1000000000004</v>
      </c>
    </row>
    <row r="104" spans="1:22" ht="22.5" hidden="1" x14ac:dyDescent="0.25">
      <c r="A104" s="123" t="s">
        <v>348</v>
      </c>
      <c r="B104" s="160" t="s">
        <v>274</v>
      </c>
      <c r="C104" s="221" t="s">
        <v>275</v>
      </c>
      <c r="D104" s="123" t="s">
        <v>276</v>
      </c>
      <c r="E104" s="161">
        <v>0.06</v>
      </c>
      <c r="F104" s="162">
        <v>15658.24</v>
      </c>
    </row>
    <row r="105" spans="1:22" s="229" customFormat="1" hidden="1" x14ac:dyDescent="0.25">
      <c r="A105" s="166" t="s">
        <v>349</v>
      </c>
      <c r="B105" s="167" t="s">
        <v>282</v>
      </c>
      <c r="C105" s="222" t="s">
        <v>283</v>
      </c>
      <c r="D105" s="166" t="s">
        <v>127</v>
      </c>
      <c r="E105" s="169">
        <v>-2.9000000000000001E-2</v>
      </c>
      <c r="F105" s="170">
        <v>-2679.86</v>
      </c>
      <c r="G105" s="233"/>
      <c r="H105" s="232"/>
      <c r="T105" s="335"/>
      <c r="V105" s="323"/>
    </row>
    <row r="106" spans="1:22" hidden="1" x14ac:dyDescent="0.25">
      <c r="A106" s="123" t="s">
        <v>350</v>
      </c>
      <c r="B106" s="160" t="s">
        <v>120</v>
      </c>
      <c r="C106" s="221" t="s">
        <v>285</v>
      </c>
      <c r="D106" s="123" t="s">
        <v>130</v>
      </c>
      <c r="E106" s="161">
        <v>0.36</v>
      </c>
      <c r="F106" s="162">
        <v>134204.32</v>
      </c>
    </row>
    <row r="107" spans="1:22" hidden="1" x14ac:dyDescent="0.25">
      <c r="A107" s="123" t="s">
        <v>351</v>
      </c>
      <c r="B107" s="160" t="s">
        <v>120</v>
      </c>
      <c r="C107" s="221" t="s">
        <v>129</v>
      </c>
      <c r="D107" s="123" t="s">
        <v>130</v>
      </c>
      <c r="E107" s="161">
        <v>2.9000000000000001E-2</v>
      </c>
      <c r="F107" s="162">
        <v>8010.5</v>
      </c>
    </row>
    <row r="108" spans="1:22" ht="22.5" hidden="1" x14ac:dyDescent="0.25">
      <c r="A108" s="123" t="s">
        <v>352</v>
      </c>
      <c r="B108" s="160" t="s">
        <v>288</v>
      </c>
      <c r="C108" s="221" t="s">
        <v>289</v>
      </c>
      <c r="D108" s="123" t="s">
        <v>160</v>
      </c>
      <c r="E108" s="161">
        <v>1.3299999999999999E-2</v>
      </c>
      <c r="F108" s="162">
        <v>34682.379999999997</v>
      </c>
    </row>
    <row r="109" spans="1:22" hidden="1" x14ac:dyDescent="0.25">
      <c r="A109" s="117" t="s">
        <v>161</v>
      </c>
      <c r="B109" s="117"/>
      <c r="C109" s="221"/>
      <c r="D109" s="123"/>
      <c r="E109" s="123"/>
      <c r="F109" s="147"/>
    </row>
    <row r="110" spans="1:22" ht="33.75" hidden="1" x14ac:dyDescent="0.25">
      <c r="A110" s="123" t="s">
        <v>353</v>
      </c>
      <c r="B110" s="160" t="s">
        <v>163</v>
      </c>
      <c r="C110" s="221" t="s">
        <v>164</v>
      </c>
      <c r="D110" s="123" t="s">
        <v>165</v>
      </c>
      <c r="E110" s="161">
        <v>45.2</v>
      </c>
      <c r="F110" s="162">
        <v>2329.16</v>
      </c>
    </row>
    <row r="111" spans="1:22" ht="33.75" hidden="1" x14ac:dyDescent="0.25">
      <c r="A111" s="123" t="s">
        <v>354</v>
      </c>
      <c r="B111" s="160" t="s">
        <v>167</v>
      </c>
      <c r="C111" s="221" t="s">
        <v>292</v>
      </c>
      <c r="D111" s="123" t="s">
        <v>165</v>
      </c>
      <c r="E111" s="161">
        <v>9.9</v>
      </c>
      <c r="F111" s="162">
        <v>1304.8699999999999</v>
      </c>
    </row>
    <row r="112" spans="1:22" ht="22.5" hidden="1" x14ac:dyDescent="0.25">
      <c r="A112" s="123" t="s">
        <v>355</v>
      </c>
      <c r="B112" s="160" t="s">
        <v>170</v>
      </c>
      <c r="C112" s="221" t="s">
        <v>294</v>
      </c>
      <c r="D112" s="123" t="s">
        <v>165</v>
      </c>
      <c r="E112" s="161">
        <v>5</v>
      </c>
      <c r="F112" s="162">
        <v>854.62</v>
      </c>
    </row>
    <row r="113" spans="1:22" ht="33.75" hidden="1" x14ac:dyDescent="0.25">
      <c r="A113" s="123" t="s">
        <v>356</v>
      </c>
      <c r="B113" s="160" t="s">
        <v>173</v>
      </c>
      <c r="C113" s="221" t="s">
        <v>174</v>
      </c>
      <c r="D113" s="123" t="s">
        <v>165</v>
      </c>
      <c r="E113" s="161">
        <v>60.1</v>
      </c>
      <c r="F113" s="162">
        <v>3762.88</v>
      </c>
    </row>
    <row r="114" spans="1:22" hidden="1" x14ac:dyDescent="0.25">
      <c r="A114" s="118" t="s">
        <v>361</v>
      </c>
      <c r="B114" s="118"/>
      <c r="C114" s="240"/>
      <c r="D114" s="120"/>
      <c r="E114" s="120"/>
      <c r="F114" s="140"/>
      <c r="G114" s="216" t="s">
        <v>541</v>
      </c>
    </row>
    <row r="115" spans="1:22" ht="22.5" hidden="1" x14ac:dyDescent="0.25">
      <c r="A115" s="123" t="s">
        <v>362</v>
      </c>
      <c r="B115" s="160" t="s">
        <v>208</v>
      </c>
      <c r="C115" s="221" t="s">
        <v>209</v>
      </c>
      <c r="D115" s="123" t="s">
        <v>210</v>
      </c>
      <c r="E115" s="161">
        <v>1</v>
      </c>
      <c r="F115" s="162">
        <v>44914.41</v>
      </c>
      <c r="G115" s="164">
        <v>1</v>
      </c>
    </row>
    <row r="116" spans="1:22" ht="22.5" hidden="1" x14ac:dyDescent="0.25">
      <c r="A116" s="123" t="s">
        <v>363</v>
      </c>
      <c r="B116" s="160" t="s">
        <v>82</v>
      </c>
      <c r="C116" s="221" t="s">
        <v>83</v>
      </c>
      <c r="D116" s="123" t="s">
        <v>58</v>
      </c>
      <c r="E116" s="161">
        <v>0.218</v>
      </c>
      <c r="F116" s="162">
        <v>4334.57</v>
      </c>
      <c r="G116" s="215">
        <f>20.8/100</f>
        <v>0.20800000000000002</v>
      </c>
    </row>
    <row r="117" spans="1:22" ht="22.5" hidden="1" x14ac:dyDescent="0.25">
      <c r="A117" s="123" t="s">
        <v>364</v>
      </c>
      <c r="B117" s="160" t="s">
        <v>89</v>
      </c>
      <c r="C117" s="221" t="s">
        <v>90</v>
      </c>
      <c r="D117" s="123" t="s">
        <v>58</v>
      </c>
      <c r="E117" s="161">
        <v>0.1082</v>
      </c>
      <c r="F117" s="162">
        <v>2000.54</v>
      </c>
      <c r="G117" s="238">
        <f>10.36/100</f>
        <v>0.1036</v>
      </c>
    </row>
    <row r="118" spans="1:22" ht="22.5" hidden="1" x14ac:dyDescent="0.25">
      <c r="A118" s="123" t="s">
        <v>365</v>
      </c>
      <c r="B118" s="160" t="s">
        <v>96</v>
      </c>
      <c r="C118" s="221" t="s">
        <v>97</v>
      </c>
      <c r="D118" s="123" t="s">
        <v>58</v>
      </c>
      <c r="E118" s="161">
        <v>0.108</v>
      </c>
      <c r="F118" s="162">
        <v>16420.39</v>
      </c>
      <c r="G118" s="238">
        <f>G117</f>
        <v>0.1036</v>
      </c>
    </row>
    <row r="119" spans="1:22" hidden="1" x14ac:dyDescent="0.25">
      <c r="A119" s="123" t="s">
        <v>366</v>
      </c>
      <c r="B119" s="160" t="s">
        <v>104</v>
      </c>
      <c r="C119" s="221" t="s">
        <v>105</v>
      </c>
      <c r="D119" s="123" t="s">
        <v>106</v>
      </c>
      <c r="E119" s="161">
        <v>15.62</v>
      </c>
      <c r="F119" s="162">
        <v>97058.27</v>
      </c>
      <c r="G119" s="143">
        <f>G118*1.26*100</f>
        <v>13.053599999999999</v>
      </c>
    </row>
    <row r="120" spans="1:22" ht="33.75" hidden="1" x14ac:dyDescent="0.25">
      <c r="A120" s="123" t="s">
        <v>367</v>
      </c>
      <c r="B120" s="160" t="s">
        <v>241</v>
      </c>
      <c r="C120" s="221" t="s">
        <v>242</v>
      </c>
      <c r="D120" s="123" t="s">
        <v>210</v>
      </c>
      <c r="E120" s="161">
        <v>1</v>
      </c>
      <c r="F120" s="162">
        <v>207003.6</v>
      </c>
      <c r="G120" s="164">
        <v>1</v>
      </c>
    </row>
    <row r="121" spans="1:22" hidden="1" x14ac:dyDescent="0.25">
      <c r="A121" s="123" t="s">
        <v>368</v>
      </c>
      <c r="B121" s="160" t="s">
        <v>244</v>
      </c>
      <c r="C121" s="221" t="s">
        <v>245</v>
      </c>
      <c r="D121" s="123" t="s">
        <v>246</v>
      </c>
      <c r="E121" s="161">
        <v>1</v>
      </c>
      <c r="F121" s="162">
        <v>1667776.02</v>
      </c>
      <c r="G121" s="164">
        <v>1</v>
      </c>
    </row>
    <row r="122" spans="1:22" ht="22.5" hidden="1" x14ac:dyDescent="0.25">
      <c r="A122" s="123" t="s">
        <v>369</v>
      </c>
      <c r="B122" s="160" t="s">
        <v>249</v>
      </c>
      <c r="C122" s="221" t="s">
        <v>250</v>
      </c>
      <c r="D122" s="123" t="s">
        <v>246</v>
      </c>
      <c r="E122" s="161">
        <v>1</v>
      </c>
      <c r="F122" s="162">
        <v>3596141.97</v>
      </c>
      <c r="G122" s="164">
        <v>1</v>
      </c>
    </row>
    <row r="123" spans="1:22" ht="33.75" hidden="1" x14ac:dyDescent="0.25">
      <c r="A123" s="123" t="s">
        <v>370</v>
      </c>
      <c r="B123" s="160" t="s">
        <v>253</v>
      </c>
      <c r="C123" s="221" t="s">
        <v>254</v>
      </c>
      <c r="D123" s="123" t="s">
        <v>115</v>
      </c>
      <c r="E123" s="161">
        <v>1</v>
      </c>
      <c r="F123" s="162">
        <v>42192.34</v>
      </c>
      <c r="G123" s="164">
        <v>1</v>
      </c>
    </row>
    <row r="124" spans="1:22" s="229" customFormat="1" hidden="1" x14ac:dyDescent="0.25">
      <c r="A124" s="257" t="s">
        <v>371</v>
      </c>
      <c r="B124" s="258" t="s">
        <v>260</v>
      </c>
      <c r="C124" s="241" t="s">
        <v>261</v>
      </c>
      <c r="D124" s="257" t="s">
        <v>115</v>
      </c>
      <c r="E124" s="259">
        <v>-2</v>
      </c>
      <c r="F124" s="260">
        <v>-5066.7299999999996</v>
      </c>
      <c r="G124" s="261">
        <v>-2</v>
      </c>
      <c r="H124" s="232"/>
      <c r="T124" s="335"/>
      <c r="V124" s="323"/>
    </row>
    <row r="125" spans="1:22" hidden="1" x14ac:dyDescent="0.25">
      <c r="A125" s="123" t="s">
        <v>372</v>
      </c>
      <c r="B125" s="160" t="s">
        <v>263</v>
      </c>
      <c r="C125" s="221" t="s">
        <v>264</v>
      </c>
      <c r="D125" s="123" t="s">
        <v>115</v>
      </c>
      <c r="E125" s="161">
        <v>2</v>
      </c>
      <c r="F125" s="162">
        <v>87727.09</v>
      </c>
      <c r="G125" s="164">
        <v>2</v>
      </c>
    </row>
    <row r="126" spans="1:22" ht="22.5" hidden="1" x14ac:dyDescent="0.25">
      <c r="A126" s="123" t="s">
        <v>373</v>
      </c>
      <c r="B126" s="160" t="s">
        <v>267</v>
      </c>
      <c r="C126" s="221" t="s">
        <v>268</v>
      </c>
      <c r="D126" s="123" t="s">
        <v>115</v>
      </c>
      <c r="E126" s="161">
        <v>1</v>
      </c>
      <c r="F126" s="162">
        <v>156781.35</v>
      </c>
      <c r="G126" s="164">
        <v>1</v>
      </c>
    </row>
    <row r="127" spans="1:22" hidden="1" x14ac:dyDescent="0.25">
      <c r="A127" s="123" t="s">
        <v>374</v>
      </c>
      <c r="B127" s="160" t="s">
        <v>120</v>
      </c>
      <c r="C127" s="221" t="s">
        <v>271</v>
      </c>
      <c r="D127" s="123" t="s">
        <v>115</v>
      </c>
      <c r="E127" s="161">
        <v>1</v>
      </c>
      <c r="F127" s="162">
        <v>4178.1000000000004</v>
      </c>
      <c r="G127" s="164">
        <v>1</v>
      </c>
    </row>
    <row r="128" spans="1:22" ht="22.5" hidden="1" x14ac:dyDescent="0.25">
      <c r="A128" s="262" t="s">
        <v>375</v>
      </c>
      <c r="B128" s="263" t="s">
        <v>274</v>
      </c>
      <c r="C128" s="264" t="s">
        <v>275</v>
      </c>
      <c r="D128" s="262" t="s">
        <v>276</v>
      </c>
      <c r="E128" s="243">
        <v>0.06</v>
      </c>
      <c r="F128" s="265">
        <v>15658.24</v>
      </c>
      <c r="G128" s="243">
        <v>0</v>
      </c>
      <c r="H128" s="218" t="s">
        <v>546</v>
      </c>
    </row>
    <row r="129" spans="1:22" s="229" customFormat="1" hidden="1" x14ac:dyDescent="0.25">
      <c r="A129" s="262" t="s">
        <v>376</v>
      </c>
      <c r="B129" s="263" t="s">
        <v>282</v>
      </c>
      <c r="C129" s="264" t="s">
        <v>283</v>
      </c>
      <c r="D129" s="262" t="s">
        <v>127</v>
      </c>
      <c r="E129" s="243">
        <v>-2.9000000000000001E-2</v>
      </c>
      <c r="F129" s="265">
        <v>-2679.86</v>
      </c>
      <c r="G129" s="243">
        <v>0</v>
      </c>
      <c r="H129" s="218" t="s">
        <v>546</v>
      </c>
      <c r="T129" s="335"/>
      <c r="V129" s="323"/>
    </row>
    <row r="130" spans="1:22" hidden="1" x14ac:dyDescent="0.25">
      <c r="A130" s="262" t="s">
        <v>377</v>
      </c>
      <c r="B130" s="263" t="s">
        <v>120</v>
      </c>
      <c r="C130" s="264" t="s">
        <v>285</v>
      </c>
      <c r="D130" s="262" t="s">
        <v>130</v>
      </c>
      <c r="E130" s="243">
        <v>0.36</v>
      </c>
      <c r="F130" s="265">
        <v>134204.32</v>
      </c>
      <c r="G130" s="243">
        <v>0</v>
      </c>
      <c r="H130" s="218" t="s">
        <v>546</v>
      </c>
    </row>
    <row r="131" spans="1:22" hidden="1" x14ac:dyDescent="0.25">
      <c r="A131" s="262" t="s">
        <v>378</v>
      </c>
      <c r="B131" s="263" t="s">
        <v>120</v>
      </c>
      <c r="C131" s="264" t="s">
        <v>129</v>
      </c>
      <c r="D131" s="262" t="s">
        <v>130</v>
      </c>
      <c r="E131" s="243">
        <v>2.9000000000000001E-2</v>
      </c>
      <c r="F131" s="265">
        <v>8010.5</v>
      </c>
      <c r="G131" s="243">
        <v>0</v>
      </c>
      <c r="H131" s="218" t="s">
        <v>546</v>
      </c>
    </row>
    <row r="132" spans="1:22" ht="22.5" hidden="1" x14ac:dyDescent="0.25">
      <c r="A132" s="123" t="s">
        <v>379</v>
      </c>
      <c r="B132" s="160" t="s">
        <v>288</v>
      </c>
      <c r="C132" s="221" t="s">
        <v>289</v>
      </c>
      <c r="D132" s="123" t="s">
        <v>160</v>
      </c>
      <c r="E132" s="161">
        <v>1.3299999999999999E-2</v>
      </c>
      <c r="F132" s="162">
        <v>34682.379999999997</v>
      </c>
      <c r="G132" s="212">
        <f>E132</f>
        <v>1.3299999999999999E-2</v>
      </c>
    </row>
    <row r="133" spans="1:22" hidden="1" x14ac:dyDescent="0.25">
      <c r="A133" s="117" t="s">
        <v>161</v>
      </c>
      <c r="B133" s="117"/>
      <c r="C133" s="221"/>
      <c r="D133" s="123"/>
      <c r="E133" s="123"/>
      <c r="F133" s="147"/>
      <c r="G133" s="226"/>
    </row>
    <row r="134" spans="1:22" ht="33.75" hidden="1" x14ac:dyDescent="0.25">
      <c r="A134" s="123" t="s">
        <v>380</v>
      </c>
      <c r="B134" s="160" t="s">
        <v>163</v>
      </c>
      <c r="C134" s="221" t="s">
        <v>164</v>
      </c>
      <c r="D134" s="123" t="s">
        <v>165</v>
      </c>
      <c r="E134" s="161">
        <v>38.1</v>
      </c>
      <c r="F134" s="162">
        <v>1963.28</v>
      </c>
      <c r="G134" s="143">
        <f>G116*1.75*100</f>
        <v>36.400000000000006</v>
      </c>
    </row>
    <row r="135" spans="1:22" ht="33.75" hidden="1" x14ac:dyDescent="0.25">
      <c r="A135" s="123" t="s">
        <v>381</v>
      </c>
      <c r="B135" s="160" t="s">
        <v>167</v>
      </c>
      <c r="C135" s="221" t="s">
        <v>292</v>
      </c>
      <c r="D135" s="123" t="s">
        <v>165</v>
      </c>
      <c r="E135" s="161">
        <v>9.9</v>
      </c>
      <c r="F135" s="162">
        <v>1304.8699999999999</v>
      </c>
      <c r="G135" s="143">
        <v>8.85</v>
      </c>
    </row>
    <row r="136" spans="1:22" ht="22.5" hidden="1" x14ac:dyDescent="0.25">
      <c r="A136" s="123" t="s">
        <v>382</v>
      </c>
      <c r="B136" s="160" t="s">
        <v>170</v>
      </c>
      <c r="C136" s="221" t="s">
        <v>294</v>
      </c>
      <c r="D136" s="123" t="s">
        <v>165</v>
      </c>
      <c r="E136" s="161">
        <v>5</v>
      </c>
      <c r="F136" s="162">
        <v>854.62</v>
      </c>
      <c r="G136" s="143">
        <v>5</v>
      </c>
    </row>
    <row r="137" spans="1:22" ht="33.75" hidden="1" x14ac:dyDescent="0.25">
      <c r="A137" s="123" t="s">
        <v>383</v>
      </c>
      <c r="B137" s="160" t="s">
        <v>173</v>
      </c>
      <c r="C137" s="221" t="s">
        <v>174</v>
      </c>
      <c r="D137" s="123" t="s">
        <v>165</v>
      </c>
      <c r="E137" s="161">
        <v>53</v>
      </c>
      <c r="F137" s="162">
        <v>3318.29</v>
      </c>
      <c r="G137" s="143">
        <f>G134+G135+G136</f>
        <v>50.250000000000007</v>
      </c>
    </row>
    <row r="138" spans="1:22" hidden="1" x14ac:dyDescent="0.25">
      <c r="A138" s="118" t="s">
        <v>388</v>
      </c>
      <c r="B138" s="118"/>
      <c r="C138" s="240"/>
      <c r="D138" s="120"/>
      <c r="E138" s="120"/>
      <c r="F138" s="140"/>
      <c r="G138" s="219" t="s">
        <v>525</v>
      </c>
      <c r="H138" s="218"/>
    </row>
    <row r="139" spans="1:22" ht="22.5" hidden="1" x14ac:dyDescent="0.25">
      <c r="A139" s="123" t="s">
        <v>389</v>
      </c>
      <c r="B139" s="160" t="s">
        <v>208</v>
      </c>
      <c r="C139" s="221" t="s">
        <v>209</v>
      </c>
      <c r="D139" s="123" t="s">
        <v>210</v>
      </c>
      <c r="E139" s="161">
        <v>1</v>
      </c>
      <c r="F139" s="162">
        <v>44914.41</v>
      </c>
      <c r="G139" s="164">
        <v>1</v>
      </c>
      <c r="H139" s="218"/>
    </row>
    <row r="140" spans="1:22" ht="22.5" hidden="1" x14ac:dyDescent="0.25">
      <c r="A140" s="123" t="s">
        <v>390</v>
      </c>
      <c r="B140" s="160" t="s">
        <v>82</v>
      </c>
      <c r="C140" s="221" t="s">
        <v>83</v>
      </c>
      <c r="D140" s="123" t="s">
        <v>58</v>
      </c>
      <c r="E140" s="161">
        <v>0.29899999999999999</v>
      </c>
      <c r="F140" s="162">
        <v>5945.15</v>
      </c>
      <c r="G140" s="212">
        <f>22.45/100</f>
        <v>0.22450000000000001</v>
      </c>
      <c r="H140" s="218"/>
    </row>
    <row r="141" spans="1:22" ht="22.5" hidden="1" x14ac:dyDescent="0.25">
      <c r="A141" s="123" t="s">
        <v>391</v>
      </c>
      <c r="B141" s="160" t="s">
        <v>89</v>
      </c>
      <c r="C141" s="221" t="s">
        <v>90</v>
      </c>
      <c r="D141" s="123" t="s">
        <v>58</v>
      </c>
      <c r="E141" s="161">
        <v>0.13950000000000001</v>
      </c>
      <c r="F141" s="162">
        <v>2580.31</v>
      </c>
      <c r="G141" s="212">
        <f>10.37/100</f>
        <v>0.10369999999999999</v>
      </c>
      <c r="H141" s="218"/>
    </row>
    <row r="142" spans="1:22" ht="22.5" hidden="1" x14ac:dyDescent="0.25">
      <c r="A142" s="123" t="s">
        <v>392</v>
      </c>
      <c r="B142" s="160" t="s">
        <v>96</v>
      </c>
      <c r="C142" s="221" t="s">
        <v>97</v>
      </c>
      <c r="D142" s="123" t="s">
        <v>58</v>
      </c>
      <c r="E142" s="161">
        <v>0.14000000000000001</v>
      </c>
      <c r="F142" s="162">
        <v>21284.21</v>
      </c>
      <c r="G142" s="212">
        <f>G141</f>
        <v>0.10369999999999999</v>
      </c>
      <c r="H142" s="218"/>
    </row>
    <row r="143" spans="1:22" hidden="1" x14ac:dyDescent="0.25">
      <c r="A143" s="123" t="s">
        <v>393</v>
      </c>
      <c r="B143" s="160" t="s">
        <v>104</v>
      </c>
      <c r="C143" s="221" t="s">
        <v>105</v>
      </c>
      <c r="D143" s="123" t="s">
        <v>106</v>
      </c>
      <c r="E143" s="161">
        <v>17.64</v>
      </c>
      <c r="F143" s="162">
        <v>109610.05</v>
      </c>
      <c r="G143" s="215">
        <f>1.26*G142*100</f>
        <v>13.066199999999997</v>
      </c>
      <c r="H143" s="218"/>
    </row>
    <row r="144" spans="1:22" ht="33.75" hidden="1" x14ac:dyDescent="0.25">
      <c r="A144" s="123" t="s">
        <v>394</v>
      </c>
      <c r="B144" s="160" t="s">
        <v>241</v>
      </c>
      <c r="C144" s="221" t="s">
        <v>242</v>
      </c>
      <c r="D144" s="123" t="s">
        <v>210</v>
      </c>
      <c r="E144" s="161">
        <v>1</v>
      </c>
      <c r="F144" s="162">
        <v>207003.6</v>
      </c>
      <c r="G144" s="164">
        <v>1</v>
      </c>
      <c r="H144" s="218"/>
    </row>
    <row r="145" spans="1:22" hidden="1" x14ac:dyDescent="0.25">
      <c r="A145" s="123" t="s">
        <v>395</v>
      </c>
      <c r="B145" s="160" t="s">
        <v>244</v>
      </c>
      <c r="C145" s="221" t="s">
        <v>245</v>
      </c>
      <c r="D145" s="123" t="s">
        <v>246</v>
      </c>
      <c r="E145" s="161">
        <v>1</v>
      </c>
      <c r="F145" s="162">
        <v>1667776.02</v>
      </c>
      <c r="G145" s="164">
        <v>1</v>
      </c>
      <c r="H145" s="218"/>
    </row>
    <row r="146" spans="1:22" ht="22.5" hidden="1" x14ac:dyDescent="0.25">
      <c r="A146" s="123" t="s">
        <v>396</v>
      </c>
      <c r="B146" s="160" t="s">
        <v>249</v>
      </c>
      <c r="C146" s="221" t="s">
        <v>250</v>
      </c>
      <c r="D146" s="123" t="s">
        <v>246</v>
      </c>
      <c r="E146" s="161">
        <v>1</v>
      </c>
      <c r="F146" s="162">
        <v>3596141.97</v>
      </c>
      <c r="G146" s="164">
        <v>1</v>
      </c>
      <c r="H146" s="218"/>
    </row>
    <row r="147" spans="1:22" ht="33.75" hidden="1" x14ac:dyDescent="0.25">
      <c r="A147" s="123" t="s">
        <v>397</v>
      </c>
      <c r="B147" s="160" t="s">
        <v>253</v>
      </c>
      <c r="C147" s="221" t="s">
        <v>254</v>
      </c>
      <c r="D147" s="123" t="s">
        <v>115</v>
      </c>
      <c r="E147" s="161">
        <v>1</v>
      </c>
      <c r="F147" s="162">
        <v>42192.34</v>
      </c>
      <c r="G147" s="164">
        <v>1</v>
      </c>
      <c r="H147" s="218"/>
    </row>
    <row r="148" spans="1:22" s="229" customFormat="1" hidden="1" x14ac:dyDescent="0.25">
      <c r="A148" s="257" t="s">
        <v>398</v>
      </c>
      <c r="B148" s="258" t="s">
        <v>260</v>
      </c>
      <c r="C148" s="241" t="s">
        <v>261</v>
      </c>
      <c r="D148" s="257" t="s">
        <v>115</v>
      </c>
      <c r="E148" s="259">
        <v>-2</v>
      </c>
      <c r="F148" s="260">
        <v>-5066.7299999999996</v>
      </c>
      <c r="G148" s="261">
        <v>-2</v>
      </c>
      <c r="T148" s="335"/>
      <c r="V148" s="323"/>
    </row>
    <row r="149" spans="1:22" hidden="1" x14ac:dyDescent="0.25">
      <c r="A149" s="123" t="s">
        <v>399</v>
      </c>
      <c r="B149" s="160" t="s">
        <v>263</v>
      </c>
      <c r="C149" s="221" t="s">
        <v>264</v>
      </c>
      <c r="D149" s="123" t="s">
        <v>115</v>
      </c>
      <c r="E149" s="161">
        <v>2</v>
      </c>
      <c r="F149" s="162">
        <v>87727.09</v>
      </c>
      <c r="G149" s="164">
        <v>2</v>
      </c>
      <c r="H149" s="218"/>
    </row>
    <row r="150" spans="1:22" ht="22.5" hidden="1" x14ac:dyDescent="0.25">
      <c r="A150" s="123" t="s">
        <v>400</v>
      </c>
      <c r="B150" s="160" t="s">
        <v>267</v>
      </c>
      <c r="C150" s="221" t="s">
        <v>268</v>
      </c>
      <c r="D150" s="123" t="s">
        <v>115</v>
      </c>
      <c r="E150" s="161">
        <v>1</v>
      </c>
      <c r="F150" s="162">
        <v>156781.35</v>
      </c>
      <c r="G150" s="164">
        <v>1</v>
      </c>
      <c r="H150" s="234"/>
    </row>
    <row r="151" spans="1:22" hidden="1" x14ac:dyDescent="0.25">
      <c r="A151" s="123" t="s">
        <v>401</v>
      </c>
      <c r="B151" s="160" t="s">
        <v>120</v>
      </c>
      <c r="C151" s="221" t="s">
        <v>271</v>
      </c>
      <c r="D151" s="123" t="s">
        <v>115</v>
      </c>
      <c r="E151" s="161">
        <v>1</v>
      </c>
      <c r="F151" s="162">
        <v>4178.1000000000004</v>
      </c>
      <c r="G151" s="164">
        <v>1</v>
      </c>
      <c r="H151" s="234"/>
    </row>
    <row r="152" spans="1:22" ht="22.5" hidden="1" x14ac:dyDescent="0.25">
      <c r="A152" s="262" t="s">
        <v>402</v>
      </c>
      <c r="B152" s="263" t="s">
        <v>274</v>
      </c>
      <c r="C152" s="264" t="s">
        <v>275</v>
      </c>
      <c r="D152" s="262" t="s">
        <v>276</v>
      </c>
      <c r="E152" s="243">
        <v>0.06</v>
      </c>
      <c r="F152" s="265">
        <v>15658.24</v>
      </c>
      <c r="G152" s="243">
        <v>0</v>
      </c>
      <c r="H152" s="218" t="s">
        <v>546</v>
      </c>
    </row>
    <row r="153" spans="1:22" s="229" customFormat="1" hidden="1" x14ac:dyDescent="0.25">
      <c r="A153" s="262" t="s">
        <v>403</v>
      </c>
      <c r="B153" s="263" t="s">
        <v>282</v>
      </c>
      <c r="C153" s="264" t="s">
        <v>283</v>
      </c>
      <c r="D153" s="262" t="s">
        <v>127</v>
      </c>
      <c r="E153" s="243">
        <v>-2.9000000000000001E-2</v>
      </c>
      <c r="F153" s="265">
        <v>-2679.86</v>
      </c>
      <c r="G153" s="243">
        <v>0</v>
      </c>
      <c r="H153" s="218" t="s">
        <v>546</v>
      </c>
      <c r="T153" s="335"/>
      <c r="V153" s="323"/>
    </row>
    <row r="154" spans="1:22" hidden="1" x14ac:dyDescent="0.25">
      <c r="A154" s="262" t="s">
        <v>404</v>
      </c>
      <c r="B154" s="263" t="s">
        <v>120</v>
      </c>
      <c r="C154" s="264" t="s">
        <v>285</v>
      </c>
      <c r="D154" s="262" t="s">
        <v>130</v>
      </c>
      <c r="E154" s="243">
        <v>0.36</v>
      </c>
      <c r="F154" s="265">
        <v>134204.32</v>
      </c>
      <c r="G154" s="243">
        <v>0</v>
      </c>
      <c r="H154" s="218" t="s">
        <v>546</v>
      </c>
    </row>
    <row r="155" spans="1:22" hidden="1" x14ac:dyDescent="0.25">
      <c r="A155" s="262" t="s">
        <v>405</v>
      </c>
      <c r="B155" s="263" t="s">
        <v>120</v>
      </c>
      <c r="C155" s="264" t="s">
        <v>129</v>
      </c>
      <c r="D155" s="262" t="s">
        <v>130</v>
      </c>
      <c r="E155" s="243">
        <v>2.9000000000000001E-2</v>
      </c>
      <c r="F155" s="265">
        <v>8010.5</v>
      </c>
      <c r="G155" s="243">
        <v>0</v>
      </c>
      <c r="H155" s="218" t="s">
        <v>546</v>
      </c>
    </row>
    <row r="156" spans="1:22" ht="22.5" hidden="1" x14ac:dyDescent="0.25">
      <c r="A156" s="123" t="s">
        <v>406</v>
      </c>
      <c r="B156" s="160" t="s">
        <v>288</v>
      </c>
      <c r="C156" s="221" t="s">
        <v>289</v>
      </c>
      <c r="D156" s="123" t="s">
        <v>160</v>
      </c>
      <c r="E156" s="161">
        <v>1.3299999999999999E-2</v>
      </c>
      <c r="F156" s="162">
        <v>34682.379999999997</v>
      </c>
      <c r="G156" s="212">
        <f>E156</f>
        <v>1.3299999999999999E-2</v>
      </c>
      <c r="H156" s="234"/>
    </row>
    <row r="157" spans="1:22" hidden="1" x14ac:dyDescent="0.25">
      <c r="A157" s="117" t="s">
        <v>161</v>
      </c>
      <c r="B157" s="117"/>
      <c r="C157" s="221"/>
      <c r="D157" s="123"/>
      <c r="E157" s="123"/>
      <c r="F157" s="147"/>
      <c r="G157" s="226"/>
      <c r="H157" s="234"/>
    </row>
    <row r="158" spans="1:22" ht="33.75" hidden="1" x14ac:dyDescent="0.25">
      <c r="A158" s="123" t="s">
        <v>407</v>
      </c>
      <c r="B158" s="160" t="s">
        <v>163</v>
      </c>
      <c r="C158" s="221" t="s">
        <v>164</v>
      </c>
      <c r="D158" s="123" t="s">
        <v>165</v>
      </c>
      <c r="E158" s="161">
        <v>52.3</v>
      </c>
      <c r="F158" s="162">
        <v>2694.89</v>
      </c>
      <c r="G158" s="143">
        <f>G140*100*1.75</f>
        <v>39.287500000000001</v>
      </c>
      <c r="H158" s="234"/>
    </row>
    <row r="159" spans="1:22" ht="33.75" hidden="1" x14ac:dyDescent="0.25">
      <c r="A159" s="123" t="s">
        <v>408</v>
      </c>
      <c r="B159" s="160" t="s">
        <v>167</v>
      </c>
      <c r="C159" s="221" t="s">
        <v>292</v>
      </c>
      <c r="D159" s="123" t="s">
        <v>165</v>
      </c>
      <c r="E159" s="161">
        <v>9.9</v>
      </c>
      <c r="F159" s="162">
        <v>1304.8699999999999</v>
      </c>
      <c r="G159" s="143">
        <v>7.56</v>
      </c>
      <c r="H159" s="234"/>
    </row>
    <row r="160" spans="1:22" ht="22.5" hidden="1" x14ac:dyDescent="0.25">
      <c r="A160" s="123" t="s">
        <v>409</v>
      </c>
      <c r="B160" s="160" t="s">
        <v>170</v>
      </c>
      <c r="C160" s="221" t="s">
        <v>294</v>
      </c>
      <c r="D160" s="123" t="s">
        <v>165</v>
      </c>
      <c r="E160" s="161">
        <v>5</v>
      </c>
      <c r="F160" s="162">
        <v>854.62</v>
      </c>
      <c r="G160" s="143">
        <f>1.6+2.64</f>
        <v>4.24</v>
      </c>
      <c r="H160" s="234"/>
    </row>
    <row r="161" spans="1:25" ht="33.75" hidden="1" x14ac:dyDescent="0.25">
      <c r="A161" s="123" t="s">
        <v>410</v>
      </c>
      <c r="B161" s="160" t="s">
        <v>173</v>
      </c>
      <c r="C161" s="221" t="s">
        <v>174</v>
      </c>
      <c r="D161" s="123" t="s">
        <v>165</v>
      </c>
      <c r="E161" s="161">
        <v>67.2</v>
      </c>
      <c r="F161" s="162">
        <v>4207.3100000000004</v>
      </c>
      <c r="G161" s="143">
        <f>G160+G159+G158</f>
        <v>51.087500000000006</v>
      </c>
      <c r="H161" s="218"/>
    </row>
    <row r="162" spans="1:25" x14ac:dyDescent="0.25">
      <c r="A162" s="114" t="s">
        <v>415</v>
      </c>
      <c r="B162" s="114"/>
      <c r="C162" s="220"/>
      <c r="D162" s="120"/>
      <c r="E162" s="120"/>
      <c r="F162" s="140"/>
      <c r="W162" s="142"/>
      <c r="Y162" s="132"/>
    </row>
    <row r="163" spans="1:25" ht="22.5" x14ac:dyDescent="0.25">
      <c r="A163" s="123" t="s">
        <v>416</v>
      </c>
      <c r="B163" s="160" t="s">
        <v>208</v>
      </c>
      <c r="C163" s="221" t="s">
        <v>209</v>
      </c>
      <c r="D163" s="123" t="s">
        <v>210</v>
      </c>
      <c r="E163" s="161">
        <v>1</v>
      </c>
      <c r="F163" s="162">
        <v>44914.41</v>
      </c>
      <c r="W163" s="164">
        <v>1</v>
      </c>
      <c r="Y163" s="164">
        <v>1</v>
      </c>
    </row>
    <row r="164" spans="1:25" ht="22.5" x14ac:dyDescent="0.25">
      <c r="A164" s="123" t="s">
        <v>417</v>
      </c>
      <c r="B164" s="160" t="s">
        <v>82</v>
      </c>
      <c r="C164" s="221" t="s">
        <v>83</v>
      </c>
      <c r="D164" s="123" t="s">
        <v>58</v>
      </c>
      <c r="E164" s="161">
        <v>0.23699999999999999</v>
      </c>
      <c r="F164" s="162">
        <v>4712.08</v>
      </c>
      <c r="W164" s="164">
        <f>18.07/100</f>
        <v>0.1807</v>
      </c>
      <c r="Y164" s="164">
        <f>18.07/100</f>
        <v>0.1807</v>
      </c>
    </row>
    <row r="165" spans="1:25" ht="22.5" x14ac:dyDescent="0.25">
      <c r="A165" s="123" t="s">
        <v>418</v>
      </c>
      <c r="B165" s="160" t="s">
        <v>89</v>
      </c>
      <c r="C165" s="221" t="s">
        <v>90</v>
      </c>
      <c r="D165" s="123" t="s">
        <v>58</v>
      </c>
      <c r="E165" s="161">
        <v>0.11559999999999999</v>
      </c>
      <c r="F165" s="162">
        <v>2138.88</v>
      </c>
      <c r="W165" s="164">
        <f>9.86/100</f>
        <v>9.8599999999999993E-2</v>
      </c>
      <c r="Y165" s="164">
        <f>9.86/100</f>
        <v>9.8599999999999993E-2</v>
      </c>
    </row>
    <row r="166" spans="1:25" ht="22.5" x14ac:dyDescent="0.25">
      <c r="A166" s="123" t="s">
        <v>419</v>
      </c>
      <c r="B166" s="160" t="s">
        <v>96</v>
      </c>
      <c r="C166" s="221" t="s">
        <v>97</v>
      </c>
      <c r="D166" s="123" t="s">
        <v>58</v>
      </c>
      <c r="E166" s="161">
        <v>0.11600000000000001</v>
      </c>
      <c r="F166" s="162">
        <v>17635.43</v>
      </c>
      <c r="W166" s="164">
        <f>W165</f>
        <v>9.8599999999999993E-2</v>
      </c>
      <c r="Y166" s="164">
        <f>Y165</f>
        <v>9.8599999999999993E-2</v>
      </c>
    </row>
    <row r="167" spans="1:25" x14ac:dyDescent="0.25">
      <c r="A167" s="123" t="s">
        <v>420</v>
      </c>
      <c r="B167" s="160" t="s">
        <v>104</v>
      </c>
      <c r="C167" s="221" t="s">
        <v>105</v>
      </c>
      <c r="D167" s="123" t="s">
        <v>106</v>
      </c>
      <c r="E167" s="161">
        <v>14.62</v>
      </c>
      <c r="F167" s="162">
        <v>90844.61</v>
      </c>
      <c r="W167" s="164">
        <f>W166*1.26*100</f>
        <v>12.4236</v>
      </c>
      <c r="Y167" s="164">
        <f>Y166*1.26*100</f>
        <v>12.4236</v>
      </c>
    </row>
    <row r="168" spans="1:25" ht="33.75" x14ac:dyDescent="0.25">
      <c r="A168" s="123" t="s">
        <v>421</v>
      </c>
      <c r="B168" s="160" t="s">
        <v>241</v>
      </c>
      <c r="C168" s="221" t="s">
        <v>242</v>
      </c>
      <c r="D168" s="123" t="s">
        <v>210</v>
      </c>
      <c r="E168" s="161">
        <v>1</v>
      </c>
      <c r="F168" s="162">
        <v>207003.6</v>
      </c>
      <c r="W168" s="164">
        <v>1</v>
      </c>
      <c r="Y168" s="164">
        <v>1</v>
      </c>
    </row>
    <row r="169" spans="1:25" x14ac:dyDescent="0.25">
      <c r="A169" s="123" t="s">
        <v>422</v>
      </c>
      <c r="B169" s="160" t="s">
        <v>244</v>
      </c>
      <c r="C169" s="221" t="s">
        <v>245</v>
      </c>
      <c r="D169" s="123" t="s">
        <v>246</v>
      </c>
      <c r="E169" s="161">
        <v>1</v>
      </c>
      <c r="F169" s="162">
        <v>1667776.02</v>
      </c>
      <c r="W169" s="164">
        <v>1</v>
      </c>
      <c r="Y169" s="164">
        <v>1</v>
      </c>
    </row>
    <row r="170" spans="1:25" ht="22.5" x14ac:dyDescent="0.25">
      <c r="A170" s="123" t="s">
        <v>423</v>
      </c>
      <c r="B170" s="160" t="s">
        <v>249</v>
      </c>
      <c r="C170" s="221" t="s">
        <v>250</v>
      </c>
      <c r="D170" s="123" t="s">
        <v>246</v>
      </c>
      <c r="E170" s="161">
        <v>1</v>
      </c>
      <c r="F170" s="162">
        <v>3596141.97</v>
      </c>
      <c r="W170" s="164">
        <v>1</v>
      </c>
      <c r="Y170" s="164">
        <v>1</v>
      </c>
    </row>
    <row r="171" spans="1:25" ht="33.75" x14ac:dyDescent="0.25">
      <c r="A171" s="123" t="s">
        <v>424</v>
      </c>
      <c r="B171" s="160" t="s">
        <v>253</v>
      </c>
      <c r="C171" s="221" t="s">
        <v>254</v>
      </c>
      <c r="D171" s="123" t="s">
        <v>115</v>
      </c>
      <c r="E171" s="161">
        <v>1</v>
      </c>
      <c r="F171" s="162">
        <v>42192.34</v>
      </c>
      <c r="W171" s="164">
        <v>1</v>
      </c>
      <c r="Y171" s="164">
        <v>1</v>
      </c>
    </row>
    <row r="172" spans="1:25" s="229" customFormat="1" x14ac:dyDescent="0.25">
      <c r="A172" s="166" t="s">
        <v>425</v>
      </c>
      <c r="B172" s="167" t="s">
        <v>260</v>
      </c>
      <c r="C172" s="222" t="s">
        <v>261</v>
      </c>
      <c r="D172" s="166" t="s">
        <v>115</v>
      </c>
      <c r="E172" s="169">
        <v>-2</v>
      </c>
      <c r="F172" s="170">
        <v>-5066.7299999999996</v>
      </c>
      <c r="G172" s="233"/>
      <c r="H172" s="232"/>
      <c r="T172" s="335"/>
      <c r="V172" s="323"/>
      <c r="W172" s="164">
        <v>-2</v>
      </c>
      <c r="Y172" s="164">
        <v>-2</v>
      </c>
    </row>
    <row r="173" spans="1:25" x14ac:dyDescent="0.25">
      <c r="A173" s="123" t="s">
        <v>426</v>
      </c>
      <c r="B173" s="160" t="s">
        <v>263</v>
      </c>
      <c r="C173" s="221" t="s">
        <v>264</v>
      </c>
      <c r="D173" s="123" t="s">
        <v>115</v>
      </c>
      <c r="E173" s="161">
        <v>2</v>
      </c>
      <c r="F173" s="162">
        <v>87727.09</v>
      </c>
      <c r="W173" s="164">
        <v>2</v>
      </c>
      <c r="Y173" s="164">
        <v>2</v>
      </c>
    </row>
    <row r="174" spans="1:25" ht="22.5" x14ac:dyDescent="0.25">
      <c r="A174" s="123" t="s">
        <v>427</v>
      </c>
      <c r="B174" s="160" t="s">
        <v>267</v>
      </c>
      <c r="C174" s="221" t="s">
        <v>268</v>
      </c>
      <c r="D174" s="123" t="s">
        <v>115</v>
      </c>
      <c r="E174" s="161">
        <v>1</v>
      </c>
      <c r="F174" s="162">
        <v>156781.35</v>
      </c>
      <c r="W174" s="164">
        <v>1</v>
      </c>
      <c r="Y174" s="164">
        <v>1</v>
      </c>
    </row>
    <row r="175" spans="1:25" x14ac:dyDescent="0.25">
      <c r="A175" s="123" t="s">
        <v>428</v>
      </c>
      <c r="B175" s="160" t="s">
        <v>120</v>
      </c>
      <c r="C175" s="221" t="s">
        <v>271</v>
      </c>
      <c r="D175" s="123" t="s">
        <v>115</v>
      </c>
      <c r="E175" s="161">
        <v>1</v>
      </c>
      <c r="F175" s="162">
        <v>4178.1000000000004</v>
      </c>
      <c r="W175" s="164">
        <v>1</v>
      </c>
      <c r="Y175" s="164">
        <v>1</v>
      </c>
    </row>
    <row r="176" spans="1:25" ht="22.5" x14ac:dyDescent="0.25">
      <c r="A176" s="123" t="s">
        <v>429</v>
      </c>
      <c r="B176" s="160" t="s">
        <v>274</v>
      </c>
      <c r="C176" s="221" t="s">
        <v>275</v>
      </c>
      <c r="D176" s="123" t="s">
        <v>276</v>
      </c>
      <c r="E176" s="161">
        <v>0.06</v>
      </c>
      <c r="F176" s="162">
        <v>15658.24</v>
      </c>
      <c r="W176" s="164">
        <v>0</v>
      </c>
      <c r="Y176" s="164">
        <v>0</v>
      </c>
    </row>
    <row r="177" spans="1:26" s="229" customFormat="1" x14ac:dyDescent="0.25">
      <c r="A177" s="166" t="s">
        <v>430</v>
      </c>
      <c r="B177" s="167" t="s">
        <v>282</v>
      </c>
      <c r="C177" s="222" t="s">
        <v>283</v>
      </c>
      <c r="D177" s="166" t="s">
        <v>127</v>
      </c>
      <c r="E177" s="169">
        <v>-2.9000000000000001E-2</v>
      </c>
      <c r="F177" s="170">
        <v>-2679.86</v>
      </c>
      <c r="G177" s="233"/>
      <c r="H177" s="232"/>
      <c r="T177" s="335"/>
      <c r="V177" s="323"/>
      <c r="W177" s="261">
        <v>0</v>
      </c>
      <c r="Y177" s="261">
        <v>0</v>
      </c>
    </row>
    <row r="178" spans="1:26" x14ac:dyDescent="0.25">
      <c r="A178" s="123" t="s">
        <v>431</v>
      </c>
      <c r="B178" s="160" t="s">
        <v>120</v>
      </c>
      <c r="C178" s="221" t="s">
        <v>285</v>
      </c>
      <c r="D178" s="123" t="s">
        <v>130</v>
      </c>
      <c r="E178" s="161">
        <v>0.36</v>
      </c>
      <c r="F178" s="162">
        <v>134204.32</v>
      </c>
      <c r="W178" s="164">
        <v>0</v>
      </c>
      <c r="Y178" s="164">
        <v>0</v>
      </c>
    </row>
    <row r="179" spans="1:26" x14ac:dyDescent="0.25">
      <c r="A179" s="123" t="s">
        <v>432</v>
      </c>
      <c r="B179" s="160" t="s">
        <v>120</v>
      </c>
      <c r="C179" s="221" t="s">
        <v>129</v>
      </c>
      <c r="D179" s="123" t="s">
        <v>130</v>
      </c>
      <c r="E179" s="161">
        <v>2.9000000000000001E-2</v>
      </c>
      <c r="F179" s="162">
        <v>8010.5</v>
      </c>
      <c r="W179" s="164">
        <v>0</v>
      </c>
      <c r="Y179" s="164">
        <v>0</v>
      </c>
    </row>
    <row r="180" spans="1:26" ht="22.5" x14ac:dyDescent="0.25">
      <c r="A180" s="123" t="s">
        <v>433</v>
      </c>
      <c r="B180" s="160" t="s">
        <v>288</v>
      </c>
      <c r="C180" s="221" t="s">
        <v>289</v>
      </c>
      <c r="D180" s="123" t="s">
        <v>160</v>
      </c>
      <c r="E180" s="161">
        <v>1.3299999999999999E-2</v>
      </c>
      <c r="F180" s="162">
        <v>34682.379999999997</v>
      </c>
      <c r="W180" s="164">
        <f>13.15/1000</f>
        <v>1.315E-2</v>
      </c>
      <c r="Y180" s="164">
        <f>13.15/1000</f>
        <v>1.315E-2</v>
      </c>
    </row>
    <row r="181" spans="1:26" x14ac:dyDescent="0.25">
      <c r="A181" s="117" t="s">
        <v>161</v>
      </c>
      <c r="B181" s="117"/>
      <c r="C181" s="221"/>
      <c r="D181" s="123"/>
      <c r="E181" s="123"/>
      <c r="F181" s="147"/>
      <c r="W181" s="122"/>
      <c r="Y181" s="122"/>
    </row>
    <row r="182" spans="1:26" ht="33.75" x14ac:dyDescent="0.25">
      <c r="A182" s="123" t="s">
        <v>434</v>
      </c>
      <c r="B182" s="160" t="s">
        <v>163</v>
      </c>
      <c r="C182" s="221" t="s">
        <v>164</v>
      </c>
      <c r="D182" s="123" t="s">
        <v>165</v>
      </c>
      <c r="E182" s="161">
        <v>41.5</v>
      </c>
      <c r="F182" s="162">
        <v>2138.4499999999998</v>
      </c>
      <c r="W182" s="164">
        <f>W164*100*1.75</f>
        <v>31.622500000000002</v>
      </c>
      <c r="Y182" s="164">
        <f>Y164*100*1.75</f>
        <v>31.622500000000002</v>
      </c>
    </row>
    <row r="183" spans="1:26" ht="33.75" x14ac:dyDescent="0.25">
      <c r="A183" s="123" t="s">
        <v>435</v>
      </c>
      <c r="B183" s="160" t="s">
        <v>167</v>
      </c>
      <c r="C183" s="221" t="s">
        <v>292</v>
      </c>
      <c r="D183" s="123" t="s">
        <v>165</v>
      </c>
      <c r="E183" s="161">
        <v>9.9</v>
      </c>
      <c r="F183" s="162">
        <v>1304.8699999999999</v>
      </c>
      <c r="W183" s="143">
        <v>8.85</v>
      </c>
      <c r="Y183" s="143">
        <v>8.85</v>
      </c>
    </row>
    <row r="184" spans="1:26" ht="22.5" x14ac:dyDescent="0.25">
      <c r="A184" s="123" t="s">
        <v>436</v>
      </c>
      <c r="B184" s="160" t="s">
        <v>170</v>
      </c>
      <c r="C184" s="221" t="s">
        <v>294</v>
      </c>
      <c r="D184" s="123" t="s">
        <v>165</v>
      </c>
      <c r="E184" s="173">
        <v>5</v>
      </c>
      <c r="F184" s="162">
        <v>854.62</v>
      </c>
      <c r="W184" s="143">
        <v>5.2</v>
      </c>
      <c r="Y184" s="209">
        <v>5.2</v>
      </c>
      <c r="Z184" s="218" t="s">
        <v>598</v>
      </c>
    </row>
    <row r="185" spans="1:26" ht="33.75" x14ac:dyDescent="0.25">
      <c r="A185" s="123" t="s">
        <v>437</v>
      </c>
      <c r="B185" s="160" t="s">
        <v>173</v>
      </c>
      <c r="C185" s="221" t="s">
        <v>174</v>
      </c>
      <c r="D185" s="123" t="s">
        <v>165</v>
      </c>
      <c r="E185" s="161">
        <v>56.4</v>
      </c>
      <c r="F185" s="162">
        <v>3531.09</v>
      </c>
      <c r="W185" s="143">
        <f>W184+W183+W182</f>
        <v>45.672499999999999</v>
      </c>
      <c r="Y185" s="143">
        <f>Y184+Y183+Y182</f>
        <v>45.672499999999999</v>
      </c>
    </row>
    <row r="186" spans="1:26" x14ac:dyDescent="0.25">
      <c r="A186" s="114" t="s">
        <v>442</v>
      </c>
      <c r="B186" s="114"/>
      <c r="C186" s="220"/>
      <c r="D186" s="120"/>
      <c r="E186" s="120"/>
      <c r="F186" s="140"/>
      <c r="U186" s="142"/>
      <c r="Y186" s="142"/>
    </row>
    <row r="187" spans="1:26" ht="22.5" x14ac:dyDescent="0.25">
      <c r="A187" s="123" t="s">
        <v>443</v>
      </c>
      <c r="B187" s="160" t="s">
        <v>208</v>
      </c>
      <c r="C187" s="221" t="s">
        <v>209</v>
      </c>
      <c r="D187" s="123" t="s">
        <v>210</v>
      </c>
      <c r="E187" s="161">
        <v>1</v>
      </c>
      <c r="F187" s="162">
        <v>44914.41</v>
      </c>
      <c r="U187" s="164">
        <v>1</v>
      </c>
      <c r="Y187" s="164">
        <v>1</v>
      </c>
    </row>
    <row r="188" spans="1:26" ht="22.5" x14ac:dyDescent="0.25">
      <c r="A188" s="123" t="s">
        <v>444</v>
      </c>
      <c r="B188" s="160" t="s">
        <v>82</v>
      </c>
      <c r="C188" s="221" t="s">
        <v>83</v>
      </c>
      <c r="D188" s="123" t="s">
        <v>58</v>
      </c>
      <c r="E188" s="161">
        <v>0.23599999999999999</v>
      </c>
      <c r="F188" s="162">
        <v>4693.04</v>
      </c>
      <c r="U188" s="164">
        <f>18.33/100</f>
        <v>0.18329999999999999</v>
      </c>
      <c r="Y188" s="164">
        <f>18.33/100</f>
        <v>0.18329999999999999</v>
      </c>
    </row>
    <row r="189" spans="1:26" ht="22.5" x14ac:dyDescent="0.25">
      <c r="A189" s="123" t="s">
        <v>445</v>
      </c>
      <c r="B189" s="160" t="s">
        <v>89</v>
      </c>
      <c r="C189" s="221" t="s">
        <v>90</v>
      </c>
      <c r="D189" s="123" t="s">
        <v>58</v>
      </c>
      <c r="E189" s="161">
        <v>0.1152</v>
      </c>
      <c r="F189" s="162">
        <v>2130.6</v>
      </c>
      <c r="U189" s="164">
        <f>9.44/100</f>
        <v>9.4399999999999998E-2</v>
      </c>
      <c r="Y189" s="164">
        <f>9.44/100</f>
        <v>9.4399999999999998E-2</v>
      </c>
    </row>
    <row r="190" spans="1:26" ht="22.5" x14ac:dyDescent="0.25">
      <c r="A190" s="123" t="s">
        <v>446</v>
      </c>
      <c r="B190" s="160" t="s">
        <v>96</v>
      </c>
      <c r="C190" s="221" t="s">
        <v>97</v>
      </c>
      <c r="D190" s="123" t="s">
        <v>58</v>
      </c>
      <c r="E190" s="161">
        <v>0.115</v>
      </c>
      <c r="F190" s="162">
        <v>17483.62</v>
      </c>
      <c r="U190" s="164">
        <f>U189</f>
        <v>9.4399999999999998E-2</v>
      </c>
      <c r="Y190" s="164">
        <f>Y189</f>
        <v>9.4399999999999998E-2</v>
      </c>
    </row>
    <row r="191" spans="1:26" x14ac:dyDescent="0.25">
      <c r="A191" s="123" t="s">
        <v>447</v>
      </c>
      <c r="B191" s="160" t="s">
        <v>104</v>
      </c>
      <c r="C191" s="221" t="s">
        <v>105</v>
      </c>
      <c r="D191" s="123" t="s">
        <v>106</v>
      </c>
      <c r="E191" s="161">
        <v>14.49</v>
      </c>
      <c r="F191" s="162">
        <v>90036.82</v>
      </c>
      <c r="U191" s="164">
        <f>U190*1.26*100</f>
        <v>11.894399999999999</v>
      </c>
      <c r="Y191" s="164">
        <f>Y190*1.26*100</f>
        <v>11.894399999999999</v>
      </c>
    </row>
    <row r="192" spans="1:26" ht="33.75" x14ac:dyDescent="0.25">
      <c r="A192" s="123" t="s">
        <v>448</v>
      </c>
      <c r="B192" s="160" t="s">
        <v>241</v>
      </c>
      <c r="C192" s="221" t="s">
        <v>242</v>
      </c>
      <c r="D192" s="123" t="s">
        <v>210</v>
      </c>
      <c r="E192" s="161">
        <v>1</v>
      </c>
      <c r="F192" s="162">
        <v>207003.6</v>
      </c>
      <c r="U192" s="164">
        <v>1</v>
      </c>
      <c r="Y192" s="164">
        <v>1</v>
      </c>
    </row>
    <row r="193" spans="1:25" x14ac:dyDescent="0.25">
      <c r="A193" s="123" t="s">
        <v>449</v>
      </c>
      <c r="B193" s="160" t="s">
        <v>244</v>
      </c>
      <c r="C193" s="221" t="s">
        <v>245</v>
      </c>
      <c r="D193" s="123" t="s">
        <v>246</v>
      </c>
      <c r="E193" s="161">
        <v>1</v>
      </c>
      <c r="F193" s="162">
        <v>1667776.02</v>
      </c>
      <c r="U193" s="164">
        <v>1</v>
      </c>
      <c r="Y193" s="164">
        <v>1</v>
      </c>
    </row>
    <row r="194" spans="1:25" ht="22.5" x14ac:dyDescent="0.25">
      <c r="A194" s="123" t="s">
        <v>450</v>
      </c>
      <c r="B194" s="160" t="s">
        <v>249</v>
      </c>
      <c r="C194" s="221" t="s">
        <v>451</v>
      </c>
      <c r="D194" s="123" t="s">
        <v>246</v>
      </c>
      <c r="E194" s="161">
        <v>1</v>
      </c>
      <c r="F194" s="162">
        <v>3596141.97</v>
      </c>
      <c r="U194" s="164">
        <v>1</v>
      </c>
      <c r="Y194" s="164">
        <v>1</v>
      </c>
    </row>
    <row r="195" spans="1:25" ht="33.75" x14ac:dyDescent="0.25">
      <c r="A195" s="123" t="s">
        <v>452</v>
      </c>
      <c r="B195" s="160" t="s">
        <v>253</v>
      </c>
      <c r="C195" s="221" t="s">
        <v>254</v>
      </c>
      <c r="D195" s="123" t="s">
        <v>115</v>
      </c>
      <c r="E195" s="161">
        <v>1</v>
      </c>
      <c r="F195" s="162">
        <v>42192.34</v>
      </c>
      <c r="U195" s="164">
        <f>E195</f>
        <v>1</v>
      </c>
      <c r="Y195" s="164">
        <f>I195</f>
        <v>0</v>
      </c>
    </row>
    <row r="196" spans="1:25" s="229" customFormat="1" x14ac:dyDescent="0.25">
      <c r="A196" s="166" t="s">
        <v>453</v>
      </c>
      <c r="B196" s="167" t="s">
        <v>260</v>
      </c>
      <c r="C196" s="222" t="s">
        <v>261</v>
      </c>
      <c r="D196" s="166" t="s">
        <v>115</v>
      </c>
      <c r="E196" s="169">
        <v>-2</v>
      </c>
      <c r="F196" s="170">
        <v>-5066.7299999999996</v>
      </c>
      <c r="G196" s="233"/>
      <c r="H196" s="232"/>
      <c r="T196" s="335"/>
      <c r="U196" s="164">
        <f t="shared" ref="U196:Y199" si="10">E196</f>
        <v>-2</v>
      </c>
      <c r="V196" s="323"/>
      <c r="Y196" s="164">
        <f t="shared" si="10"/>
        <v>0</v>
      </c>
    </row>
    <row r="197" spans="1:25" x14ac:dyDescent="0.25">
      <c r="A197" s="123" t="s">
        <v>454</v>
      </c>
      <c r="B197" s="160" t="s">
        <v>263</v>
      </c>
      <c r="C197" s="221" t="s">
        <v>264</v>
      </c>
      <c r="D197" s="123" t="s">
        <v>115</v>
      </c>
      <c r="E197" s="161">
        <v>2</v>
      </c>
      <c r="F197" s="162">
        <v>87727.09</v>
      </c>
      <c r="U197" s="164">
        <f t="shared" si="10"/>
        <v>2</v>
      </c>
      <c r="Y197" s="164">
        <f t="shared" si="10"/>
        <v>0</v>
      </c>
    </row>
    <row r="198" spans="1:25" ht="22.5" x14ac:dyDescent="0.25">
      <c r="A198" s="123" t="s">
        <v>455</v>
      </c>
      <c r="B198" s="160" t="s">
        <v>267</v>
      </c>
      <c r="C198" s="221" t="s">
        <v>268</v>
      </c>
      <c r="D198" s="123" t="s">
        <v>115</v>
      </c>
      <c r="E198" s="161">
        <v>1</v>
      </c>
      <c r="F198" s="162">
        <v>156781.35</v>
      </c>
      <c r="U198" s="164">
        <f t="shared" si="10"/>
        <v>1</v>
      </c>
      <c r="Y198" s="164">
        <f t="shared" si="10"/>
        <v>0</v>
      </c>
    </row>
    <row r="199" spans="1:25" x14ac:dyDescent="0.25">
      <c r="A199" s="123" t="s">
        <v>456</v>
      </c>
      <c r="B199" s="160" t="s">
        <v>120</v>
      </c>
      <c r="C199" s="221" t="s">
        <v>271</v>
      </c>
      <c r="D199" s="123" t="s">
        <v>115</v>
      </c>
      <c r="E199" s="161">
        <v>1</v>
      </c>
      <c r="F199" s="162">
        <v>4178.1000000000004</v>
      </c>
      <c r="U199" s="164">
        <f t="shared" si="10"/>
        <v>1</v>
      </c>
      <c r="Y199" s="164">
        <f t="shared" si="10"/>
        <v>0</v>
      </c>
    </row>
    <row r="200" spans="1:25" ht="22.5" x14ac:dyDescent="0.25">
      <c r="A200" s="252" t="s">
        <v>457</v>
      </c>
      <c r="B200" s="253" t="s">
        <v>274</v>
      </c>
      <c r="C200" s="254" t="s">
        <v>275</v>
      </c>
      <c r="D200" s="252" t="s">
        <v>276</v>
      </c>
      <c r="E200" s="242">
        <v>0.06</v>
      </c>
      <c r="F200" s="255">
        <v>15638.67</v>
      </c>
      <c r="U200" s="164">
        <v>0</v>
      </c>
      <c r="Y200" s="164">
        <v>0</v>
      </c>
    </row>
    <row r="201" spans="1:25" s="229" customFormat="1" x14ac:dyDescent="0.25">
      <c r="A201" s="327" t="s">
        <v>458</v>
      </c>
      <c r="B201" s="328" t="s">
        <v>282</v>
      </c>
      <c r="C201" s="329" t="s">
        <v>283</v>
      </c>
      <c r="D201" s="327" t="s">
        <v>127</v>
      </c>
      <c r="E201" s="330">
        <v>-2.9000000000000001E-2</v>
      </c>
      <c r="F201" s="331">
        <v>-2679.86</v>
      </c>
      <c r="G201" s="233"/>
      <c r="H201" s="232"/>
      <c r="T201" s="335"/>
      <c r="U201" s="261">
        <v>0</v>
      </c>
      <c r="V201" s="323"/>
      <c r="Y201" s="261">
        <v>0</v>
      </c>
    </row>
    <row r="202" spans="1:25" x14ac:dyDescent="0.25">
      <c r="A202" s="252" t="s">
        <v>459</v>
      </c>
      <c r="B202" s="253" t="s">
        <v>120</v>
      </c>
      <c r="C202" s="254" t="s">
        <v>285</v>
      </c>
      <c r="D202" s="252" t="s">
        <v>130</v>
      </c>
      <c r="E202" s="242">
        <v>0.36</v>
      </c>
      <c r="F202" s="255">
        <v>134204.32</v>
      </c>
      <c r="U202" s="164">
        <v>0</v>
      </c>
      <c r="Y202" s="164">
        <v>0</v>
      </c>
    </row>
    <row r="203" spans="1:25" x14ac:dyDescent="0.25">
      <c r="A203" s="252" t="s">
        <v>460</v>
      </c>
      <c r="B203" s="253" t="s">
        <v>120</v>
      </c>
      <c r="C203" s="254" t="s">
        <v>129</v>
      </c>
      <c r="D203" s="252" t="s">
        <v>130</v>
      </c>
      <c r="E203" s="242">
        <v>2.9000000000000001E-2</v>
      </c>
      <c r="F203" s="255">
        <v>8010.5</v>
      </c>
      <c r="U203" s="164">
        <v>0</v>
      </c>
      <c r="Y203" s="164">
        <v>0</v>
      </c>
    </row>
    <row r="204" spans="1:25" ht="22.5" x14ac:dyDescent="0.25">
      <c r="A204" s="123" t="s">
        <v>461</v>
      </c>
      <c r="B204" s="160" t="s">
        <v>288</v>
      </c>
      <c r="C204" s="221" t="s">
        <v>289</v>
      </c>
      <c r="D204" s="123" t="s">
        <v>160</v>
      </c>
      <c r="E204" s="161">
        <v>1.3299999999999999E-2</v>
      </c>
      <c r="F204" s="162">
        <v>34682.379999999997</v>
      </c>
      <c r="U204" s="164">
        <f>12.23/1000</f>
        <v>1.2230000000000001E-2</v>
      </c>
      <c r="Y204" s="164">
        <f>12.23/1000</f>
        <v>1.2230000000000001E-2</v>
      </c>
    </row>
    <row r="205" spans="1:25" x14ac:dyDescent="0.25">
      <c r="A205" s="117" t="s">
        <v>161</v>
      </c>
      <c r="B205" s="117"/>
      <c r="C205" s="221"/>
      <c r="D205" s="123"/>
      <c r="E205" s="123"/>
      <c r="F205" s="147"/>
      <c r="U205" s="122"/>
      <c r="Y205" s="122"/>
    </row>
    <row r="206" spans="1:25" ht="33.75" x14ac:dyDescent="0.25">
      <c r="A206" s="123" t="s">
        <v>462</v>
      </c>
      <c r="B206" s="160" t="s">
        <v>163</v>
      </c>
      <c r="C206" s="221" t="s">
        <v>164</v>
      </c>
      <c r="D206" s="123" t="s">
        <v>165</v>
      </c>
      <c r="E206" s="161">
        <v>41.3</v>
      </c>
      <c r="F206" s="162">
        <v>2128.08</v>
      </c>
      <c r="U206" s="164">
        <f>U188*100*1.75</f>
        <v>32.077500000000001</v>
      </c>
      <c r="Y206" s="164">
        <f>Y188*100*1.75</f>
        <v>32.077500000000001</v>
      </c>
    </row>
    <row r="207" spans="1:25" ht="33.75" x14ac:dyDescent="0.25">
      <c r="A207" s="123" t="s">
        <v>463</v>
      </c>
      <c r="B207" s="160" t="s">
        <v>167</v>
      </c>
      <c r="C207" s="221" t="s">
        <v>292</v>
      </c>
      <c r="D207" s="123" t="s">
        <v>165</v>
      </c>
      <c r="E207" s="161">
        <v>12.1</v>
      </c>
      <c r="F207" s="162">
        <v>1594.88</v>
      </c>
      <c r="U207" s="143">
        <v>8.85</v>
      </c>
      <c r="Y207" s="143">
        <v>8.85</v>
      </c>
    </row>
    <row r="208" spans="1:25" ht="22.5" x14ac:dyDescent="0.25">
      <c r="A208" s="123" t="s">
        <v>464</v>
      </c>
      <c r="B208" s="160" t="s">
        <v>170</v>
      </c>
      <c r="C208" s="221" t="s">
        <v>294</v>
      </c>
      <c r="D208" s="123" t="s">
        <v>165</v>
      </c>
      <c r="E208" s="161">
        <v>5</v>
      </c>
      <c r="F208" s="162">
        <v>854.62</v>
      </c>
      <c r="U208" s="143">
        <v>4.16</v>
      </c>
      <c r="Y208" s="143">
        <v>4.16</v>
      </c>
    </row>
    <row r="209" spans="1:25" ht="33.75" x14ac:dyDescent="0.25">
      <c r="A209" s="123" t="s">
        <v>465</v>
      </c>
      <c r="B209" s="160" t="s">
        <v>173</v>
      </c>
      <c r="C209" s="221" t="s">
        <v>174</v>
      </c>
      <c r="D209" s="123" t="s">
        <v>165</v>
      </c>
      <c r="E209" s="161">
        <v>58.4</v>
      </c>
      <c r="F209" s="162">
        <v>3656.31</v>
      </c>
      <c r="U209" s="143">
        <f>U208+U207+U206</f>
        <v>45.087499999999999</v>
      </c>
      <c r="Y209" s="143">
        <f>Y208+Y207+Y206</f>
        <v>45.087499999999999</v>
      </c>
    </row>
    <row r="210" spans="1:25" hidden="1" x14ac:dyDescent="0.25">
      <c r="A210" s="114" t="s">
        <v>470</v>
      </c>
      <c r="B210" s="114"/>
      <c r="C210" s="220"/>
      <c r="D210" s="120"/>
      <c r="E210" s="120"/>
      <c r="F210" s="140"/>
    </row>
    <row r="211" spans="1:25" ht="22.5" hidden="1" x14ac:dyDescent="0.25">
      <c r="A211" s="123" t="s">
        <v>471</v>
      </c>
      <c r="B211" s="160" t="s">
        <v>208</v>
      </c>
      <c r="C211" s="221" t="s">
        <v>209</v>
      </c>
      <c r="D211" s="123" t="s">
        <v>210</v>
      </c>
      <c r="E211" s="161">
        <v>1</v>
      </c>
      <c r="F211" s="162">
        <v>44914.41</v>
      </c>
    </row>
    <row r="212" spans="1:25" ht="22.5" hidden="1" x14ac:dyDescent="0.25">
      <c r="A212" s="123" t="s">
        <v>472</v>
      </c>
      <c r="B212" s="160" t="s">
        <v>82</v>
      </c>
      <c r="C212" s="221" t="s">
        <v>83</v>
      </c>
      <c r="D212" s="123" t="s">
        <v>58</v>
      </c>
      <c r="E212" s="161">
        <v>0.28399999999999997</v>
      </c>
      <c r="F212" s="162">
        <v>5647.38</v>
      </c>
    </row>
    <row r="213" spans="1:25" ht="22.5" hidden="1" x14ac:dyDescent="0.25">
      <c r="A213" s="123" t="s">
        <v>473</v>
      </c>
      <c r="B213" s="160" t="s">
        <v>89</v>
      </c>
      <c r="C213" s="221" t="s">
        <v>90</v>
      </c>
      <c r="D213" s="123" t="s">
        <v>58</v>
      </c>
      <c r="E213" s="161">
        <v>0.1336</v>
      </c>
      <c r="F213" s="162">
        <v>2471.04</v>
      </c>
    </row>
    <row r="214" spans="1:25" ht="22.5" hidden="1" x14ac:dyDescent="0.25">
      <c r="A214" s="123" t="s">
        <v>474</v>
      </c>
      <c r="B214" s="160" t="s">
        <v>96</v>
      </c>
      <c r="C214" s="221" t="s">
        <v>97</v>
      </c>
      <c r="D214" s="123" t="s">
        <v>58</v>
      </c>
      <c r="E214" s="161">
        <v>0.13400000000000001</v>
      </c>
      <c r="F214" s="162">
        <v>20372.580000000002</v>
      </c>
    </row>
    <row r="215" spans="1:25" hidden="1" x14ac:dyDescent="0.25">
      <c r="A215" s="123" t="s">
        <v>475</v>
      </c>
      <c r="B215" s="160" t="s">
        <v>104</v>
      </c>
      <c r="C215" s="221" t="s">
        <v>105</v>
      </c>
      <c r="D215" s="123" t="s">
        <v>106</v>
      </c>
      <c r="E215" s="161">
        <v>14.49</v>
      </c>
      <c r="F215" s="162">
        <v>90036.82</v>
      </c>
    </row>
    <row r="216" spans="1:25" ht="33.75" hidden="1" x14ac:dyDescent="0.25">
      <c r="A216" s="123" t="s">
        <v>476</v>
      </c>
      <c r="B216" s="160" t="s">
        <v>241</v>
      </c>
      <c r="C216" s="221" t="s">
        <v>242</v>
      </c>
      <c r="D216" s="123" t="s">
        <v>210</v>
      </c>
      <c r="E216" s="161">
        <v>1</v>
      </c>
      <c r="F216" s="162">
        <v>207003.6</v>
      </c>
    </row>
    <row r="217" spans="1:25" hidden="1" x14ac:dyDescent="0.25">
      <c r="A217" s="123" t="s">
        <v>477</v>
      </c>
      <c r="B217" s="160" t="s">
        <v>244</v>
      </c>
      <c r="C217" s="221" t="s">
        <v>245</v>
      </c>
      <c r="D217" s="123" t="s">
        <v>246</v>
      </c>
      <c r="E217" s="161">
        <v>1</v>
      </c>
      <c r="F217" s="162">
        <v>1667776.02</v>
      </c>
    </row>
    <row r="218" spans="1:25" ht="22.5" hidden="1" x14ac:dyDescent="0.25">
      <c r="A218" s="123" t="s">
        <v>478</v>
      </c>
      <c r="B218" s="160" t="s">
        <v>249</v>
      </c>
      <c r="C218" s="221" t="s">
        <v>250</v>
      </c>
      <c r="D218" s="123" t="s">
        <v>246</v>
      </c>
      <c r="E218" s="161">
        <v>1</v>
      </c>
      <c r="F218" s="162">
        <v>3596141.97</v>
      </c>
    </row>
    <row r="219" spans="1:25" ht="33.75" hidden="1" x14ac:dyDescent="0.25">
      <c r="A219" s="123" t="s">
        <v>479</v>
      </c>
      <c r="B219" s="160" t="s">
        <v>253</v>
      </c>
      <c r="C219" s="221" t="s">
        <v>254</v>
      </c>
      <c r="D219" s="123" t="s">
        <v>115</v>
      </c>
      <c r="E219" s="161">
        <v>1</v>
      </c>
      <c r="F219" s="162">
        <v>42192.34</v>
      </c>
    </row>
    <row r="220" spans="1:25" s="229" customFormat="1" hidden="1" x14ac:dyDescent="0.25">
      <c r="A220" s="166" t="s">
        <v>480</v>
      </c>
      <c r="B220" s="167" t="s">
        <v>260</v>
      </c>
      <c r="C220" s="222" t="s">
        <v>261</v>
      </c>
      <c r="D220" s="166" t="s">
        <v>115</v>
      </c>
      <c r="E220" s="169">
        <v>-2</v>
      </c>
      <c r="F220" s="170">
        <v>-5066.7299999999996</v>
      </c>
      <c r="G220" s="233"/>
      <c r="H220" s="232"/>
      <c r="T220" s="335"/>
      <c r="V220" s="323"/>
    </row>
    <row r="221" spans="1:25" hidden="1" x14ac:dyDescent="0.25">
      <c r="A221" s="123" t="s">
        <v>481</v>
      </c>
      <c r="B221" s="160" t="s">
        <v>263</v>
      </c>
      <c r="C221" s="221" t="s">
        <v>264</v>
      </c>
      <c r="D221" s="123" t="s">
        <v>115</v>
      </c>
      <c r="E221" s="161">
        <v>2</v>
      </c>
      <c r="F221" s="162">
        <v>87727.09</v>
      </c>
    </row>
    <row r="222" spans="1:25" ht="22.5" hidden="1" x14ac:dyDescent="0.25">
      <c r="A222" s="123" t="s">
        <v>482</v>
      </c>
      <c r="B222" s="160" t="s">
        <v>267</v>
      </c>
      <c r="C222" s="221" t="s">
        <v>268</v>
      </c>
      <c r="D222" s="123" t="s">
        <v>115</v>
      </c>
      <c r="E222" s="161">
        <v>1</v>
      </c>
      <c r="F222" s="162">
        <v>156781.35</v>
      </c>
    </row>
    <row r="223" spans="1:25" hidden="1" x14ac:dyDescent="0.25">
      <c r="A223" s="123" t="s">
        <v>483</v>
      </c>
      <c r="B223" s="160" t="s">
        <v>120</v>
      </c>
      <c r="C223" s="221" t="s">
        <v>271</v>
      </c>
      <c r="D223" s="123" t="s">
        <v>115</v>
      </c>
      <c r="E223" s="161">
        <v>1</v>
      </c>
      <c r="F223" s="162">
        <v>4178.1000000000004</v>
      </c>
    </row>
    <row r="224" spans="1:25" ht="22.5" hidden="1" x14ac:dyDescent="0.25">
      <c r="A224" s="123" t="s">
        <v>484</v>
      </c>
      <c r="B224" s="160" t="s">
        <v>274</v>
      </c>
      <c r="C224" s="221" t="s">
        <v>275</v>
      </c>
      <c r="D224" s="123" t="s">
        <v>276</v>
      </c>
      <c r="E224" s="161">
        <v>0.06</v>
      </c>
      <c r="F224" s="162">
        <v>15625.8</v>
      </c>
    </row>
    <row r="225" spans="1:22" s="229" customFormat="1" hidden="1" x14ac:dyDescent="0.25">
      <c r="A225" s="166" t="s">
        <v>485</v>
      </c>
      <c r="B225" s="167" t="s">
        <v>282</v>
      </c>
      <c r="C225" s="222" t="s">
        <v>283</v>
      </c>
      <c r="D225" s="166" t="s">
        <v>127</v>
      </c>
      <c r="E225" s="169">
        <v>-2.9000000000000001E-2</v>
      </c>
      <c r="F225" s="170">
        <v>-2679.76</v>
      </c>
      <c r="G225" s="233"/>
      <c r="H225" s="232"/>
      <c r="T225" s="335"/>
      <c r="V225" s="323"/>
    </row>
    <row r="226" spans="1:22" hidden="1" x14ac:dyDescent="0.25">
      <c r="A226" s="123" t="s">
        <v>486</v>
      </c>
      <c r="B226" s="160" t="s">
        <v>120</v>
      </c>
      <c r="C226" s="221" t="s">
        <v>285</v>
      </c>
      <c r="D226" s="123" t="s">
        <v>130</v>
      </c>
      <c r="E226" s="161">
        <v>0.36</v>
      </c>
      <c r="F226" s="162">
        <v>134204.32</v>
      </c>
    </row>
    <row r="227" spans="1:22" hidden="1" x14ac:dyDescent="0.25">
      <c r="A227" s="123" t="s">
        <v>487</v>
      </c>
      <c r="B227" s="160" t="s">
        <v>120</v>
      </c>
      <c r="C227" s="221" t="s">
        <v>129</v>
      </c>
      <c r="D227" s="123" t="s">
        <v>130</v>
      </c>
      <c r="E227" s="161">
        <v>2.9000000000000001E-2</v>
      </c>
      <c r="F227" s="162">
        <v>8010.5</v>
      </c>
    </row>
    <row r="228" spans="1:22" ht="22.5" hidden="1" x14ac:dyDescent="0.25">
      <c r="A228" s="123" t="s">
        <v>488</v>
      </c>
      <c r="B228" s="160" t="s">
        <v>288</v>
      </c>
      <c r="C228" s="221" t="s">
        <v>289</v>
      </c>
      <c r="D228" s="123" t="s">
        <v>160</v>
      </c>
      <c r="E228" s="161">
        <v>1.3299999999999999E-2</v>
      </c>
      <c r="F228" s="162">
        <v>34682.379999999997</v>
      </c>
    </row>
    <row r="229" spans="1:22" hidden="1" x14ac:dyDescent="0.25">
      <c r="A229" s="117" t="s">
        <v>161</v>
      </c>
      <c r="B229" s="117"/>
      <c r="C229" s="221"/>
      <c r="D229" s="123"/>
      <c r="E229" s="123"/>
      <c r="F229" s="147"/>
    </row>
    <row r="230" spans="1:22" ht="33.75" hidden="1" x14ac:dyDescent="0.25">
      <c r="A230" s="123" t="s">
        <v>489</v>
      </c>
      <c r="B230" s="160" t="s">
        <v>163</v>
      </c>
      <c r="C230" s="221" t="s">
        <v>164</v>
      </c>
      <c r="D230" s="123" t="s">
        <v>165</v>
      </c>
      <c r="E230" s="161">
        <v>49.6</v>
      </c>
      <c r="F230" s="162">
        <v>2555.86</v>
      </c>
    </row>
    <row r="231" spans="1:22" ht="33.75" hidden="1" x14ac:dyDescent="0.25">
      <c r="A231" s="123" t="s">
        <v>490</v>
      </c>
      <c r="B231" s="160" t="s">
        <v>167</v>
      </c>
      <c r="C231" s="221" t="s">
        <v>292</v>
      </c>
      <c r="D231" s="123" t="s">
        <v>165</v>
      </c>
      <c r="E231" s="161">
        <v>9.9</v>
      </c>
      <c r="F231" s="162">
        <v>1304.8699999999999</v>
      </c>
    </row>
    <row r="232" spans="1:22" ht="22.5" hidden="1" x14ac:dyDescent="0.25">
      <c r="A232" s="123" t="s">
        <v>491</v>
      </c>
      <c r="B232" s="160" t="s">
        <v>170</v>
      </c>
      <c r="C232" s="221" t="s">
        <v>294</v>
      </c>
      <c r="D232" s="123" t="s">
        <v>165</v>
      </c>
      <c r="E232" s="161">
        <v>5</v>
      </c>
      <c r="F232" s="162">
        <v>854.62</v>
      </c>
    </row>
    <row r="233" spans="1:22" ht="33.75" hidden="1" x14ac:dyDescent="0.25">
      <c r="A233" s="123" t="s">
        <v>492</v>
      </c>
      <c r="B233" s="160" t="s">
        <v>173</v>
      </c>
      <c r="C233" s="221" t="s">
        <v>174</v>
      </c>
      <c r="D233" s="123" t="s">
        <v>165</v>
      </c>
      <c r="E233" s="161">
        <v>64.5</v>
      </c>
      <c r="F233" s="162">
        <v>4038.29</v>
      </c>
    </row>
    <row r="234" spans="1:22" hidden="1" x14ac:dyDescent="0.25"/>
    <row r="235" spans="1:22" s="128" customFormat="1" hidden="1" collapsed="1" x14ac:dyDescent="0.25">
      <c r="A235" s="114" t="s">
        <v>470</v>
      </c>
      <c r="B235" s="114"/>
      <c r="C235" s="114"/>
      <c r="D235" s="120"/>
      <c r="E235" s="120"/>
      <c r="F235" s="140"/>
      <c r="G235" s="141"/>
      <c r="H235" s="131"/>
      <c r="P235" s="218"/>
      <c r="T235" s="333"/>
      <c r="V235" s="323"/>
    </row>
    <row r="236" spans="1:22" s="128" customFormat="1" hidden="1" x14ac:dyDescent="0.25">
      <c r="A236" s="123" t="s">
        <v>471</v>
      </c>
      <c r="B236" s="160" t="s">
        <v>208</v>
      </c>
      <c r="C236" s="117" t="s">
        <v>209</v>
      </c>
      <c r="D236" s="123" t="s">
        <v>210</v>
      </c>
      <c r="E236" s="161">
        <v>1</v>
      </c>
      <c r="F236" s="162">
        <v>44914.41</v>
      </c>
      <c r="G236" s="141"/>
      <c r="H236" s="131"/>
      <c r="O236" s="164">
        <v>1</v>
      </c>
      <c r="P236" s="218"/>
      <c r="T236" s="333"/>
      <c r="V236" s="323"/>
    </row>
    <row r="237" spans="1:22" s="128" customFormat="1" hidden="1" x14ac:dyDescent="0.25">
      <c r="A237" s="123" t="s">
        <v>472</v>
      </c>
      <c r="B237" s="160" t="s">
        <v>82</v>
      </c>
      <c r="C237" s="117" t="s">
        <v>83</v>
      </c>
      <c r="D237" s="123" t="s">
        <v>58</v>
      </c>
      <c r="E237" s="161">
        <v>0.28399999999999997</v>
      </c>
      <c r="F237" s="162">
        <v>5647.38</v>
      </c>
      <c r="G237" s="141"/>
      <c r="H237" s="131"/>
      <c r="O237" s="212">
        <f>20.51/100</f>
        <v>0.2051</v>
      </c>
      <c r="P237" s="218"/>
      <c r="T237" s="333"/>
      <c r="V237" s="323"/>
    </row>
    <row r="238" spans="1:22" s="128" customFormat="1" hidden="1" x14ac:dyDescent="0.25">
      <c r="A238" s="123" t="s">
        <v>473</v>
      </c>
      <c r="B238" s="160" t="s">
        <v>89</v>
      </c>
      <c r="C238" s="117" t="s">
        <v>90</v>
      </c>
      <c r="D238" s="123" t="s">
        <v>58</v>
      </c>
      <c r="E238" s="161">
        <v>0.1336</v>
      </c>
      <c r="F238" s="162">
        <v>2471.04</v>
      </c>
      <c r="G238" s="141"/>
      <c r="H238" s="131"/>
      <c r="O238" s="212">
        <f>9.55/100</f>
        <v>9.5500000000000002E-2</v>
      </c>
      <c r="P238" s="218"/>
      <c r="T238" s="333"/>
      <c r="V238" s="323"/>
    </row>
    <row r="239" spans="1:22" s="128" customFormat="1" hidden="1" x14ac:dyDescent="0.25">
      <c r="A239" s="123" t="s">
        <v>474</v>
      </c>
      <c r="B239" s="160" t="s">
        <v>96</v>
      </c>
      <c r="C239" s="117" t="s">
        <v>97</v>
      </c>
      <c r="D239" s="123" t="s">
        <v>58</v>
      </c>
      <c r="E239" s="161">
        <v>0.13400000000000001</v>
      </c>
      <c r="F239" s="162">
        <v>20372.580000000002</v>
      </c>
      <c r="G239" s="141"/>
      <c r="H239" s="131"/>
      <c r="O239" s="212">
        <f>O238</f>
        <v>9.5500000000000002E-2</v>
      </c>
      <c r="P239" s="218"/>
      <c r="T239" s="333"/>
      <c r="V239" s="323"/>
    </row>
    <row r="240" spans="1:22" s="128" customFormat="1" hidden="1" x14ac:dyDescent="0.25">
      <c r="A240" s="123" t="s">
        <v>475</v>
      </c>
      <c r="B240" s="160" t="s">
        <v>104</v>
      </c>
      <c r="C240" s="117" t="s">
        <v>105</v>
      </c>
      <c r="D240" s="123" t="s">
        <v>106</v>
      </c>
      <c r="E240" s="161">
        <v>14.49</v>
      </c>
      <c r="F240" s="162">
        <v>90036.82</v>
      </c>
      <c r="G240" s="141"/>
      <c r="H240" s="131"/>
      <c r="O240" s="215">
        <f>1.26*O239*100</f>
        <v>12.033000000000001</v>
      </c>
      <c r="P240" s="218"/>
      <c r="T240" s="333"/>
      <c r="V240" s="323"/>
    </row>
    <row r="241" spans="1:22" s="128" customFormat="1" hidden="1" x14ac:dyDescent="0.25">
      <c r="A241" s="123" t="s">
        <v>476</v>
      </c>
      <c r="B241" s="160" t="s">
        <v>241</v>
      </c>
      <c r="C241" s="117" t="s">
        <v>242</v>
      </c>
      <c r="D241" s="123" t="s">
        <v>210</v>
      </c>
      <c r="E241" s="161">
        <v>1</v>
      </c>
      <c r="F241" s="162">
        <v>207003.6</v>
      </c>
      <c r="G241" s="141"/>
      <c r="H241" s="131"/>
      <c r="O241" s="164">
        <v>1</v>
      </c>
      <c r="P241" s="218"/>
      <c r="T241" s="333"/>
      <c r="V241" s="323"/>
    </row>
    <row r="242" spans="1:22" s="128" customFormat="1" hidden="1" x14ac:dyDescent="0.25">
      <c r="A242" s="123" t="s">
        <v>477</v>
      </c>
      <c r="B242" s="160" t="s">
        <v>244</v>
      </c>
      <c r="C242" s="117" t="s">
        <v>245</v>
      </c>
      <c r="D242" s="123" t="s">
        <v>246</v>
      </c>
      <c r="E242" s="161">
        <v>1</v>
      </c>
      <c r="F242" s="162">
        <v>1667776.02</v>
      </c>
      <c r="G242" s="141"/>
      <c r="H242" s="131"/>
      <c r="O242" s="164">
        <v>1</v>
      </c>
      <c r="P242" s="218"/>
      <c r="T242" s="333"/>
      <c r="V242" s="323"/>
    </row>
    <row r="243" spans="1:22" s="128" customFormat="1" hidden="1" x14ac:dyDescent="0.25">
      <c r="A243" s="123" t="s">
        <v>478</v>
      </c>
      <c r="B243" s="160" t="s">
        <v>249</v>
      </c>
      <c r="C243" s="117" t="s">
        <v>250</v>
      </c>
      <c r="D243" s="123" t="s">
        <v>246</v>
      </c>
      <c r="E243" s="161">
        <v>1</v>
      </c>
      <c r="F243" s="162">
        <v>3596141.97</v>
      </c>
      <c r="G243" s="141"/>
      <c r="H243" s="131"/>
      <c r="O243" s="164">
        <v>1</v>
      </c>
      <c r="P243" s="218"/>
      <c r="T243" s="333"/>
      <c r="V243" s="323"/>
    </row>
    <row r="244" spans="1:22" s="128" customFormat="1" hidden="1" x14ac:dyDescent="0.25">
      <c r="A244" s="123" t="s">
        <v>479</v>
      </c>
      <c r="B244" s="160" t="s">
        <v>253</v>
      </c>
      <c r="C244" s="117" t="s">
        <v>254</v>
      </c>
      <c r="D244" s="123" t="s">
        <v>115</v>
      </c>
      <c r="E244" s="161">
        <v>1</v>
      </c>
      <c r="F244" s="162">
        <v>42192.34</v>
      </c>
      <c r="G244" s="141"/>
      <c r="H244" s="131"/>
      <c r="O244" s="164">
        <v>1</v>
      </c>
      <c r="P244" s="218"/>
      <c r="T244" s="333"/>
      <c r="V244" s="323"/>
    </row>
    <row r="245" spans="1:22" s="171" customFormat="1" hidden="1" x14ac:dyDescent="0.25">
      <c r="A245" s="166" t="s">
        <v>480</v>
      </c>
      <c r="B245" s="167" t="s">
        <v>260</v>
      </c>
      <c r="C245" s="168" t="s">
        <v>261</v>
      </c>
      <c r="D245" s="166" t="s">
        <v>115</v>
      </c>
      <c r="E245" s="169">
        <v>-2</v>
      </c>
      <c r="F245" s="170">
        <v>-5066.7299999999996</v>
      </c>
      <c r="G245" s="146"/>
      <c r="H245" s="135"/>
      <c r="O245" s="261">
        <v>-2</v>
      </c>
      <c r="P245" s="229"/>
      <c r="T245" s="335"/>
      <c r="V245" s="323"/>
    </row>
    <row r="246" spans="1:22" s="128" customFormat="1" hidden="1" x14ac:dyDescent="0.25">
      <c r="A246" s="123" t="s">
        <v>481</v>
      </c>
      <c r="B246" s="160" t="s">
        <v>263</v>
      </c>
      <c r="C246" s="117" t="s">
        <v>264</v>
      </c>
      <c r="D246" s="123" t="s">
        <v>115</v>
      </c>
      <c r="E246" s="161">
        <v>2</v>
      </c>
      <c r="F246" s="162">
        <v>87727.09</v>
      </c>
      <c r="G246" s="141"/>
      <c r="H246" s="131"/>
      <c r="O246" s="164">
        <v>2</v>
      </c>
      <c r="P246" s="218"/>
      <c r="T246" s="333"/>
      <c r="V246" s="323"/>
    </row>
    <row r="247" spans="1:22" s="128" customFormat="1" hidden="1" x14ac:dyDescent="0.25">
      <c r="A247" s="123" t="s">
        <v>482</v>
      </c>
      <c r="B247" s="160" t="s">
        <v>267</v>
      </c>
      <c r="C247" s="117" t="s">
        <v>268</v>
      </c>
      <c r="D247" s="123" t="s">
        <v>115</v>
      </c>
      <c r="E247" s="161">
        <v>1</v>
      </c>
      <c r="F247" s="162">
        <v>156781.35</v>
      </c>
      <c r="G247" s="141"/>
      <c r="H247" s="131"/>
      <c r="O247" s="164">
        <v>1</v>
      </c>
      <c r="P247" s="218"/>
      <c r="T247" s="333"/>
      <c r="V247" s="323"/>
    </row>
    <row r="248" spans="1:22" s="128" customFormat="1" hidden="1" x14ac:dyDescent="0.25">
      <c r="A248" s="123" t="s">
        <v>483</v>
      </c>
      <c r="B248" s="160" t="s">
        <v>120</v>
      </c>
      <c r="C248" s="117" t="s">
        <v>271</v>
      </c>
      <c r="D248" s="123" t="s">
        <v>115</v>
      </c>
      <c r="E248" s="161">
        <v>1</v>
      </c>
      <c r="F248" s="162">
        <v>4178.1000000000004</v>
      </c>
      <c r="G248" s="141"/>
      <c r="H248" s="131"/>
      <c r="O248" s="164">
        <v>1</v>
      </c>
      <c r="P248" s="218"/>
      <c r="T248" s="333"/>
      <c r="V248" s="323"/>
    </row>
    <row r="249" spans="1:22" s="128" customFormat="1" hidden="1" x14ac:dyDescent="0.25">
      <c r="A249" s="262" t="s">
        <v>484</v>
      </c>
      <c r="B249" s="263" t="s">
        <v>274</v>
      </c>
      <c r="C249" s="266" t="s">
        <v>275</v>
      </c>
      <c r="D249" s="262" t="s">
        <v>276</v>
      </c>
      <c r="E249" s="243">
        <v>0.06</v>
      </c>
      <c r="F249" s="265">
        <v>15625.8</v>
      </c>
      <c r="G249" s="141"/>
      <c r="H249" s="131"/>
      <c r="O249" s="243">
        <v>0</v>
      </c>
      <c r="P249" s="229" t="s">
        <v>552</v>
      </c>
      <c r="T249" s="333"/>
      <c r="V249" s="323"/>
    </row>
    <row r="250" spans="1:22" s="171" customFormat="1" hidden="1" x14ac:dyDescent="0.25">
      <c r="A250" s="262" t="s">
        <v>485</v>
      </c>
      <c r="B250" s="263" t="s">
        <v>282</v>
      </c>
      <c r="C250" s="266" t="s">
        <v>283</v>
      </c>
      <c r="D250" s="262" t="s">
        <v>127</v>
      </c>
      <c r="E250" s="243">
        <v>-2.9000000000000001E-2</v>
      </c>
      <c r="F250" s="265">
        <v>-2679.76</v>
      </c>
      <c r="G250" s="146"/>
      <c r="H250" s="135"/>
      <c r="O250" s="243">
        <v>0</v>
      </c>
      <c r="P250" s="229" t="s">
        <v>552</v>
      </c>
      <c r="T250" s="335"/>
      <c r="V250" s="323"/>
    </row>
    <row r="251" spans="1:22" s="128" customFormat="1" hidden="1" x14ac:dyDescent="0.25">
      <c r="A251" s="262" t="s">
        <v>486</v>
      </c>
      <c r="B251" s="263" t="s">
        <v>120</v>
      </c>
      <c r="C251" s="266" t="s">
        <v>285</v>
      </c>
      <c r="D251" s="262" t="s">
        <v>130</v>
      </c>
      <c r="E251" s="243">
        <v>0.36</v>
      </c>
      <c r="F251" s="265">
        <v>134204.32</v>
      </c>
      <c r="G251" s="141"/>
      <c r="H251" s="131"/>
      <c r="O251" s="243">
        <v>0</v>
      </c>
      <c r="P251" s="229" t="s">
        <v>552</v>
      </c>
      <c r="T251" s="333"/>
      <c r="V251" s="323"/>
    </row>
    <row r="252" spans="1:22" s="128" customFormat="1" hidden="1" x14ac:dyDescent="0.25">
      <c r="A252" s="262" t="s">
        <v>487</v>
      </c>
      <c r="B252" s="263" t="s">
        <v>120</v>
      </c>
      <c r="C252" s="266" t="s">
        <v>129</v>
      </c>
      <c r="D252" s="262" t="s">
        <v>130</v>
      </c>
      <c r="E252" s="243">
        <v>2.9000000000000001E-2</v>
      </c>
      <c r="F252" s="265">
        <v>8010.5</v>
      </c>
      <c r="G252" s="141"/>
      <c r="H252" s="131"/>
      <c r="O252" s="243">
        <v>0</v>
      </c>
      <c r="P252" s="229" t="s">
        <v>552</v>
      </c>
      <c r="T252" s="333"/>
      <c r="V252" s="323"/>
    </row>
    <row r="253" spans="1:22" s="128" customFormat="1" hidden="1" x14ac:dyDescent="0.25">
      <c r="A253" s="123" t="s">
        <v>488</v>
      </c>
      <c r="B253" s="160" t="s">
        <v>288</v>
      </c>
      <c r="C253" s="117" t="s">
        <v>289</v>
      </c>
      <c r="D253" s="123" t="s">
        <v>160</v>
      </c>
      <c r="E253" s="161">
        <v>1.3299999999999999E-2</v>
      </c>
      <c r="F253" s="162">
        <v>34682.379999999997</v>
      </c>
      <c r="G253" s="141"/>
      <c r="H253" s="131"/>
      <c r="O253" s="212">
        <f>12.47/1000</f>
        <v>1.247E-2</v>
      </c>
      <c r="P253" s="218"/>
      <c r="T253" s="333"/>
      <c r="V253" s="323"/>
    </row>
    <row r="254" spans="1:22" s="128" customFormat="1" hidden="1" x14ac:dyDescent="0.25">
      <c r="A254" s="117" t="s">
        <v>161</v>
      </c>
      <c r="B254" s="117"/>
      <c r="C254" s="117"/>
      <c r="D254" s="123"/>
      <c r="E254" s="123"/>
      <c r="F254" s="147"/>
      <c r="G254" s="141"/>
      <c r="H254" s="131"/>
      <c r="O254" s="226"/>
      <c r="P254" s="218"/>
      <c r="T254" s="333"/>
      <c r="V254" s="323"/>
    </row>
    <row r="255" spans="1:22" s="128" customFormat="1" hidden="1" x14ac:dyDescent="0.25">
      <c r="A255" s="123" t="s">
        <v>489</v>
      </c>
      <c r="B255" s="160" t="s">
        <v>163</v>
      </c>
      <c r="C255" s="117" t="s">
        <v>164</v>
      </c>
      <c r="D255" s="123" t="s">
        <v>165</v>
      </c>
      <c r="E255" s="161">
        <v>49.6</v>
      </c>
      <c r="F255" s="162">
        <v>2555.86</v>
      </c>
      <c r="G255" s="141"/>
      <c r="H255" s="131"/>
      <c r="O255" s="143">
        <f>O237*100*1.75</f>
        <v>35.892500000000005</v>
      </c>
      <c r="P255" s="218"/>
      <c r="T255" s="333"/>
      <c r="V255" s="323"/>
    </row>
    <row r="256" spans="1:22" s="128" customFormat="1" hidden="1" x14ac:dyDescent="0.25">
      <c r="A256" s="123" t="s">
        <v>490</v>
      </c>
      <c r="B256" s="160" t="s">
        <v>167</v>
      </c>
      <c r="C256" s="117" t="s">
        <v>292</v>
      </c>
      <c r="D256" s="123" t="s">
        <v>165</v>
      </c>
      <c r="E256" s="161">
        <v>9.9</v>
      </c>
      <c r="F256" s="162">
        <v>1304.8699999999999</v>
      </c>
      <c r="G256" s="141"/>
      <c r="H256" s="131"/>
      <c r="O256" s="143">
        <v>8.85</v>
      </c>
      <c r="P256" s="218"/>
      <c r="T256" s="333"/>
      <c r="V256" s="323"/>
    </row>
    <row r="257" spans="1:22" s="128" customFormat="1" hidden="1" x14ac:dyDescent="0.25">
      <c r="A257" s="123" t="s">
        <v>491</v>
      </c>
      <c r="B257" s="160" t="s">
        <v>170</v>
      </c>
      <c r="C257" s="117" t="s">
        <v>294</v>
      </c>
      <c r="D257" s="123" t="s">
        <v>165</v>
      </c>
      <c r="E257" s="161">
        <v>5</v>
      </c>
      <c r="F257" s="162">
        <v>854.62</v>
      </c>
      <c r="G257" s="141"/>
      <c r="H257" s="131"/>
      <c r="O257" s="143">
        <v>4.16</v>
      </c>
      <c r="P257" s="218"/>
      <c r="T257" s="333"/>
      <c r="V257" s="323"/>
    </row>
    <row r="258" spans="1:22" s="128" customFormat="1" hidden="1" x14ac:dyDescent="0.25">
      <c r="A258" s="123" t="s">
        <v>492</v>
      </c>
      <c r="B258" s="160" t="s">
        <v>173</v>
      </c>
      <c r="C258" s="117" t="s">
        <v>174</v>
      </c>
      <c r="D258" s="123" t="s">
        <v>165</v>
      </c>
      <c r="E258" s="161">
        <v>64.5</v>
      </c>
      <c r="F258" s="162">
        <v>4038.29</v>
      </c>
      <c r="G258" s="141"/>
      <c r="H258" s="131"/>
      <c r="O258" s="143">
        <f>O257+O256+O255</f>
        <v>48.902500000000003</v>
      </c>
      <c r="P258" s="218"/>
      <c r="T258" s="333"/>
      <c r="V258" s="323"/>
    </row>
  </sheetData>
  <pageMargins left="0.7" right="0.7" top="0.75" bottom="0.75" header="0.3" footer="0.3"/>
  <pageSetup paperSize="9" scale="56" fitToHeight="0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822F9A-3844-4D2A-9750-13D7B56DD25B}">
  <sheetPr>
    <pageSetUpPr fitToPage="1"/>
  </sheetPr>
  <dimension ref="A1:U258"/>
  <sheetViews>
    <sheetView zoomScale="130" zoomScaleNormal="130" workbookViewId="0">
      <pane ySplit="1" topLeftCell="A2" activePane="bottomLeft" state="frozen"/>
      <selection pane="bottomLeft" activeCell="C20" sqref="C20"/>
    </sheetView>
  </sheetViews>
  <sheetFormatPr defaultRowHeight="15" outlineLevelCol="1" x14ac:dyDescent="0.25"/>
  <cols>
    <col min="1" max="1" width="5.85546875" style="218" customWidth="1"/>
    <col min="2" max="2" width="17.42578125" style="218" customWidth="1"/>
    <col min="3" max="3" width="58.140625" style="235" customWidth="1"/>
    <col min="4" max="4" width="11.140625" style="217" customWidth="1"/>
    <col min="5" max="5" width="11" style="217" customWidth="1"/>
    <col min="6" max="6" width="13.140625" style="234" customWidth="1"/>
    <col min="7" max="7" width="11.140625" style="230" hidden="1" customWidth="1" outlineLevel="1"/>
    <col min="8" max="8" width="10.7109375" style="217" hidden="1" customWidth="1" outlineLevel="1"/>
    <col min="9" max="9" width="10.7109375" style="218" hidden="1" customWidth="1" outlineLevel="1"/>
    <col min="10" max="10" width="9.42578125" style="218" hidden="1" customWidth="1" outlineLevel="1"/>
    <col min="11" max="11" width="10.42578125" style="218" hidden="1" customWidth="1" outlineLevel="1"/>
    <col min="12" max="12" width="10.85546875" style="218" hidden="1" customWidth="1" outlineLevel="1"/>
    <col min="13" max="15" width="9.140625" style="218" hidden="1" customWidth="1" outlineLevel="1"/>
    <col min="16" max="16" width="20.28515625" style="218" hidden="1" customWidth="1" outlineLevel="1"/>
    <col min="17" max="17" width="9.140625" style="218" hidden="1" customWidth="1" outlineLevel="1"/>
    <col min="18" max="18" width="19.7109375" style="218" hidden="1" customWidth="1" outlineLevel="1"/>
    <col min="19" max="19" width="19.7109375" style="218" customWidth="1" collapsed="1"/>
    <col min="20" max="20" width="9.140625" style="218"/>
    <col min="21" max="21" width="9.140625" style="323"/>
    <col min="22" max="16384" width="9.140625" style="218"/>
  </cols>
  <sheetData>
    <row r="1" spans="1:21" s="224" customFormat="1" ht="56.25" x14ac:dyDescent="0.25">
      <c r="A1" s="112" t="s">
        <v>42</v>
      </c>
      <c r="B1" s="113" t="s">
        <v>43</v>
      </c>
      <c r="C1" s="113" t="s">
        <v>44</v>
      </c>
      <c r="D1" s="113" t="s">
        <v>45</v>
      </c>
      <c r="E1" s="113" t="s">
        <v>46</v>
      </c>
      <c r="F1" s="137" t="s">
        <v>49</v>
      </c>
      <c r="G1" s="223"/>
      <c r="O1" s="321" t="s">
        <v>550</v>
      </c>
      <c r="Q1" s="321" t="s">
        <v>550</v>
      </c>
      <c r="S1" s="267" t="s">
        <v>588</v>
      </c>
      <c r="U1" s="322"/>
    </row>
    <row r="2" spans="1:21" x14ac:dyDescent="0.25">
      <c r="A2" s="118" t="s">
        <v>54</v>
      </c>
      <c r="B2" s="118"/>
      <c r="C2" s="240"/>
      <c r="D2" s="120"/>
      <c r="E2" s="120"/>
      <c r="F2" s="140"/>
      <c r="G2" s="219" t="s">
        <v>518</v>
      </c>
      <c r="H2" s="225" t="s">
        <v>519</v>
      </c>
      <c r="I2" s="225" t="s">
        <v>521</v>
      </c>
      <c r="J2" s="225" t="s">
        <v>538</v>
      </c>
      <c r="K2" s="225" t="s">
        <v>539</v>
      </c>
      <c r="L2" s="225" t="s">
        <v>542</v>
      </c>
      <c r="M2" s="225" t="s">
        <v>543</v>
      </c>
      <c r="N2" s="225" t="s">
        <v>544</v>
      </c>
      <c r="O2" s="225" t="s">
        <v>549</v>
      </c>
      <c r="Q2" s="225" t="s">
        <v>554</v>
      </c>
      <c r="S2" s="225">
        <v>13</v>
      </c>
    </row>
    <row r="3" spans="1:21" ht="22.5" x14ac:dyDescent="0.25">
      <c r="A3" s="123" t="s">
        <v>55</v>
      </c>
      <c r="B3" s="160" t="s">
        <v>56</v>
      </c>
      <c r="C3" s="221" t="s">
        <v>57</v>
      </c>
      <c r="D3" s="123" t="s">
        <v>58</v>
      </c>
      <c r="E3" s="161">
        <v>0.17549999999999999</v>
      </c>
      <c r="F3" s="162">
        <v>18806.66</v>
      </c>
      <c r="G3" s="226">
        <v>0</v>
      </c>
      <c r="H3" s="227">
        <v>0</v>
      </c>
      <c r="I3" s="227">
        <v>0</v>
      </c>
      <c r="J3" s="227">
        <v>0</v>
      </c>
      <c r="K3" s="227">
        <v>0</v>
      </c>
      <c r="L3" s="226">
        <f>SUM(G3:K3)</f>
        <v>0</v>
      </c>
      <c r="M3" s="227">
        <v>0</v>
      </c>
      <c r="N3" s="227">
        <v>0</v>
      </c>
      <c r="O3" s="132">
        <v>0</v>
      </c>
      <c r="Q3" s="132">
        <v>0</v>
      </c>
      <c r="S3" s="132">
        <v>0</v>
      </c>
    </row>
    <row r="4" spans="1:21" ht="22.5" x14ac:dyDescent="0.25">
      <c r="A4" s="123" t="s">
        <v>70</v>
      </c>
      <c r="B4" s="160" t="s">
        <v>71</v>
      </c>
      <c r="C4" s="221" t="s">
        <v>72</v>
      </c>
      <c r="D4" s="123" t="s">
        <v>73</v>
      </c>
      <c r="E4" s="161">
        <v>0.78</v>
      </c>
      <c r="F4" s="147">
        <v>207758.2</v>
      </c>
      <c r="G4" s="236">
        <f>37.5/1000</f>
        <v>3.7499999999999999E-2</v>
      </c>
      <c r="H4" s="236">
        <v>0</v>
      </c>
      <c r="I4" s="248">
        <f>37.95/1000</f>
        <v>3.7950000000000005E-2</v>
      </c>
      <c r="J4" s="248">
        <f>(6+2.92)/1000</f>
        <v>8.9199999999999991E-3</v>
      </c>
      <c r="K4" s="248">
        <f>5.25/1000</f>
        <v>5.2500000000000003E-3</v>
      </c>
      <c r="L4" s="212">
        <f t="shared" ref="L4:L26" si="0">SUM(G4:K4)</f>
        <v>8.9620000000000005E-2</v>
      </c>
      <c r="M4" s="248">
        <f>37.5/1000</f>
        <v>3.7499999999999999E-2</v>
      </c>
      <c r="N4" s="248">
        <f>37.5/1000</f>
        <v>3.7499999999999999E-2</v>
      </c>
      <c r="O4" s="248">
        <f>0.0225+0.0125</f>
        <v>3.5000000000000003E-2</v>
      </c>
      <c r="P4" s="229" t="s">
        <v>551</v>
      </c>
      <c r="Q4" s="248">
        <f>34.92/1000</f>
        <v>3.492E-2</v>
      </c>
      <c r="S4" s="132">
        <v>3.7499999999999999E-2</v>
      </c>
    </row>
    <row r="5" spans="1:21" ht="22.5" x14ac:dyDescent="0.25">
      <c r="A5" s="123" t="s">
        <v>75</v>
      </c>
      <c r="B5" s="117" t="s">
        <v>82</v>
      </c>
      <c r="C5" s="221" t="s">
        <v>83</v>
      </c>
      <c r="D5" s="123" t="s">
        <v>58</v>
      </c>
      <c r="E5" s="161">
        <v>4.5659999999999998</v>
      </c>
      <c r="F5" s="147">
        <v>90796.58</v>
      </c>
      <c r="G5" s="237">
        <f>29.98/100</f>
        <v>0.29980000000000001</v>
      </c>
      <c r="H5" s="236">
        <f>5.95/100</f>
        <v>5.9500000000000004E-2</v>
      </c>
      <c r="I5" s="236">
        <f>30.44/100</f>
        <v>0.3044</v>
      </c>
      <c r="J5" s="236">
        <f>6.59/100</f>
        <v>6.59E-2</v>
      </c>
      <c r="K5" s="236">
        <f>4.93/100</f>
        <v>4.9299999999999997E-2</v>
      </c>
      <c r="L5" s="238">
        <f t="shared" si="0"/>
        <v>0.77889999999999993</v>
      </c>
      <c r="M5" s="236">
        <f>31.06/100</f>
        <v>0.31059999999999999</v>
      </c>
      <c r="N5" s="236">
        <f>27.73/100</f>
        <v>0.27729999999999999</v>
      </c>
      <c r="O5" s="236">
        <f>(17.25+9.3)/100</f>
        <v>0.26550000000000001</v>
      </c>
      <c r="Q5" s="236">
        <f>30.83/100</f>
        <v>0.30829999999999996</v>
      </c>
      <c r="S5" s="132">
        <f>26.24/100</f>
        <v>0.26239999999999997</v>
      </c>
    </row>
    <row r="6" spans="1:21" ht="22.5" x14ac:dyDescent="0.25">
      <c r="A6" s="123" t="s">
        <v>88</v>
      </c>
      <c r="B6" s="160" t="s">
        <v>89</v>
      </c>
      <c r="C6" s="221" t="s">
        <v>90</v>
      </c>
      <c r="D6" s="123" t="s">
        <v>58</v>
      </c>
      <c r="E6" s="161">
        <v>2.08</v>
      </c>
      <c r="F6" s="162">
        <v>38470.42</v>
      </c>
      <c r="G6" s="238">
        <f>14.12/100</f>
        <v>0.14119999999999999</v>
      </c>
      <c r="H6" s="212">
        <f>2.48/100</f>
        <v>2.4799999999999999E-2</v>
      </c>
      <c r="I6" s="238">
        <f>13.06/100</f>
        <v>0.13059999999999999</v>
      </c>
      <c r="J6" s="249">
        <f>3/100</f>
        <v>0.03</v>
      </c>
      <c r="K6" s="238">
        <f>2.08/100</f>
        <v>2.0799999999999999E-2</v>
      </c>
      <c r="L6" s="238">
        <f t="shared" si="0"/>
        <v>0.34739999999999999</v>
      </c>
      <c r="M6" s="212">
        <f>14.55/100</f>
        <v>0.14550000000000002</v>
      </c>
      <c r="N6" s="238">
        <f>13.48/100</f>
        <v>0.1348</v>
      </c>
      <c r="O6" s="238">
        <f>(7.33+4.3)/100</f>
        <v>0.11629999999999999</v>
      </c>
      <c r="Q6" s="238">
        <f>13.33/100</f>
        <v>0.1333</v>
      </c>
      <c r="S6" s="132">
        <f>15.01/100</f>
        <v>0.15010000000000001</v>
      </c>
    </row>
    <row r="7" spans="1:21" ht="22.5" x14ac:dyDescent="0.25">
      <c r="A7" s="123" t="s">
        <v>95</v>
      </c>
      <c r="B7" s="160" t="s">
        <v>96</v>
      </c>
      <c r="C7" s="221" t="s">
        <v>97</v>
      </c>
      <c r="D7" s="123" t="s">
        <v>58</v>
      </c>
      <c r="E7" s="161">
        <v>2.08</v>
      </c>
      <c r="F7" s="162">
        <v>316235.57</v>
      </c>
      <c r="G7" s="238">
        <f>14.12/100</f>
        <v>0.14119999999999999</v>
      </c>
      <c r="H7" s="238">
        <f>2.48/100</f>
        <v>2.4799999999999999E-2</v>
      </c>
      <c r="I7" s="238">
        <f>I6</f>
        <v>0.13059999999999999</v>
      </c>
      <c r="J7" s="249">
        <f>3/100</f>
        <v>0.03</v>
      </c>
      <c r="K7" s="238">
        <f>K6</f>
        <v>2.0799999999999999E-2</v>
      </c>
      <c r="L7" s="238">
        <f t="shared" si="0"/>
        <v>0.34739999999999999</v>
      </c>
      <c r="M7" s="238">
        <f>M6</f>
        <v>0.14550000000000002</v>
      </c>
      <c r="N7" s="238">
        <f>N6</f>
        <v>0.1348</v>
      </c>
      <c r="O7" s="238">
        <f>O6</f>
        <v>0.11629999999999999</v>
      </c>
      <c r="Q7" s="238">
        <f>Q6</f>
        <v>0.1333</v>
      </c>
      <c r="S7" s="132">
        <f>S6</f>
        <v>0.15010000000000001</v>
      </c>
    </row>
    <row r="8" spans="1:21" x14ac:dyDescent="0.25">
      <c r="A8" s="123" t="s">
        <v>103</v>
      </c>
      <c r="B8" s="160" t="s">
        <v>104</v>
      </c>
      <c r="C8" s="221" t="s">
        <v>105</v>
      </c>
      <c r="D8" s="123" t="s">
        <v>106</v>
      </c>
      <c r="E8" s="161">
        <v>262.08</v>
      </c>
      <c r="F8" s="162">
        <v>1628491.9</v>
      </c>
      <c r="G8" s="212">
        <f>1.26*100*G7</f>
        <v>17.7912</v>
      </c>
      <c r="H8" s="212">
        <f>1.26*100*H7</f>
        <v>3.1248</v>
      </c>
      <c r="I8" s="212">
        <f>1.26*100*I7</f>
        <v>16.4556</v>
      </c>
      <c r="J8" s="212">
        <f>1.26*100*J7</f>
        <v>3.78</v>
      </c>
      <c r="K8" s="212">
        <f>1.26*100*K7</f>
        <v>2.6208</v>
      </c>
      <c r="L8" s="212">
        <f t="shared" si="0"/>
        <v>43.772400000000005</v>
      </c>
      <c r="M8" s="212">
        <f>1.26*100*M7</f>
        <v>18.333000000000002</v>
      </c>
      <c r="N8" s="212">
        <f>1.26*100*N7</f>
        <v>16.9848</v>
      </c>
      <c r="O8" s="212">
        <f>1.26*100*O7</f>
        <v>14.653799999999999</v>
      </c>
      <c r="Q8" s="212">
        <f>1.26*100*Q7</f>
        <v>16.7958</v>
      </c>
      <c r="S8" s="212">
        <f>1.26*100*S7</f>
        <v>18.912600000000001</v>
      </c>
    </row>
    <row r="9" spans="1:21" ht="22.5" x14ac:dyDescent="0.25">
      <c r="A9" s="123" t="s">
        <v>109</v>
      </c>
      <c r="B9" s="160" t="s">
        <v>110</v>
      </c>
      <c r="C9" s="221" t="s">
        <v>111</v>
      </c>
      <c r="D9" s="123" t="s">
        <v>73</v>
      </c>
      <c r="E9" s="161">
        <v>0.4647</v>
      </c>
      <c r="F9" s="162">
        <v>7513342.6799999997</v>
      </c>
      <c r="G9" s="238">
        <f>37.5/1000</f>
        <v>3.7499999999999999E-2</v>
      </c>
      <c r="H9" s="238">
        <f>6.4/1000</f>
        <v>6.4000000000000003E-3</v>
      </c>
      <c r="I9" s="250">
        <f>37.95/1000</f>
        <v>3.7950000000000005E-2</v>
      </c>
      <c r="J9" s="250">
        <f>8.92/1000</f>
        <v>8.9199999999999991E-3</v>
      </c>
      <c r="K9" s="250">
        <f>5.25/1000</f>
        <v>5.2500000000000003E-3</v>
      </c>
      <c r="L9" s="238">
        <f t="shared" si="0"/>
        <v>9.6020000000000008E-2</v>
      </c>
      <c r="M9" s="238">
        <f>37.5/1000</f>
        <v>3.7499999999999999E-2</v>
      </c>
      <c r="N9" s="238">
        <f>37.5/1000</f>
        <v>3.7499999999999999E-2</v>
      </c>
      <c r="O9" s="238">
        <f>(22.5+12.5)/1000</f>
        <v>3.5000000000000003E-2</v>
      </c>
      <c r="Q9" s="238">
        <f>34.92/1000</f>
        <v>3.492E-2</v>
      </c>
      <c r="S9" s="132">
        <v>3.7499999999999999E-2</v>
      </c>
    </row>
    <row r="10" spans="1:21" s="229" customFormat="1" ht="22.5" x14ac:dyDescent="0.25">
      <c r="A10" s="166" t="s">
        <v>112</v>
      </c>
      <c r="B10" s="167" t="s">
        <v>113</v>
      </c>
      <c r="C10" s="222" t="s">
        <v>114</v>
      </c>
      <c r="D10" s="166" t="s">
        <v>115</v>
      </c>
      <c r="E10" s="169">
        <v>-855</v>
      </c>
      <c r="F10" s="170">
        <v>-1527842.25</v>
      </c>
      <c r="G10" s="228" t="s">
        <v>540</v>
      </c>
      <c r="H10" s="228" t="s">
        <v>540</v>
      </c>
      <c r="I10" s="228" t="s">
        <v>540</v>
      </c>
      <c r="J10" s="228" t="s">
        <v>540</v>
      </c>
      <c r="K10" s="228" t="s">
        <v>540</v>
      </c>
      <c r="L10" s="228" t="s">
        <v>540</v>
      </c>
      <c r="M10" s="228" t="s">
        <v>540</v>
      </c>
      <c r="N10" s="228" t="s">
        <v>540</v>
      </c>
      <c r="O10" s="228" t="s">
        <v>540</v>
      </c>
      <c r="Q10" s="228" t="s">
        <v>540</v>
      </c>
      <c r="S10" s="228" t="s">
        <v>540</v>
      </c>
      <c r="T10" s="218"/>
      <c r="U10" s="323"/>
    </row>
    <row r="11" spans="1:21" s="229" customFormat="1" x14ac:dyDescent="0.25">
      <c r="A11" s="166" t="s">
        <v>116</v>
      </c>
      <c r="B11" s="167" t="s">
        <v>117</v>
      </c>
      <c r="C11" s="222" t="s">
        <v>118</v>
      </c>
      <c r="D11" s="166" t="s">
        <v>115</v>
      </c>
      <c r="E11" s="169">
        <v>-1710</v>
      </c>
      <c r="F11" s="170">
        <v>-708444.45</v>
      </c>
      <c r="G11" s="228" t="s">
        <v>540</v>
      </c>
      <c r="H11" s="228" t="s">
        <v>540</v>
      </c>
      <c r="I11" s="228" t="s">
        <v>540</v>
      </c>
      <c r="J11" s="228" t="s">
        <v>540</v>
      </c>
      <c r="K11" s="228" t="s">
        <v>540</v>
      </c>
      <c r="L11" s="228" t="s">
        <v>540</v>
      </c>
      <c r="M11" s="228" t="s">
        <v>540</v>
      </c>
      <c r="N11" s="228" t="s">
        <v>540</v>
      </c>
      <c r="O11" s="228" t="s">
        <v>540</v>
      </c>
      <c r="Q11" s="228" t="s">
        <v>540</v>
      </c>
      <c r="S11" s="228" t="s">
        <v>540</v>
      </c>
      <c r="T11" s="218"/>
      <c r="U11" s="323"/>
    </row>
    <row r="12" spans="1:21" ht="22.5" x14ac:dyDescent="0.25">
      <c r="A12" s="123" t="s">
        <v>119</v>
      </c>
      <c r="B12" s="160" t="s">
        <v>120</v>
      </c>
      <c r="C12" s="221" t="s">
        <v>121</v>
      </c>
      <c r="D12" s="123" t="s">
        <v>115</v>
      </c>
      <c r="E12" s="161">
        <v>855</v>
      </c>
      <c r="F12" s="162">
        <v>11682341.33</v>
      </c>
      <c r="G12" s="143">
        <v>69</v>
      </c>
      <c r="H12" s="132">
        <v>12</v>
      </c>
      <c r="I12" s="132">
        <v>61</v>
      </c>
      <c r="J12" s="132">
        <v>8</v>
      </c>
      <c r="K12" s="132">
        <v>11</v>
      </c>
      <c r="L12" s="213">
        <f t="shared" si="0"/>
        <v>161</v>
      </c>
      <c r="M12" s="132">
        <v>69</v>
      </c>
      <c r="N12" s="132">
        <v>69</v>
      </c>
      <c r="O12" s="132">
        <f>32+23</f>
        <v>55</v>
      </c>
      <c r="Q12" s="132">
        <v>64</v>
      </c>
      <c r="S12" s="132">
        <v>68</v>
      </c>
    </row>
    <row r="13" spans="1:21" s="229" customFormat="1" ht="22.5" x14ac:dyDescent="0.25">
      <c r="A13" s="166" t="s">
        <v>124</v>
      </c>
      <c r="B13" s="167" t="s">
        <v>125</v>
      </c>
      <c r="C13" s="222" t="s">
        <v>126</v>
      </c>
      <c r="D13" s="166" t="s">
        <v>127</v>
      </c>
      <c r="E13" s="169">
        <v>-0.307</v>
      </c>
      <c r="F13" s="170">
        <v>-30401.62</v>
      </c>
      <c r="G13" s="228" t="s">
        <v>540</v>
      </c>
      <c r="H13" s="228" t="s">
        <v>540</v>
      </c>
      <c r="I13" s="228" t="s">
        <v>540</v>
      </c>
      <c r="J13" s="228" t="s">
        <v>540</v>
      </c>
      <c r="K13" s="228" t="s">
        <v>540</v>
      </c>
      <c r="L13" s="228" t="s">
        <v>540</v>
      </c>
      <c r="M13" s="228" t="s">
        <v>540</v>
      </c>
      <c r="N13" s="228" t="s">
        <v>540</v>
      </c>
      <c r="O13" s="228" t="s">
        <v>540</v>
      </c>
      <c r="Q13" s="228" t="s">
        <v>540</v>
      </c>
      <c r="S13" s="228" t="s">
        <v>540</v>
      </c>
      <c r="T13" s="218"/>
      <c r="U13" s="323"/>
    </row>
    <row r="14" spans="1:21" x14ac:dyDescent="0.25">
      <c r="A14" s="123" t="s">
        <v>128</v>
      </c>
      <c r="B14" s="160" t="s">
        <v>120</v>
      </c>
      <c r="C14" s="221" t="s">
        <v>129</v>
      </c>
      <c r="D14" s="123" t="s">
        <v>130</v>
      </c>
      <c r="E14" s="161">
        <v>0.307</v>
      </c>
      <c r="F14" s="162">
        <v>84801.18</v>
      </c>
      <c r="G14" s="239">
        <v>5.1999999999999998E-2</v>
      </c>
      <c r="H14" s="239">
        <v>1.2999999999999999E-2</v>
      </c>
      <c r="I14" s="239">
        <v>0.05</v>
      </c>
      <c r="J14" s="239">
        <v>1.2999999999999999E-2</v>
      </c>
      <c r="K14" s="239">
        <v>1.4E-2</v>
      </c>
      <c r="L14" s="239">
        <f t="shared" si="0"/>
        <v>0.14200000000000002</v>
      </c>
      <c r="M14" s="239">
        <v>5.7000000000000002E-2</v>
      </c>
      <c r="N14" s="239">
        <v>5.5E-2</v>
      </c>
      <c r="O14" s="239">
        <f>0.023+0.017</f>
        <v>0.04</v>
      </c>
      <c r="Q14" s="239">
        <v>5.1999999999999998E-2</v>
      </c>
      <c r="S14" s="132">
        <f>0.05</f>
        <v>0.05</v>
      </c>
    </row>
    <row r="15" spans="1:21" s="229" customFormat="1" x14ac:dyDescent="0.25">
      <c r="A15" s="166" t="s">
        <v>132</v>
      </c>
      <c r="B15" s="167" t="s">
        <v>133</v>
      </c>
      <c r="C15" s="222" t="s">
        <v>134</v>
      </c>
      <c r="D15" s="166" t="s">
        <v>115</v>
      </c>
      <c r="E15" s="169">
        <v>-149</v>
      </c>
      <c r="F15" s="170">
        <v>-205672.15</v>
      </c>
      <c r="G15" s="228" t="s">
        <v>540</v>
      </c>
      <c r="H15" s="228" t="s">
        <v>540</v>
      </c>
      <c r="I15" s="228" t="s">
        <v>540</v>
      </c>
      <c r="J15" s="228" t="s">
        <v>540</v>
      </c>
      <c r="K15" s="228" t="s">
        <v>540</v>
      </c>
      <c r="L15" s="228" t="s">
        <v>540</v>
      </c>
      <c r="M15" s="228" t="s">
        <v>540</v>
      </c>
      <c r="N15" s="228" t="s">
        <v>540</v>
      </c>
      <c r="O15" s="228" t="s">
        <v>540</v>
      </c>
      <c r="Q15" s="228" t="s">
        <v>540</v>
      </c>
      <c r="S15" s="228" t="s">
        <v>540</v>
      </c>
      <c r="T15" s="218"/>
      <c r="U15" s="323"/>
    </row>
    <row r="16" spans="1:21" x14ac:dyDescent="0.25">
      <c r="A16" s="123" t="s">
        <v>135</v>
      </c>
      <c r="B16" s="160" t="s">
        <v>120</v>
      </c>
      <c r="C16" s="221" t="s">
        <v>136</v>
      </c>
      <c r="D16" s="123" t="s">
        <v>130</v>
      </c>
      <c r="E16" s="161">
        <v>3.18</v>
      </c>
      <c r="F16" s="162">
        <v>1185471.18</v>
      </c>
      <c r="G16" s="239">
        <v>0.36</v>
      </c>
      <c r="H16" s="239">
        <v>0.12</v>
      </c>
      <c r="I16" s="239">
        <v>0.24</v>
      </c>
      <c r="J16" s="239">
        <v>0.12</v>
      </c>
      <c r="K16" s="239">
        <v>0.12</v>
      </c>
      <c r="L16" s="239">
        <f t="shared" si="0"/>
        <v>0.96</v>
      </c>
      <c r="M16" s="239">
        <v>0.24</v>
      </c>
      <c r="N16" s="239">
        <v>0.24</v>
      </c>
      <c r="O16" s="239">
        <f>0.24+0.18</f>
        <v>0.42</v>
      </c>
      <c r="Q16" s="239">
        <v>0.36</v>
      </c>
      <c r="S16" s="132">
        <v>0.24</v>
      </c>
    </row>
    <row r="17" spans="1:21" s="229" customFormat="1" x14ac:dyDescent="0.25">
      <c r="A17" s="166" t="s">
        <v>138</v>
      </c>
      <c r="B17" s="167" t="s">
        <v>139</v>
      </c>
      <c r="C17" s="222" t="s">
        <v>140</v>
      </c>
      <c r="D17" s="166" t="s">
        <v>141</v>
      </c>
      <c r="E17" s="169">
        <v>-929.4</v>
      </c>
      <c r="F17" s="170">
        <v>-3100850.16</v>
      </c>
      <c r="G17" s="228" t="s">
        <v>540</v>
      </c>
      <c r="H17" s="228" t="s">
        <v>540</v>
      </c>
      <c r="I17" s="228" t="s">
        <v>540</v>
      </c>
      <c r="J17" s="228" t="s">
        <v>540</v>
      </c>
      <c r="K17" s="228" t="s">
        <v>540</v>
      </c>
      <c r="L17" s="228" t="s">
        <v>540</v>
      </c>
      <c r="M17" s="228" t="s">
        <v>540</v>
      </c>
      <c r="N17" s="228" t="s">
        <v>540</v>
      </c>
      <c r="O17" s="228" t="s">
        <v>540</v>
      </c>
      <c r="Q17" s="228" t="s">
        <v>540</v>
      </c>
      <c r="S17" s="228" t="s">
        <v>540</v>
      </c>
      <c r="T17" s="218"/>
      <c r="U17" s="323"/>
    </row>
    <row r="18" spans="1:21" x14ac:dyDescent="0.25">
      <c r="A18" s="123" t="s">
        <v>142</v>
      </c>
      <c r="B18" s="160" t="s">
        <v>120</v>
      </c>
      <c r="C18" s="221" t="s">
        <v>143</v>
      </c>
      <c r="D18" s="123" t="s">
        <v>130</v>
      </c>
      <c r="E18" s="161">
        <v>60.75</v>
      </c>
      <c r="F18" s="162">
        <v>10553895.23</v>
      </c>
      <c r="G18" s="239">
        <f>64.88*37.5*2/1000</f>
        <v>4.8659999999999997</v>
      </c>
      <c r="H18" s="239">
        <f>64.88*6.4*2/1000</f>
        <v>0.83046399999999998</v>
      </c>
      <c r="I18" s="239">
        <f>64.88*37.95*2/1000</f>
        <v>4.9243920000000001</v>
      </c>
      <c r="J18" s="239">
        <f>64.88*8.92*2/1000</f>
        <v>1.1574591999999999</v>
      </c>
      <c r="K18" s="239">
        <f>64.88*5.25*2/1000</f>
        <v>0.68123999999999996</v>
      </c>
      <c r="L18" s="239">
        <f t="shared" si="0"/>
        <v>12.4595552</v>
      </c>
      <c r="M18" s="239">
        <f>64.88*75/1000</f>
        <v>4.8659999999999997</v>
      </c>
      <c r="N18" s="239">
        <f>64.88*75/1000</f>
        <v>4.8659999999999997</v>
      </c>
      <c r="O18" s="239">
        <f>2.92+1.62</f>
        <v>4.54</v>
      </c>
      <c r="P18" s="229"/>
      <c r="Q18" s="239">
        <v>4.53</v>
      </c>
      <c r="S18" s="132">
        <f>64.88*75/1000</f>
        <v>4.8659999999999997</v>
      </c>
    </row>
    <row r="19" spans="1:21" x14ac:dyDescent="0.25">
      <c r="A19" s="123" t="s">
        <v>145</v>
      </c>
      <c r="B19" s="160" t="s">
        <v>120</v>
      </c>
      <c r="C19" s="221" t="s">
        <v>146</v>
      </c>
      <c r="D19" s="123" t="s">
        <v>147</v>
      </c>
      <c r="E19" s="161">
        <v>16</v>
      </c>
      <c r="F19" s="162">
        <v>262341.27</v>
      </c>
      <c r="G19" s="208">
        <v>2</v>
      </c>
      <c r="H19" s="208">
        <v>0</v>
      </c>
      <c r="I19" s="208">
        <v>4</v>
      </c>
      <c r="J19" s="208">
        <v>0</v>
      </c>
      <c r="K19" s="208">
        <v>0</v>
      </c>
      <c r="L19" s="213">
        <f t="shared" si="0"/>
        <v>6</v>
      </c>
      <c r="M19" s="208">
        <v>4</v>
      </c>
      <c r="N19" s="208">
        <v>4</v>
      </c>
      <c r="O19" s="208">
        <v>2</v>
      </c>
      <c r="P19" s="229" t="s">
        <v>553</v>
      </c>
      <c r="Q19" s="268">
        <v>0</v>
      </c>
      <c r="R19" s="229" t="s">
        <v>555</v>
      </c>
      <c r="S19" s="268">
        <v>0</v>
      </c>
    </row>
    <row r="20" spans="1:21" ht="22.5" x14ac:dyDescent="0.25">
      <c r="A20" s="252" t="s">
        <v>149</v>
      </c>
      <c r="B20" s="253" t="s">
        <v>150</v>
      </c>
      <c r="C20" s="254" t="s">
        <v>151</v>
      </c>
      <c r="D20" s="252" t="s">
        <v>152</v>
      </c>
      <c r="E20" s="242">
        <v>6.84</v>
      </c>
      <c r="F20" s="255">
        <v>2675.92</v>
      </c>
      <c r="G20" s="244">
        <f>0.18*2</f>
        <v>0.36</v>
      </c>
      <c r="H20" s="245">
        <f>E20/38*6</f>
        <v>1.08</v>
      </c>
      <c r="I20" s="245">
        <f>E20/38*4</f>
        <v>0.72</v>
      </c>
      <c r="J20" s="245">
        <f>E20/38*7</f>
        <v>1.26</v>
      </c>
      <c r="K20" s="244">
        <f>E20/38*6</f>
        <v>1.08</v>
      </c>
      <c r="L20" s="244">
        <f t="shared" si="0"/>
        <v>4.5</v>
      </c>
      <c r="M20" s="245">
        <f>E20/38*3</f>
        <v>0.54</v>
      </c>
      <c r="N20" s="245">
        <f>E20/38*3</f>
        <v>0.54</v>
      </c>
      <c r="O20" s="245">
        <f>E20/38*8*0</f>
        <v>0</v>
      </c>
      <c r="P20" s="229" t="s">
        <v>552</v>
      </c>
      <c r="Q20" s="245">
        <f>G20/38*8*0</f>
        <v>0</v>
      </c>
      <c r="S20" s="245">
        <f>I20/38*8*0</f>
        <v>0</v>
      </c>
    </row>
    <row r="21" spans="1:21" ht="22.5" x14ac:dyDescent="0.25">
      <c r="A21" s="123" t="s">
        <v>157</v>
      </c>
      <c r="B21" s="160" t="s">
        <v>158</v>
      </c>
      <c r="C21" s="221" t="s">
        <v>159</v>
      </c>
      <c r="D21" s="123" t="s">
        <v>160</v>
      </c>
      <c r="E21" s="161">
        <v>0.2051</v>
      </c>
      <c r="F21" s="162">
        <v>534393.89</v>
      </c>
      <c r="G21" s="214">
        <f>15.35/1000</f>
        <v>1.5349999999999999E-2</v>
      </c>
      <c r="H21" s="132">
        <f>2.71/1000</f>
        <v>2.7100000000000002E-3</v>
      </c>
      <c r="I21" s="132">
        <f>14.62/1000</f>
        <v>1.4619999999999999E-2</v>
      </c>
      <c r="J21" s="250">
        <f>4.24/1000</f>
        <v>4.2399999999999998E-3</v>
      </c>
      <c r="K21" s="132">
        <f>2.14/1000</f>
        <v>2.14E-3</v>
      </c>
      <c r="L21" s="214">
        <f t="shared" si="0"/>
        <v>3.9060000000000004E-2</v>
      </c>
      <c r="M21" s="250">
        <f>16.13/1000</f>
        <v>1.6129999999999999E-2</v>
      </c>
      <c r="N21" s="250">
        <f>14.21/1000</f>
        <v>1.421E-2</v>
      </c>
      <c r="O21" s="250">
        <f>(8.53+4.39)/1000</f>
        <v>1.2919999999999997E-2</v>
      </c>
      <c r="Q21" s="250">
        <f>14.66/1000</f>
        <v>1.4659999999999999E-2</v>
      </c>
      <c r="S21" s="132">
        <f>17.11/1000</f>
        <v>1.711E-2</v>
      </c>
    </row>
    <row r="22" spans="1:21" x14ac:dyDescent="0.25">
      <c r="A22" s="117" t="s">
        <v>161</v>
      </c>
      <c r="B22" s="117"/>
      <c r="C22" s="221"/>
      <c r="D22" s="123"/>
      <c r="E22" s="123"/>
      <c r="F22" s="147"/>
      <c r="G22" s="226"/>
      <c r="H22" s="227"/>
      <c r="I22" s="227"/>
      <c r="J22" s="227"/>
      <c r="K22" s="227"/>
      <c r="L22" s="226"/>
      <c r="M22" s="227"/>
      <c r="N22" s="227"/>
      <c r="O22" s="227"/>
      <c r="Q22" s="227"/>
      <c r="S22" s="227"/>
    </row>
    <row r="23" spans="1:21" ht="33.75" x14ac:dyDescent="0.25">
      <c r="A23" s="123" t="s">
        <v>162</v>
      </c>
      <c r="B23" s="160" t="s">
        <v>163</v>
      </c>
      <c r="C23" s="221" t="s">
        <v>164</v>
      </c>
      <c r="D23" s="123" t="s">
        <v>165</v>
      </c>
      <c r="E23" s="161">
        <v>829.75</v>
      </c>
      <c r="F23" s="162">
        <v>42756.02</v>
      </c>
      <c r="G23" s="143">
        <f>(G3+G5)*1.75*100</f>
        <v>52.465000000000003</v>
      </c>
      <c r="H23" s="143">
        <f>(H3+H5)*1.75*100</f>
        <v>10.412500000000001</v>
      </c>
      <c r="I23" s="143">
        <f>(I3+I5)*1.75*100</f>
        <v>53.269999999999996</v>
      </c>
      <c r="J23" s="207">
        <f>(J3+J5)*1.75*100</f>
        <v>11.532499999999999</v>
      </c>
      <c r="K23" s="207">
        <f>(K3+K5)*1.75*100</f>
        <v>8.6274999999999995</v>
      </c>
      <c r="L23" s="215">
        <f t="shared" si="0"/>
        <v>136.3075</v>
      </c>
      <c r="M23" s="207">
        <f>(M3+M5)*1.75*100</f>
        <v>54.354999999999997</v>
      </c>
      <c r="N23" s="207">
        <f>(N3+N5)*1.75*100</f>
        <v>48.527500000000003</v>
      </c>
      <c r="O23" s="207">
        <f>(O3+O5)*1.75*100</f>
        <v>46.462499999999999</v>
      </c>
      <c r="Q23" s="207">
        <f>(Q3+Q5)*1.75*100</f>
        <v>53.952499999999993</v>
      </c>
      <c r="S23" s="207">
        <f>(S3+S5)*1.75*100</f>
        <v>45.919999999999995</v>
      </c>
    </row>
    <row r="24" spans="1:21" ht="33.75" x14ac:dyDescent="0.25">
      <c r="A24" s="252" t="s">
        <v>166</v>
      </c>
      <c r="B24" s="253" t="s">
        <v>167</v>
      </c>
      <c r="C24" s="254" t="s">
        <v>168</v>
      </c>
      <c r="D24" s="252" t="s">
        <v>165</v>
      </c>
      <c r="E24" s="242">
        <v>86.37</v>
      </c>
      <c r="F24" s="255">
        <v>11384.09</v>
      </c>
      <c r="G24" s="244">
        <v>3.89</v>
      </c>
      <c r="H24" s="245">
        <v>0</v>
      </c>
      <c r="I24" s="245">
        <v>3.93</v>
      </c>
      <c r="J24" s="246">
        <v>0.93</v>
      </c>
      <c r="K24" s="246">
        <v>0.54</v>
      </c>
      <c r="L24" s="247">
        <f t="shared" si="0"/>
        <v>9.2899999999999991</v>
      </c>
      <c r="M24" s="246">
        <f>4.07+0.03</f>
        <v>4.1000000000000005</v>
      </c>
      <c r="N24" s="246">
        <f>3.89+0.17+0.01</f>
        <v>4.07</v>
      </c>
      <c r="O24" s="246">
        <f>(2.33+0.025+1.58)*0</f>
        <v>0</v>
      </c>
      <c r="P24" s="229" t="s">
        <v>552</v>
      </c>
      <c r="Q24" s="246">
        <f>(2.33+0.025+1.58)*0</f>
        <v>0</v>
      </c>
      <c r="S24" s="246">
        <f>(2.33+0.025+1.58)*0</f>
        <v>0</v>
      </c>
    </row>
    <row r="25" spans="1:21" ht="22.5" x14ac:dyDescent="0.25">
      <c r="A25" s="252" t="s">
        <v>169</v>
      </c>
      <c r="B25" s="253" t="s">
        <v>170</v>
      </c>
      <c r="C25" s="254" t="s">
        <v>171</v>
      </c>
      <c r="D25" s="252" t="s">
        <v>165</v>
      </c>
      <c r="E25" s="242">
        <v>133.68</v>
      </c>
      <c r="F25" s="255">
        <v>22849.25</v>
      </c>
      <c r="G25" s="256">
        <v>2.8</v>
      </c>
      <c r="H25" s="246">
        <v>0</v>
      </c>
      <c r="I25" s="246">
        <v>2.48</v>
      </c>
      <c r="J25" s="246">
        <v>1.2</v>
      </c>
      <c r="K25" s="246">
        <v>0.56000000000000005</v>
      </c>
      <c r="L25" s="247">
        <f t="shared" si="0"/>
        <v>7.0399999999999991</v>
      </c>
      <c r="M25" s="246">
        <v>4.4800000000000004</v>
      </c>
      <c r="N25" s="246">
        <v>5.04</v>
      </c>
      <c r="O25" s="246">
        <f>(2+0.8)*0</f>
        <v>0</v>
      </c>
      <c r="P25" s="229" t="s">
        <v>552</v>
      </c>
      <c r="Q25" s="246">
        <f>(2+0.8)*0</f>
        <v>0</v>
      </c>
      <c r="S25" s="246">
        <f>(2+0.8)*0</f>
        <v>0</v>
      </c>
    </row>
    <row r="26" spans="1:21" ht="33.75" x14ac:dyDescent="0.25">
      <c r="A26" s="123" t="s">
        <v>172</v>
      </c>
      <c r="B26" s="160" t="s">
        <v>173</v>
      </c>
      <c r="C26" s="221" t="s">
        <v>174</v>
      </c>
      <c r="D26" s="123" t="s">
        <v>165</v>
      </c>
      <c r="E26" s="161">
        <v>1049.8</v>
      </c>
      <c r="F26" s="162">
        <v>65727.17</v>
      </c>
      <c r="G26" s="215">
        <f>G23</f>
        <v>52.465000000000003</v>
      </c>
      <c r="H26" s="215">
        <f t="shared" ref="H26:K26" si="1">H23</f>
        <v>10.412500000000001</v>
      </c>
      <c r="I26" s="215">
        <f t="shared" si="1"/>
        <v>53.269999999999996</v>
      </c>
      <c r="J26" s="215">
        <f t="shared" si="1"/>
        <v>11.532499999999999</v>
      </c>
      <c r="K26" s="215">
        <f t="shared" si="1"/>
        <v>8.6274999999999995</v>
      </c>
      <c r="L26" s="215">
        <f t="shared" si="0"/>
        <v>136.3075</v>
      </c>
      <c r="M26" s="215">
        <f t="shared" ref="M26:S26" si="2">M23</f>
        <v>54.354999999999997</v>
      </c>
      <c r="N26" s="215">
        <f t="shared" si="2"/>
        <v>48.527500000000003</v>
      </c>
      <c r="O26" s="215">
        <f t="shared" si="2"/>
        <v>46.462499999999999</v>
      </c>
      <c r="Q26" s="215">
        <f t="shared" si="2"/>
        <v>53.952499999999993</v>
      </c>
      <c r="S26" s="215">
        <f t="shared" si="2"/>
        <v>45.919999999999995</v>
      </c>
    </row>
    <row r="27" spans="1:21" hidden="1" x14ac:dyDescent="0.25">
      <c r="A27" s="114" t="s">
        <v>206</v>
      </c>
      <c r="B27" s="114"/>
      <c r="C27" s="220"/>
      <c r="D27" s="120"/>
      <c r="E27" s="120"/>
      <c r="F27" s="140"/>
    </row>
    <row r="28" spans="1:21" ht="22.5" hidden="1" x14ac:dyDescent="0.25">
      <c r="A28" s="123" t="s">
        <v>207</v>
      </c>
      <c r="B28" s="160" t="s">
        <v>208</v>
      </c>
      <c r="C28" s="221" t="s">
        <v>209</v>
      </c>
      <c r="D28" s="123" t="s">
        <v>210</v>
      </c>
      <c r="E28" s="161">
        <v>1</v>
      </c>
      <c r="F28" s="162">
        <v>44914.41</v>
      </c>
    </row>
    <row r="29" spans="1:21" ht="22.5" hidden="1" x14ac:dyDescent="0.25">
      <c r="A29" s="123" t="s">
        <v>211</v>
      </c>
      <c r="B29" s="160" t="s">
        <v>167</v>
      </c>
      <c r="C29" s="221" t="s">
        <v>212</v>
      </c>
      <c r="D29" s="123" t="s">
        <v>165</v>
      </c>
      <c r="E29" s="161">
        <v>8.6199999999999992</v>
      </c>
      <c r="F29" s="162">
        <v>1136.1500000000001</v>
      </c>
    </row>
    <row r="30" spans="1:21" ht="22.5" hidden="1" x14ac:dyDescent="0.25">
      <c r="A30" s="123" t="s">
        <v>213</v>
      </c>
      <c r="B30" s="160" t="s">
        <v>170</v>
      </c>
      <c r="C30" s="221" t="s">
        <v>214</v>
      </c>
      <c r="D30" s="123" t="s">
        <v>165</v>
      </c>
      <c r="E30" s="161">
        <v>5.04</v>
      </c>
      <c r="F30" s="162">
        <v>861.54</v>
      </c>
    </row>
    <row r="31" spans="1:21" ht="33.75" hidden="1" x14ac:dyDescent="0.25">
      <c r="A31" s="123" t="s">
        <v>215</v>
      </c>
      <c r="B31" s="160" t="s">
        <v>173</v>
      </c>
      <c r="C31" s="221" t="s">
        <v>174</v>
      </c>
      <c r="D31" s="123" t="s">
        <v>165</v>
      </c>
      <c r="E31" s="161">
        <v>13.66</v>
      </c>
      <c r="F31" s="162">
        <v>855.28</v>
      </c>
    </row>
    <row r="32" spans="1:21" hidden="1" x14ac:dyDescent="0.25">
      <c r="A32" s="114" t="s">
        <v>220</v>
      </c>
      <c r="B32" s="114"/>
      <c r="C32" s="220"/>
      <c r="D32" s="120"/>
      <c r="E32" s="120"/>
      <c r="F32" s="140"/>
    </row>
    <row r="33" spans="1:8" ht="22.5" hidden="1" x14ac:dyDescent="0.25">
      <c r="A33" s="123" t="s">
        <v>221</v>
      </c>
      <c r="B33" s="160" t="s">
        <v>208</v>
      </c>
      <c r="C33" s="221" t="s">
        <v>209</v>
      </c>
      <c r="D33" s="123" t="s">
        <v>210</v>
      </c>
      <c r="E33" s="161">
        <v>1</v>
      </c>
      <c r="F33" s="162">
        <v>44914.41</v>
      </c>
    </row>
    <row r="34" spans="1:8" ht="22.5" hidden="1" x14ac:dyDescent="0.25">
      <c r="A34" s="123" t="s">
        <v>222</v>
      </c>
      <c r="B34" s="160" t="s">
        <v>167</v>
      </c>
      <c r="C34" s="221" t="s">
        <v>212</v>
      </c>
      <c r="D34" s="123" t="s">
        <v>165</v>
      </c>
      <c r="E34" s="161">
        <v>8.6199999999999992</v>
      </c>
      <c r="F34" s="162">
        <v>1136.1500000000001</v>
      </c>
    </row>
    <row r="35" spans="1:8" ht="22.5" hidden="1" x14ac:dyDescent="0.25">
      <c r="A35" s="123" t="s">
        <v>223</v>
      </c>
      <c r="B35" s="160" t="s">
        <v>170</v>
      </c>
      <c r="C35" s="221" t="s">
        <v>214</v>
      </c>
      <c r="D35" s="123" t="s">
        <v>165</v>
      </c>
      <c r="E35" s="161">
        <v>5.04</v>
      </c>
      <c r="F35" s="162">
        <v>861.54</v>
      </c>
    </row>
    <row r="36" spans="1:8" ht="33.75" hidden="1" x14ac:dyDescent="0.25">
      <c r="A36" s="123" t="s">
        <v>224</v>
      </c>
      <c r="B36" s="160" t="s">
        <v>173</v>
      </c>
      <c r="C36" s="221" t="s">
        <v>174</v>
      </c>
      <c r="D36" s="123" t="s">
        <v>165</v>
      </c>
      <c r="E36" s="161">
        <v>13.66</v>
      </c>
      <c r="F36" s="162">
        <v>855.28</v>
      </c>
    </row>
    <row r="37" spans="1:8" hidden="1" x14ac:dyDescent="0.25">
      <c r="A37" s="114" t="s">
        <v>227</v>
      </c>
      <c r="B37" s="114"/>
      <c r="C37" s="220"/>
      <c r="D37" s="120"/>
      <c r="E37" s="120"/>
      <c r="F37" s="140"/>
    </row>
    <row r="38" spans="1:8" ht="22.5" hidden="1" x14ac:dyDescent="0.25">
      <c r="A38" s="123" t="s">
        <v>228</v>
      </c>
      <c r="B38" s="160" t="s">
        <v>208</v>
      </c>
      <c r="C38" s="221" t="s">
        <v>209</v>
      </c>
      <c r="D38" s="123" t="s">
        <v>210</v>
      </c>
      <c r="E38" s="161">
        <v>1</v>
      </c>
      <c r="F38" s="162">
        <v>44914.41</v>
      </c>
    </row>
    <row r="39" spans="1:8" ht="22.5" hidden="1" x14ac:dyDescent="0.25">
      <c r="A39" s="123" t="s">
        <v>229</v>
      </c>
      <c r="B39" s="160" t="s">
        <v>167</v>
      </c>
      <c r="C39" s="221" t="s">
        <v>212</v>
      </c>
      <c r="D39" s="123" t="s">
        <v>165</v>
      </c>
      <c r="E39" s="161">
        <v>11.71</v>
      </c>
      <c r="F39" s="162">
        <v>1543.51</v>
      </c>
    </row>
    <row r="40" spans="1:8" ht="22.5" hidden="1" x14ac:dyDescent="0.25">
      <c r="A40" s="123" t="s">
        <v>230</v>
      </c>
      <c r="B40" s="160" t="s">
        <v>170</v>
      </c>
      <c r="C40" s="221" t="s">
        <v>214</v>
      </c>
      <c r="D40" s="123" t="s">
        <v>165</v>
      </c>
      <c r="E40" s="161">
        <v>5.04</v>
      </c>
      <c r="F40" s="162">
        <v>861.54</v>
      </c>
    </row>
    <row r="41" spans="1:8" ht="33.75" hidden="1" x14ac:dyDescent="0.25">
      <c r="A41" s="123" t="s">
        <v>231</v>
      </c>
      <c r="B41" s="160" t="s">
        <v>173</v>
      </c>
      <c r="C41" s="221" t="s">
        <v>174</v>
      </c>
      <c r="D41" s="123" t="s">
        <v>165</v>
      </c>
      <c r="E41" s="161">
        <v>16.75</v>
      </c>
      <c r="F41" s="162">
        <v>1048.79</v>
      </c>
    </row>
    <row r="42" spans="1:8" hidden="1" x14ac:dyDescent="0.25">
      <c r="A42" s="118" t="s">
        <v>234</v>
      </c>
      <c r="B42" s="118"/>
      <c r="C42" s="240"/>
      <c r="D42" s="120"/>
      <c r="E42" s="120"/>
      <c r="F42" s="140"/>
      <c r="G42" s="219" t="s">
        <v>541</v>
      </c>
      <c r="H42" s="218"/>
    </row>
    <row r="43" spans="1:8" ht="22.5" hidden="1" x14ac:dyDescent="0.25">
      <c r="A43" s="123" t="s">
        <v>235</v>
      </c>
      <c r="B43" s="160" t="s">
        <v>208</v>
      </c>
      <c r="C43" s="241" t="s">
        <v>209</v>
      </c>
      <c r="D43" s="123" t="s">
        <v>210</v>
      </c>
      <c r="E43" s="161">
        <v>1</v>
      </c>
      <c r="F43" s="162">
        <v>44914.41</v>
      </c>
      <c r="G43" s="213">
        <v>1</v>
      </c>
      <c r="H43" s="218"/>
    </row>
    <row r="44" spans="1:8" ht="22.5" hidden="1" x14ac:dyDescent="0.25">
      <c r="A44" s="123" t="s">
        <v>236</v>
      </c>
      <c r="B44" s="160" t="s">
        <v>82</v>
      </c>
      <c r="C44" s="221" t="s">
        <v>83</v>
      </c>
      <c r="D44" s="123" t="s">
        <v>58</v>
      </c>
      <c r="E44" s="161">
        <v>0.34</v>
      </c>
      <c r="F44" s="162">
        <v>6761.04</v>
      </c>
      <c r="G44" s="215">
        <f>20.1/100</f>
        <v>0.20100000000000001</v>
      </c>
      <c r="H44" s="218"/>
    </row>
    <row r="45" spans="1:8" ht="22.5" hidden="1" x14ac:dyDescent="0.25">
      <c r="A45" s="123" t="s">
        <v>237</v>
      </c>
      <c r="B45" s="160" t="s">
        <v>89</v>
      </c>
      <c r="C45" s="221" t="s">
        <v>90</v>
      </c>
      <c r="D45" s="123" t="s">
        <v>58</v>
      </c>
      <c r="E45" s="161">
        <v>0.15540000000000001</v>
      </c>
      <c r="F45" s="162">
        <v>2874.51</v>
      </c>
      <c r="G45" s="212">
        <f>10.09/100</f>
        <v>0.1009</v>
      </c>
      <c r="H45" s="218"/>
    </row>
    <row r="46" spans="1:8" ht="22.5" hidden="1" x14ac:dyDescent="0.25">
      <c r="A46" s="123" t="s">
        <v>238</v>
      </c>
      <c r="B46" s="160" t="s">
        <v>96</v>
      </c>
      <c r="C46" s="221" t="s">
        <v>97</v>
      </c>
      <c r="D46" s="123" t="s">
        <v>58</v>
      </c>
      <c r="E46" s="161">
        <v>0.155</v>
      </c>
      <c r="F46" s="162">
        <v>23565.74</v>
      </c>
      <c r="G46" s="212">
        <f>G45</f>
        <v>0.1009</v>
      </c>
      <c r="H46" s="218"/>
    </row>
    <row r="47" spans="1:8" hidden="1" x14ac:dyDescent="0.25">
      <c r="A47" s="123" t="s">
        <v>239</v>
      </c>
      <c r="B47" s="160" t="s">
        <v>104</v>
      </c>
      <c r="C47" s="221" t="s">
        <v>105</v>
      </c>
      <c r="D47" s="123" t="s">
        <v>106</v>
      </c>
      <c r="E47" s="161">
        <v>19.53</v>
      </c>
      <c r="F47" s="162">
        <v>121353.95</v>
      </c>
      <c r="G47" s="212">
        <f>1.26*100*G46</f>
        <v>12.7134</v>
      </c>
      <c r="H47" s="218"/>
    </row>
    <row r="48" spans="1:8" ht="33.75" hidden="1" x14ac:dyDescent="0.25">
      <c r="A48" s="123" t="s">
        <v>240</v>
      </c>
      <c r="B48" s="160" t="s">
        <v>241</v>
      </c>
      <c r="C48" s="221" t="s">
        <v>242</v>
      </c>
      <c r="D48" s="123" t="s">
        <v>210</v>
      </c>
      <c r="E48" s="161">
        <v>1</v>
      </c>
      <c r="F48" s="162">
        <v>207003.6</v>
      </c>
      <c r="G48" s="164">
        <v>1</v>
      </c>
      <c r="H48" s="218"/>
    </row>
    <row r="49" spans="1:21" hidden="1" x14ac:dyDescent="0.25">
      <c r="A49" s="123" t="s">
        <v>243</v>
      </c>
      <c r="B49" s="160" t="s">
        <v>244</v>
      </c>
      <c r="C49" s="221" t="s">
        <v>245</v>
      </c>
      <c r="D49" s="123" t="s">
        <v>246</v>
      </c>
      <c r="E49" s="161">
        <v>1</v>
      </c>
      <c r="F49" s="162">
        <v>1667776.02</v>
      </c>
      <c r="G49" s="164">
        <v>1</v>
      </c>
      <c r="H49" s="218"/>
    </row>
    <row r="50" spans="1:21" ht="22.5" hidden="1" x14ac:dyDescent="0.25">
      <c r="A50" s="123" t="s">
        <v>248</v>
      </c>
      <c r="B50" s="160" t="s">
        <v>249</v>
      </c>
      <c r="C50" s="221" t="s">
        <v>250</v>
      </c>
      <c r="D50" s="123" t="s">
        <v>246</v>
      </c>
      <c r="E50" s="161">
        <v>1</v>
      </c>
      <c r="F50" s="162">
        <v>3596141.97</v>
      </c>
      <c r="G50" s="164">
        <v>1</v>
      </c>
      <c r="H50" s="218"/>
    </row>
    <row r="51" spans="1:21" ht="33.75" hidden="1" x14ac:dyDescent="0.25">
      <c r="A51" s="123" t="s">
        <v>252</v>
      </c>
      <c r="B51" s="160" t="s">
        <v>253</v>
      </c>
      <c r="C51" s="221" t="s">
        <v>254</v>
      </c>
      <c r="D51" s="123" t="s">
        <v>115</v>
      </c>
      <c r="E51" s="161">
        <v>1</v>
      </c>
      <c r="F51" s="162">
        <v>42192.34</v>
      </c>
      <c r="G51" s="164">
        <v>1</v>
      </c>
      <c r="H51" s="218"/>
    </row>
    <row r="52" spans="1:21" s="231" customFormat="1" hidden="1" x14ac:dyDescent="0.25">
      <c r="A52" s="257" t="s">
        <v>259</v>
      </c>
      <c r="B52" s="258" t="s">
        <v>260</v>
      </c>
      <c r="C52" s="241" t="s">
        <v>261</v>
      </c>
      <c r="D52" s="257" t="s">
        <v>115</v>
      </c>
      <c r="E52" s="259">
        <v>-2</v>
      </c>
      <c r="F52" s="260">
        <v>-5066.7299999999996</v>
      </c>
      <c r="G52" s="261">
        <v>-2</v>
      </c>
      <c r="H52" s="218"/>
      <c r="U52" s="323"/>
    </row>
    <row r="53" spans="1:21" hidden="1" x14ac:dyDescent="0.25">
      <c r="A53" s="123" t="s">
        <v>262</v>
      </c>
      <c r="B53" s="160" t="s">
        <v>263</v>
      </c>
      <c r="C53" s="221" t="s">
        <v>264</v>
      </c>
      <c r="D53" s="123" t="s">
        <v>115</v>
      </c>
      <c r="E53" s="161">
        <v>2</v>
      </c>
      <c r="F53" s="162">
        <v>87727.09</v>
      </c>
      <c r="G53" s="164">
        <v>2</v>
      </c>
      <c r="H53" s="218"/>
    </row>
    <row r="54" spans="1:21" ht="22.5" hidden="1" x14ac:dyDescent="0.25">
      <c r="A54" s="123" t="s">
        <v>266</v>
      </c>
      <c r="B54" s="160" t="s">
        <v>267</v>
      </c>
      <c r="C54" s="221" t="s">
        <v>268</v>
      </c>
      <c r="D54" s="123" t="s">
        <v>115</v>
      </c>
      <c r="E54" s="161">
        <v>1</v>
      </c>
      <c r="F54" s="162">
        <v>156781.35</v>
      </c>
      <c r="G54" s="164">
        <v>1</v>
      </c>
      <c r="H54" s="218"/>
    </row>
    <row r="55" spans="1:21" hidden="1" x14ac:dyDescent="0.25">
      <c r="A55" s="123" t="s">
        <v>270</v>
      </c>
      <c r="B55" s="160" t="s">
        <v>120</v>
      </c>
      <c r="C55" s="221" t="s">
        <v>271</v>
      </c>
      <c r="D55" s="123" t="s">
        <v>115</v>
      </c>
      <c r="E55" s="161">
        <v>1</v>
      </c>
      <c r="F55" s="162">
        <v>4178.1000000000004</v>
      </c>
      <c r="G55" s="164">
        <v>1</v>
      </c>
      <c r="H55" s="218"/>
    </row>
    <row r="56" spans="1:21" ht="22.5" hidden="1" x14ac:dyDescent="0.25">
      <c r="A56" s="252" t="s">
        <v>273</v>
      </c>
      <c r="B56" s="253" t="s">
        <v>274</v>
      </c>
      <c r="C56" s="254" t="s">
        <v>275</v>
      </c>
      <c r="D56" s="252" t="s">
        <v>276</v>
      </c>
      <c r="E56" s="242">
        <v>0.06</v>
      </c>
      <c r="F56" s="255">
        <v>15658.24</v>
      </c>
      <c r="G56" s="242">
        <v>0</v>
      </c>
      <c r="H56" s="218" t="s">
        <v>546</v>
      </c>
    </row>
    <row r="57" spans="1:21" s="231" customFormat="1" hidden="1" x14ac:dyDescent="0.25">
      <c r="A57" s="262" t="s">
        <v>281</v>
      </c>
      <c r="B57" s="263" t="s">
        <v>282</v>
      </c>
      <c r="C57" s="264" t="s">
        <v>283</v>
      </c>
      <c r="D57" s="262" t="s">
        <v>127</v>
      </c>
      <c r="E57" s="243">
        <v>-2.9000000000000001E-2</v>
      </c>
      <c r="F57" s="265">
        <v>-2679.86</v>
      </c>
      <c r="G57" s="243">
        <v>0</v>
      </c>
      <c r="H57" s="218" t="s">
        <v>546</v>
      </c>
      <c r="U57" s="323"/>
    </row>
    <row r="58" spans="1:21" hidden="1" x14ac:dyDescent="0.25">
      <c r="A58" s="252" t="s">
        <v>284</v>
      </c>
      <c r="B58" s="253" t="s">
        <v>120</v>
      </c>
      <c r="C58" s="254" t="s">
        <v>285</v>
      </c>
      <c r="D58" s="252" t="s">
        <v>130</v>
      </c>
      <c r="E58" s="242">
        <v>0.36</v>
      </c>
      <c r="F58" s="255">
        <v>134204.32</v>
      </c>
      <c r="G58" s="243">
        <v>0</v>
      </c>
      <c r="H58" s="218" t="s">
        <v>546</v>
      </c>
    </row>
    <row r="59" spans="1:21" hidden="1" x14ac:dyDescent="0.25">
      <c r="A59" s="252" t="s">
        <v>286</v>
      </c>
      <c r="B59" s="253" t="s">
        <v>120</v>
      </c>
      <c r="C59" s="254" t="s">
        <v>129</v>
      </c>
      <c r="D59" s="252" t="s">
        <v>130</v>
      </c>
      <c r="E59" s="242">
        <v>2.9000000000000001E-2</v>
      </c>
      <c r="F59" s="255">
        <v>8010.5</v>
      </c>
      <c r="G59" s="243">
        <v>0</v>
      </c>
      <c r="H59" s="218" t="s">
        <v>546</v>
      </c>
    </row>
    <row r="60" spans="1:21" ht="22.5" hidden="1" x14ac:dyDescent="0.25">
      <c r="A60" s="123" t="s">
        <v>287</v>
      </c>
      <c r="B60" s="160" t="s">
        <v>288</v>
      </c>
      <c r="C60" s="221" t="s">
        <v>289</v>
      </c>
      <c r="D60" s="123" t="s">
        <v>160</v>
      </c>
      <c r="E60" s="161">
        <v>1.333E-2</v>
      </c>
      <c r="F60" s="162">
        <v>34759.839999999997</v>
      </c>
      <c r="G60" s="214">
        <f>E60</f>
        <v>1.333E-2</v>
      </c>
      <c r="H60" s="218"/>
    </row>
    <row r="61" spans="1:21" hidden="1" x14ac:dyDescent="0.25">
      <c r="A61" s="117" t="s">
        <v>161</v>
      </c>
      <c r="B61" s="117"/>
      <c r="C61" s="221"/>
      <c r="D61" s="123"/>
      <c r="E61" s="123"/>
      <c r="F61" s="147"/>
      <c r="G61" s="226"/>
      <c r="H61" s="218"/>
    </row>
    <row r="62" spans="1:21" ht="33.75" hidden="1" x14ac:dyDescent="0.25">
      <c r="A62" s="123" t="s">
        <v>290</v>
      </c>
      <c r="B62" s="160" t="s">
        <v>163</v>
      </c>
      <c r="C62" s="221" t="s">
        <v>164</v>
      </c>
      <c r="D62" s="123" t="s">
        <v>165</v>
      </c>
      <c r="E62" s="161">
        <v>59.55</v>
      </c>
      <c r="F62" s="162">
        <v>3068.48</v>
      </c>
      <c r="G62" s="143">
        <f>G44*1.75*100</f>
        <v>35.174999999999997</v>
      </c>
      <c r="H62" s="218"/>
    </row>
    <row r="63" spans="1:21" ht="33.75" hidden="1" x14ac:dyDescent="0.25">
      <c r="A63" s="123" t="s">
        <v>291</v>
      </c>
      <c r="B63" s="160" t="s">
        <v>167</v>
      </c>
      <c r="C63" s="221" t="s">
        <v>292</v>
      </c>
      <c r="D63" s="123" t="s">
        <v>165</v>
      </c>
      <c r="E63" s="161">
        <v>9.9</v>
      </c>
      <c r="F63" s="162">
        <v>1304.8699999999999</v>
      </c>
      <c r="G63" s="143">
        <v>8.85</v>
      </c>
      <c r="H63" s="218"/>
    </row>
    <row r="64" spans="1:21" ht="22.5" hidden="1" x14ac:dyDescent="0.25">
      <c r="A64" s="123" t="s">
        <v>293</v>
      </c>
      <c r="B64" s="160" t="s">
        <v>170</v>
      </c>
      <c r="C64" s="221" t="s">
        <v>294</v>
      </c>
      <c r="D64" s="123" t="s">
        <v>165</v>
      </c>
      <c r="E64" s="161">
        <v>5</v>
      </c>
      <c r="F64" s="162">
        <v>854.62</v>
      </c>
      <c r="G64" s="143">
        <f>1.6+3.4</f>
        <v>5</v>
      </c>
      <c r="H64" s="218"/>
    </row>
    <row r="65" spans="1:21" ht="33.75" hidden="1" x14ac:dyDescent="0.25">
      <c r="A65" s="123" t="s">
        <v>295</v>
      </c>
      <c r="B65" s="160" t="s">
        <v>173</v>
      </c>
      <c r="C65" s="221" t="s">
        <v>174</v>
      </c>
      <c r="D65" s="123" t="s">
        <v>165</v>
      </c>
      <c r="E65" s="161">
        <v>74.45</v>
      </c>
      <c r="F65" s="162">
        <v>4661.3</v>
      </c>
      <c r="G65" s="143">
        <f>G62+G63+G64</f>
        <v>49.024999999999999</v>
      </c>
      <c r="H65" s="218"/>
    </row>
    <row r="66" spans="1:21" hidden="1" x14ac:dyDescent="0.25">
      <c r="A66" s="118" t="s">
        <v>307</v>
      </c>
      <c r="B66" s="118"/>
      <c r="C66" s="240"/>
      <c r="D66" s="120"/>
      <c r="E66" s="120"/>
      <c r="F66" s="140"/>
      <c r="G66" s="216" t="s">
        <v>541</v>
      </c>
    </row>
    <row r="67" spans="1:21" ht="22.5" hidden="1" x14ac:dyDescent="0.25">
      <c r="A67" s="123" t="s">
        <v>308</v>
      </c>
      <c r="B67" s="160" t="s">
        <v>208</v>
      </c>
      <c r="C67" s="221" t="s">
        <v>209</v>
      </c>
      <c r="D67" s="123" t="s">
        <v>210</v>
      </c>
      <c r="E67" s="161">
        <v>1</v>
      </c>
      <c r="F67" s="162">
        <v>44914.41</v>
      </c>
      <c r="G67" s="164">
        <v>1</v>
      </c>
    </row>
    <row r="68" spans="1:21" ht="22.5" hidden="1" x14ac:dyDescent="0.25">
      <c r="A68" s="123" t="s">
        <v>309</v>
      </c>
      <c r="B68" s="160" t="s">
        <v>82</v>
      </c>
      <c r="C68" s="221" t="s">
        <v>83</v>
      </c>
      <c r="D68" s="123" t="s">
        <v>58</v>
      </c>
      <c r="E68" s="161">
        <v>0.28999999999999998</v>
      </c>
      <c r="F68" s="162">
        <v>5766.65</v>
      </c>
      <c r="G68" s="212">
        <f>21.71/100</f>
        <v>0.21710000000000002</v>
      </c>
    </row>
    <row r="69" spans="1:21" ht="22.5" hidden="1" x14ac:dyDescent="0.25">
      <c r="A69" s="123" t="s">
        <v>310</v>
      </c>
      <c r="B69" s="160" t="s">
        <v>89</v>
      </c>
      <c r="C69" s="221" t="s">
        <v>90</v>
      </c>
      <c r="D69" s="123" t="s">
        <v>58</v>
      </c>
      <c r="E69" s="161">
        <v>0.1361</v>
      </c>
      <c r="F69" s="162">
        <v>2517.83</v>
      </c>
      <c r="G69" s="212">
        <f>10.4/100</f>
        <v>0.10400000000000001</v>
      </c>
    </row>
    <row r="70" spans="1:21" ht="22.5" hidden="1" x14ac:dyDescent="0.25">
      <c r="A70" s="123" t="s">
        <v>311</v>
      </c>
      <c r="B70" s="160" t="s">
        <v>96</v>
      </c>
      <c r="C70" s="221" t="s">
        <v>97</v>
      </c>
      <c r="D70" s="123" t="s">
        <v>58</v>
      </c>
      <c r="E70" s="161">
        <v>0.13600000000000001</v>
      </c>
      <c r="F70" s="162">
        <v>20676.61</v>
      </c>
      <c r="G70" s="212">
        <f>10.4/100</f>
        <v>0.10400000000000001</v>
      </c>
    </row>
    <row r="71" spans="1:21" hidden="1" x14ac:dyDescent="0.25">
      <c r="A71" s="123" t="s">
        <v>312</v>
      </c>
      <c r="B71" s="160" t="s">
        <v>104</v>
      </c>
      <c r="C71" s="221" t="s">
        <v>105</v>
      </c>
      <c r="D71" s="123" t="s">
        <v>106</v>
      </c>
      <c r="E71" s="161">
        <v>17.14</v>
      </c>
      <c r="F71" s="162">
        <v>106503.17</v>
      </c>
      <c r="G71" s="143">
        <f>1.26*G70*100</f>
        <v>13.104000000000001</v>
      </c>
    </row>
    <row r="72" spans="1:21" ht="33.75" hidden="1" x14ac:dyDescent="0.25">
      <c r="A72" s="123" t="s">
        <v>313</v>
      </c>
      <c r="B72" s="160" t="s">
        <v>241</v>
      </c>
      <c r="C72" s="221" t="s">
        <v>242</v>
      </c>
      <c r="D72" s="123" t="s">
        <v>210</v>
      </c>
      <c r="E72" s="161">
        <v>1</v>
      </c>
      <c r="F72" s="162">
        <v>207003.6</v>
      </c>
      <c r="G72" s="164">
        <v>1</v>
      </c>
    </row>
    <row r="73" spans="1:21" hidden="1" x14ac:dyDescent="0.25">
      <c r="A73" s="123" t="s">
        <v>314</v>
      </c>
      <c r="B73" s="160" t="s">
        <v>244</v>
      </c>
      <c r="C73" s="221" t="s">
        <v>245</v>
      </c>
      <c r="D73" s="123" t="s">
        <v>246</v>
      </c>
      <c r="E73" s="161">
        <v>1</v>
      </c>
      <c r="F73" s="162">
        <v>1667776.02</v>
      </c>
      <c r="G73" s="164">
        <v>1</v>
      </c>
    </row>
    <row r="74" spans="1:21" ht="22.5" hidden="1" x14ac:dyDescent="0.25">
      <c r="A74" s="123" t="s">
        <v>315</v>
      </c>
      <c r="B74" s="160" t="s">
        <v>249</v>
      </c>
      <c r="C74" s="221" t="s">
        <v>250</v>
      </c>
      <c r="D74" s="123" t="s">
        <v>246</v>
      </c>
      <c r="E74" s="161">
        <v>1</v>
      </c>
      <c r="F74" s="162">
        <v>3596141.97</v>
      </c>
      <c r="G74" s="164">
        <v>1</v>
      </c>
    </row>
    <row r="75" spans="1:21" ht="33.75" hidden="1" x14ac:dyDescent="0.25">
      <c r="A75" s="123" t="s">
        <v>316</v>
      </c>
      <c r="B75" s="160" t="s">
        <v>253</v>
      </c>
      <c r="C75" s="221" t="s">
        <v>254</v>
      </c>
      <c r="D75" s="123" t="s">
        <v>115</v>
      </c>
      <c r="E75" s="161">
        <v>1</v>
      </c>
      <c r="F75" s="162">
        <v>42192.34</v>
      </c>
      <c r="G75" s="164">
        <v>1</v>
      </c>
    </row>
    <row r="76" spans="1:21" s="229" customFormat="1" hidden="1" x14ac:dyDescent="0.25">
      <c r="A76" s="257" t="s">
        <v>317</v>
      </c>
      <c r="B76" s="258" t="s">
        <v>260</v>
      </c>
      <c r="C76" s="241" t="s">
        <v>261</v>
      </c>
      <c r="D76" s="257" t="s">
        <v>115</v>
      </c>
      <c r="E76" s="259">
        <v>-2</v>
      </c>
      <c r="F76" s="260">
        <v>-5066.7299999999996</v>
      </c>
      <c r="G76" s="261">
        <v>-2</v>
      </c>
      <c r="H76" s="232"/>
      <c r="U76" s="323"/>
    </row>
    <row r="77" spans="1:21" hidden="1" x14ac:dyDescent="0.25">
      <c r="A77" s="123" t="s">
        <v>318</v>
      </c>
      <c r="B77" s="160" t="s">
        <v>263</v>
      </c>
      <c r="C77" s="221" t="s">
        <v>264</v>
      </c>
      <c r="D77" s="123" t="s">
        <v>115</v>
      </c>
      <c r="E77" s="161">
        <v>2</v>
      </c>
      <c r="F77" s="162">
        <v>87727.09</v>
      </c>
      <c r="G77" s="164">
        <v>2</v>
      </c>
    </row>
    <row r="78" spans="1:21" ht="22.5" hidden="1" x14ac:dyDescent="0.25">
      <c r="A78" s="123" t="s">
        <v>319</v>
      </c>
      <c r="B78" s="160" t="s">
        <v>267</v>
      </c>
      <c r="C78" s="221" t="s">
        <v>268</v>
      </c>
      <c r="D78" s="123" t="s">
        <v>115</v>
      </c>
      <c r="E78" s="161">
        <v>1</v>
      </c>
      <c r="F78" s="162">
        <v>156781.35</v>
      </c>
      <c r="G78" s="164">
        <v>1</v>
      </c>
    </row>
    <row r="79" spans="1:21" hidden="1" x14ac:dyDescent="0.25">
      <c r="A79" s="123" t="s">
        <v>320</v>
      </c>
      <c r="B79" s="160" t="s">
        <v>120</v>
      </c>
      <c r="C79" s="221" t="s">
        <v>271</v>
      </c>
      <c r="D79" s="123" t="s">
        <v>115</v>
      </c>
      <c r="E79" s="161">
        <v>1</v>
      </c>
      <c r="F79" s="162">
        <v>4178.1000000000004</v>
      </c>
      <c r="G79" s="164">
        <v>1</v>
      </c>
    </row>
    <row r="80" spans="1:21" ht="22.5" hidden="1" x14ac:dyDescent="0.25">
      <c r="A80" s="262" t="s">
        <v>321</v>
      </c>
      <c r="B80" s="263" t="s">
        <v>274</v>
      </c>
      <c r="C80" s="264" t="s">
        <v>275</v>
      </c>
      <c r="D80" s="262" t="s">
        <v>276</v>
      </c>
      <c r="E80" s="243">
        <v>0.06</v>
      </c>
      <c r="F80" s="265">
        <v>15658.24</v>
      </c>
      <c r="G80" s="243">
        <v>0</v>
      </c>
      <c r="H80" s="218" t="s">
        <v>546</v>
      </c>
    </row>
    <row r="81" spans="1:21" s="229" customFormat="1" hidden="1" x14ac:dyDescent="0.25">
      <c r="A81" s="262" t="s">
        <v>322</v>
      </c>
      <c r="B81" s="263" t="s">
        <v>282</v>
      </c>
      <c r="C81" s="264" t="s">
        <v>283</v>
      </c>
      <c r="D81" s="262" t="s">
        <v>127</v>
      </c>
      <c r="E81" s="243">
        <v>-2.9000000000000001E-2</v>
      </c>
      <c r="F81" s="265">
        <v>-2679.86</v>
      </c>
      <c r="G81" s="243">
        <v>0</v>
      </c>
      <c r="H81" s="218" t="s">
        <v>546</v>
      </c>
      <c r="U81" s="323"/>
    </row>
    <row r="82" spans="1:21" hidden="1" x14ac:dyDescent="0.25">
      <c r="A82" s="262" t="s">
        <v>323</v>
      </c>
      <c r="B82" s="263" t="s">
        <v>120</v>
      </c>
      <c r="C82" s="264" t="s">
        <v>285</v>
      </c>
      <c r="D82" s="262" t="s">
        <v>130</v>
      </c>
      <c r="E82" s="243">
        <v>0.36</v>
      </c>
      <c r="F82" s="265">
        <v>134204.32</v>
      </c>
      <c r="G82" s="243">
        <v>0</v>
      </c>
      <c r="H82" s="218" t="s">
        <v>546</v>
      </c>
    </row>
    <row r="83" spans="1:21" hidden="1" x14ac:dyDescent="0.25">
      <c r="A83" s="262" t="s">
        <v>324</v>
      </c>
      <c r="B83" s="263" t="s">
        <v>120</v>
      </c>
      <c r="C83" s="264" t="s">
        <v>129</v>
      </c>
      <c r="D83" s="262" t="s">
        <v>130</v>
      </c>
      <c r="E83" s="243">
        <v>2.9000000000000001E-2</v>
      </c>
      <c r="F83" s="265">
        <v>8010.5</v>
      </c>
      <c r="G83" s="243">
        <v>0</v>
      </c>
      <c r="H83" s="218" t="s">
        <v>546</v>
      </c>
    </row>
    <row r="84" spans="1:21" ht="22.5" hidden="1" x14ac:dyDescent="0.25">
      <c r="A84" s="123" t="s">
        <v>325</v>
      </c>
      <c r="B84" s="160" t="s">
        <v>288</v>
      </c>
      <c r="C84" s="221" t="s">
        <v>289</v>
      </c>
      <c r="D84" s="123" t="s">
        <v>160</v>
      </c>
      <c r="E84" s="161">
        <v>1.3299999999999999E-2</v>
      </c>
      <c r="F84" s="162">
        <v>34682.379999999997</v>
      </c>
      <c r="G84" s="212">
        <f>E84</f>
        <v>1.3299999999999999E-2</v>
      </c>
    </row>
    <row r="85" spans="1:21" hidden="1" x14ac:dyDescent="0.25">
      <c r="A85" s="117" t="s">
        <v>161</v>
      </c>
      <c r="B85" s="117"/>
      <c r="C85" s="221"/>
      <c r="D85" s="123"/>
      <c r="E85" s="123"/>
      <c r="F85" s="147"/>
      <c r="G85" s="226"/>
    </row>
    <row r="86" spans="1:21" ht="33.75" hidden="1" x14ac:dyDescent="0.25">
      <c r="A86" s="123" t="s">
        <v>326</v>
      </c>
      <c r="B86" s="160" t="s">
        <v>163</v>
      </c>
      <c r="C86" s="221" t="s">
        <v>164</v>
      </c>
      <c r="D86" s="123" t="s">
        <v>165</v>
      </c>
      <c r="E86" s="161">
        <v>50.7</v>
      </c>
      <c r="F86" s="162">
        <v>2612.5700000000002</v>
      </c>
      <c r="G86" s="143">
        <f>G68*1.75*100</f>
        <v>37.9925</v>
      </c>
    </row>
    <row r="87" spans="1:21" ht="33.75" hidden="1" x14ac:dyDescent="0.25">
      <c r="A87" s="123" t="s">
        <v>327</v>
      </c>
      <c r="B87" s="160" t="s">
        <v>167</v>
      </c>
      <c r="C87" s="221" t="s">
        <v>292</v>
      </c>
      <c r="D87" s="123" t="s">
        <v>165</v>
      </c>
      <c r="E87" s="161">
        <v>9.9</v>
      </c>
      <c r="F87" s="162">
        <v>1304.8699999999999</v>
      </c>
      <c r="G87" s="143">
        <v>8.84</v>
      </c>
    </row>
    <row r="88" spans="1:21" ht="22.5" hidden="1" x14ac:dyDescent="0.25">
      <c r="A88" s="123" t="s">
        <v>328</v>
      </c>
      <c r="B88" s="160" t="s">
        <v>170</v>
      </c>
      <c r="C88" s="221" t="s">
        <v>294</v>
      </c>
      <c r="D88" s="123" t="s">
        <v>165</v>
      </c>
      <c r="E88" s="161">
        <v>5</v>
      </c>
      <c r="F88" s="162">
        <v>854.62</v>
      </c>
      <c r="G88" s="143">
        <f>1.7+3.1</f>
        <v>4.8</v>
      </c>
    </row>
    <row r="89" spans="1:21" ht="33.75" hidden="1" x14ac:dyDescent="0.25">
      <c r="A89" s="123" t="s">
        <v>329</v>
      </c>
      <c r="B89" s="160" t="s">
        <v>173</v>
      </c>
      <c r="C89" s="221" t="s">
        <v>174</v>
      </c>
      <c r="D89" s="123" t="s">
        <v>165</v>
      </c>
      <c r="E89" s="161">
        <v>65.599999999999994</v>
      </c>
      <c r="F89" s="162">
        <v>4107.2299999999996</v>
      </c>
      <c r="G89" s="143">
        <f>G86+G87+G88</f>
        <v>51.632499999999993</v>
      </c>
    </row>
    <row r="90" spans="1:21" hidden="1" x14ac:dyDescent="0.25">
      <c r="A90" s="114" t="s">
        <v>334</v>
      </c>
      <c r="B90" s="114"/>
      <c r="C90" s="220"/>
      <c r="D90" s="120"/>
      <c r="E90" s="120"/>
      <c r="F90" s="140"/>
    </row>
    <row r="91" spans="1:21" ht="22.5" hidden="1" x14ac:dyDescent="0.25">
      <c r="A91" s="123" t="s">
        <v>335</v>
      </c>
      <c r="B91" s="160" t="s">
        <v>208</v>
      </c>
      <c r="C91" s="221" t="s">
        <v>209</v>
      </c>
      <c r="D91" s="123" t="s">
        <v>210</v>
      </c>
      <c r="E91" s="161">
        <v>1</v>
      </c>
      <c r="F91" s="162">
        <v>44914.41</v>
      </c>
    </row>
    <row r="92" spans="1:21" ht="22.5" hidden="1" x14ac:dyDescent="0.25">
      <c r="A92" s="123" t="s">
        <v>336</v>
      </c>
      <c r="B92" s="160" t="s">
        <v>82</v>
      </c>
      <c r="C92" s="221" t="s">
        <v>83</v>
      </c>
      <c r="D92" s="123" t="s">
        <v>58</v>
      </c>
      <c r="E92" s="161">
        <v>0.25800000000000001</v>
      </c>
      <c r="F92" s="162">
        <v>5130.6099999999997</v>
      </c>
    </row>
    <row r="93" spans="1:21" ht="22.5" hidden="1" x14ac:dyDescent="0.25">
      <c r="A93" s="123" t="s">
        <v>337</v>
      </c>
      <c r="B93" s="160" t="s">
        <v>89</v>
      </c>
      <c r="C93" s="221" t="s">
        <v>90</v>
      </c>
      <c r="D93" s="123" t="s">
        <v>58</v>
      </c>
      <c r="E93" s="161">
        <v>0.1237</v>
      </c>
      <c r="F93" s="162">
        <v>2287.64</v>
      </c>
    </row>
    <row r="94" spans="1:21" ht="22.5" hidden="1" x14ac:dyDescent="0.25">
      <c r="A94" s="123" t="s">
        <v>338</v>
      </c>
      <c r="B94" s="160" t="s">
        <v>96</v>
      </c>
      <c r="C94" s="221" t="s">
        <v>97</v>
      </c>
      <c r="D94" s="123" t="s">
        <v>58</v>
      </c>
      <c r="E94" s="161">
        <v>0.124</v>
      </c>
      <c r="F94" s="162">
        <v>18852.34</v>
      </c>
    </row>
    <row r="95" spans="1:21" hidden="1" x14ac:dyDescent="0.25">
      <c r="A95" s="123" t="s">
        <v>339</v>
      </c>
      <c r="B95" s="160" t="s">
        <v>104</v>
      </c>
      <c r="C95" s="221" t="s">
        <v>105</v>
      </c>
      <c r="D95" s="123" t="s">
        <v>106</v>
      </c>
      <c r="E95" s="161">
        <v>15.62</v>
      </c>
      <c r="F95" s="162">
        <v>97058.27</v>
      </c>
    </row>
    <row r="96" spans="1:21" ht="33.75" hidden="1" x14ac:dyDescent="0.25">
      <c r="A96" s="123" t="s">
        <v>340</v>
      </c>
      <c r="B96" s="160" t="s">
        <v>241</v>
      </c>
      <c r="C96" s="221" t="s">
        <v>242</v>
      </c>
      <c r="D96" s="123" t="s">
        <v>210</v>
      </c>
      <c r="E96" s="161">
        <v>1</v>
      </c>
      <c r="F96" s="162">
        <v>207003.6</v>
      </c>
    </row>
    <row r="97" spans="1:21" hidden="1" x14ac:dyDescent="0.25">
      <c r="A97" s="123" t="s">
        <v>341</v>
      </c>
      <c r="B97" s="160" t="s">
        <v>244</v>
      </c>
      <c r="C97" s="221" t="s">
        <v>245</v>
      </c>
      <c r="D97" s="123" t="s">
        <v>246</v>
      </c>
      <c r="E97" s="161">
        <v>1</v>
      </c>
      <c r="F97" s="162">
        <v>1667776.02</v>
      </c>
    </row>
    <row r="98" spans="1:21" ht="22.5" hidden="1" x14ac:dyDescent="0.25">
      <c r="A98" s="123" t="s">
        <v>342</v>
      </c>
      <c r="B98" s="160" t="s">
        <v>249</v>
      </c>
      <c r="C98" s="221" t="s">
        <v>250</v>
      </c>
      <c r="D98" s="123" t="s">
        <v>246</v>
      </c>
      <c r="E98" s="161">
        <v>1</v>
      </c>
      <c r="F98" s="162">
        <v>3596141.97</v>
      </c>
    </row>
    <row r="99" spans="1:21" ht="33.75" hidden="1" x14ac:dyDescent="0.25">
      <c r="A99" s="123" t="s">
        <v>343</v>
      </c>
      <c r="B99" s="160" t="s">
        <v>253</v>
      </c>
      <c r="C99" s="221" t="s">
        <v>254</v>
      </c>
      <c r="D99" s="123" t="s">
        <v>115</v>
      </c>
      <c r="E99" s="161">
        <v>1</v>
      </c>
      <c r="F99" s="162">
        <v>42192.34</v>
      </c>
    </row>
    <row r="100" spans="1:21" s="229" customFormat="1" hidden="1" x14ac:dyDescent="0.25">
      <c r="A100" s="166" t="s">
        <v>344</v>
      </c>
      <c r="B100" s="167" t="s">
        <v>260</v>
      </c>
      <c r="C100" s="222" t="s">
        <v>261</v>
      </c>
      <c r="D100" s="166" t="s">
        <v>115</v>
      </c>
      <c r="E100" s="169">
        <v>-2</v>
      </c>
      <c r="F100" s="170">
        <v>-5066.7299999999996</v>
      </c>
      <c r="G100" s="233"/>
      <c r="H100" s="232"/>
      <c r="U100" s="323"/>
    </row>
    <row r="101" spans="1:21" hidden="1" x14ac:dyDescent="0.25">
      <c r="A101" s="123" t="s">
        <v>345</v>
      </c>
      <c r="B101" s="160" t="s">
        <v>263</v>
      </c>
      <c r="C101" s="221" t="s">
        <v>264</v>
      </c>
      <c r="D101" s="123" t="s">
        <v>115</v>
      </c>
      <c r="E101" s="161">
        <v>2</v>
      </c>
      <c r="F101" s="162">
        <v>87727.09</v>
      </c>
    </row>
    <row r="102" spans="1:21" ht="22.5" hidden="1" x14ac:dyDescent="0.25">
      <c r="A102" s="123" t="s">
        <v>346</v>
      </c>
      <c r="B102" s="160" t="s">
        <v>267</v>
      </c>
      <c r="C102" s="221" t="s">
        <v>268</v>
      </c>
      <c r="D102" s="123" t="s">
        <v>115</v>
      </c>
      <c r="E102" s="161">
        <v>1</v>
      </c>
      <c r="F102" s="162">
        <v>156781.35</v>
      </c>
    </row>
    <row r="103" spans="1:21" hidden="1" x14ac:dyDescent="0.25">
      <c r="A103" s="123" t="s">
        <v>347</v>
      </c>
      <c r="B103" s="160" t="s">
        <v>120</v>
      </c>
      <c r="C103" s="221" t="s">
        <v>271</v>
      </c>
      <c r="D103" s="123" t="s">
        <v>115</v>
      </c>
      <c r="E103" s="161">
        <v>1</v>
      </c>
      <c r="F103" s="162">
        <v>4178.1000000000004</v>
      </c>
    </row>
    <row r="104" spans="1:21" ht="22.5" hidden="1" x14ac:dyDescent="0.25">
      <c r="A104" s="123" t="s">
        <v>348</v>
      </c>
      <c r="B104" s="160" t="s">
        <v>274</v>
      </c>
      <c r="C104" s="221" t="s">
        <v>275</v>
      </c>
      <c r="D104" s="123" t="s">
        <v>276</v>
      </c>
      <c r="E104" s="161">
        <v>0.06</v>
      </c>
      <c r="F104" s="162">
        <v>15658.24</v>
      </c>
    </row>
    <row r="105" spans="1:21" s="229" customFormat="1" hidden="1" x14ac:dyDescent="0.25">
      <c r="A105" s="166" t="s">
        <v>349</v>
      </c>
      <c r="B105" s="167" t="s">
        <v>282</v>
      </c>
      <c r="C105" s="222" t="s">
        <v>283</v>
      </c>
      <c r="D105" s="166" t="s">
        <v>127</v>
      </c>
      <c r="E105" s="169">
        <v>-2.9000000000000001E-2</v>
      </c>
      <c r="F105" s="170">
        <v>-2679.86</v>
      </c>
      <c r="G105" s="233"/>
      <c r="H105" s="232"/>
      <c r="U105" s="323"/>
    </row>
    <row r="106" spans="1:21" hidden="1" x14ac:dyDescent="0.25">
      <c r="A106" s="123" t="s">
        <v>350</v>
      </c>
      <c r="B106" s="160" t="s">
        <v>120</v>
      </c>
      <c r="C106" s="221" t="s">
        <v>285</v>
      </c>
      <c r="D106" s="123" t="s">
        <v>130</v>
      </c>
      <c r="E106" s="161">
        <v>0.36</v>
      </c>
      <c r="F106" s="162">
        <v>134204.32</v>
      </c>
    </row>
    <row r="107" spans="1:21" hidden="1" x14ac:dyDescent="0.25">
      <c r="A107" s="123" t="s">
        <v>351</v>
      </c>
      <c r="B107" s="160" t="s">
        <v>120</v>
      </c>
      <c r="C107" s="221" t="s">
        <v>129</v>
      </c>
      <c r="D107" s="123" t="s">
        <v>130</v>
      </c>
      <c r="E107" s="161">
        <v>2.9000000000000001E-2</v>
      </c>
      <c r="F107" s="162">
        <v>8010.5</v>
      </c>
    </row>
    <row r="108" spans="1:21" ht="22.5" hidden="1" x14ac:dyDescent="0.25">
      <c r="A108" s="123" t="s">
        <v>352</v>
      </c>
      <c r="B108" s="160" t="s">
        <v>288</v>
      </c>
      <c r="C108" s="221" t="s">
        <v>289</v>
      </c>
      <c r="D108" s="123" t="s">
        <v>160</v>
      </c>
      <c r="E108" s="161">
        <v>1.3299999999999999E-2</v>
      </c>
      <c r="F108" s="162">
        <v>34682.379999999997</v>
      </c>
    </row>
    <row r="109" spans="1:21" hidden="1" x14ac:dyDescent="0.25">
      <c r="A109" s="117" t="s">
        <v>161</v>
      </c>
      <c r="B109" s="117"/>
      <c r="C109" s="221"/>
      <c r="D109" s="123"/>
      <c r="E109" s="123"/>
      <c r="F109" s="147"/>
    </row>
    <row r="110" spans="1:21" ht="33.75" hidden="1" x14ac:dyDescent="0.25">
      <c r="A110" s="123" t="s">
        <v>353</v>
      </c>
      <c r="B110" s="160" t="s">
        <v>163</v>
      </c>
      <c r="C110" s="221" t="s">
        <v>164</v>
      </c>
      <c r="D110" s="123" t="s">
        <v>165</v>
      </c>
      <c r="E110" s="161">
        <v>45.2</v>
      </c>
      <c r="F110" s="162">
        <v>2329.16</v>
      </c>
    </row>
    <row r="111" spans="1:21" ht="33.75" hidden="1" x14ac:dyDescent="0.25">
      <c r="A111" s="123" t="s">
        <v>354</v>
      </c>
      <c r="B111" s="160" t="s">
        <v>167</v>
      </c>
      <c r="C111" s="221" t="s">
        <v>292</v>
      </c>
      <c r="D111" s="123" t="s">
        <v>165</v>
      </c>
      <c r="E111" s="161">
        <v>9.9</v>
      </c>
      <c r="F111" s="162">
        <v>1304.8699999999999</v>
      </c>
    </row>
    <row r="112" spans="1:21" ht="22.5" hidden="1" x14ac:dyDescent="0.25">
      <c r="A112" s="123" t="s">
        <v>355</v>
      </c>
      <c r="B112" s="160" t="s">
        <v>170</v>
      </c>
      <c r="C112" s="221" t="s">
        <v>294</v>
      </c>
      <c r="D112" s="123" t="s">
        <v>165</v>
      </c>
      <c r="E112" s="161">
        <v>5</v>
      </c>
      <c r="F112" s="162">
        <v>854.62</v>
      </c>
    </row>
    <row r="113" spans="1:21" ht="33.75" hidden="1" x14ac:dyDescent="0.25">
      <c r="A113" s="123" t="s">
        <v>356</v>
      </c>
      <c r="B113" s="160" t="s">
        <v>173</v>
      </c>
      <c r="C113" s="221" t="s">
        <v>174</v>
      </c>
      <c r="D113" s="123" t="s">
        <v>165</v>
      </c>
      <c r="E113" s="161">
        <v>60.1</v>
      </c>
      <c r="F113" s="162">
        <v>3762.88</v>
      </c>
    </row>
    <row r="114" spans="1:21" hidden="1" x14ac:dyDescent="0.25">
      <c r="A114" s="118" t="s">
        <v>361</v>
      </c>
      <c r="B114" s="118"/>
      <c r="C114" s="240"/>
      <c r="D114" s="120"/>
      <c r="E114" s="120"/>
      <c r="F114" s="140"/>
      <c r="G114" s="216" t="s">
        <v>541</v>
      </c>
    </row>
    <row r="115" spans="1:21" ht="22.5" hidden="1" x14ac:dyDescent="0.25">
      <c r="A115" s="123" t="s">
        <v>362</v>
      </c>
      <c r="B115" s="160" t="s">
        <v>208</v>
      </c>
      <c r="C115" s="221" t="s">
        <v>209</v>
      </c>
      <c r="D115" s="123" t="s">
        <v>210</v>
      </c>
      <c r="E115" s="161">
        <v>1</v>
      </c>
      <c r="F115" s="162">
        <v>44914.41</v>
      </c>
      <c r="G115" s="164">
        <v>1</v>
      </c>
    </row>
    <row r="116" spans="1:21" ht="22.5" hidden="1" x14ac:dyDescent="0.25">
      <c r="A116" s="123" t="s">
        <v>363</v>
      </c>
      <c r="B116" s="160" t="s">
        <v>82</v>
      </c>
      <c r="C116" s="221" t="s">
        <v>83</v>
      </c>
      <c r="D116" s="123" t="s">
        <v>58</v>
      </c>
      <c r="E116" s="161">
        <v>0.218</v>
      </c>
      <c r="F116" s="162">
        <v>4334.57</v>
      </c>
      <c r="G116" s="215">
        <f>20.8/100</f>
        <v>0.20800000000000002</v>
      </c>
    </row>
    <row r="117" spans="1:21" ht="22.5" hidden="1" x14ac:dyDescent="0.25">
      <c r="A117" s="123" t="s">
        <v>364</v>
      </c>
      <c r="B117" s="160" t="s">
        <v>89</v>
      </c>
      <c r="C117" s="221" t="s">
        <v>90</v>
      </c>
      <c r="D117" s="123" t="s">
        <v>58</v>
      </c>
      <c r="E117" s="161">
        <v>0.1082</v>
      </c>
      <c r="F117" s="162">
        <v>2000.54</v>
      </c>
      <c r="G117" s="238">
        <f>10.36/100</f>
        <v>0.1036</v>
      </c>
    </row>
    <row r="118" spans="1:21" ht="22.5" hidden="1" x14ac:dyDescent="0.25">
      <c r="A118" s="123" t="s">
        <v>365</v>
      </c>
      <c r="B118" s="160" t="s">
        <v>96</v>
      </c>
      <c r="C118" s="221" t="s">
        <v>97</v>
      </c>
      <c r="D118" s="123" t="s">
        <v>58</v>
      </c>
      <c r="E118" s="161">
        <v>0.108</v>
      </c>
      <c r="F118" s="162">
        <v>16420.39</v>
      </c>
      <c r="G118" s="238">
        <f>G117</f>
        <v>0.1036</v>
      </c>
    </row>
    <row r="119" spans="1:21" hidden="1" x14ac:dyDescent="0.25">
      <c r="A119" s="123" t="s">
        <v>366</v>
      </c>
      <c r="B119" s="160" t="s">
        <v>104</v>
      </c>
      <c r="C119" s="221" t="s">
        <v>105</v>
      </c>
      <c r="D119" s="123" t="s">
        <v>106</v>
      </c>
      <c r="E119" s="161">
        <v>15.62</v>
      </c>
      <c r="F119" s="162">
        <v>97058.27</v>
      </c>
      <c r="G119" s="143">
        <f>G118*1.26*100</f>
        <v>13.053599999999999</v>
      </c>
    </row>
    <row r="120" spans="1:21" ht="33.75" hidden="1" x14ac:dyDescent="0.25">
      <c r="A120" s="123" t="s">
        <v>367</v>
      </c>
      <c r="B120" s="160" t="s">
        <v>241</v>
      </c>
      <c r="C120" s="221" t="s">
        <v>242</v>
      </c>
      <c r="D120" s="123" t="s">
        <v>210</v>
      </c>
      <c r="E120" s="161">
        <v>1</v>
      </c>
      <c r="F120" s="162">
        <v>207003.6</v>
      </c>
      <c r="G120" s="164">
        <v>1</v>
      </c>
    </row>
    <row r="121" spans="1:21" hidden="1" x14ac:dyDescent="0.25">
      <c r="A121" s="123" t="s">
        <v>368</v>
      </c>
      <c r="B121" s="160" t="s">
        <v>244</v>
      </c>
      <c r="C121" s="221" t="s">
        <v>245</v>
      </c>
      <c r="D121" s="123" t="s">
        <v>246</v>
      </c>
      <c r="E121" s="161">
        <v>1</v>
      </c>
      <c r="F121" s="162">
        <v>1667776.02</v>
      </c>
      <c r="G121" s="164">
        <v>1</v>
      </c>
    </row>
    <row r="122" spans="1:21" ht="22.5" hidden="1" x14ac:dyDescent="0.25">
      <c r="A122" s="123" t="s">
        <v>369</v>
      </c>
      <c r="B122" s="160" t="s">
        <v>249</v>
      </c>
      <c r="C122" s="221" t="s">
        <v>250</v>
      </c>
      <c r="D122" s="123" t="s">
        <v>246</v>
      </c>
      <c r="E122" s="161">
        <v>1</v>
      </c>
      <c r="F122" s="162">
        <v>3596141.97</v>
      </c>
      <c r="G122" s="164">
        <v>1</v>
      </c>
    </row>
    <row r="123" spans="1:21" ht="33.75" hidden="1" x14ac:dyDescent="0.25">
      <c r="A123" s="123" t="s">
        <v>370</v>
      </c>
      <c r="B123" s="160" t="s">
        <v>253</v>
      </c>
      <c r="C123" s="221" t="s">
        <v>254</v>
      </c>
      <c r="D123" s="123" t="s">
        <v>115</v>
      </c>
      <c r="E123" s="161">
        <v>1</v>
      </c>
      <c r="F123" s="162">
        <v>42192.34</v>
      </c>
      <c r="G123" s="164">
        <v>1</v>
      </c>
    </row>
    <row r="124" spans="1:21" s="229" customFormat="1" hidden="1" x14ac:dyDescent="0.25">
      <c r="A124" s="257" t="s">
        <v>371</v>
      </c>
      <c r="B124" s="258" t="s">
        <v>260</v>
      </c>
      <c r="C124" s="241" t="s">
        <v>261</v>
      </c>
      <c r="D124" s="257" t="s">
        <v>115</v>
      </c>
      <c r="E124" s="259">
        <v>-2</v>
      </c>
      <c r="F124" s="260">
        <v>-5066.7299999999996</v>
      </c>
      <c r="G124" s="261">
        <v>-2</v>
      </c>
      <c r="H124" s="232"/>
      <c r="U124" s="323"/>
    </row>
    <row r="125" spans="1:21" hidden="1" x14ac:dyDescent="0.25">
      <c r="A125" s="123" t="s">
        <v>372</v>
      </c>
      <c r="B125" s="160" t="s">
        <v>263</v>
      </c>
      <c r="C125" s="221" t="s">
        <v>264</v>
      </c>
      <c r="D125" s="123" t="s">
        <v>115</v>
      </c>
      <c r="E125" s="161">
        <v>2</v>
      </c>
      <c r="F125" s="162">
        <v>87727.09</v>
      </c>
      <c r="G125" s="164">
        <v>2</v>
      </c>
    </row>
    <row r="126" spans="1:21" ht="22.5" hidden="1" x14ac:dyDescent="0.25">
      <c r="A126" s="123" t="s">
        <v>373</v>
      </c>
      <c r="B126" s="160" t="s">
        <v>267</v>
      </c>
      <c r="C126" s="221" t="s">
        <v>268</v>
      </c>
      <c r="D126" s="123" t="s">
        <v>115</v>
      </c>
      <c r="E126" s="161">
        <v>1</v>
      </c>
      <c r="F126" s="162">
        <v>156781.35</v>
      </c>
      <c r="G126" s="164">
        <v>1</v>
      </c>
    </row>
    <row r="127" spans="1:21" hidden="1" x14ac:dyDescent="0.25">
      <c r="A127" s="123" t="s">
        <v>374</v>
      </c>
      <c r="B127" s="160" t="s">
        <v>120</v>
      </c>
      <c r="C127" s="221" t="s">
        <v>271</v>
      </c>
      <c r="D127" s="123" t="s">
        <v>115</v>
      </c>
      <c r="E127" s="161">
        <v>1</v>
      </c>
      <c r="F127" s="162">
        <v>4178.1000000000004</v>
      </c>
      <c r="G127" s="164">
        <v>1</v>
      </c>
    </row>
    <row r="128" spans="1:21" ht="22.5" hidden="1" x14ac:dyDescent="0.25">
      <c r="A128" s="262" t="s">
        <v>375</v>
      </c>
      <c r="B128" s="263" t="s">
        <v>274</v>
      </c>
      <c r="C128" s="264" t="s">
        <v>275</v>
      </c>
      <c r="D128" s="262" t="s">
        <v>276</v>
      </c>
      <c r="E128" s="243">
        <v>0.06</v>
      </c>
      <c r="F128" s="265">
        <v>15658.24</v>
      </c>
      <c r="G128" s="243">
        <v>0</v>
      </c>
      <c r="H128" s="218" t="s">
        <v>546</v>
      </c>
    </row>
    <row r="129" spans="1:21" s="229" customFormat="1" hidden="1" x14ac:dyDescent="0.25">
      <c r="A129" s="262" t="s">
        <v>376</v>
      </c>
      <c r="B129" s="263" t="s">
        <v>282</v>
      </c>
      <c r="C129" s="264" t="s">
        <v>283</v>
      </c>
      <c r="D129" s="262" t="s">
        <v>127</v>
      </c>
      <c r="E129" s="243">
        <v>-2.9000000000000001E-2</v>
      </c>
      <c r="F129" s="265">
        <v>-2679.86</v>
      </c>
      <c r="G129" s="243">
        <v>0</v>
      </c>
      <c r="H129" s="218" t="s">
        <v>546</v>
      </c>
      <c r="U129" s="323"/>
    </row>
    <row r="130" spans="1:21" hidden="1" x14ac:dyDescent="0.25">
      <c r="A130" s="262" t="s">
        <v>377</v>
      </c>
      <c r="B130" s="263" t="s">
        <v>120</v>
      </c>
      <c r="C130" s="264" t="s">
        <v>285</v>
      </c>
      <c r="D130" s="262" t="s">
        <v>130</v>
      </c>
      <c r="E130" s="243">
        <v>0.36</v>
      </c>
      <c r="F130" s="265">
        <v>134204.32</v>
      </c>
      <c r="G130" s="243">
        <v>0</v>
      </c>
      <c r="H130" s="218" t="s">
        <v>546</v>
      </c>
    </row>
    <row r="131" spans="1:21" hidden="1" x14ac:dyDescent="0.25">
      <c r="A131" s="262" t="s">
        <v>378</v>
      </c>
      <c r="B131" s="263" t="s">
        <v>120</v>
      </c>
      <c r="C131" s="264" t="s">
        <v>129</v>
      </c>
      <c r="D131" s="262" t="s">
        <v>130</v>
      </c>
      <c r="E131" s="243">
        <v>2.9000000000000001E-2</v>
      </c>
      <c r="F131" s="265">
        <v>8010.5</v>
      </c>
      <c r="G131" s="243">
        <v>0</v>
      </c>
      <c r="H131" s="218" t="s">
        <v>546</v>
      </c>
    </row>
    <row r="132" spans="1:21" ht="22.5" hidden="1" x14ac:dyDescent="0.25">
      <c r="A132" s="123" t="s">
        <v>379</v>
      </c>
      <c r="B132" s="160" t="s">
        <v>288</v>
      </c>
      <c r="C132" s="221" t="s">
        <v>289</v>
      </c>
      <c r="D132" s="123" t="s">
        <v>160</v>
      </c>
      <c r="E132" s="161">
        <v>1.3299999999999999E-2</v>
      </c>
      <c r="F132" s="162">
        <v>34682.379999999997</v>
      </c>
      <c r="G132" s="212">
        <f>E132</f>
        <v>1.3299999999999999E-2</v>
      </c>
    </row>
    <row r="133" spans="1:21" hidden="1" x14ac:dyDescent="0.25">
      <c r="A133" s="117" t="s">
        <v>161</v>
      </c>
      <c r="B133" s="117"/>
      <c r="C133" s="221"/>
      <c r="D133" s="123"/>
      <c r="E133" s="123"/>
      <c r="F133" s="147"/>
      <c r="G133" s="226"/>
    </row>
    <row r="134" spans="1:21" ht="33.75" hidden="1" x14ac:dyDescent="0.25">
      <c r="A134" s="123" t="s">
        <v>380</v>
      </c>
      <c r="B134" s="160" t="s">
        <v>163</v>
      </c>
      <c r="C134" s="221" t="s">
        <v>164</v>
      </c>
      <c r="D134" s="123" t="s">
        <v>165</v>
      </c>
      <c r="E134" s="161">
        <v>38.1</v>
      </c>
      <c r="F134" s="162">
        <v>1963.28</v>
      </c>
      <c r="G134" s="143">
        <f>G116*1.75*100</f>
        <v>36.400000000000006</v>
      </c>
    </row>
    <row r="135" spans="1:21" ht="33.75" hidden="1" x14ac:dyDescent="0.25">
      <c r="A135" s="123" t="s">
        <v>381</v>
      </c>
      <c r="B135" s="160" t="s">
        <v>167</v>
      </c>
      <c r="C135" s="221" t="s">
        <v>292</v>
      </c>
      <c r="D135" s="123" t="s">
        <v>165</v>
      </c>
      <c r="E135" s="161">
        <v>9.9</v>
      </c>
      <c r="F135" s="162">
        <v>1304.8699999999999</v>
      </c>
      <c r="G135" s="143">
        <v>8.85</v>
      </c>
    </row>
    <row r="136" spans="1:21" ht="22.5" hidden="1" x14ac:dyDescent="0.25">
      <c r="A136" s="123" t="s">
        <v>382</v>
      </c>
      <c r="B136" s="160" t="s">
        <v>170</v>
      </c>
      <c r="C136" s="221" t="s">
        <v>294</v>
      </c>
      <c r="D136" s="123" t="s">
        <v>165</v>
      </c>
      <c r="E136" s="161">
        <v>5</v>
      </c>
      <c r="F136" s="162">
        <v>854.62</v>
      </c>
      <c r="G136" s="143">
        <v>5</v>
      </c>
    </row>
    <row r="137" spans="1:21" ht="33.75" hidden="1" x14ac:dyDescent="0.25">
      <c r="A137" s="123" t="s">
        <v>383</v>
      </c>
      <c r="B137" s="160" t="s">
        <v>173</v>
      </c>
      <c r="C137" s="221" t="s">
        <v>174</v>
      </c>
      <c r="D137" s="123" t="s">
        <v>165</v>
      </c>
      <c r="E137" s="161">
        <v>53</v>
      </c>
      <c r="F137" s="162">
        <v>3318.29</v>
      </c>
      <c r="G137" s="143">
        <f>G134+G135+G136</f>
        <v>50.250000000000007</v>
      </c>
    </row>
    <row r="138" spans="1:21" hidden="1" x14ac:dyDescent="0.25">
      <c r="A138" s="118" t="s">
        <v>388</v>
      </c>
      <c r="B138" s="118"/>
      <c r="C138" s="240"/>
      <c r="D138" s="120"/>
      <c r="E138" s="120"/>
      <c r="F138" s="140"/>
      <c r="G138" s="219" t="s">
        <v>525</v>
      </c>
      <c r="H138" s="218"/>
    </row>
    <row r="139" spans="1:21" ht="22.5" hidden="1" x14ac:dyDescent="0.25">
      <c r="A139" s="123" t="s">
        <v>389</v>
      </c>
      <c r="B139" s="160" t="s">
        <v>208</v>
      </c>
      <c r="C139" s="221" t="s">
        <v>209</v>
      </c>
      <c r="D139" s="123" t="s">
        <v>210</v>
      </c>
      <c r="E139" s="161">
        <v>1</v>
      </c>
      <c r="F139" s="162">
        <v>44914.41</v>
      </c>
      <c r="G139" s="164">
        <v>1</v>
      </c>
      <c r="H139" s="218"/>
    </row>
    <row r="140" spans="1:21" ht="22.5" hidden="1" x14ac:dyDescent="0.25">
      <c r="A140" s="123" t="s">
        <v>390</v>
      </c>
      <c r="B140" s="160" t="s">
        <v>82</v>
      </c>
      <c r="C140" s="221" t="s">
        <v>83</v>
      </c>
      <c r="D140" s="123" t="s">
        <v>58</v>
      </c>
      <c r="E140" s="161">
        <v>0.29899999999999999</v>
      </c>
      <c r="F140" s="162">
        <v>5945.15</v>
      </c>
      <c r="G140" s="212">
        <f>22.45/100</f>
        <v>0.22450000000000001</v>
      </c>
      <c r="H140" s="218"/>
    </row>
    <row r="141" spans="1:21" ht="22.5" hidden="1" x14ac:dyDescent="0.25">
      <c r="A141" s="123" t="s">
        <v>391</v>
      </c>
      <c r="B141" s="160" t="s">
        <v>89</v>
      </c>
      <c r="C141" s="221" t="s">
        <v>90</v>
      </c>
      <c r="D141" s="123" t="s">
        <v>58</v>
      </c>
      <c r="E141" s="161">
        <v>0.13950000000000001</v>
      </c>
      <c r="F141" s="162">
        <v>2580.31</v>
      </c>
      <c r="G141" s="212">
        <f>10.37/100</f>
        <v>0.10369999999999999</v>
      </c>
      <c r="H141" s="218"/>
    </row>
    <row r="142" spans="1:21" ht="22.5" hidden="1" x14ac:dyDescent="0.25">
      <c r="A142" s="123" t="s">
        <v>392</v>
      </c>
      <c r="B142" s="160" t="s">
        <v>96</v>
      </c>
      <c r="C142" s="221" t="s">
        <v>97</v>
      </c>
      <c r="D142" s="123" t="s">
        <v>58</v>
      </c>
      <c r="E142" s="161">
        <v>0.14000000000000001</v>
      </c>
      <c r="F142" s="162">
        <v>21284.21</v>
      </c>
      <c r="G142" s="212">
        <f>G141</f>
        <v>0.10369999999999999</v>
      </c>
      <c r="H142" s="218"/>
    </row>
    <row r="143" spans="1:21" hidden="1" x14ac:dyDescent="0.25">
      <c r="A143" s="123" t="s">
        <v>393</v>
      </c>
      <c r="B143" s="160" t="s">
        <v>104</v>
      </c>
      <c r="C143" s="221" t="s">
        <v>105</v>
      </c>
      <c r="D143" s="123" t="s">
        <v>106</v>
      </c>
      <c r="E143" s="161">
        <v>17.64</v>
      </c>
      <c r="F143" s="162">
        <v>109610.05</v>
      </c>
      <c r="G143" s="215">
        <f>1.26*G142*100</f>
        <v>13.066199999999997</v>
      </c>
      <c r="H143" s="218"/>
    </row>
    <row r="144" spans="1:21" ht="33.75" hidden="1" x14ac:dyDescent="0.25">
      <c r="A144" s="123" t="s">
        <v>394</v>
      </c>
      <c r="B144" s="160" t="s">
        <v>241</v>
      </c>
      <c r="C144" s="221" t="s">
        <v>242</v>
      </c>
      <c r="D144" s="123" t="s">
        <v>210</v>
      </c>
      <c r="E144" s="161">
        <v>1</v>
      </c>
      <c r="F144" s="162">
        <v>207003.6</v>
      </c>
      <c r="G144" s="164">
        <v>1</v>
      </c>
      <c r="H144" s="218"/>
    </row>
    <row r="145" spans="1:21" hidden="1" x14ac:dyDescent="0.25">
      <c r="A145" s="123" t="s">
        <v>395</v>
      </c>
      <c r="B145" s="160" t="s">
        <v>244</v>
      </c>
      <c r="C145" s="221" t="s">
        <v>245</v>
      </c>
      <c r="D145" s="123" t="s">
        <v>246</v>
      </c>
      <c r="E145" s="161">
        <v>1</v>
      </c>
      <c r="F145" s="162">
        <v>1667776.02</v>
      </c>
      <c r="G145" s="164">
        <v>1</v>
      </c>
      <c r="H145" s="218"/>
    </row>
    <row r="146" spans="1:21" ht="22.5" hidden="1" x14ac:dyDescent="0.25">
      <c r="A146" s="123" t="s">
        <v>396</v>
      </c>
      <c r="B146" s="160" t="s">
        <v>249</v>
      </c>
      <c r="C146" s="221" t="s">
        <v>250</v>
      </c>
      <c r="D146" s="123" t="s">
        <v>246</v>
      </c>
      <c r="E146" s="161">
        <v>1</v>
      </c>
      <c r="F146" s="162">
        <v>3596141.97</v>
      </c>
      <c r="G146" s="164">
        <v>1</v>
      </c>
      <c r="H146" s="218"/>
    </row>
    <row r="147" spans="1:21" ht="33.75" hidden="1" x14ac:dyDescent="0.25">
      <c r="A147" s="123" t="s">
        <v>397</v>
      </c>
      <c r="B147" s="160" t="s">
        <v>253</v>
      </c>
      <c r="C147" s="221" t="s">
        <v>254</v>
      </c>
      <c r="D147" s="123" t="s">
        <v>115</v>
      </c>
      <c r="E147" s="161">
        <v>1</v>
      </c>
      <c r="F147" s="162">
        <v>42192.34</v>
      </c>
      <c r="G147" s="164">
        <v>1</v>
      </c>
      <c r="H147" s="218"/>
    </row>
    <row r="148" spans="1:21" s="229" customFormat="1" hidden="1" x14ac:dyDescent="0.25">
      <c r="A148" s="257" t="s">
        <v>398</v>
      </c>
      <c r="B148" s="258" t="s">
        <v>260</v>
      </c>
      <c r="C148" s="241" t="s">
        <v>261</v>
      </c>
      <c r="D148" s="257" t="s">
        <v>115</v>
      </c>
      <c r="E148" s="259">
        <v>-2</v>
      </c>
      <c r="F148" s="260">
        <v>-5066.7299999999996</v>
      </c>
      <c r="G148" s="261">
        <v>-2</v>
      </c>
      <c r="U148" s="323"/>
    </row>
    <row r="149" spans="1:21" hidden="1" x14ac:dyDescent="0.25">
      <c r="A149" s="123" t="s">
        <v>399</v>
      </c>
      <c r="B149" s="160" t="s">
        <v>263</v>
      </c>
      <c r="C149" s="221" t="s">
        <v>264</v>
      </c>
      <c r="D149" s="123" t="s">
        <v>115</v>
      </c>
      <c r="E149" s="161">
        <v>2</v>
      </c>
      <c r="F149" s="162">
        <v>87727.09</v>
      </c>
      <c r="G149" s="164">
        <v>2</v>
      </c>
      <c r="H149" s="218"/>
    </row>
    <row r="150" spans="1:21" ht="22.5" hidden="1" x14ac:dyDescent="0.25">
      <c r="A150" s="123" t="s">
        <v>400</v>
      </c>
      <c r="B150" s="160" t="s">
        <v>267</v>
      </c>
      <c r="C150" s="221" t="s">
        <v>268</v>
      </c>
      <c r="D150" s="123" t="s">
        <v>115</v>
      </c>
      <c r="E150" s="161">
        <v>1</v>
      </c>
      <c r="F150" s="162">
        <v>156781.35</v>
      </c>
      <c r="G150" s="164">
        <v>1</v>
      </c>
      <c r="H150" s="234"/>
    </row>
    <row r="151" spans="1:21" hidden="1" x14ac:dyDescent="0.25">
      <c r="A151" s="123" t="s">
        <v>401</v>
      </c>
      <c r="B151" s="160" t="s">
        <v>120</v>
      </c>
      <c r="C151" s="221" t="s">
        <v>271</v>
      </c>
      <c r="D151" s="123" t="s">
        <v>115</v>
      </c>
      <c r="E151" s="161">
        <v>1</v>
      </c>
      <c r="F151" s="162">
        <v>4178.1000000000004</v>
      </c>
      <c r="G151" s="164">
        <v>1</v>
      </c>
      <c r="H151" s="234"/>
    </row>
    <row r="152" spans="1:21" ht="22.5" hidden="1" x14ac:dyDescent="0.25">
      <c r="A152" s="262" t="s">
        <v>402</v>
      </c>
      <c r="B152" s="263" t="s">
        <v>274</v>
      </c>
      <c r="C152" s="264" t="s">
        <v>275</v>
      </c>
      <c r="D152" s="262" t="s">
        <v>276</v>
      </c>
      <c r="E152" s="243">
        <v>0.06</v>
      </c>
      <c r="F152" s="265">
        <v>15658.24</v>
      </c>
      <c r="G152" s="243">
        <v>0</v>
      </c>
      <c r="H152" s="218" t="s">
        <v>546</v>
      </c>
    </row>
    <row r="153" spans="1:21" s="229" customFormat="1" hidden="1" x14ac:dyDescent="0.25">
      <c r="A153" s="262" t="s">
        <v>403</v>
      </c>
      <c r="B153" s="263" t="s">
        <v>282</v>
      </c>
      <c r="C153" s="264" t="s">
        <v>283</v>
      </c>
      <c r="D153" s="262" t="s">
        <v>127</v>
      </c>
      <c r="E153" s="243">
        <v>-2.9000000000000001E-2</v>
      </c>
      <c r="F153" s="265">
        <v>-2679.86</v>
      </c>
      <c r="G153" s="243">
        <v>0</v>
      </c>
      <c r="H153" s="218" t="s">
        <v>546</v>
      </c>
      <c r="U153" s="323"/>
    </row>
    <row r="154" spans="1:21" hidden="1" x14ac:dyDescent="0.25">
      <c r="A154" s="262" t="s">
        <v>404</v>
      </c>
      <c r="B154" s="263" t="s">
        <v>120</v>
      </c>
      <c r="C154" s="264" t="s">
        <v>285</v>
      </c>
      <c r="D154" s="262" t="s">
        <v>130</v>
      </c>
      <c r="E154" s="243">
        <v>0.36</v>
      </c>
      <c r="F154" s="265">
        <v>134204.32</v>
      </c>
      <c r="G154" s="243">
        <v>0</v>
      </c>
      <c r="H154" s="218" t="s">
        <v>546</v>
      </c>
    </row>
    <row r="155" spans="1:21" hidden="1" x14ac:dyDescent="0.25">
      <c r="A155" s="262" t="s">
        <v>405</v>
      </c>
      <c r="B155" s="263" t="s">
        <v>120</v>
      </c>
      <c r="C155" s="264" t="s">
        <v>129</v>
      </c>
      <c r="D155" s="262" t="s">
        <v>130</v>
      </c>
      <c r="E155" s="243">
        <v>2.9000000000000001E-2</v>
      </c>
      <c r="F155" s="265">
        <v>8010.5</v>
      </c>
      <c r="G155" s="243">
        <v>0</v>
      </c>
      <c r="H155" s="218" t="s">
        <v>546</v>
      </c>
    </row>
    <row r="156" spans="1:21" ht="22.5" hidden="1" x14ac:dyDescent="0.25">
      <c r="A156" s="123" t="s">
        <v>406</v>
      </c>
      <c r="B156" s="160" t="s">
        <v>288</v>
      </c>
      <c r="C156" s="221" t="s">
        <v>289</v>
      </c>
      <c r="D156" s="123" t="s">
        <v>160</v>
      </c>
      <c r="E156" s="161">
        <v>1.3299999999999999E-2</v>
      </c>
      <c r="F156" s="162">
        <v>34682.379999999997</v>
      </c>
      <c r="G156" s="212">
        <f>E156</f>
        <v>1.3299999999999999E-2</v>
      </c>
      <c r="H156" s="234"/>
    </row>
    <row r="157" spans="1:21" hidden="1" x14ac:dyDescent="0.25">
      <c r="A157" s="117" t="s">
        <v>161</v>
      </c>
      <c r="B157" s="117"/>
      <c r="C157" s="221"/>
      <c r="D157" s="123"/>
      <c r="E157" s="123"/>
      <c r="F157" s="147"/>
      <c r="G157" s="226"/>
      <c r="H157" s="234"/>
    </row>
    <row r="158" spans="1:21" ht="33.75" hidden="1" x14ac:dyDescent="0.25">
      <c r="A158" s="123" t="s">
        <v>407</v>
      </c>
      <c r="B158" s="160" t="s">
        <v>163</v>
      </c>
      <c r="C158" s="221" t="s">
        <v>164</v>
      </c>
      <c r="D158" s="123" t="s">
        <v>165</v>
      </c>
      <c r="E158" s="161">
        <v>52.3</v>
      </c>
      <c r="F158" s="162">
        <v>2694.89</v>
      </c>
      <c r="G158" s="143">
        <f>G140*100*1.75</f>
        <v>39.287500000000001</v>
      </c>
      <c r="H158" s="234"/>
    </row>
    <row r="159" spans="1:21" ht="33.75" hidden="1" x14ac:dyDescent="0.25">
      <c r="A159" s="123" t="s">
        <v>408</v>
      </c>
      <c r="B159" s="160" t="s">
        <v>167</v>
      </c>
      <c r="C159" s="221" t="s">
        <v>292</v>
      </c>
      <c r="D159" s="123" t="s">
        <v>165</v>
      </c>
      <c r="E159" s="161">
        <v>9.9</v>
      </c>
      <c r="F159" s="162">
        <v>1304.8699999999999</v>
      </c>
      <c r="G159" s="143">
        <v>7.56</v>
      </c>
      <c r="H159" s="234"/>
    </row>
    <row r="160" spans="1:21" ht="22.5" hidden="1" x14ac:dyDescent="0.25">
      <c r="A160" s="123" t="s">
        <v>409</v>
      </c>
      <c r="B160" s="160" t="s">
        <v>170</v>
      </c>
      <c r="C160" s="221" t="s">
        <v>294</v>
      </c>
      <c r="D160" s="123" t="s">
        <v>165</v>
      </c>
      <c r="E160" s="161">
        <v>5</v>
      </c>
      <c r="F160" s="162">
        <v>854.62</v>
      </c>
      <c r="G160" s="143">
        <f>1.6+2.64</f>
        <v>4.24</v>
      </c>
      <c r="H160" s="234"/>
    </row>
    <row r="161" spans="1:21" ht="33.75" hidden="1" x14ac:dyDescent="0.25">
      <c r="A161" s="123" t="s">
        <v>410</v>
      </c>
      <c r="B161" s="160" t="s">
        <v>173</v>
      </c>
      <c r="C161" s="221" t="s">
        <v>174</v>
      </c>
      <c r="D161" s="123" t="s">
        <v>165</v>
      </c>
      <c r="E161" s="161">
        <v>67.2</v>
      </c>
      <c r="F161" s="162">
        <v>4207.3100000000004</v>
      </c>
      <c r="G161" s="143">
        <f>G160+G159+G158</f>
        <v>51.087500000000006</v>
      </c>
      <c r="H161" s="218"/>
    </row>
    <row r="162" spans="1:21" hidden="1" x14ac:dyDescent="0.25">
      <c r="A162" s="114" t="s">
        <v>415</v>
      </c>
      <c r="B162" s="114"/>
      <c r="C162" s="220"/>
      <c r="D162" s="120"/>
      <c r="E162" s="120"/>
      <c r="F162" s="140"/>
    </row>
    <row r="163" spans="1:21" ht="22.5" hidden="1" x14ac:dyDescent="0.25">
      <c r="A163" s="123" t="s">
        <v>416</v>
      </c>
      <c r="B163" s="160" t="s">
        <v>208</v>
      </c>
      <c r="C163" s="221" t="s">
        <v>209</v>
      </c>
      <c r="D163" s="123" t="s">
        <v>210</v>
      </c>
      <c r="E163" s="161">
        <v>1</v>
      </c>
      <c r="F163" s="162">
        <v>44914.41</v>
      </c>
    </row>
    <row r="164" spans="1:21" ht="22.5" hidden="1" x14ac:dyDescent="0.25">
      <c r="A164" s="123" t="s">
        <v>417</v>
      </c>
      <c r="B164" s="160" t="s">
        <v>82</v>
      </c>
      <c r="C164" s="221" t="s">
        <v>83</v>
      </c>
      <c r="D164" s="123" t="s">
        <v>58</v>
      </c>
      <c r="E164" s="161">
        <v>0.23699999999999999</v>
      </c>
      <c r="F164" s="162">
        <v>4712.08</v>
      </c>
    </row>
    <row r="165" spans="1:21" ht="22.5" hidden="1" x14ac:dyDescent="0.25">
      <c r="A165" s="123" t="s">
        <v>418</v>
      </c>
      <c r="B165" s="160" t="s">
        <v>89</v>
      </c>
      <c r="C165" s="221" t="s">
        <v>90</v>
      </c>
      <c r="D165" s="123" t="s">
        <v>58</v>
      </c>
      <c r="E165" s="161">
        <v>0.11559999999999999</v>
      </c>
      <c r="F165" s="162">
        <v>2138.88</v>
      </c>
    </row>
    <row r="166" spans="1:21" ht="22.5" hidden="1" x14ac:dyDescent="0.25">
      <c r="A166" s="123" t="s">
        <v>419</v>
      </c>
      <c r="B166" s="160" t="s">
        <v>96</v>
      </c>
      <c r="C166" s="221" t="s">
        <v>97</v>
      </c>
      <c r="D166" s="123" t="s">
        <v>58</v>
      </c>
      <c r="E166" s="161">
        <v>0.11600000000000001</v>
      </c>
      <c r="F166" s="162">
        <v>17635.43</v>
      </c>
    </row>
    <row r="167" spans="1:21" hidden="1" x14ac:dyDescent="0.25">
      <c r="A167" s="123" t="s">
        <v>420</v>
      </c>
      <c r="B167" s="160" t="s">
        <v>104</v>
      </c>
      <c r="C167" s="221" t="s">
        <v>105</v>
      </c>
      <c r="D167" s="123" t="s">
        <v>106</v>
      </c>
      <c r="E167" s="161">
        <v>14.62</v>
      </c>
      <c r="F167" s="162">
        <v>90844.61</v>
      </c>
    </row>
    <row r="168" spans="1:21" ht="33.75" hidden="1" x14ac:dyDescent="0.25">
      <c r="A168" s="123" t="s">
        <v>421</v>
      </c>
      <c r="B168" s="160" t="s">
        <v>241</v>
      </c>
      <c r="C168" s="221" t="s">
        <v>242</v>
      </c>
      <c r="D168" s="123" t="s">
        <v>210</v>
      </c>
      <c r="E168" s="161">
        <v>1</v>
      </c>
      <c r="F168" s="162">
        <v>207003.6</v>
      </c>
    </row>
    <row r="169" spans="1:21" hidden="1" x14ac:dyDescent="0.25">
      <c r="A169" s="123" t="s">
        <v>422</v>
      </c>
      <c r="B169" s="160" t="s">
        <v>244</v>
      </c>
      <c r="C169" s="221" t="s">
        <v>245</v>
      </c>
      <c r="D169" s="123" t="s">
        <v>246</v>
      </c>
      <c r="E169" s="161">
        <v>1</v>
      </c>
      <c r="F169" s="162">
        <v>1667776.02</v>
      </c>
    </row>
    <row r="170" spans="1:21" ht="22.5" hidden="1" x14ac:dyDescent="0.25">
      <c r="A170" s="123" t="s">
        <v>423</v>
      </c>
      <c r="B170" s="160" t="s">
        <v>249</v>
      </c>
      <c r="C170" s="221" t="s">
        <v>250</v>
      </c>
      <c r="D170" s="123" t="s">
        <v>246</v>
      </c>
      <c r="E170" s="161">
        <v>1</v>
      </c>
      <c r="F170" s="162">
        <v>3596141.97</v>
      </c>
    </row>
    <row r="171" spans="1:21" ht="33.75" hidden="1" x14ac:dyDescent="0.25">
      <c r="A171" s="123" t="s">
        <v>424</v>
      </c>
      <c r="B171" s="160" t="s">
        <v>253</v>
      </c>
      <c r="C171" s="221" t="s">
        <v>254</v>
      </c>
      <c r="D171" s="123" t="s">
        <v>115</v>
      </c>
      <c r="E171" s="161">
        <v>1</v>
      </c>
      <c r="F171" s="162">
        <v>42192.34</v>
      </c>
    </row>
    <row r="172" spans="1:21" s="229" customFormat="1" hidden="1" x14ac:dyDescent="0.25">
      <c r="A172" s="166" t="s">
        <v>425</v>
      </c>
      <c r="B172" s="167" t="s">
        <v>260</v>
      </c>
      <c r="C172" s="222" t="s">
        <v>261</v>
      </c>
      <c r="D172" s="166" t="s">
        <v>115</v>
      </c>
      <c r="E172" s="169">
        <v>-2</v>
      </c>
      <c r="F172" s="170">
        <v>-5066.7299999999996</v>
      </c>
      <c r="G172" s="233"/>
      <c r="H172" s="232"/>
      <c r="U172" s="323"/>
    </row>
    <row r="173" spans="1:21" hidden="1" x14ac:dyDescent="0.25">
      <c r="A173" s="123" t="s">
        <v>426</v>
      </c>
      <c r="B173" s="160" t="s">
        <v>263</v>
      </c>
      <c r="C173" s="221" t="s">
        <v>264</v>
      </c>
      <c r="D173" s="123" t="s">
        <v>115</v>
      </c>
      <c r="E173" s="161">
        <v>2</v>
      </c>
      <c r="F173" s="162">
        <v>87727.09</v>
      </c>
    </row>
    <row r="174" spans="1:21" ht="22.5" hidden="1" x14ac:dyDescent="0.25">
      <c r="A174" s="123" t="s">
        <v>427</v>
      </c>
      <c r="B174" s="160" t="s">
        <v>267</v>
      </c>
      <c r="C174" s="221" t="s">
        <v>268</v>
      </c>
      <c r="D174" s="123" t="s">
        <v>115</v>
      </c>
      <c r="E174" s="161">
        <v>1</v>
      </c>
      <c r="F174" s="162">
        <v>156781.35</v>
      </c>
    </row>
    <row r="175" spans="1:21" hidden="1" x14ac:dyDescent="0.25">
      <c r="A175" s="123" t="s">
        <v>428</v>
      </c>
      <c r="B175" s="160" t="s">
        <v>120</v>
      </c>
      <c r="C175" s="221" t="s">
        <v>271</v>
      </c>
      <c r="D175" s="123" t="s">
        <v>115</v>
      </c>
      <c r="E175" s="161">
        <v>1</v>
      </c>
      <c r="F175" s="162">
        <v>4178.1000000000004</v>
      </c>
    </row>
    <row r="176" spans="1:21" ht="22.5" hidden="1" x14ac:dyDescent="0.25">
      <c r="A176" s="123" t="s">
        <v>429</v>
      </c>
      <c r="B176" s="160" t="s">
        <v>274</v>
      </c>
      <c r="C176" s="221" t="s">
        <v>275</v>
      </c>
      <c r="D176" s="123" t="s">
        <v>276</v>
      </c>
      <c r="E176" s="161">
        <v>0.06</v>
      </c>
      <c r="F176" s="162">
        <v>15658.24</v>
      </c>
    </row>
    <row r="177" spans="1:21" s="229" customFormat="1" hidden="1" x14ac:dyDescent="0.25">
      <c r="A177" s="166" t="s">
        <v>430</v>
      </c>
      <c r="B177" s="167" t="s">
        <v>282</v>
      </c>
      <c r="C177" s="222" t="s">
        <v>283</v>
      </c>
      <c r="D177" s="166" t="s">
        <v>127</v>
      </c>
      <c r="E177" s="169">
        <v>-2.9000000000000001E-2</v>
      </c>
      <c r="F177" s="170">
        <v>-2679.86</v>
      </c>
      <c r="G177" s="233"/>
      <c r="H177" s="232"/>
      <c r="U177" s="323"/>
    </row>
    <row r="178" spans="1:21" hidden="1" x14ac:dyDescent="0.25">
      <c r="A178" s="123" t="s">
        <v>431</v>
      </c>
      <c r="B178" s="160" t="s">
        <v>120</v>
      </c>
      <c r="C178" s="221" t="s">
        <v>285</v>
      </c>
      <c r="D178" s="123" t="s">
        <v>130</v>
      </c>
      <c r="E178" s="161">
        <v>0.36</v>
      </c>
      <c r="F178" s="162">
        <v>134204.32</v>
      </c>
    </row>
    <row r="179" spans="1:21" hidden="1" x14ac:dyDescent="0.25">
      <c r="A179" s="123" t="s">
        <v>432</v>
      </c>
      <c r="B179" s="160" t="s">
        <v>120</v>
      </c>
      <c r="C179" s="221" t="s">
        <v>129</v>
      </c>
      <c r="D179" s="123" t="s">
        <v>130</v>
      </c>
      <c r="E179" s="161">
        <v>2.9000000000000001E-2</v>
      </c>
      <c r="F179" s="162">
        <v>8010.5</v>
      </c>
    </row>
    <row r="180" spans="1:21" ht="22.5" hidden="1" x14ac:dyDescent="0.25">
      <c r="A180" s="123" t="s">
        <v>433</v>
      </c>
      <c r="B180" s="160" t="s">
        <v>288</v>
      </c>
      <c r="C180" s="221" t="s">
        <v>289</v>
      </c>
      <c r="D180" s="123" t="s">
        <v>160</v>
      </c>
      <c r="E180" s="161">
        <v>1.3299999999999999E-2</v>
      </c>
      <c r="F180" s="162">
        <v>34682.379999999997</v>
      </c>
    </row>
    <row r="181" spans="1:21" hidden="1" x14ac:dyDescent="0.25">
      <c r="A181" s="117" t="s">
        <v>161</v>
      </c>
      <c r="B181" s="117"/>
      <c r="C181" s="221"/>
      <c r="D181" s="123"/>
      <c r="E181" s="123"/>
      <c r="F181" s="147"/>
    </row>
    <row r="182" spans="1:21" ht="33.75" hidden="1" x14ac:dyDescent="0.25">
      <c r="A182" s="123" t="s">
        <v>434</v>
      </c>
      <c r="B182" s="160" t="s">
        <v>163</v>
      </c>
      <c r="C182" s="221" t="s">
        <v>164</v>
      </c>
      <c r="D182" s="123" t="s">
        <v>165</v>
      </c>
      <c r="E182" s="161">
        <v>41.5</v>
      </c>
      <c r="F182" s="162">
        <v>2138.4499999999998</v>
      </c>
    </row>
    <row r="183" spans="1:21" ht="33.75" hidden="1" x14ac:dyDescent="0.25">
      <c r="A183" s="123" t="s">
        <v>435</v>
      </c>
      <c r="B183" s="160" t="s">
        <v>167</v>
      </c>
      <c r="C183" s="221" t="s">
        <v>292</v>
      </c>
      <c r="D183" s="123" t="s">
        <v>165</v>
      </c>
      <c r="E183" s="161">
        <v>9.9</v>
      </c>
      <c r="F183" s="162">
        <v>1304.8699999999999</v>
      </c>
    </row>
    <row r="184" spans="1:21" ht="22.5" hidden="1" x14ac:dyDescent="0.25">
      <c r="A184" s="123" t="s">
        <v>436</v>
      </c>
      <c r="B184" s="160" t="s">
        <v>170</v>
      </c>
      <c r="C184" s="221" t="s">
        <v>294</v>
      </c>
      <c r="D184" s="123" t="s">
        <v>165</v>
      </c>
      <c r="E184" s="161">
        <v>5</v>
      </c>
      <c r="F184" s="162">
        <v>854.62</v>
      </c>
    </row>
    <row r="185" spans="1:21" ht="33.75" hidden="1" x14ac:dyDescent="0.25">
      <c r="A185" s="123" t="s">
        <v>437</v>
      </c>
      <c r="B185" s="160" t="s">
        <v>173</v>
      </c>
      <c r="C185" s="221" t="s">
        <v>174</v>
      </c>
      <c r="D185" s="123" t="s">
        <v>165</v>
      </c>
      <c r="E185" s="161">
        <v>56.4</v>
      </c>
      <c r="F185" s="162">
        <v>3531.09</v>
      </c>
    </row>
    <row r="186" spans="1:21" hidden="1" x14ac:dyDescent="0.25">
      <c r="A186" s="114" t="s">
        <v>442</v>
      </c>
      <c r="B186" s="114"/>
      <c r="C186" s="220"/>
      <c r="D186" s="120"/>
      <c r="E186" s="120"/>
      <c r="F186" s="140"/>
    </row>
    <row r="187" spans="1:21" ht="22.5" hidden="1" x14ac:dyDescent="0.25">
      <c r="A187" s="123" t="s">
        <v>443</v>
      </c>
      <c r="B187" s="160" t="s">
        <v>208</v>
      </c>
      <c r="C187" s="221" t="s">
        <v>209</v>
      </c>
      <c r="D187" s="123" t="s">
        <v>210</v>
      </c>
      <c r="E187" s="161">
        <v>1</v>
      </c>
      <c r="F187" s="162">
        <v>44914.41</v>
      </c>
    </row>
    <row r="188" spans="1:21" ht="22.5" hidden="1" x14ac:dyDescent="0.25">
      <c r="A188" s="123" t="s">
        <v>444</v>
      </c>
      <c r="B188" s="160" t="s">
        <v>82</v>
      </c>
      <c r="C188" s="221" t="s">
        <v>83</v>
      </c>
      <c r="D188" s="123" t="s">
        <v>58</v>
      </c>
      <c r="E188" s="161">
        <v>0.23599999999999999</v>
      </c>
      <c r="F188" s="162">
        <v>4693.04</v>
      </c>
    </row>
    <row r="189" spans="1:21" ht="22.5" hidden="1" x14ac:dyDescent="0.25">
      <c r="A189" s="123" t="s">
        <v>445</v>
      </c>
      <c r="B189" s="160" t="s">
        <v>89</v>
      </c>
      <c r="C189" s="221" t="s">
        <v>90</v>
      </c>
      <c r="D189" s="123" t="s">
        <v>58</v>
      </c>
      <c r="E189" s="161">
        <v>0.1152</v>
      </c>
      <c r="F189" s="162">
        <v>2130.6</v>
      </c>
    </row>
    <row r="190" spans="1:21" ht="22.5" hidden="1" x14ac:dyDescent="0.25">
      <c r="A190" s="123" t="s">
        <v>446</v>
      </c>
      <c r="B190" s="160" t="s">
        <v>96</v>
      </c>
      <c r="C190" s="221" t="s">
        <v>97</v>
      </c>
      <c r="D190" s="123" t="s">
        <v>58</v>
      </c>
      <c r="E190" s="161">
        <v>0.115</v>
      </c>
      <c r="F190" s="162">
        <v>17483.62</v>
      </c>
    </row>
    <row r="191" spans="1:21" hidden="1" x14ac:dyDescent="0.25">
      <c r="A191" s="123" t="s">
        <v>447</v>
      </c>
      <c r="B191" s="160" t="s">
        <v>104</v>
      </c>
      <c r="C191" s="221" t="s">
        <v>105</v>
      </c>
      <c r="D191" s="123" t="s">
        <v>106</v>
      </c>
      <c r="E191" s="161">
        <v>14.49</v>
      </c>
      <c r="F191" s="162">
        <v>90036.82</v>
      </c>
    </row>
    <row r="192" spans="1:21" ht="33.75" hidden="1" x14ac:dyDescent="0.25">
      <c r="A192" s="123" t="s">
        <v>448</v>
      </c>
      <c r="B192" s="160" t="s">
        <v>241</v>
      </c>
      <c r="C192" s="221" t="s">
        <v>242</v>
      </c>
      <c r="D192" s="123" t="s">
        <v>210</v>
      </c>
      <c r="E192" s="161">
        <v>1</v>
      </c>
      <c r="F192" s="162">
        <v>207003.6</v>
      </c>
    </row>
    <row r="193" spans="1:21" hidden="1" x14ac:dyDescent="0.25">
      <c r="A193" s="123" t="s">
        <v>449</v>
      </c>
      <c r="B193" s="160" t="s">
        <v>244</v>
      </c>
      <c r="C193" s="221" t="s">
        <v>245</v>
      </c>
      <c r="D193" s="123" t="s">
        <v>246</v>
      </c>
      <c r="E193" s="161">
        <v>1</v>
      </c>
      <c r="F193" s="162">
        <v>1667776.02</v>
      </c>
    </row>
    <row r="194" spans="1:21" ht="22.5" hidden="1" x14ac:dyDescent="0.25">
      <c r="A194" s="123" t="s">
        <v>450</v>
      </c>
      <c r="B194" s="160" t="s">
        <v>249</v>
      </c>
      <c r="C194" s="221" t="s">
        <v>451</v>
      </c>
      <c r="D194" s="123" t="s">
        <v>246</v>
      </c>
      <c r="E194" s="161">
        <v>1</v>
      </c>
      <c r="F194" s="162">
        <v>3596141.97</v>
      </c>
    </row>
    <row r="195" spans="1:21" ht="33.75" hidden="1" x14ac:dyDescent="0.25">
      <c r="A195" s="123" t="s">
        <v>452</v>
      </c>
      <c r="B195" s="160" t="s">
        <v>253</v>
      </c>
      <c r="C195" s="221" t="s">
        <v>254</v>
      </c>
      <c r="D195" s="123" t="s">
        <v>115</v>
      </c>
      <c r="E195" s="161">
        <v>1</v>
      </c>
      <c r="F195" s="162">
        <v>42192.34</v>
      </c>
    </row>
    <row r="196" spans="1:21" s="229" customFormat="1" hidden="1" x14ac:dyDescent="0.25">
      <c r="A196" s="166" t="s">
        <v>453</v>
      </c>
      <c r="B196" s="167" t="s">
        <v>260</v>
      </c>
      <c r="C196" s="222" t="s">
        <v>261</v>
      </c>
      <c r="D196" s="166" t="s">
        <v>115</v>
      </c>
      <c r="E196" s="169">
        <v>-2</v>
      </c>
      <c r="F196" s="170">
        <v>-5066.7299999999996</v>
      </c>
      <c r="G196" s="233"/>
      <c r="H196" s="232"/>
      <c r="U196" s="323"/>
    </row>
    <row r="197" spans="1:21" hidden="1" x14ac:dyDescent="0.25">
      <c r="A197" s="123" t="s">
        <v>454</v>
      </c>
      <c r="B197" s="160" t="s">
        <v>263</v>
      </c>
      <c r="C197" s="221" t="s">
        <v>264</v>
      </c>
      <c r="D197" s="123" t="s">
        <v>115</v>
      </c>
      <c r="E197" s="161">
        <v>2</v>
      </c>
      <c r="F197" s="162">
        <v>87727.09</v>
      </c>
    </row>
    <row r="198" spans="1:21" ht="22.5" hidden="1" x14ac:dyDescent="0.25">
      <c r="A198" s="123" t="s">
        <v>455</v>
      </c>
      <c r="B198" s="160" t="s">
        <v>267</v>
      </c>
      <c r="C198" s="221" t="s">
        <v>268</v>
      </c>
      <c r="D198" s="123" t="s">
        <v>115</v>
      </c>
      <c r="E198" s="161">
        <v>1</v>
      </c>
      <c r="F198" s="162">
        <v>156781.35</v>
      </c>
    </row>
    <row r="199" spans="1:21" hidden="1" x14ac:dyDescent="0.25">
      <c r="A199" s="123" t="s">
        <v>456</v>
      </c>
      <c r="B199" s="160" t="s">
        <v>120</v>
      </c>
      <c r="C199" s="221" t="s">
        <v>271</v>
      </c>
      <c r="D199" s="123" t="s">
        <v>115</v>
      </c>
      <c r="E199" s="161">
        <v>1</v>
      </c>
      <c r="F199" s="162">
        <v>4178.1000000000004</v>
      </c>
    </row>
    <row r="200" spans="1:21" ht="22.5" hidden="1" x14ac:dyDescent="0.25">
      <c r="A200" s="123" t="s">
        <v>457</v>
      </c>
      <c r="B200" s="160" t="s">
        <v>274</v>
      </c>
      <c r="C200" s="221" t="s">
        <v>275</v>
      </c>
      <c r="D200" s="123" t="s">
        <v>276</v>
      </c>
      <c r="E200" s="161">
        <v>0.06</v>
      </c>
      <c r="F200" s="162">
        <v>15638.67</v>
      </c>
    </row>
    <row r="201" spans="1:21" s="229" customFormat="1" hidden="1" x14ac:dyDescent="0.25">
      <c r="A201" s="166" t="s">
        <v>458</v>
      </c>
      <c r="B201" s="167" t="s">
        <v>282</v>
      </c>
      <c r="C201" s="222" t="s">
        <v>283</v>
      </c>
      <c r="D201" s="166" t="s">
        <v>127</v>
      </c>
      <c r="E201" s="169">
        <v>-2.9000000000000001E-2</v>
      </c>
      <c r="F201" s="170">
        <v>-2679.86</v>
      </c>
      <c r="G201" s="233"/>
      <c r="H201" s="232"/>
      <c r="U201" s="323"/>
    </row>
    <row r="202" spans="1:21" hidden="1" x14ac:dyDescent="0.25">
      <c r="A202" s="123" t="s">
        <v>459</v>
      </c>
      <c r="B202" s="160" t="s">
        <v>120</v>
      </c>
      <c r="C202" s="221" t="s">
        <v>285</v>
      </c>
      <c r="D202" s="123" t="s">
        <v>130</v>
      </c>
      <c r="E202" s="161">
        <v>0.36</v>
      </c>
      <c r="F202" s="162">
        <v>134204.32</v>
      </c>
    </row>
    <row r="203" spans="1:21" hidden="1" x14ac:dyDescent="0.25">
      <c r="A203" s="123" t="s">
        <v>460</v>
      </c>
      <c r="B203" s="160" t="s">
        <v>120</v>
      </c>
      <c r="C203" s="221" t="s">
        <v>129</v>
      </c>
      <c r="D203" s="123" t="s">
        <v>130</v>
      </c>
      <c r="E203" s="161">
        <v>2.9000000000000001E-2</v>
      </c>
      <c r="F203" s="162">
        <v>8010.5</v>
      </c>
    </row>
    <row r="204" spans="1:21" ht="22.5" hidden="1" x14ac:dyDescent="0.25">
      <c r="A204" s="123" t="s">
        <v>461</v>
      </c>
      <c r="B204" s="160" t="s">
        <v>288</v>
      </c>
      <c r="C204" s="221" t="s">
        <v>289</v>
      </c>
      <c r="D204" s="123" t="s">
        <v>160</v>
      </c>
      <c r="E204" s="161">
        <v>1.3299999999999999E-2</v>
      </c>
      <c r="F204" s="162">
        <v>34682.379999999997</v>
      </c>
    </row>
    <row r="205" spans="1:21" hidden="1" x14ac:dyDescent="0.25">
      <c r="A205" s="117" t="s">
        <v>161</v>
      </c>
      <c r="B205" s="117"/>
      <c r="C205" s="221"/>
      <c r="D205" s="123"/>
      <c r="E205" s="123"/>
      <c r="F205" s="147"/>
    </row>
    <row r="206" spans="1:21" ht="33.75" hidden="1" x14ac:dyDescent="0.25">
      <c r="A206" s="123" t="s">
        <v>462</v>
      </c>
      <c r="B206" s="160" t="s">
        <v>163</v>
      </c>
      <c r="C206" s="221" t="s">
        <v>164</v>
      </c>
      <c r="D206" s="123" t="s">
        <v>165</v>
      </c>
      <c r="E206" s="161">
        <v>41.3</v>
      </c>
      <c r="F206" s="162">
        <v>2128.08</v>
      </c>
    </row>
    <row r="207" spans="1:21" ht="33.75" hidden="1" x14ac:dyDescent="0.25">
      <c r="A207" s="123" t="s">
        <v>463</v>
      </c>
      <c r="B207" s="160" t="s">
        <v>167</v>
      </c>
      <c r="C207" s="221" t="s">
        <v>292</v>
      </c>
      <c r="D207" s="123" t="s">
        <v>165</v>
      </c>
      <c r="E207" s="161">
        <v>12.1</v>
      </c>
      <c r="F207" s="162">
        <v>1594.88</v>
      </c>
    </row>
    <row r="208" spans="1:21" ht="22.5" hidden="1" x14ac:dyDescent="0.25">
      <c r="A208" s="123" t="s">
        <v>464</v>
      </c>
      <c r="B208" s="160" t="s">
        <v>170</v>
      </c>
      <c r="C208" s="221" t="s">
        <v>294</v>
      </c>
      <c r="D208" s="123" t="s">
        <v>165</v>
      </c>
      <c r="E208" s="161">
        <v>5</v>
      </c>
      <c r="F208" s="162">
        <v>854.62</v>
      </c>
    </row>
    <row r="209" spans="1:21" ht="33.75" hidden="1" x14ac:dyDescent="0.25">
      <c r="A209" s="123" t="s">
        <v>465</v>
      </c>
      <c r="B209" s="160" t="s">
        <v>173</v>
      </c>
      <c r="C209" s="221" t="s">
        <v>174</v>
      </c>
      <c r="D209" s="123" t="s">
        <v>165</v>
      </c>
      <c r="E209" s="161">
        <v>58.4</v>
      </c>
      <c r="F209" s="162">
        <v>3656.31</v>
      </c>
    </row>
    <row r="210" spans="1:21" hidden="1" x14ac:dyDescent="0.25">
      <c r="A210" s="114" t="s">
        <v>470</v>
      </c>
      <c r="B210" s="114"/>
      <c r="C210" s="220"/>
      <c r="D210" s="120"/>
      <c r="E210" s="120"/>
      <c r="F210" s="140"/>
    </row>
    <row r="211" spans="1:21" ht="22.5" hidden="1" x14ac:dyDescent="0.25">
      <c r="A211" s="123" t="s">
        <v>471</v>
      </c>
      <c r="B211" s="160" t="s">
        <v>208</v>
      </c>
      <c r="C211" s="221" t="s">
        <v>209</v>
      </c>
      <c r="D211" s="123" t="s">
        <v>210</v>
      </c>
      <c r="E211" s="161">
        <v>1</v>
      </c>
      <c r="F211" s="162">
        <v>44914.41</v>
      </c>
    </row>
    <row r="212" spans="1:21" ht="22.5" hidden="1" x14ac:dyDescent="0.25">
      <c r="A212" s="123" t="s">
        <v>472</v>
      </c>
      <c r="B212" s="160" t="s">
        <v>82</v>
      </c>
      <c r="C212" s="221" t="s">
        <v>83</v>
      </c>
      <c r="D212" s="123" t="s">
        <v>58</v>
      </c>
      <c r="E212" s="161">
        <v>0.28399999999999997</v>
      </c>
      <c r="F212" s="162">
        <v>5647.38</v>
      </c>
    </row>
    <row r="213" spans="1:21" ht="22.5" hidden="1" x14ac:dyDescent="0.25">
      <c r="A213" s="123" t="s">
        <v>473</v>
      </c>
      <c r="B213" s="160" t="s">
        <v>89</v>
      </c>
      <c r="C213" s="221" t="s">
        <v>90</v>
      </c>
      <c r="D213" s="123" t="s">
        <v>58</v>
      </c>
      <c r="E213" s="161">
        <v>0.1336</v>
      </c>
      <c r="F213" s="162">
        <v>2471.04</v>
      </c>
    </row>
    <row r="214" spans="1:21" ht="22.5" hidden="1" x14ac:dyDescent="0.25">
      <c r="A214" s="123" t="s">
        <v>474</v>
      </c>
      <c r="B214" s="160" t="s">
        <v>96</v>
      </c>
      <c r="C214" s="221" t="s">
        <v>97</v>
      </c>
      <c r="D214" s="123" t="s">
        <v>58</v>
      </c>
      <c r="E214" s="161">
        <v>0.13400000000000001</v>
      </c>
      <c r="F214" s="162">
        <v>20372.580000000002</v>
      </c>
    </row>
    <row r="215" spans="1:21" hidden="1" x14ac:dyDescent="0.25">
      <c r="A215" s="123" t="s">
        <v>475</v>
      </c>
      <c r="B215" s="160" t="s">
        <v>104</v>
      </c>
      <c r="C215" s="221" t="s">
        <v>105</v>
      </c>
      <c r="D215" s="123" t="s">
        <v>106</v>
      </c>
      <c r="E215" s="161">
        <v>14.49</v>
      </c>
      <c r="F215" s="162">
        <v>90036.82</v>
      </c>
    </row>
    <row r="216" spans="1:21" ht="33.75" hidden="1" x14ac:dyDescent="0.25">
      <c r="A216" s="123" t="s">
        <v>476</v>
      </c>
      <c r="B216" s="160" t="s">
        <v>241</v>
      </c>
      <c r="C216" s="221" t="s">
        <v>242</v>
      </c>
      <c r="D216" s="123" t="s">
        <v>210</v>
      </c>
      <c r="E216" s="161">
        <v>1</v>
      </c>
      <c r="F216" s="162">
        <v>207003.6</v>
      </c>
    </row>
    <row r="217" spans="1:21" hidden="1" x14ac:dyDescent="0.25">
      <c r="A217" s="123" t="s">
        <v>477</v>
      </c>
      <c r="B217" s="160" t="s">
        <v>244</v>
      </c>
      <c r="C217" s="221" t="s">
        <v>245</v>
      </c>
      <c r="D217" s="123" t="s">
        <v>246</v>
      </c>
      <c r="E217" s="161">
        <v>1</v>
      </c>
      <c r="F217" s="162">
        <v>1667776.02</v>
      </c>
    </row>
    <row r="218" spans="1:21" ht="22.5" hidden="1" x14ac:dyDescent="0.25">
      <c r="A218" s="123" t="s">
        <v>478</v>
      </c>
      <c r="B218" s="160" t="s">
        <v>249</v>
      </c>
      <c r="C218" s="221" t="s">
        <v>250</v>
      </c>
      <c r="D218" s="123" t="s">
        <v>246</v>
      </c>
      <c r="E218" s="161">
        <v>1</v>
      </c>
      <c r="F218" s="162">
        <v>3596141.97</v>
      </c>
    </row>
    <row r="219" spans="1:21" ht="33.75" hidden="1" x14ac:dyDescent="0.25">
      <c r="A219" s="123" t="s">
        <v>479</v>
      </c>
      <c r="B219" s="160" t="s">
        <v>253</v>
      </c>
      <c r="C219" s="221" t="s">
        <v>254</v>
      </c>
      <c r="D219" s="123" t="s">
        <v>115</v>
      </c>
      <c r="E219" s="161">
        <v>1</v>
      </c>
      <c r="F219" s="162">
        <v>42192.34</v>
      </c>
    </row>
    <row r="220" spans="1:21" s="229" customFormat="1" hidden="1" x14ac:dyDescent="0.25">
      <c r="A220" s="166" t="s">
        <v>480</v>
      </c>
      <c r="B220" s="167" t="s">
        <v>260</v>
      </c>
      <c r="C220" s="222" t="s">
        <v>261</v>
      </c>
      <c r="D220" s="166" t="s">
        <v>115</v>
      </c>
      <c r="E220" s="169">
        <v>-2</v>
      </c>
      <c r="F220" s="170">
        <v>-5066.7299999999996</v>
      </c>
      <c r="G220" s="233"/>
      <c r="H220" s="232"/>
      <c r="U220" s="323"/>
    </row>
    <row r="221" spans="1:21" hidden="1" x14ac:dyDescent="0.25">
      <c r="A221" s="123" t="s">
        <v>481</v>
      </c>
      <c r="B221" s="160" t="s">
        <v>263</v>
      </c>
      <c r="C221" s="221" t="s">
        <v>264</v>
      </c>
      <c r="D221" s="123" t="s">
        <v>115</v>
      </c>
      <c r="E221" s="161">
        <v>2</v>
      </c>
      <c r="F221" s="162">
        <v>87727.09</v>
      </c>
    </row>
    <row r="222" spans="1:21" ht="22.5" hidden="1" x14ac:dyDescent="0.25">
      <c r="A222" s="123" t="s">
        <v>482</v>
      </c>
      <c r="B222" s="160" t="s">
        <v>267</v>
      </c>
      <c r="C222" s="221" t="s">
        <v>268</v>
      </c>
      <c r="D222" s="123" t="s">
        <v>115</v>
      </c>
      <c r="E222" s="161">
        <v>1</v>
      </c>
      <c r="F222" s="162">
        <v>156781.35</v>
      </c>
    </row>
    <row r="223" spans="1:21" hidden="1" x14ac:dyDescent="0.25">
      <c r="A223" s="123" t="s">
        <v>483</v>
      </c>
      <c r="B223" s="160" t="s">
        <v>120</v>
      </c>
      <c r="C223" s="221" t="s">
        <v>271</v>
      </c>
      <c r="D223" s="123" t="s">
        <v>115</v>
      </c>
      <c r="E223" s="161">
        <v>1</v>
      </c>
      <c r="F223" s="162">
        <v>4178.1000000000004</v>
      </c>
    </row>
    <row r="224" spans="1:21" ht="22.5" hidden="1" x14ac:dyDescent="0.25">
      <c r="A224" s="123" t="s">
        <v>484</v>
      </c>
      <c r="B224" s="160" t="s">
        <v>274</v>
      </c>
      <c r="C224" s="221" t="s">
        <v>275</v>
      </c>
      <c r="D224" s="123" t="s">
        <v>276</v>
      </c>
      <c r="E224" s="161">
        <v>0.06</v>
      </c>
      <c r="F224" s="162">
        <v>15625.8</v>
      </c>
    </row>
    <row r="225" spans="1:21" s="229" customFormat="1" hidden="1" x14ac:dyDescent="0.25">
      <c r="A225" s="166" t="s">
        <v>485</v>
      </c>
      <c r="B225" s="167" t="s">
        <v>282</v>
      </c>
      <c r="C225" s="222" t="s">
        <v>283</v>
      </c>
      <c r="D225" s="166" t="s">
        <v>127</v>
      </c>
      <c r="E225" s="169">
        <v>-2.9000000000000001E-2</v>
      </c>
      <c r="F225" s="170">
        <v>-2679.76</v>
      </c>
      <c r="G225" s="233"/>
      <c r="H225" s="232"/>
      <c r="U225" s="323"/>
    </row>
    <row r="226" spans="1:21" hidden="1" x14ac:dyDescent="0.25">
      <c r="A226" s="123" t="s">
        <v>486</v>
      </c>
      <c r="B226" s="160" t="s">
        <v>120</v>
      </c>
      <c r="C226" s="221" t="s">
        <v>285</v>
      </c>
      <c r="D226" s="123" t="s">
        <v>130</v>
      </c>
      <c r="E226" s="161">
        <v>0.36</v>
      </c>
      <c r="F226" s="162">
        <v>134204.32</v>
      </c>
    </row>
    <row r="227" spans="1:21" hidden="1" x14ac:dyDescent="0.25">
      <c r="A227" s="123" t="s">
        <v>487</v>
      </c>
      <c r="B227" s="160" t="s">
        <v>120</v>
      </c>
      <c r="C227" s="221" t="s">
        <v>129</v>
      </c>
      <c r="D227" s="123" t="s">
        <v>130</v>
      </c>
      <c r="E227" s="161">
        <v>2.9000000000000001E-2</v>
      </c>
      <c r="F227" s="162">
        <v>8010.5</v>
      </c>
    </row>
    <row r="228" spans="1:21" ht="22.5" hidden="1" x14ac:dyDescent="0.25">
      <c r="A228" s="123" t="s">
        <v>488</v>
      </c>
      <c r="B228" s="160" t="s">
        <v>288</v>
      </c>
      <c r="C228" s="221" t="s">
        <v>289</v>
      </c>
      <c r="D228" s="123" t="s">
        <v>160</v>
      </c>
      <c r="E228" s="161">
        <v>1.3299999999999999E-2</v>
      </c>
      <c r="F228" s="162">
        <v>34682.379999999997</v>
      </c>
    </row>
    <row r="229" spans="1:21" hidden="1" x14ac:dyDescent="0.25">
      <c r="A229" s="117" t="s">
        <v>161</v>
      </c>
      <c r="B229" s="117"/>
      <c r="C229" s="221"/>
      <c r="D229" s="123"/>
      <c r="E229" s="123"/>
      <c r="F229" s="147"/>
    </row>
    <row r="230" spans="1:21" ht="33.75" hidden="1" x14ac:dyDescent="0.25">
      <c r="A230" s="123" t="s">
        <v>489</v>
      </c>
      <c r="B230" s="160" t="s">
        <v>163</v>
      </c>
      <c r="C230" s="221" t="s">
        <v>164</v>
      </c>
      <c r="D230" s="123" t="s">
        <v>165</v>
      </c>
      <c r="E230" s="161">
        <v>49.6</v>
      </c>
      <c r="F230" s="162">
        <v>2555.86</v>
      </c>
    </row>
    <row r="231" spans="1:21" ht="33.75" hidden="1" x14ac:dyDescent="0.25">
      <c r="A231" s="123" t="s">
        <v>490</v>
      </c>
      <c r="B231" s="160" t="s">
        <v>167</v>
      </c>
      <c r="C231" s="221" t="s">
        <v>292</v>
      </c>
      <c r="D231" s="123" t="s">
        <v>165</v>
      </c>
      <c r="E231" s="161">
        <v>9.9</v>
      </c>
      <c r="F231" s="162">
        <v>1304.8699999999999</v>
      </c>
    </row>
    <row r="232" spans="1:21" ht="22.5" hidden="1" x14ac:dyDescent="0.25">
      <c r="A232" s="123" t="s">
        <v>491</v>
      </c>
      <c r="B232" s="160" t="s">
        <v>170</v>
      </c>
      <c r="C232" s="221" t="s">
        <v>294</v>
      </c>
      <c r="D232" s="123" t="s">
        <v>165</v>
      </c>
      <c r="E232" s="161">
        <v>5</v>
      </c>
      <c r="F232" s="162">
        <v>854.62</v>
      </c>
    </row>
    <row r="233" spans="1:21" ht="33.75" hidden="1" x14ac:dyDescent="0.25">
      <c r="A233" s="123" t="s">
        <v>492</v>
      </c>
      <c r="B233" s="160" t="s">
        <v>173</v>
      </c>
      <c r="C233" s="221" t="s">
        <v>174</v>
      </c>
      <c r="D233" s="123" t="s">
        <v>165</v>
      </c>
      <c r="E233" s="161">
        <v>64.5</v>
      </c>
      <c r="F233" s="162">
        <v>4038.29</v>
      </c>
    </row>
    <row r="234" spans="1:21" hidden="1" x14ac:dyDescent="0.25"/>
    <row r="235" spans="1:21" s="128" customFormat="1" hidden="1" collapsed="1" x14ac:dyDescent="0.25">
      <c r="A235" s="114" t="s">
        <v>470</v>
      </c>
      <c r="B235" s="114"/>
      <c r="C235" s="114"/>
      <c r="D235" s="120"/>
      <c r="E235" s="120"/>
      <c r="F235" s="140"/>
      <c r="G235" s="141"/>
      <c r="H235" s="131"/>
      <c r="P235" s="218"/>
      <c r="U235" s="323"/>
    </row>
    <row r="236" spans="1:21" s="128" customFormat="1" hidden="1" x14ac:dyDescent="0.25">
      <c r="A236" s="123" t="s">
        <v>471</v>
      </c>
      <c r="B236" s="160" t="s">
        <v>208</v>
      </c>
      <c r="C236" s="117" t="s">
        <v>209</v>
      </c>
      <c r="D236" s="123" t="s">
        <v>210</v>
      </c>
      <c r="E236" s="161">
        <v>1</v>
      </c>
      <c r="F236" s="162">
        <v>44914.41</v>
      </c>
      <c r="G236" s="141"/>
      <c r="H236" s="131"/>
      <c r="O236" s="164">
        <v>1</v>
      </c>
      <c r="P236" s="218"/>
      <c r="U236" s="323"/>
    </row>
    <row r="237" spans="1:21" s="128" customFormat="1" hidden="1" x14ac:dyDescent="0.25">
      <c r="A237" s="123" t="s">
        <v>472</v>
      </c>
      <c r="B237" s="160" t="s">
        <v>82</v>
      </c>
      <c r="C237" s="117" t="s">
        <v>83</v>
      </c>
      <c r="D237" s="123" t="s">
        <v>58</v>
      </c>
      <c r="E237" s="161">
        <v>0.28399999999999997</v>
      </c>
      <c r="F237" s="162">
        <v>5647.38</v>
      </c>
      <c r="G237" s="141"/>
      <c r="H237" s="131"/>
      <c r="O237" s="212">
        <f>20.51/100</f>
        <v>0.2051</v>
      </c>
      <c r="P237" s="218"/>
      <c r="U237" s="323"/>
    </row>
    <row r="238" spans="1:21" s="128" customFormat="1" hidden="1" x14ac:dyDescent="0.25">
      <c r="A238" s="123" t="s">
        <v>473</v>
      </c>
      <c r="B238" s="160" t="s">
        <v>89</v>
      </c>
      <c r="C238" s="117" t="s">
        <v>90</v>
      </c>
      <c r="D238" s="123" t="s">
        <v>58</v>
      </c>
      <c r="E238" s="161">
        <v>0.1336</v>
      </c>
      <c r="F238" s="162">
        <v>2471.04</v>
      </c>
      <c r="G238" s="141"/>
      <c r="H238" s="131"/>
      <c r="O238" s="212">
        <f>9.55/100</f>
        <v>9.5500000000000002E-2</v>
      </c>
      <c r="P238" s="218"/>
      <c r="U238" s="323"/>
    </row>
    <row r="239" spans="1:21" s="128" customFormat="1" hidden="1" x14ac:dyDescent="0.25">
      <c r="A239" s="123" t="s">
        <v>474</v>
      </c>
      <c r="B239" s="160" t="s">
        <v>96</v>
      </c>
      <c r="C239" s="117" t="s">
        <v>97</v>
      </c>
      <c r="D239" s="123" t="s">
        <v>58</v>
      </c>
      <c r="E239" s="161">
        <v>0.13400000000000001</v>
      </c>
      <c r="F239" s="162">
        <v>20372.580000000002</v>
      </c>
      <c r="G239" s="141"/>
      <c r="H239" s="131"/>
      <c r="O239" s="212">
        <f>O238</f>
        <v>9.5500000000000002E-2</v>
      </c>
      <c r="P239" s="218"/>
      <c r="U239" s="323"/>
    </row>
    <row r="240" spans="1:21" s="128" customFormat="1" hidden="1" x14ac:dyDescent="0.25">
      <c r="A240" s="123" t="s">
        <v>475</v>
      </c>
      <c r="B240" s="160" t="s">
        <v>104</v>
      </c>
      <c r="C240" s="117" t="s">
        <v>105</v>
      </c>
      <c r="D240" s="123" t="s">
        <v>106</v>
      </c>
      <c r="E240" s="161">
        <v>14.49</v>
      </c>
      <c r="F240" s="162">
        <v>90036.82</v>
      </c>
      <c r="G240" s="141"/>
      <c r="H240" s="131"/>
      <c r="O240" s="215">
        <f>1.26*O239*100</f>
        <v>12.033000000000001</v>
      </c>
      <c r="P240" s="218"/>
      <c r="U240" s="323"/>
    </row>
    <row r="241" spans="1:21" s="128" customFormat="1" hidden="1" x14ac:dyDescent="0.25">
      <c r="A241" s="123" t="s">
        <v>476</v>
      </c>
      <c r="B241" s="160" t="s">
        <v>241</v>
      </c>
      <c r="C241" s="117" t="s">
        <v>242</v>
      </c>
      <c r="D241" s="123" t="s">
        <v>210</v>
      </c>
      <c r="E241" s="161">
        <v>1</v>
      </c>
      <c r="F241" s="162">
        <v>207003.6</v>
      </c>
      <c r="G241" s="141"/>
      <c r="H241" s="131"/>
      <c r="O241" s="164">
        <v>1</v>
      </c>
      <c r="P241" s="218"/>
      <c r="U241" s="323"/>
    </row>
    <row r="242" spans="1:21" s="128" customFormat="1" hidden="1" x14ac:dyDescent="0.25">
      <c r="A242" s="123" t="s">
        <v>477</v>
      </c>
      <c r="B242" s="160" t="s">
        <v>244</v>
      </c>
      <c r="C242" s="117" t="s">
        <v>245</v>
      </c>
      <c r="D242" s="123" t="s">
        <v>246</v>
      </c>
      <c r="E242" s="161">
        <v>1</v>
      </c>
      <c r="F242" s="162">
        <v>1667776.02</v>
      </c>
      <c r="G242" s="141"/>
      <c r="H242" s="131"/>
      <c r="O242" s="164">
        <v>1</v>
      </c>
      <c r="P242" s="218"/>
      <c r="U242" s="323"/>
    </row>
    <row r="243" spans="1:21" s="128" customFormat="1" hidden="1" x14ac:dyDescent="0.25">
      <c r="A243" s="123" t="s">
        <v>478</v>
      </c>
      <c r="B243" s="160" t="s">
        <v>249</v>
      </c>
      <c r="C243" s="117" t="s">
        <v>250</v>
      </c>
      <c r="D243" s="123" t="s">
        <v>246</v>
      </c>
      <c r="E243" s="161">
        <v>1</v>
      </c>
      <c r="F243" s="162">
        <v>3596141.97</v>
      </c>
      <c r="G243" s="141"/>
      <c r="H243" s="131"/>
      <c r="O243" s="164">
        <v>1</v>
      </c>
      <c r="P243" s="218"/>
      <c r="U243" s="323"/>
    </row>
    <row r="244" spans="1:21" s="128" customFormat="1" hidden="1" x14ac:dyDescent="0.25">
      <c r="A244" s="123" t="s">
        <v>479</v>
      </c>
      <c r="B244" s="160" t="s">
        <v>253</v>
      </c>
      <c r="C244" s="117" t="s">
        <v>254</v>
      </c>
      <c r="D244" s="123" t="s">
        <v>115</v>
      </c>
      <c r="E244" s="161">
        <v>1</v>
      </c>
      <c r="F244" s="162">
        <v>42192.34</v>
      </c>
      <c r="G244" s="141"/>
      <c r="H244" s="131"/>
      <c r="O244" s="164">
        <v>1</v>
      </c>
      <c r="P244" s="218"/>
      <c r="U244" s="323"/>
    </row>
    <row r="245" spans="1:21" s="171" customFormat="1" hidden="1" x14ac:dyDescent="0.25">
      <c r="A245" s="166" t="s">
        <v>480</v>
      </c>
      <c r="B245" s="167" t="s">
        <v>260</v>
      </c>
      <c r="C245" s="168" t="s">
        <v>261</v>
      </c>
      <c r="D245" s="166" t="s">
        <v>115</v>
      </c>
      <c r="E245" s="169">
        <v>-2</v>
      </c>
      <c r="F245" s="170">
        <v>-5066.7299999999996</v>
      </c>
      <c r="G245" s="146"/>
      <c r="H245" s="135"/>
      <c r="O245" s="261">
        <v>-2</v>
      </c>
      <c r="P245" s="229"/>
      <c r="U245" s="323"/>
    </row>
    <row r="246" spans="1:21" s="128" customFormat="1" hidden="1" x14ac:dyDescent="0.25">
      <c r="A246" s="123" t="s">
        <v>481</v>
      </c>
      <c r="B246" s="160" t="s">
        <v>263</v>
      </c>
      <c r="C246" s="117" t="s">
        <v>264</v>
      </c>
      <c r="D246" s="123" t="s">
        <v>115</v>
      </c>
      <c r="E246" s="161">
        <v>2</v>
      </c>
      <c r="F246" s="162">
        <v>87727.09</v>
      </c>
      <c r="G246" s="141"/>
      <c r="H246" s="131"/>
      <c r="O246" s="164">
        <v>2</v>
      </c>
      <c r="P246" s="218"/>
      <c r="U246" s="323"/>
    </row>
    <row r="247" spans="1:21" s="128" customFormat="1" hidden="1" x14ac:dyDescent="0.25">
      <c r="A247" s="123" t="s">
        <v>482</v>
      </c>
      <c r="B247" s="160" t="s">
        <v>267</v>
      </c>
      <c r="C247" s="117" t="s">
        <v>268</v>
      </c>
      <c r="D247" s="123" t="s">
        <v>115</v>
      </c>
      <c r="E247" s="161">
        <v>1</v>
      </c>
      <c r="F247" s="162">
        <v>156781.35</v>
      </c>
      <c r="G247" s="141"/>
      <c r="H247" s="131"/>
      <c r="O247" s="164">
        <v>1</v>
      </c>
      <c r="P247" s="218"/>
      <c r="U247" s="323"/>
    </row>
    <row r="248" spans="1:21" s="128" customFormat="1" hidden="1" x14ac:dyDescent="0.25">
      <c r="A248" s="123" t="s">
        <v>483</v>
      </c>
      <c r="B248" s="160" t="s">
        <v>120</v>
      </c>
      <c r="C248" s="117" t="s">
        <v>271</v>
      </c>
      <c r="D248" s="123" t="s">
        <v>115</v>
      </c>
      <c r="E248" s="161">
        <v>1</v>
      </c>
      <c r="F248" s="162">
        <v>4178.1000000000004</v>
      </c>
      <c r="G248" s="141"/>
      <c r="H248" s="131"/>
      <c r="O248" s="164">
        <v>1</v>
      </c>
      <c r="P248" s="218"/>
      <c r="U248" s="323"/>
    </row>
    <row r="249" spans="1:21" s="128" customFormat="1" hidden="1" x14ac:dyDescent="0.25">
      <c r="A249" s="262" t="s">
        <v>484</v>
      </c>
      <c r="B249" s="263" t="s">
        <v>274</v>
      </c>
      <c r="C249" s="266" t="s">
        <v>275</v>
      </c>
      <c r="D249" s="262" t="s">
        <v>276</v>
      </c>
      <c r="E249" s="243">
        <v>0.06</v>
      </c>
      <c r="F249" s="265">
        <v>15625.8</v>
      </c>
      <c r="G249" s="141"/>
      <c r="H249" s="131"/>
      <c r="O249" s="243">
        <v>0</v>
      </c>
      <c r="P249" s="229" t="s">
        <v>552</v>
      </c>
      <c r="U249" s="323"/>
    </row>
    <row r="250" spans="1:21" s="171" customFormat="1" hidden="1" x14ac:dyDescent="0.25">
      <c r="A250" s="262" t="s">
        <v>485</v>
      </c>
      <c r="B250" s="263" t="s">
        <v>282</v>
      </c>
      <c r="C250" s="266" t="s">
        <v>283</v>
      </c>
      <c r="D250" s="262" t="s">
        <v>127</v>
      </c>
      <c r="E250" s="243">
        <v>-2.9000000000000001E-2</v>
      </c>
      <c r="F250" s="265">
        <v>-2679.76</v>
      </c>
      <c r="G250" s="146"/>
      <c r="H250" s="135"/>
      <c r="O250" s="243">
        <v>0</v>
      </c>
      <c r="P250" s="229" t="s">
        <v>552</v>
      </c>
      <c r="U250" s="323"/>
    </row>
    <row r="251" spans="1:21" s="128" customFormat="1" hidden="1" x14ac:dyDescent="0.25">
      <c r="A251" s="262" t="s">
        <v>486</v>
      </c>
      <c r="B251" s="263" t="s">
        <v>120</v>
      </c>
      <c r="C251" s="266" t="s">
        <v>285</v>
      </c>
      <c r="D251" s="262" t="s">
        <v>130</v>
      </c>
      <c r="E251" s="243">
        <v>0.36</v>
      </c>
      <c r="F251" s="265">
        <v>134204.32</v>
      </c>
      <c r="G251" s="141"/>
      <c r="H251" s="131"/>
      <c r="O251" s="243">
        <v>0</v>
      </c>
      <c r="P251" s="229" t="s">
        <v>552</v>
      </c>
      <c r="U251" s="323"/>
    </row>
    <row r="252" spans="1:21" s="128" customFormat="1" hidden="1" x14ac:dyDescent="0.25">
      <c r="A252" s="262" t="s">
        <v>487</v>
      </c>
      <c r="B252" s="263" t="s">
        <v>120</v>
      </c>
      <c r="C252" s="266" t="s">
        <v>129</v>
      </c>
      <c r="D252" s="262" t="s">
        <v>130</v>
      </c>
      <c r="E252" s="243">
        <v>2.9000000000000001E-2</v>
      </c>
      <c r="F252" s="265">
        <v>8010.5</v>
      </c>
      <c r="G252" s="141"/>
      <c r="H252" s="131"/>
      <c r="O252" s="243">
        <v>0</v>
      </c>
      <c r="P252" s="229" t="s">
        <v>552</v>
      </c>
      <c r="U252" s="323"/>
    </row>
    <row r="253" spans="1:21" s="128" customFormat="1" hidden="1" x14ac:dyDescent="0.25">
      <c r="A253" s="123" t="s">
        <v>488</v>
      </c>
      <c r="B253" s="160" t="s">
        <v>288</v>
      </c>
      <c r="C253" s="117" t="s">
        <v>289</v>
      </c>
      <c r="D253" s="123" t="s">
        <v>160</v>
      </c>
      <c r="E253" s="161">
        <v>1.3299999999999999E-2</v>
      </c>
      <c r="F253" s="162">
        <v>34682.379999999997</v>
      </c>
      <c r="G253" s="141"/>
      <c r="H253" s="131"/>
      <c r="O253" s="212">
        <f>12.47/1000</f>
        <v>1.247E-2</v>
      </c>
      <c r="P253" s="218"/>
      <c r="U253" s="323"/>
    </row>
    <row r="254" spans="1:21" s="128" customFormat="1" hidden="1" x14ac:dyDescent="0.25">
      <c r="A254" s="117" t="s">
        <v>161</v>
      </c>
      <c r="B254" s="117"/>
      <c r="C254" s="117"/>
      <c r="D254" s="123"/>
      <c r="E254" s="123"/>
      <c r="F254" s="147"/>
      <c r="G254" s="141"/>
      <c r="H254" s="131"/>
      <c r="O254" s="226"/>
      <c r="P254" s="218"/>
      <c r="U254" s="323"/>
    </row>
    <row r="255" spans="1:21" s="128" customFormat="1" hidden="1" x14ac:dyDescent="0.25">
      <c r="A255" s="123" t="s">
        <v>489</v>
      </c>
      <c r="B255" s="160" t="s">
        <v>163</v>
      </c>
      <c r="C255" s="117" t="s">
        <v>164</v>
      </c>
      <c r="D255" s="123" t="s">
        <v>165</v>
      </c>
      <c r="E255" s="161">
        <v>49.6</v>
      </c>
      <c r="F255" s="162">
        <v>2555.86</v>
      </c>
      <c r="G255" s="141"/>
      <c r="H255" s="131"/>
      <c r="O255" s="143">
        <f>O237*100*1.75</f>
        <v>35.892500000000005</v>
      </c>
      <c r="P255" s="218"/>
      <c r="U255" s="323"/>
    </row>
    <row r="256" spans="1:21" s="128" customFormat="1" hidden="1" x14ac:dyDescent="0.25">
      <c r="A256" s="123" t="s">
        <v>490</v>
      </c>
      <c r="B256" s="160" t="s">
        <v>167</v>
      </c>
      <c r="C256" s="117" t="s">
        <v>292</v>
      </c>
      <c r="D256" s="123" t="s">
        <v>165</v>
      </c>
      <c r="E256" s="161">
        <v>9.9</v>
      </c>
      <c r="F256" s="162">
        <v>1304.8699999999999</v>
      </c>
      <c r="G256" s="141"/>
      <c r="H256" s="131"/>
      <c r="O256" s="143">
        <v>8.85</v>
      </c>
      <c r="P256" s="218"/>
      <c r="U256" s="323"/>
    </row>
    <row r="257" spans="1:21" s="128" customFormat="1" hidden="1" x14ac:dyDescent="0.25">
      <c r="A257" s="123" t="s">
        <v>491</v>
      </c>
      <c r="B257" s="160" t="s">
        <v>170</v>
      </c>
      <c r="C257" s="117" t="s">
        <v>294</v>
      </c>
      <c r="D257" s="123" t="s">
        <v>165</v>
      </c>
      <c r="E257" s="161">
        <v>5</v>
      </c>
      <c r="F257" s="162">
        <v>854.62</v>
      </c>
      <c r="G257" s="141"/>
      <c r="H257" s="131"/>
      <c r="O257" s="143">
        <v>4.16</v>
      </c>
      <c r="P257" s="218"/>
      <c r="U257" s="323"/>
    </row>
    <row r="258" spans="1:21" s="128" customFormat="1" hidden="1" x14ac:dyDescent="0.25">
      <c r="A258" s="123" t="s">
        <v>492</v>
      </c>
      <c r="B258" s="160" t="s">
        <v>173</v>
      </c>
      <c r="C258" s="117" t="s">
        <v>174</v>
      </c>
      <c r="D258" s="123" t="s">
        <v>165</v>
      </c>
      <c r="E258" s="161">
        <v>64.5</v>
      </c>
      <c r="F258" s="162">
        <v>4038.29</v>
      </c>
      <c r="G258" s="141"/>
      <c r="H258" s="131"/>
      <c r="O258" s="143">
        <f>O257+O256+O255</f>
        <v>48.902500000000003</v>
      </c>
      <c r="P258" s="218"/>
      <c r="U258" s="323"/>
    </row>
  </sheetData>
  <pageMargins left="0.7" right="0.7" top="0.75" bottom="0.75" header="0.3" footer="0.3"/>
  <pageSetup paperSize="9" scale="56" fitToHeight="0" orientation="landscape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11BF6D-5544-4C91-9B49-B67F105408AF}">
  <sheetPr>
    <pageSetUpPr fitToPage="1"/>
  </sheetPr>
  <dimension ref="A1:U258"/>
  <sheetViews>
    <sheetView zoomScale="130" zoomScaleNormal="130" workbookViewId="0">
      <pane ySplit="1" topLeftCell="A2" activePane="bottomLeft" state="frozen"/>
      <selection pane="bottomLeft" sqref="A1:XFD1"/>
    </sheetView>
  </sheetViews>
  <sheetFormatPr defaultRowHeight="15" outlineLevelRow="1" outlineLevelCol="1" x14ac:dyDescent="0.25"/>
  <cols>
    <col min="1" max="1" width="5.85546875" style="218" customWidth="1"/>
    <col min="2" max="2" width="17.42578125" style="218" customWidth="1"/>
    <col min="3" max="3" width="58.140625" style="235" customWidth="1"/>
    <col min="4" max="4" width="11.140625" style="217" customWidth="1"/>
    <col min="5" max="5" width="11" style="217" customWidth="1"/>
    <col min="6" max="6" width="13.140625" style="234" customWidth="1"/>
    <col min="7" max="7" width="11.140625" style="230" customWidth="1" outlineLevel="1"/>
    <col min="8" max="8" width="10.7109375" style="217" customWidth="1" outlineLevel="1"/>
    <col min="9" max="9" width="10.7109375" style="218" customWidth="1" outlineLevel="1"/>
    <col min="10" max="10" width="9.42578125" style="218" customWidth="1" outlineLevel="1"/>
    <col min="11" max="11" width="10.42578125" style="218" customWidth="1" outlineLevel="1"/>
    <col min="12" max="12" width="10.85546875" style="218" customWidth="1" outlineLevel="1"/>
    <col min="13" max="14" width="9.140625" style="218" customWidth="1" outlineLevel="1"/>
    <col min="15" max="15" width="9.140625" style="218"/>
    <col min="16" max="16" width="20.28515625" style="218" customWidth="1"/>
    <col min="17" max="17" width="9.140625" style="218"/>
    <col min="18" max="19" width="19.7109375" style="218" customWidth="1"/>
    <col min="20" max="20" width="9.140625" style="218"/>
    <col min="21" max="21" width="9.140625" style="323"/>
    <col min="22" max="16384" width="9.140625" style="218"/>
  </cols>
  <sheetData>
    <row r="1" spans="1:21" s="224" customFormat="1" ht="56.25" x14ac:dyDescent="0.25">
      <c r="A1" s="112" t="s">
        <v>42</v>
      </c>
      <c r="B1" s="113" t="s">
        <v>43</v>
      </c>
      <c r="C1" s="113" t="s">
        <v>44</v>
      </c>
      <c r="D1" s="113" t="s">
        <v>45</v>
      </c>
      <c r="E1" s="113" t="s">
        <v>46</v>
      </c>
      <c r="F1" s="137" t="s">
        <v>49</v>
      </c>
      <c r="G1" s="223"/>
      <c r="O1" s="321" t="s">
        <v>550</v>
      </c>
      <c r="Q1" s="321" t="s">
        <v>550</v>
      </c>
      <c r="S1" s="267" t="s">
        <v>587</v>
      </c>
      <c r="U1" s="322"/>
    </row>
    <row r="2" spans="1:21" x14ac:dyDescent="0.25">
      <c r="A2" s="118" t="s">
        <v>54</v>
      </c>
      <c r="B2" s="118"/>
      <c r="C2" s="240"/>
      <c r="D2" s="120"/>
      <c r="E2" s="120"/>
      <c r="F2" s="140"/>
      <c r="G2" s="219" t="s">
        <v>518</v>
      </c>
      <c r="H2" s="225" t="s">
        <v>519</v>
      </c>
      <c r="I2" s="225" t="s">
        <v>521</v>
      </c>
      <c r="J2" s="225" t="s">
        <v>538</v>
      </c>
      <c r="K2" s="225" t="s">
        <v>539</v>
      </c>
      <c r="L2" s="225" t="s">
        <v>542</v>
      </c>
      <c r="M2" s="225" t="s">
        <v>543</v>
      </c>
      <c r="N2" s="225" t="s">
        <v>544</v>
      </c>
      <c r="O2" s="225" t="s">
        <v>549</v>
      </c>
      <c r="Q2" s="225" t="s">
        <v>554</v>
      </c>
      <c r="S2" s="225" t="s">
        <v>586</v>
      </c>
    </row>
    <row r="3" spans="1:21" ht="22.5" x14ac:dyDescent="0.25">
      <c r="A3" s="123" t="s">
        <v>55</v>
      </c>
      <c r="B3" s="160" t="s">
        <v>56</v>
      </c>
      <c r="C3" s="221" t="s">
        <v>57</v>
      </c>
      <c r="D3" s="123" t="s">
        <v>58</v>
      </c>
      <c r="E3" s="161">
        <v>0.17549999999999999</v>
      </c>
      <c r="F3" s="162">
        <v>18806.66</v>
      </c>
      <c r="G3" s="226">
        <v>0</v>
      </c>
      <c r="H3" s="227">
        <v>0</v>
      </c>
      <c r="I3" s="227">
        <v>0</v>
      </c>
      <c r="J3" s="227">
        <v>0</v>
      </c>
      <c r="K3" s="227">
        <v>0</v>
      </c>
      <c r="L3" s="226">
        <f>SUM(G3:K3)</f>
        <v>0</v>
      </c>
      <c r="M3" s="227">
        <v>0</v>
      </c>
      <c r="N3" s="227">
        <v>0</v>
      </c>
      <c r="O3" s="132">
        <v>0</v>
      </c>
      <c r="Q3" s="132">
        <v>0</v>
      </c>
      <c r="S3" s="132">
        <f>103.5*U3</f>
        <v>0</v>
      </c>
      <c r="U3" s="324">
        <f>(M3+N3)/75</f>
        <v>0</v>
      </c>
    </row>
    <row r="4" spans="1:21" ht="22.5" x14ac:dyDescent="0.25">
      <c r="A4" s="123" t="s">
        <v>70</v>
      </c>
      <c r="B4" s="160" t="s">
        <v>71</v>
      </c>
      <c r="C4" s="221" t="s">
        <v>72</v>
      </c>
      <c r="D4" s="123" t="s">
        <v>73</v>
      </c>
      <c r="E4" s="161">
        <v>0.78</v>
      </c>
      <c r="F4" s="147">
        <v>207758.2</v>
      </c>
      <c r="G4" s="236">
        <f>37.5/1000</f>
        <v>3.7499999999999999E-2</v>
      </c>
      <c r="H4" s="236">
        <v>0</v>
      </c>
      <c r="I4" s="248">
        <f>37.95/1000</f>
        <v>3.7950000000000005E-2</v>
      </c>
      <c r="J4" s="248">
        <f>(6+2.92)/1000</f>
        <v>8.9199999999999991E-3</v>
      </c>
      <c r="K4" s="248">
        <f>5.25/1000</f>
        <v>5.2500000000000003E-3</v>
      </c>
      <c r="L4" s="212">
        <f t="shared" ref="L4:L26" si="0">SUM(G4:K4)</f>
        <v>8.9620000000000005E-2</v>
      </c>
      <c r="M4" s="248">
        <f>37.5/1000</f>
        <v>3.7499999999999999E-2</v>
      </c>
      <c r="N4" s="248">
        <f>37.5/1000</f>
        <v>3.7499999999999999E-2</v>
      </c>
      <c r="O4" s="248">
        <f>0.0225+0.0125</f>
        <v>3.5000000000000003E-2</v>
      </c>
      <c r="P4" s="229" t="s">
        <v>551</v>
      </c>
      <c r="Q4" s="248">
        <f>34.92/1000</f>
        <v>3.492E-2</v>
      </c>
      <c r="S4" s="132">
        <f t="shared" ref="S4:S9" si="1">103.5*U4</f>
        <v>0.10350000000000001</v>
      </c>
      <c r="U4" s="324">
        <f t="shared" ref="U4:U26" si="2">(M4+N4)/75</f>
        <v>1E-3</v>
      </c>
    </row>
    <row r="5" spans="1:21" ht="22.5" x14ac:dyDescent="0.25">
      <c r="A5" s="123" t="s">
        <v>75</v>
      </c>
      <c r="B5" s="117" t="s">
        <v>82</v>
      </c>
      <c r="C5" s="221" t="s">
        <v>83</v>
      </c>
      <c r="D5" s="123" t="s">
        <v>58</v>
      </c>
      <c r="E5" s="161">
        <v>4.5659999999999998</v>
      </c>
      <c r="F5" s="147">
        <v>90796.58</v>
      </c>
      <c r="G5" s="237">
        <f>29.98/100</f>
        <v>0.29980000000000001</v>
      </c>
      <c r="H5" s="236">
        <f>5.95/100</f>
        <v>5.9500000000000004E-2</v>
      </c>
      <c r="I5" s="236">
        <f>30.44/100</f>
        <v>0.3044</v>
      </c>
      <c r="J5" s="236">
        <f>6.59/100</f>
        <v>6.59E-2</v>
      </c>
      <c r="K5" s="236">
        <f>4.93/100</f>
        <v>4.9299999999999997E-2</v>
      </c>
      <c r="L5" s="238">
        <f t="shared" si="0"/>
        <v>0.77889999999999993</v>
      </c>
      <c r="M5" s="236">
        <f>31.06/100</f>
        <v>0.31059999999999999</v>
      </c>
      <c r="N5" s="236">
        <f>27.73/100</f>
        <v>0.27729999999999999</v>
      </c>
      <c r="O5" s="236">
        <f>(17.25+9.3)/100</f>
        <v>0.26550000000000001</v>
      </c>
      <c r="Q5" s="236">
        <f>30.83/100</f>
        <v>0.30829999999999996</v>
      </c>
      <c r="S5" s="132">
        <f t="shared" si="1"/>
        <v>0.81130199999999986</v>
      </c>
      <c r="U5" s="324">
        <f t="shared" si="2"/>
        <v>7.8386666666666657E-3</v>
      </c>
    </row>
    <row r="6" spans="1:21" ht="22.5" x14ac:dyDescent="0.25">
      <c r="A6" s="123" t="s">
        <v>88</v>
      </c>
      <c r="B6" s="160" t="s">
        <v>89</v>
      </c>
      <c r="C6" s="221" t="s">
        <v>90</v>
      </c>
      <c r="D6" s="123" t="s">
        <v>58</v>
      </c>
      <c r="E6" s="161">
        <v>2.08</v>
      </c>
      <c r="F6" s="162">
        <v>38470.42</v>
      </c>
      <c r="G6" s="238">
        <f>14.12/100</f>
        <v>0.14119999999999999</v>
      </c>
      <c r="H6" s="212">
        <f>2.48/100</f>
        <v>2.4799999999999999E-2</v>
      </c>
      <c r="I6" s="238">
        <f>13.06/100</f>
        <v>0.13059999999999999</v>
      </c>
      <c r="J6" s="249">
        <f>3/100</f>
        <v>0.03</v>
      </c>
      <c r="K6" s="238">
        <f>2.08/100</f>
        <v>2.0799999999999999E-2</v>
      </c>
      <c r="L6" s="238">
        <f t="shared" si="0"/>
        <v>0.34739999999999999</v>
      </c>
      <c r="M6" s="212">
        <f>14.55/100</f>
        <v>0.14550000000000002</v>
      </c>
      <c r="N6" s="238">
        <f>13.48/100</f>
        <v>0.1348</v>
      </c>
      <c r="O6" s="238">
        <f>(7.33+4.3)/100</f>
        <v>0.11629999999999999</v>
      </c>
      <c r="Q6" s="238">
        <f>13.33/100</f>
        <v>0.1333</v>
      </c>
      <c r="S6" s="132">
        <f t="shared" si="1"/>
        <v>0.38681399999999999</v>
      </c>
      <c r="U6" s="324">
        <f t="shared" si="2"/>
        <v>3.7373333333333334E-3</v>
      </c>
    </row>
    <row r="7" spans="1:21" ht="22.5" x14ac:dyDescent="0.25">
      <c r="A7" s="123" t="s">
        <v>95</v>
      </c>
      <c r="B7" s="160" t="s">
        <v>96</v>
      </c>
      <c r="C7" s="221" t="s">
        <v>97</v>
      </c>
      <c r="D7" s="123" t="s">
        <v>58</v>
      </c>
      <c r="E7" s="161">
        <v>2.08</v>
      </c>
      <c r="F7" s="162">
        <v>316235.57</v>
      </c>
      <c r="G7" s="238">
        <f>14.12/100</f>
        <v>0.14119999999999999</v>
      </c>
      <c r="H7" s="238">
        <f>2.48/100</f>
        <v>2.4799999999999999E-2</v>
      </c>
      <c r="I7" s="238">
        <f>I6</f>
        <v>0.13059999999999999</v>
      </c>
      <c r="J7" s="249">
        <f>3/100</f>
        <v>0.03</v>
      </c>
      <c r="K7" s="238">
        <f>K6</f>
        <v>2.0799999999999999E-2</v>
      </c>
      <c r="L7" s="238">
        <f t="shared" si="0"/>
        <v>0.34739999999999999</v>
      </c>
      <c r="M7" s="238">
        <f>M6</f>
        <v>0.14550000000000002</v>
      </c>
      <c r="N7" s="238">
        <f>N6</f>
        <v>0.1348</v>
      </c>
      <c r="O7" s="238">
        <f>O6</f>
        <v>0.11629999999999999</v>
      </c>
      <c r="Q7" s="238">
        <f>Q6</f>
        <v>0.1333</v>
      </c>
      <c r="S7" s="132">
        <f t="shared" si="1"/>
        <v>0.38681399999999999</v>
      </c>
      <c r="U7" s="324">
        <f t="shared" si="2"/>
        <v>3.7373333333333334E-3</v>
      </c>
    </row>
    <row r="8" spans="1:21" x14ac:dyDescent="0.25">
      <c r="A8" s="123" t="s">
        <v>103</v>
      </c>
      <c r="B8" s="160" t="s">
        <v>104</v>
      </c>
      <c r="C8" s="221" t="s">
        <v>105</v>
      </c>
      <c r="D8" s="123" t="s">
        <v>106</v>
      </c>
      <c r="E8" s="161">
        <v>262.08</v>
      </c>
      <c r="F8" s="162">
        <v>1628491.9</v>
      </c>
      <c r="G8" s="212">
        <f>1.26*100*G7</f>
        <v>17.7912</v>
      </c>
      <c r="H8" s="212">
        <f>1.26*100*H7</f>
        <v>3.1248</v>
      </c>
      <c r="I8" s="212">
        <f>1.26*100*I7</f>
        <v>16.4556</v>
      </c>
      <c r="J8" s="212">
        <f>1.26*100*J7</f>
        <v>3.78</v>
      </c>
      <c r="K8" s="212">
        <f>1.26*100*K7</f>
        <v>2.6208</v>
      </c>
      <c r="L8" s="212">
        <f t="shared" si="0"/>
        <v>43.772400000000005</v>
      </c>
      <c r="M8" s="212">
        <f>1.26*100*M7</f>
        <v>18.333000000000002</v>
      </c>
      <c r="N8" s="212">
        <f>1.26*100*N7</f>
        <v>16.9848</v>
      </c>
      <c r="O8" s="212">
        <f>1.26*100*O7</f>
        <v>14.653799999999999</v>
      </c>
      <c r="Q8" s="212">
        <f>1.26*100*Q7</f>
        <v>16.7958</v>
      </c>
      <c r="S8" s="132">
        <f t="shared" si="1"/>
        <v>48.738564000000004</v>
      </c>
      <c r="U8" s="324">
        <f t="shared" si="2"/>
        <v>0.47090400000000004</v>
      </c>
    </row>
    <row r="9" spans="1:21" ht="22.5" x14ac:dyDescent="0.25">
      <c r="A9" s="123" t="s">
        <v>109</v>
      </c>
      <c r="B9" s="160" t="s">
        <v>110</v>
      </c>
      <c r="C9" s="221" t="s">
        <v>111</v>
      </c>
      <c r="D9" s="123" t="s">
        <v>73</v>
      </c>
      <c r="E9" s="161">
        <v>0.4647</v>
      </c>
      <c r="F9" s="162">
        <v>7513342.6799999997</v>
      </c>
      <c r="G9" s="238">
        <f>37.5/1000</f>
        <v>3.7499999999999999E-2</v>
      </c>
      <c r="H9" s="238">
        <f>6.4/1000</f>
        <v>6.4000000000000003E-3</v>
      </c>
      <c r="I9" s="250">
        <f>37.95/1000</f>
        <v>3.7950000000000005E-2</v>
      </c>
      <c r="J9" s="250">
        <f>8.92/1000</f>
        <v>8.9199999999999991E-3</v>
      </c>
      <c r="K9" s="250">
        <f>5.25/1000</f>
        <v>5.2500000000000003E-3</v>
      </c>
      <c r="L9" s="238">
        <f t="shared" si="0"/>
        <v>9.6020000000000008E-2</v>
      </c>
      <c r="M9" s="238">
        <f>37.5/1000</f>
        <v>3.7499999999999999E-2</v>
      </c>
      <c r="N9" s="238">
        <f>37.5/1000</f>
        <v>3.7499999999999999E-2</v>
      </c>
      <c r="O9" s="238">
        <f>(22.5+12.5)/1000</f>
        <v>3.5000000000000003E-2</v>
      </c>
      <c r="Q9" s="238">
        <f>34.92/1000</f>
        <v>3.492E-2</v>
      </c>
      <c r="S9" s="132">
        <f t="shared" si="1"/>
        <v>0.10350000000000001</v>
      </c>
      <c r="U9" s="324">
        <f t="shared" si="2"/>
        <v>1E-3</v>
      </c>
    </row>
    <row r="10" spans="1:21" s="229" customFormat="1" ht="22.5" x14ac:dyDescent="0.25">
      <c r="A10" s="166" t="s">
        <v>112</v>
      </c>
      <c r="B10" s="167" t="s">
        <v>113</v>
      </c>
      <c r="C10" s="222" t="s">
        <v>114</v>
      </c>
      <c r="D10" s="166" t="s">
        <v>115</v>
      </c>
      <c r="E10" s="169">
        <v>-855</v>
      </c>
      <c r="F10" s="170">
        <v>-1527842.25</v>
      </c>
      <c r="G10" s="228" t="s">
        <v>540</v>
      </c>
      <c r="H10" s="228" t="s">
        <v>540</v>
      </c>
      <c r="I10" s="228" t="s">
        <v>540</v>
      </c>
      <c r="J10" s="228" t="s">
        <v>540</v>
      </c>
      <c r="K10" s="228" t="s">
        <v>540</v>
      </c>
      <c r="L10" s="228" t="s">
        <v>540</v>
      </c>
      <c r="M10" s="228" t="s">
        <v>540</v>
      </c>
      <c r="N10" s="228" t="s">
        <v>540</v>
      </c>
      <c r="O10" s="228" t="s">
        <v>540</v>
      </c>
      <c r="Q10" s="228" t="s">
        <v>540</v>
      </c>
      <c r="S10" s="228" t="s">
        <v>540</v>
      </c>
      <c r="T10" s="218"/>
      <c r="U10" s="324" t="e">
        <f t="shared" si="2"/>
        <v>#VALUE!</v>
      </c>
    </row>
    <row r="11" spans="1:21" s="229" customFormat="1" x14ac:dyDescent="0.25">
      <c r="A11" s="166" t="s">
        <v>116</v>
      </c>
      <c r="B11" s="167" t="s">
        <v>117</v>
      </c>
      <c r="C11" s="222" t="s">
        <v>118</v>
      </c>
      <c r="D11" s="166" t="s">
        <v>115</v>
      </c>
      <c r="E11" s="169">
        <v>-1710</v>
      </c>
      <c r="F11" s="170">
        <v>-708444.45</v>
      </c>
      <c r="G11" s="228" t="s">
        <v>540</v>
      </c>
      <c r="H11" s="228" t="s">
        <v>540</v>
      </c>
      <c r="I11" s="228" t="s">
        <v>540</v>
      </c>
      <c r="J11" s="228" t="s">
        <v>540</v>
      </c>
      <c r="K11" s="228" t="s">
        <v>540</v>
      </c>
      <c r="L11" s="228" t="s">
        <v>540</v>
      </c>
      <c r="M11" s="228" t="s">
        <v>540</v>
      </c>
      <c r="N11" s="228" t="s">
        <v>540</v>
      </c>
      <c r="O11" s="228" t="s">
        <v>540</v>
      </c>
      <c r="Q11" s="228" t="s">
        <v>540</v>
      </c>
      <c r="S11" s="228" t="s">
        <v>540</v>
      </c>
      <c r="T11" s="218"/>
      <c r="U11" s="324" t="e">
        <f t="shared" si="2"/>
        <v>#VALUE!</v>
      </c>
    </row>
    <row r="12" spans="1:21" ht="22.5" x14ac:dyDescent="0.25">
      <c r="A12" s="123" t="s">
        <v>119</v>
      </c>
      <c r="B12" s="160" t="s">
        <v>120</v>
      </c>
      <c r="C12" s="221" t="s">
        <v>121</v>
      </c>
      <c r="D12" s="123" t="s">
        <v>115</v>
      </c>
      <c r="E12" s="161">
        <v>855</v>
      </c>
      <c r="F12" s="162">
        <v>11682341.33</v>
      </c>
      <c r="G12" s="143">
        <v>69</v>
      </c>
      <c r="H12" s="132">
        <v>12</v>
      </c>
      <c r="I12" s="132">
        <v>61</v>
      </c>
      <c r="J12" s="132">
        <v>8</v>
      </c>
      <c r="K12" s="132">
        <v>11</v>
      </c>
      <c r="L12" s="213">
        <f t="shared" si="0"/>
        <v>161</v>
      </c>
      <c r="M12" s="132">
        <v>69</v>
      </c>
      <c r="N12" s="132">
        <v>69</v>
      </c>
      <c r="O12" s="132">
        <f>32+23</f>
        <v>55</v>
      </c>
      <c r="Q12" s="132">
        <v>64</v>
      </c>
      <c r="S12" s="132">
        <f t="shared" ref="S12" si="3">103.5*U12</f>
        <v>190.44</v>
      </c>
      <c r="U12" s="324">
        <f t="shared" si="2"/>
        <v>1.84</v>
      </c>
    </row>
    <row r="13" spans="1:21" s="229" customFormat="1" ht="22.5" x14ac:dyDescent="0.25">
      <c r="A13" s="166" t="s">
        <v>124</v>
      </c>
      <c r="B13" s="167" t="s">
        <v>125</v>
      </c>
      <c r="C13" s="222" t="s">
        <v>126</v>
      </c>
      <c r="D13" s="166" t="s">
        <v>127</v>
      </c>
      <c r="E13" s="169">
        <v>-0.307</v>
      </c>
      <c r="F13" s="170">
        <v>-30401.62</v>
      </c>
      <c r="G13" s="228" t="s">
        <v>540</v>
      </c>
      <c r="H13" s="228" t="s">
        <v>540</v>
      </c>
      <c r="I13" s="228" t="s">
        <v>540</v>
      </c>
      <c r="J13" s="228" t="s">
        <v>540</v>
      </c>
      <c r="K13" s="228" t="s">
        <v>540</v>
      </c>
      <c r="L13" s="228" t="s">
        <v>540</v>
      </c>
      <c r="M13" s="228" t="s">
        <v>540</v>
      </c>
      <c r="N13" s="228" t="s">
        <v>540</v>
      </c>
      <c r="O13" s="228" t="s">
        <v>540</v>
      </c>
      <c r="Q13" s="228" t="s">
        <v>540</v>
      </c>
      <c r="S13" s="228" t="s">
        <v>540</v>
      </c>
      <c r="T13" s="218"/>
      <c r="U13" s="324" t="e">
        <f t="shared" si="2"/>
        <v>#VALUE!</v>
      </c>
    </row>
    <row r="14" spans="1:21" x14ac:dyDescent="0.25">
      <c r="A14" s="123" t="s">
        <v>128</v>
      </c>
      <c r="B14" s="160" t="s">
        <v>120</v>
      </c>
      <c r="C14" s="221" t="s">
        <v>129</v>
      </c>
      <c r="D14" s="123" t="s">
        <v>130</v>
      </c>
      <c r="E14" s="161">
        <v>0.307</v>
      </c>
      <c r="F14" s="162">
        <v>84801.18</v>
      </c>
      <c r="G14" s="239">
        <v>5.1999999999999998E-2</v>
      </c>
      <c r="H14" s="239">
        <v>1.2999999999999999E-2</v>
      </c>
      <c r="I14" s="239">
        <v>0.05</v>
      </c>
      <c r="J14" s="239">
        <v>1.2999999999999999E-2</v>
      </c>
      <c r="K14" s="239">
        <v>1.4E-2</v>
      </c>
      <c r="L14" s="239">
        <f t="shared" si="0"/>
        <v>0.14200000000000002</v>
      </c>
      <c r="M14" s="239">
        <v>5.7000000000000002E-2</v>
      </c>
      <c r="N14" s="239">
        <v>5.5E-2</v>
      </c>
      <c r="O14" s="239">
        <f>0.023+0.017</f>
        <v>0.04</v>
      </c>
      <c r="Q14" s="239">
        <v>5.1999999999999998E-2</v>
      </c>
      <c r="S14" s="132">
        <f t="shared" ref="S14" si="4">103.5*U14</f>
        <v>0.15456</v>
      </c>
      <c r="U14" s="324">
        <f t="shared" si="2"/>
        <v>1.4933333333333333E-3</v>
      </c>
    </row>
    <row r="15" spans="1:21" s="229" customFormat="1" x14ac:dyDescent="0.25">
      <c r="A15" s="166" t="s">
        <v>132</v>
      </c>
      <c r="B15" s="167" t="s">
        <v>133</v>
      </c>
      <c r="C15" s="222" t="s">
        <v>134</v>
      </c>
      <c r="D15" s="166" t="s">
        <v>115</v>
      </c>
      <c r="E15" s="169">
        <v>-149</v>
      </c>
      <c r="F15" s="170">
        <v>-205672.15</v>
      </c>
      <c r="G15" s="228" t="s">
        <v>540</v>
      </c>
      <c r="H15" s="228" t="s">
        <v>540</v>
      </c>
      <c r="I15" s="228" t="s">
        <v>540</v>
      </c>
      <c r="J15" s="228" t="s">
        <v>540</v>
      </c>
      <c r="K15" s="228" t="s">
        <v>540</v>
      </c>
      <c r="L15" s="228" t="s">
        <v>540</v>
      </c>
      <c r="M15" s="228" t="s">
        <v>540</v>
      </c>
      <c r="N15" s="228" t="s">
        <v>540</v>
      </c>
      <c r="O15" s="228" t="s">
        <v>540</v>
      </c>
      <c r="Q15" s="228" t="s">
        <v>540</v>
      </c>
      <c r="S15" s="228" t="s">
        <v>540</v>
      </c>
      <c r="T15" s="218"/>
      <c r="U15" s="324" t="e">
        <f t="shared" si="2"/>
        <v>#VALUE!</v>
      </c>
    </row>
    <row r="16" spans="1:21" x14ac:dyDescent="0.25">
      <c r="A16" s="123" t="s">
        <v>135</v>
      </c>
      <c r="B16" s="160" t="s">
        <v>120</v>
      </c>
      <c r="C16" s="221" t="s">
        <v>136</v>
      </c>
      <c r="D16" s="123" t="s">
        <v>130</v>
      </c>
      <c r="E16" s="161">
        <v>3.18</v>
      </c>
      <c r="F16" s="162">
        <v>1185471.18</v>
      </c>
      <c r="G16" s="239">
        <v>0.36</v>
      </c>
      <c r="H16" s="239">
        <v>0.12</v>
      </c>
      <c r="I16" s="239">
        <v>0.24</v>
      </c>
      <c r="J16" s="239">
        <v>0.12</v>
      </c>
      <c r="K16" s="239">
        <v>0.12</v>
      </c>
      <c r="L16" s="239">
        <f t="shared" si="0"/>
        <v>0.96</v>
      </c>
      <c r="M16" s="239">
        <v>0.24</v>
      </c>
      <c r="N16" s="239">
        <v>0.24</v>
      </c>
      <c r="O16" s="239">
        <f>0.24+0.18</f>
        <v>0.42</v>
      </c>
      <c r="Q16" s="239">
        <v>0.36</v>
      </c>
      <c r="S16" s="132">
        <f t="shared" ref="S16" si="5">103.5*U16</f>
        <v>0.66239999999999999</v>
      </c>
      <c r="U16" s="324">
        <f t="shared" si="2"/>
        <v>6.3999999999999994E-3</v>
      </c>
    </row>
    <row r="17" spans="1:21" s="229" customFormat="1" x14ac:dyDescent="0.25">
      <c r="A17" s="166" t="s">
        <v>138</v>
      </c>
      <c r="B17" s="167" t="s">
        <v>139</v>
      </c>
      <c r="C17" s="222" t="s">
        <v>140</v>
      </c>
      <c r="D17" s="166" t="s">
        <v>141</v>
      </c>
      <c r="E17" s="169">
        <v>-929.4</v>
      </c>
      <c r="F17" s="170">
        <v>-3100850.16</v>
      </c>
      <c r="G17" s="228" t="s">
        <v>540</v>
      </c>
      <c r="H17" s="228" t="s">
        <v>540</v>
      </c>
      <c r="I17" s="228" t="s">
        <v>540</v>
      </c>
      <c r="J17" s="228" t="s">
        <v>540</v>
      </c>
      <c r="K17" s="228" t="s">
        <v>540</v>
      </c>
      <c r="L17" s="228" t="s">
        <v>540</v>
      </c>
      <c r="M17" s="228" t="s">
        <v>540</v>
      </c>
      <c r="N17" s="228" t="s">
        <v>540</v>
      </c>
      <c r="O17" s="228" t="s">
        <v>540</v>
      </c>
      <c r="Q17" s="228" t="s">
        <v>540</v>
      </c>
      <c r="S17" s="228" t="s">
        <v>540</v>
      </c>
      <c r="T17" s="218"/>
      <c r="U17" s="324" t="e">
        <f t="shared" si="2"/>
        <v>#VALUE!</v>
      </c>
    </row>
    <row r="18" spans="1:21" x14ac:dyDescent="0.25">
      <c r="A18" s="123" t="s">
        <v>142</v>
      </c>
      <c r="B18" s="160" t="s">
        <v>120</v>
      </c>
      <c r="C18" s="221" t="s">
        <v>143</v>
      </c>
      <c r="D18" s="123" t="s">
        <v>130</v>
      </c>
      <c r="E18" s="161">
        <v>60.75</v>
      </c>
      <c r="F18" s="162">
        <v>10553895.23</v>
      </c>
      <c r="G18" s="239">
        <f>64.88*37.5*2/1000</f>
        <v>4.8659999999999997</v>
      </c>
      <c r="H18" s="239">
        <f>64.88*6.4*2/1000</f>
        <v>0.83046399999999998</v>
      </c>
      <c r="I18" s="239">
        <f>64.88*37.95*2/1000</f>
        <v>4.9243920000000001</v>
      </c>
      <c r="J18" s="239">
        <f>64.88*8.92*2/1000</f>
        <v>1.1574591999999999</v>
      </c>
      <c r="K18" s="239">
        <f>64.88*5.25*2/1000</f>
        <v>0.68123999999999996</v>
      </c>
      <c r="L18" s="239">
        <f t="shared" si="0"/>
        <v>12.4595552</v>
      </c>
      <c r="M18" s="239">
        <f>64.88*75/1000</f>
        <v>4.8659999999999997</v>
      </c>
      <c r="N18" s="239">
        <f>64.88*75/1000</f>
        <v>4.8659999999999997</v>
      </c>
      <c r="O18" s="239">
        <f>2.92+1.62</f>
        <v>4.54</v>
      </c>
      <c r="P18" s="229"/>
      <c r="Q18" s="239">
        <v>4.53</v>
      </c>
      <c r="S18" s="132">
        <f t="shared" ref="S18" si="6">103.5*U18</f>
        <v>13.430159999999999</v>
      </c>
      <c r="U18" s="324">
        <f t="shared" si="2"/>
        <v>0.12975999999999999</v>
      </c>
    </row>
    <row r="19" spans="1:21" x14ac:dyDescent="0.25">
      <c r="A19" s="123" t="s">
        <v>145</v>
      </c>
      <c r="B19" s="160" t="s">
        <v>120</v>
      </c>
      <c r="C19" s="221" t="s">
        <v>146</v>
      </c>
      <c r="D19" s="123" t="s">
        <v>147</v>
      </c>
      <c r="E19" s="161">
        <v>16</v>
      </c>
      <c r="F19" s="162">
        <v>262341.27</v>
      </c>
      <c r="G19" s="208">
        <v>2</v>
      </c>
      <c r="H19" s="208">
        <v>0</v>
      </c>
      <c r="I19" s="208">
        <v>4</v>
      </c>
      <c r="J19" s="208">
        <v>0</v>
      </c>
      <c r="K19" s="208">
        <v>0</v>
      </c>
      <c r="L19" s="213">
        <f t="shared" si="0"/>
        <v>6</v>
      </c>
      <c r="M19" s="208">
        <v>4</v>
      </c>
      <c r="N19" s="208">
        <v>4</v>
      </c>
      <c r="O19" s="208">
        <v>2</v>
      </c>
      <c r="P19" s="229" t="s">
        <v>553</v>
      </c>
      <c r="Q19" s="268">
        <v>0</v>
      </c>
      <c r="R19" s="229" t="s">
        <v>555</v>
      </c>
      <c r="S19" s="268">
        <v>0</v>
      </c>
      <c r="U19" s="324">
        <f t="shared" si="2"/>
        <v>0.10666666666666667</v>
      </c>
    </row>
    <row r="20" spans="1:21" ht="22.5" x14ac:dyDescent="0.25">
      <c r="A20" s="252" t="s">
        <v>149</v>
      </c>
      <c r="B20" s="253" t="s">
        <v>150</v>
      </c>
      <c r="C20" s="254" t="s">
        <v>151</v>
      </c>
      <c r="D20" s="252" t="s">
        <v>152</v>
      </c>
      <c r="E20" s="242">
        <v>6.84</v>
      </c>
      <c r="F20" s="255">
        <v>2675.92</v>
      </c>
      <c r="G20" s="244">
        <f>0.18*2</f>
        <v>0.36</v>
      </c>
      <c r="H20" s="245">
        <f>E20/38*6</f>
        <v>1.08</v>
      </c>
      <c r="I20" s="245">
        <f>E20/38*4</f>
        <v>0.72</v>
      </c>
      <c r="J20" s="245">
        <f>E20/38*7</f>
        <v>1.26</v>
      </c>
      <c r="K20" s="244">
        <f>E20/38*6</f>
        <v>1.08</v>
      </c>
      <c r="L20" s="244">
        <f t="shared" si="0"/>
        <v>4.5</v>
      </c>
      <c r="M20" s="245">
        <f>E20/38*3</f>
        <v>0.54</v>
      </c>
      <c r="N20" s="245">
        <f>E20/38*3</f>
        <v>0.54</v>
      </c>
      <c r="O20" s="245">
        <f>E20/38*8*0</f>
        <v>0</v>
      </c>
      <c r="P20" s="229" t="s">
        <v>552</v>
      </c>
      <c r="Q20" s="245">
        <f>G20/38*8*0</f>
        <v>0</v>
      </c>
      <c r="S20" s="245">
        <f>I20/38*8*0</f>
        <v>0</v>
      </c>
      <c r="U20" s="324">
        <f t="shared" si="2"/>
        <v>1.4400000000000001E-2</v>
      </c>
    </row>
    <row r="21" spans="1:21" ht="22.5" x14ac:dyDescent="0.25">
      <c r="A21" s="123" t="s">
        <v>157</v>
      </c>
      <c r="B21" s="160" t="s">
        <v>158</v>
      </c>
      <c r="C21" s="221" t="s">
        <v>159</v>
      </c>
      <c r="D21" s="123" t="s">
        <v>160</v>
      </c>
      <c r="E21" s="161">
        <v>0.2051</v>
      </c>
      <c r="F21" s="162">
        <v>534393.89</v>
      </c>
      <c r="G21" s="214">
        <f>15.35/1000</f>
        <v>1.5349999999999999E-2</v>
      </c>
      <c r="H21" s="132">
        <f>2.71/1000</f>
        <v>2.7100000000000002E-3</v>
      </c>
      <c r="I21" s="132">
        <f>14.62/1000</f>
        <v>1.4619999999999999E-2</v>
      </c>
      <c r="J21" s="250">
        <f>4.24/1000</f>
        <v>4.2399999999999998E-3</v>
      </c>
      <c r="K21" s="132">
        <f>2.14/1000</f>
        <v>2.14E-3</v>
      </c>
      <c r="L21" s="214">
        <f t="shared" si="0"/>
        <v>3.9060000000000004E-2</v>
      </c>
      <c r="M21" s="250">
        <f>16.13/1000</f>
        <v>1.6129999999999999E-2</v>
      </c>
      <c r="N21" s="250">
        <f>14.21/1000</f>
        <v>1.421E-2</v>
      </c>
      <c r="O21" s="250">
        <f>(8.53+4.39)/1000</f>
        <v>1.2919999999999997E-2</v>
      </c>
      <c r="Q21" s="250">
        <f>14.66/1000</f>
        <v>1.4659999999999999E-2</v>
      </c>
      <c r="S21" s="132">
        <f t="shared" ref="S21" si="7">103.5*U21</f>
        <v>4.1869199999999995E-2</v>
      </c>
      <c r="U21" s="324">
        <f t="shared" si="2"/>
        <v>4.0453333333333332E-4</v>
      </c>
    </row>
    <row r="22" spans="1:21" x14ac:dyDescent="0.25">
      <c r="A22" s="117" t="s">
        <v>161</v>
      </c>
      <c r="B22" s="117"/>
      <c r="C22" s="221"/>
      <c r="D22" s="123"/>
      <c r="E22" s="123"/>
      <c r="F22" s="147"/>
      <c r="G22" s="226"/>
      <c r="H22" s="227"/>
      <c r="I22" s="227"/>
      <c r="J22" s="227"/>
      <c r="K22" s="227"/>
      <c r="L22" s="226"/>
      <c r="M22" s="227"/>
      <c r="N22" s="227"/>
      <c r="O22" s="227"/>
      <c r="Q22" s="227"/>
      <c r="S22" s="227"/>
      <c r="U22" s="324">
        <f t="shared" si="2"/>
        <v>0</v>
      </c>
    </row>
    <row r="23" spans="1:21" ht="33.75" x14ac:dyDescent="0.25">
      <c r="A23" s="123" t="s">
        <v>162</v>
      </c>
      <c r="B23" s="160" t="s">
        <v>163</v>
      </c>
      <c r="C23" s="221" t="s">
        <v>164</v>
      </c>
      <c r="D23" s="123" t="s">
        <v>165</v>
      </c>
      <c r="E23" s="161">
        <v>829.75</v>
      </c>
      <c r="F23" s="162">
        <v>42756.02</v>
      </c>
      <c r="G23" s="143">
        <f>(G3+G5)*1.75*100</f>
        <v>52.465000000000003</v>
      </c>
      <c r="H23" s="143">
        <f>(H3+H5)*1.75*100</f>
        <v>10.412500000000001</v>
      </c>
      <c r="I23" s="143">
        <f>(I3+I5)*1.75*100</f>
        <v>53.269999999999996</v>
      </c>
      <c r="J23" s="207">
        <f>(J3+J5)*1.75*100</f>
        <v>11.532499999999999</v>
      </c>
      <c r="K23" s="207">
        <f>(K3+K5)*1.75*100</f>
        <v>8.6274999999999995</v>
      </c>
      <c r="L23" s="215">
        <f t="shared" si="0"/>
        <v>136.3075</v>
      </c>
      <c r="M23" s="207">
        <f>(M3+M5)*1.75*100</f>
        <v>54.354999999999997</v>
      </c>
      <c r="N23" s="207">
        <f>(N3+N5)*1.75*100</f>
        <v>48.527500000000003</v>
      </c>
      <c r="O23" s="207">
        <f>(O3+O5)*1.75*100</f>
        <v>46.462499999999999</v>
      </c>
      <c r="Q23" s="207">
        <f>(Q3+Q5)*1.75*100</f>
        <v>53.952499999999993</v>
      </c>
      <c r="S23" s="132">
        <f t="shared" ref="S23" si="8">103.5*U23</f>
        <v>141.97784999999999</v>
      </c>
      <c r="U23" s="324">
        <f t="shared" si="2"/>
        <v>1.3717666666666666</v>
      </c>
    </row>
    <row r="24" spans="1:21" ht="33.75" x14ac:dyDescent="0.25">
      <c r="A24" s="252" t="s">
        <v>166</v>
      </c>
      <c r="B24" s="253" t="s">
        <v>167</v>
      </c>
      <c r="C24" s="254" t="s">
        <v>168</v>
      </c>
      <c r="D24" s="252" t="s">
        <v>165</v>
      </c>
      <c r="E24" s="242">
        <v>86.37</v>
      </c>
      <c r="F24" s="255">
        <v>11384.09</v>
      </c>
      <c r="G24" s="244">
        <v>3.89</v>
      </c>
      <c r="H24" s="245">
        <v>0</v>
      </c>
      <c r="I24" s="245">
        <v>3.93</v>
      </c>
      <c r="J24" s="246">
        <v>0.93</v>
      </c>
      <c r="K24" s="246">
        <v>0.54</v>
      </c>
      <c r="L24" s="247">
        <f t="shared" si="0"/>
        <v>9.2899999999999991</v>
      </c>
      <c r="M24" s="246">
        <f>4.07+0.03</f>
        <v>4.1000000000000005</v>
      </c>
      <c r="N24" s="246">
        <f>3.89+0.17+0.01</f>
        <v>4.07</v>
      </c>
      <c r="O24" s="246">
        <f>(2.33+0.025+1.58)*0</f>
        <v>0</v>
      </c>
      <c r="P24" s="229" t="s">
        <v>552</v>
      </c>
      <c r="Q24" s="246">
        <f>(2.33+0.025+1.58)*0</f>
        <v>0</v>
      </c>
      <c r="S24" s="246">
        <f>(2.33+0.025+1.58)*0</f>
        <v>0</v>
      </c>
      <c r="U24" s="324">
        <f t="shared" si="2"/>
        <v>0.10893333333333335</v>
      </c>
    </row>
    <row r="25" spans="1:21" ht="22.5" x14ac:dyDescent="0.25">
      <c r="A25" s="252" t="s">
        <v>169</v>
      </c>
      <c r="B25" s="253" t="s">
        <v>170</v>
      </c>
      <c r="C25" s="254" t="s">
        <v>171</v>
      </c>
      <c r="D25" s="252" t="s">
        <v>165</v>
      </c>
      <c r="E25" s="242">
        <v>133.68</v>
      </c>
      <c r="F25" s="255">
        <v>22849.25</v>
      </c>
      <c r="G25" s="256">
        <v>2.8</v>
      </c>
      <c r="H25" s="246">
        <v>0</v>
      </c>
      <c r="I25" s="246">
        <v>2.48</v>
      </c>
      <c r="J25" s="246">
        <v>1.2</v>
      </c>
      <c r="K25" s="246">
        <v>0.56000000000000005</v>
      </c>
      <c r="L25" s="247">
        <f t="shared" si="0"/>
        <v>7.0399999999999991</v>
      </c>
      <c r="M25" s="246">
        <v>4.4800000000000004</v>
      </c>
      <c r="N25" s="246">
        <v>5.04</v>
      </c>
      <c r="O25" s="246">
        <f>(2+0.8)*0</f>
        <v>0</v>
      </c>
      <c r="P25" s="229" t="s">
        <v>552</v>
      </c>
      <c r="Q25" s="246">
        <f>(2+0.8)*0</f>
        <v>0</v>
      </c>
      <c r="S25" s="246">
        <f>(2+0.8)*0</f>
        <v>0</v>
      </c>
      <c r="U25" s="324">
        <f t="shared" si="2"/>
        <v>0.12693333333333331</v>
      </c>
    </row>
    <row r="26" spans="1:21" ht="33.75" x14ac:dyDescent="0.25">
      <c r="A26" s="123" t="s">
        <v>172</v>
      </c>
      <c r="B26" s="160" t="s">
        <v>173</v>
      </c>
      <c r="C26" s="221" t="s">
        <v>174</v>
      </c>
      <c r="D26" s="123" t="s">
        <v>165</v>
      </c>
      <c r="E26" s="161">
        <v>1049.8</v>
      </c>
      <c r="F26" s="162">
        <v>65727.17</v>
      </c>
      <c r="G26" s="215">
        <f>G23</f>
        <v>52.465000000000003</v>
      </c>
      <c r="H26" s="215">
        <f t="shared" ref="H26:K26" si="9">H23</f>
        <v>10.412500000000001</v>
      </c>
      <c r="I26" s="215">
        <f t="shared" si="9"/>
        <v>53.269999999999996</v>
      </c>
      <c r="J26" s="215">
        <f t="shared" si="9"/>
        <v>11.532499999999999</v>
      </c>
      <c r="K26" s="215">
        <f t="shared" si="9"/>
        <v>8.6274999999999995</v>
      </c>
      <c r="L26" s="215">
        <f t="shared" si="0"/>
        <v>136.3075</v>
      </c>
      <c r="M26" s="215">
        <f t="shared" ref="M26:Q26" si="10">M23</f>
        <v>54.354999999999997</v>
      </c>
      <c r="N26" s="215">
        <f t="shared" si="10"/>
        <v>48.527500000000003</v>
      </c>
      <c r="O26" s="215">
        <f t="shared" si="10"/>
        <v>46.462499999999999</v>
      </c>
      <c r="Q26" s="215">
        <f t="shared" si="10"/>
        <v>53.952499999999993</v>
      </c>
      <c r="S26" s="132">
        <f t="shared" ref="S26" si="11">103.5*U26</f>
        <v>141.97784999999999</v>
      </c>
      <c r="U26" s="324">
        <f t="shared" si="2"/>
        <v>1.3717666666666666</v>
      </c>
    </row>
    <row r="27" spans="1:21" hidden="1" x14ac:dyDescent="0.25">
      <c r="A27" s="114" t="s">
        <v>206</v>
      </c>
      <c r="B27" s="114"/>
      <c r="C27" s="220"/>
      <c r="D27" s="120"/>
      <c r="E27" s="120"/>
      <c r="F27" s="140"/>
    </row>
    <row r="28" spans="1:21" ht="22.5" hidden="1" x14ac:dyDescent="0.25">
      <c r="A28" s="123" t="s">
        <v>207</v>
      </c>
      <c r="B28" s="160" t="s">
        <v>208</v>
      </c>
      <c r="C28" s="221" t="s">
        <v>209</v>
      </c>
      <c r="D28" s="123" t="s">
        <v>210</v>
      </c>
      <c r="E28" s="161">
        <v>1</v>
      </c>
      <c r="F28" s="162">
        <v>44914.41</v>
      </c>
    </row>
    <row r="29" spans="1:21" ht="22.5" hidden="1" x14ac:dyDescent="0.25">
      <c r="A29" s="123" t="s">
        <v>211</v>
      </c>
      <c r="B29" s="160" t="s">
        <v>167</v>
      </c>
      <c r="C29" s="221" t="s">
        <v>212</v>
      </c>
      <c r="D29" s="123" t="s">
        <v>165</v>
      </c>
      <c r="E29" s="161">
        <v>8.6199999999999992</v>
      </c>
      <c r="F29" s="162">
        <v>1136.1500000000001</v>
      </c>
    </row>
    <row r="30" spans="1:21" ht="22.5" hidden="1" x14ac:dyDescent="0.25">
      <c r="A30" s="123" t="s">
        <v>213</v>
      </c>
      <c r="B30" s="160" t="s">
        <v>170</v>
      </c>
      <c r="C30" s="221" t="s">
        <v>214</v>
      </c>
      <c r="D30" s="123" t="s">
        <v>165</v>
      </c>
      <c r="E30" s="161">
        <v>5.04</v>
      </c>
      <c r="F30" s="162">
        <v>861.54</v>
      </c>
    </row>
    <row r="31" spans="1:21" ht="33.75" hidden="1" x14ac:dyDescent="0.25">
      <c r="A31" s="123" t="s">
        <v>215</v>
      </c>
      <c r="B31" s="160" t="s">
        <v>173</v>
      </c>
      <c r="C31" s="221" t="s">
        <v>174</v>
      </c>
      <c r="D31" s="123" t="s">
        <v>165</v>
      </c>
      <c r="E31" s="161">
        <v>13.66</v>
      </c>
      <c r="F31" s="162">
        <v>855.28</v>
      </c>
    </row>
    <row r="32" spans="1:21" hidden="1" x14ac:dyDescent="0.25">
      <c r="A32" s="114" t="s">
        <v>220</v>
      </c>
      <c r="B32" s="114"/>
      <c r="C32" s="220"/>
      <c r="D32" s="120"/>
      <c r="E32" s="120"/>
      <c r="F32" s="140"/>
    </row>
    <row r="33" spans="1:8" ht="22.5" hidden="1" x14ac:dyDescent="0.25">
      <c r="A33" s="123" t="s">
        <v>221</v>
      </c>
      <c r="B33" s="160" t="s">
        <v>208</v>
      </c>
      <c r="C33" s="221" t="s">
        <v>209</v>
      </c>
      <c r="D33" s="123" t="s">
        <v>210</v>
      </c>
      <c r="E33" s="161">
        <v>1</v>
      </c>
      <c r="F33" s="162">
        <v>44914.41</v>
      </c>
    </row>
    <row r="34" spans="1:8" ht="22.5" hidden="1" x14ac:dyDescent="0.25">
      <c r="A34" s="123" t="s">
        <v>222</v>
      </c>
      <c r="B34" s="160" t="s">
        <v>167</v>
      </c>
      <c r="C34" s="221" t="s">
        <v>212</v>
      </c>
      <c r="D34" s="123" t="s">
        <v>165</v>
      </c>
      <c r="E34" s="161">
        <v>8.6199999999999992</v>
      </c>
      <c r="F34" s="162">
        <v>1136.1500000000001</v>
      </c>
    </row>
    <row r="35" spans="1:8" ht="22.5" hidden="1" x14ac:dyDescent="0.25">
      <c r="A35" s="123" t="s">
        <v>223</v>
      </c>
      <c r="B35" s="160" t="s">
        <v>170</v>
      </c>
      <c r="C35" s="221" t="s">
        <v>214</v>
      </c>
      <c r="D35" s="123" t="s">
        <v>165</v>
      </c>
      <c r="E35" s="161">
        <v>5.04</v>
      </c>
      <c r="F35" s="162">
        <v>861.54</v>
      </c>
    </row>
    <row r="36" spans="1:8" ht="33.75" hidden="1" x14ac:dyDescent="0.25">
      <c r="A36" s="123" t="s">
        <v>224</v>
      </c>
      <c r="B36" s="160" t="s">
        <v>173</v>
      </c>
      <c r="C36" s="221" t="s">
        <v>174</v>
      </c>
      <c r="D36" s="123" t="s">
        <v>165</v>
      </c>
      <c r="E36" s="161">
        <v>13.66</v>
      </c>
      <c r="F36" s="162">
        <v>855.28</v>
      </c>
    </row>
    <row r="37" spans="1:8" hidden="1" x14ac:dyDescent="0.25">
      <c r="A37" s="114" t="s">
        <v>227</v>
      </c>
      <c r="B37" s="114"/>
      <c r="C37" s="220"/>
      <c r="D37" s="120"/>
      <c r="E37" s="120"/>
      <c r="F37" s="140"/>
    </row>
    <row r="38" spans="1:8" ht="22.5" hidden="1" x14ac:dyDescent="0.25">
      <c r="A38" s="123" t="s">
        <v>228</v>
      </c>
      <c r="B38" s="160" t="s">
        <v>208</v>
      </c>
      <c r="C38" s="221" t="s">
        <v>209</v>
      </c>
      <c r="D38" s="123" t="s">
        <v>210</v>
      </c>
      <c r="E38" s="161">
        <v>1</v>
      </c>
      <c r="F38" s="162">
        <v>44914.41</v>
      </c>
    </row>
    <row r="39" spans="1:8" ht="22.5" hidden="1" x14ac:dyDescent="0.25">
      <c r="A39" s="123" t="s">
        <v>229</v>
      </c>
      <c r="B39" s="160" t="s">
        <v>167</v>
      </c>
      <c r="C39" s="221" t="s">
        <v>212</v>
      </c>
      <c r="D39" s="123" t="s">
        <v>165</v>
      </c>
      <c r="E39" s="161">
        <v>11.71</v>
      </c>
      <c r="F39" s="162">
        <v>1543.51</v>
      </c>
    </row>
    <row r="40" spans="1:8" ht="22.5" hidden="1" x14ac:dyDescent="0.25">
      <c r="A40" s="123" t="s">
        <v>230</v>
      </c>
      <c r="B40" s="160" t="s">
        <v>170</v>
      </c>
      <c r="C40" s="221" t="s">
        <v>214</v>
      </c>
      <c r="D40" s="123" t="s">
        <v>165</v>
      </c>
      <c r="E40" s="161">
        <v>5.04</v>
      </c>
      <c r="F40" s="162">
        <v>861.54</v>
      </c>
    </row>
    <row r="41" spans="1:8" ht="33.75" hidden="1" x14ac:dyDescent="0.25">
      <c r="A41" s="123" t="s">
        <v>231</v>
      </c>
      <c r="B41" s="160" t="s">
        <v>173</v>
      </c>
      <c r="C41" s="221" t="s">
        <v>174</v>
      </c>
      <c r="D41" s="123" t="s">
        <v>165</v>
      </c>
      <c r="E41" s="161">
        <v>16.75</v>
      </c>
      <c r="F41" s="162">
        <v>1048.79</v>
      </c>
    </row>
    <row r="42" spans="1:8" hidden="1" outlineLevel="1" x14ac:dyDescent="0.25">
      <c r="A42" s="118" t="s">
        <v>234</v>
      </c>
      <c r="B42" s="118"/>
      <c r="C42" s="240"/>
      <c r="D42" s="120"/>
      <c r="E42" s="120"/>
      <c r="F42" s="140"/>
      <c r="G42" s="219" t="s">
        <v>541</v>
      </c>
      <c r="H42" s="218"/>
    </row>
    <row r="43" spans="1:8" ht="22.5" hidden="1" outlineLevel="1" x14ac:dyDescent="0.25">
      <c r="A43" s="123" t="s">
        <v>235</v>
      </c>
      <c r="B43" s="160" t="s">
        <v>208</v>
      </c>
      <c r="C43" s="241" t="s">
        <v>209</v>
      </c>
      <c r="D43" s="123" t="s">
        <v>210</v>
      </c>
      <c r="E43" s="161">
        <v>1</v>
      </c>
      <c r="F43" s="162">
        <v>44914.41</v>
      </c>
      <c r="G43" s="213">
        <v>1</v>
      </c>
      <c r="H43" s="218"/>
    </row>
    <row r="44" spans="1:8" ht="22.5" hidden="1" outlineLevel="1" x14ac:dyDescent="0.25">
      <c r="A44" s="123" t="s">
        <v>236</v>
      </c>
      <c r="B44" s="160" t="s">
        <v>82</v>
      </c>
      <c r="C44" s="221" t="s">
        <v>83</v>
      </c>
      <c r="D44" s="123" t="s">
        <v>58</v>
      </c>
      <c r="E44" s="161">
        <v>0.34</v>
      </c>
      <c r="F44" s="162">
        <v>6761.04</v>
      </c>
      <c r="G44" s="215">
        <f>20.1/100</f>
        <v>0.20100000000000001</v>
      </c>
      <c r="H44" s="218"/>
    </row>
    <row r="45" spans="1:8" ht="22.5" hidden="1" outlineLevel="1" x14ac:dyDescent="0.25">
      <c r="A45" s="123" t="s">
        <v>237</v>
      </c>
      <c r="B45" s="160" t="s">
        <v>89</v>
      </c>
      <c r="C45" s="221" t="s">
        <v>90</v>
      </c>
      <c r="D45" s="123" t="s">
        <v>58</v>
      </c>
      <c r="E45" s="161">
        <v>0.15540000000000001</v>
      </c>
      <c r="F45" s="162">
        <v>2874.51</v>
      </c>
      <c r="G45" s="212">
        <f>10.09/100</f>
        <v>0.1009</v>
      </c>
      <c r="H45" s="218"/>
    </row>
    <row r="46" spans="1:8" ht="22.5" hidden="1" outlineLevel="1" x14ac:dyDescent="0.25">
      <c r="A46" s="123" t="s">
        <v>238</v>
      </c>
      <c r="B46" s="160" t="s">
        <v>96</v>
      </c>
      <c r="C46" s="221" t="s">
        <v>97</v>
      </c>
      <c r="D46" s="123" t="s">
        <v>58</v>
      </c>
      <c r="E46" s="161">
        <v>0.155</v>
      </c>
      <c r="F46" s="162">
        <v>23565.74</v>
      </c>
      <c r="G46" s="212">
        <f>G45</f>
        <v>0.1009</v>
      </c>
      <c r="H46" s="218"/>
    </row>
    <row r="47" spans="1:8" hidden="1" outlineLevel="1" x14ac:dyDescent="0.25">
      <c r="A47" s="123" t="s">
        <v>239</v>
      </c>
      <c r="B47" s="160" t="s">
        <v>104</v>
      </c>
      <c r="C47" s="221" t="s">
        <v>105</v>
      </c>
      <c r="D47" s="123" t="s">
        <v>106</v>
      </c>
      <c r="E47" s="161">
        <v>19.53</v>
      </c>
      <c r="F47" s="162">
        <v>121353.95</v>
      </c>
      <c r="G47" s="212">
        <f>1.26*100*G46</f>
        <v>12.7134</v>
      </c>
      <c r="H47" s="218"/>
    </row>
    <row r="48" spans="1:8" ht="33.75" hidden="1" outlineLevel="1" x14ac:dyDescent="0.25">
      <c r="A48" s="123" t="s">
        <v>240</v>
      </c>
      <c r="B48" s="160" t="s">
        <v>241</v>
      </c>
      <c r="C48" s="221" t="s">
        <v>242</v>
      </c>
      <c r="D48" s="123" t="s">
        <v>210</v>
      </c>
      <c r="E48" s="161">
        <v>1</v>
      </c>
      <c r="F48" s="162">
        <v>207003.6</v>
      </c>
      <c r="G48" s="164">
        <v>1</v>
      </c>
      <c r="H48" s="218"/>
    </row>
    <row r="49" spans="1:21" hidden="1" outlineLevel="1" x14ac:dyDescent="0.25">
      <c r="A49" s="123" t="s">
        <v>243</v>
      </c>
      <c r="B49" s="160" t="s">
        <v>244</v>
      </c>
      <c r="C49" s="221" t="s">
        <v>245</v>
      </c>
      <c r="D49" s="123" t="s">
        <v>246</v>
      </c>
      <c r="E49" s="161">
        <v>1</v>
      </c>
      <c r="F49" s="162">
        <v>1667776.02</v>
      </c>
      <c r="G49" s="164">
        <v>1</v>
      </c>
      <c r="H49" s="218"/>
    </row>
    <row r="50" spans="1:21" ht="22.5" hidden="1" outlineLevel="1" x14ac:dyDescent="0.25">
      <c r="A50" s="123" t="s">
        <v>248</v>
      </c>
      <c r="B50" s="160" t="s">
        <v>249</v>
      </c>
      <c r="C50" s="221" t="s">
        <v>250</v>
      </c>
      <c r="D50" s="123" t="s">
        <v>246</v>
      </c>
      <c r="E50" s="161">
        <v>1</v>
      </c>
      <c r="F50" s="162">
        <v>3596141.97</v>
      </c>
      <c r="G50" s="164">
        <v>1</v>
      </c>
      <c r="H50" s="218"/>
    </row>
    <row r="51" spans="1:21" ht="33.75" hidden="1" outlineLevel="1" x14ac:dyDescent="0.25">
      <c r="A51" s="123" t="s">
        <v>252</v>
      </c>
      <c r="B51" s="160" t="s">
        <v>253</v>
      </c>
      <c r="C51" s="221" t="s">
        <v>254</v>
      </c>
      <c r="D51" s="123" t="s">
        <v>115</v>
      </c>
      <c r="E51" s="161">
        <v>1</v>
      </c>
      <c r="F51" s="162">
        <v>42192.34</v>
      </c>
      <c r="G51" s="164">
        <v>1</v>
      </c>
      <c r="H51" s="218"/>
    </row>
    <row r="52" spans="1:21" s="231" customFormat="1" hidden="1" outlineLevel="1" x14ac:dyDescent="0.25">
      <c r="A52" s="257" t="s">
        <v>259</v>
      </c>
      <c r="B52" s="258" t="s">
        <v>260</v>
      </c>
      <c r="C52" s="241" t="s">
        <v>261</v>
      </c>
      <c r="D52" s="257" t="s">
        <v>115</v>
      </c>
      <c r="E52" s="259">
        <v>-2</v>
      </c>
      <c r="F52" s="260">
        <v>-5066.7299999999996</v>
      </c>
      <c r="G52" s="261">
        <v>-2</v>
      </c>
      <c r="H52" s="218"/>
      <c r="U52" s="325"/>
    </row>
    <row r="53" spans="1:21" hidden="1" outlineLevel="1" x14ac:dyDescent="0.25">
      <c r="A53" s="123" t="s">
        <v>262</v>
      </c>
      <c r="B53" s="160" t="s">
        <v>263</v>
      </c>
      <c r="C53" s="221" t="s">
        <v>264</v>
      </c>
      <c r="D53" s="123" t="s">
        <v>115</v>
      </c>
      <c r="E53" s="161">
        <v>2</v>
      </c>
      <c r="F53" s="162">
        <v>87727.09</v>
      </c>
      <c r="G53" s="164">
        <v>2</v>
      </c>
      <c r="H53" s="218"/>
    </row>
    <row r="54" spans="1:21" ht="22.5" hidden="1" outlineLevel="1" x14ac:dyDescent="0.25">
      <c r="A54" s="123" t="s">
        <v>266</v>
      </c>
      <c r="B54" s="160" t="s">
        <v>267</v>
      </c>
      <c r="C54" s="221" t="s">
        <v>268</v>
      </c>
      <c r="D54" s="123" t="s">
        <v>115</v>
      </c>
      <c r="E54" s="161">
        <v>1</v>
      </c>
      <c r="F54" s="162">
        <v>156781.35</v>
      </c>
      <c r="G54" s="164">
        <v>1</v>
      </c>
      <c r="H54" s="218"/>
    </row>
    <row r="55" spans="1:21" hidden="1" outlineLevel="1" x14ac:dyDescent="0.25">
      <c r="A55" s="123" t="s">
        <v>270</v>
      </c>
      <c r="B55" s="160" t="s">
        <v>120</v>
      </c>
      <c r="C55" s="221" t="s">
        <v>271</v>
      </c>
      <c r="D55" s="123" t="s">
        <v>115</v>
      </c>
      <c r="E55" s="161">
        <v>1</v>
      </c>
      <c r="F55" s="162">
        <v>4178.1000000000004</v>
      </c>
      <c r="G55" s="164">
        <v>1</v>
      </c>
      <c r="H55" s="218"/>
    </row>
    <row r="56" spans="1:21" ht="22.5" hidden="1" outlineLevel="1" x14ac:dyDescent="0.25">
      <c r="A56" s="252" t="s">
        <v>273</v>
      </c>
      <c r="B56" s="253" t="s">
        <v>274</v>
      </c>
      <c r="C56" s="254" t="s">
        <v>275</v>
      </c>
      <c r="D56" s="252" t="s">
        <v>276</v>
      </c>
      <c r="E56" s="242">
        <v>0.06</v>
      </c>
      <c r="F56" s="255">
        <v>15658.24</v>
      </c>
      <c r="G56" s="242">
        <v>0</v>
      </c>
      <c r="H56" s="218" t="s">
        <v>546</v>
      </c>
    </row>
    <row r="57" spans="1:21" s="231" customFormat="1" hidden="1" outlineLevel="1" x14ac:dyDescent="0.25">
      <c r="A57" s="262" t="s">
        <v>281</v>
      </c>
      <c r="B57" s="263" t="s">
        <v>282</v>
      </c>
      <c r="C57" s="264" t="s">
        <v>283</v>
      </c>
      <c r="D57" s="262" t="s">
        <v>127</v>
      </c>
      <c r="E57" s="243">
        <v>-2.9000000000000001E-2</v>
      </c>
      <c r="F57" s="265">
        <v>-2679.86</v>
      </c>
      <c r="G57" s="243">
        <v>0</v>
      </c>
      <c r="H57" s="218" t="s">
        <v>546</v>
      </c>
      <c r="U57" s="325"/>
    </row>
    <row r="58" spans="1:21" hidden="1" outlineLevel="1" x14ac:dyDescent="0.25">
      <c r="A58" s="252" t="s">
        <v>284</v>
      </c>
      <c r="B58" s="253" t="s">
        <v>120</v>
      </c>
      <c r="C58" s="254" t="s">
        <v>285</v>
      </c>
      <c r="D58" s="252" t="s">
        <v>130</v>
      </c>
      <c r="E58" s="242">
        <v>0.36</v>
      </c>
      <c r="F58" s="255">
        <v>134204.32</v>
      </c>
      <c r="G58" s="243">
        <v>0</v>
      </c>
      <c r="H58" s="218" t="s">
        <v>546</v>
      </c>
    </row>
    <row r="59" spans="1:21" hidden="1" outlineLevel="1" x14ac:dyDescent="0.25">
      <c r="A59" s="252" t="s">
        <v>286</v>
      </c>
      <c r="B59" s="253" t="s">
        <v>120</v>
      </c>
      <c r="C59" s="254" t="s">
        <v>129</v>
      </c>
      <c r="D59" s="252" t="s">
        <v>130</v>
      </c>
      <c r="E59" s="242">
        <v>2.9000000000000001E-2</v>
      </c>
      <c r="F59" s="255">
        <v>8010.5</v>
      </c>
      <c r="G59" s="243">
        <v>0</v>
      </c>
      <c r="H59" s="218" t="s">
        <v>546</v>
      </c>
    </row>
    <row r="60" spans="1:21" ht="22.5" hidden="1" outlineLevel="1" x14ac:dyDescent="0.25">
      <c r="A60" s="123" t="s">
        <v>287</v>
      </c>
      <c r="B60" s="160" t="s">
        <v>288</v>
      </c>
      <c r="C60" s="221" t="s">
        <v>289</v>
      </c>
      <c r="D60" s="123" t="s">
        <v>160</v>
      </c>
      <c r="E60" s="161">
        <v>1.333E-2</v>
      </c>
      <c r="F60" s="162">
        <v>34759.839999999997</v>
      </c>
      <c r="G60" s="214">
        <f>E60</f>
        <v>1.333E-2</v>
      </c>
      <c r="H60" s="218"/>
    </row>
    <row r="61" spans="1:21" hidden="1" outlineLevel="1" x14ac:dyDescent="0.25">
      <c r="A61" s="117" t="s">
        <v>161</v>
      </c>
      <c r="B61" s="117"/>
      <c r="C61" s="221"/>
      <c r="D61" s="123"/>
      <c r="E61" s="123"/>
      <c r="F61" s="147"/>
      <c r="G61" s="226"/>
      <c r="H61" s="218"/>
    </row>
    <row r="62" spans="1:21" ht="33.75" hidden="1" outlineLevel="1" x14ac:dyDescent="0.25">
      <c r="A62" s="123" t="s">
        <v>290</v>
      </c>
      <c r="B62" s="160" t="s">
        <v>163</v>
      </c>
      <c r="C62" s="221" t="s">
        <v>164</v>
      </c>
      <c r="D62" s="123" t="s">
        <v>165</v>
      </c>
      <c r="E62" s="161">
        <v>59.55</v>
      </c>
      <c r="F62" s="162">
        <v>3068.48</v>
      </c>
      <c r="G62" s="143">
        <f>G44*1.75*100</f>
        <v>35.174999999999997</v>
      </c>
      <c r="H62" s="218"/>
    </row>
    <row r="63" spans="1:21" ht="33.75" hidden="1" outlineLevel="1" x14ac:dyDescent="0.25">
      <c r="A63" s="123" t="s">
        <v>291</v>
      </c>
      <c r="B63" s="160" t="s">
        <v>167</v>
      </c>
      <c r="C63" s="221" t="s">
        <v>292</v>
      </c>
      <c r="D63" s="123" t="s">
        <v>165</v>
      </c>
      <c r="E63" s="161">
        <v>9.9</v>
      </c>
      <c r="F63" s="162">
        <v>1304.8699999999999</v>
      </c>
      <c r="G63" s="143">
        <v>8.85</v>
      </c>
      <c r="H63" s="218"/>
    </row>
    <row r="64" spans="1:21" ht="22.5" hidden="1" outlineLevel="1" x14ac:dyDescent="0.25">
      <c r="A64" s="123" t="s">
        <v>293</v>
      </c>
      <c r="B64" s="160" t="s">
        <v>170</v>
      </c>
      <c r="C64" s="221" t="s">
        <v>294</v>
      </c>
      <c r="D64" s="123" t="s">
        <v>165</v>
      </c>
      <c r="E64" s="161">
        <v>5</v>
      </c>
      <c r="F64" s="162">
        <v>854.62</v>
      </c>
      <c r="G64" s="143">
        <f>1.6+3.4</f>
        <v>5</v>
      </c>
      <c r="H64" s="218"/>
    </row>
    <row r="65" spans="1:21" ht="33.75" hidden="1" outlineLevel="1" x14ac:dyDescent="0.25">
      <c r="A65" s="123" t="s">
        <v>295</v>
      </c>
      <c r="B65" s="160" t="s">
        <v>173</v>
      </c>
      <c r="C65" s="221" t="s">
        <v>174</v>
      </c>
      <c r="D65" s="123" t="s">
        <v>165</v>
      </c>
      <c r="E65" s="161">
        <v>74.45</v>
      </c>
      <c r="F65" s="162">
        <v>4661.3</v>
      </c>
      <c r="G65" s="143">
        <f>G62+G63+G64</f>
        <v>49.024999999999999</v>
      </c>
      <c r="H65" s="218"/>
    </row>
    <row r="66" spans="1:21" hidden="1" outlineLevel="1" x14ac:dyDescent="0.25">
      <c r="A66" s="118" t="s">
        <v>307</v>
      </c>
      <c r="B66" s="118"/>
      <c r="C66" s="240"/>
      <c r="D66" s="120"/>
      <c r="E66" s="120"/>
      <c r="F66" s="140"/>
      <c r="G66" s="216" t="s">
        <v>541</v>
      </c>
    </row>
    <row r="67" spans="1:21" ht="22.5" hidden="1" outlineLevel="1" x14ac:dyDescent="0.25">
      <c r="A67" s="123" t="s">
        <v>308</v>
      </c>
      <c r="B67" s="160" t="s">
        <v>208</v>
      </c>
      <c r="C67" s="221" t="s">
        <v>209</v>
      </c>
      <c r="D67" s="123" t="s">
        <v>210</v>
      </c>
      <c r="E67" s="161">
        <v>1</v>
      </c>
      <c r="F67" s="162">
        <v>44914.41</v>
      </c>
      <c r="G67" s="164">
        <v>1</v>
      </c>
    </row>
    <row r="68" spans="1:21" ht="22.5" hidden="1" outlineLevel="1" x14ac:dyDescent="0.25">
      <c r="A68" s="123" t="s">
        <v>309</v>
      </c>
      <c r="B68" s="160" t="s">
        <v>82</v>
      </c>
      <c r="C68" s="221" t="s">
        <v>83</v>
      </c>
      <c r="D68" s="123" t="s">
        <v>58</v>
      </c>
      <c r="E68" s="161">
        <v>0.28999999999999998</v>
      </c>
      <c r="F68" s="162">
        <v>5766.65</v>
      </c>
      <c r="G68" s="212">
        <f>21.71/100</f>
        <v>0.21710000000000002</v>
      </c>
    </row>
    <row r="69" spans="1:21" ht="22.5" hidden="1" outlineLevel="1" x14ac:dyDescent="0.25">
      <c r="A69" s="123" t="s">
        <v>310</v>
      </c>
      <c r="B69" s="160" t="s">
        <v>89</v>
      </c>
      <c r="C69" s="221" t="s">
        <v>90</v>
      </c>
      <c r="D69" s="123" t="s">
        <v>58</v>
      </c>
      <c r="E69" s="161">
        <v>0.1361</v>
      </c>
      <c r="F69" s="162">
        <v>2517.83</v>
      </c>
      <c r="G69" s="212">
        <f>10.4/100</f>
        <v>0.10400000000000001</v>
      </c>
    </row>
    <row r="70" spans="1:21" ht="22.5" hidden="1" outlineLevel="1" x14ac:dyDescent="0.25">
      <c r="A70" s="123" t="s">
        <v>311</v>
      </c>
      <c r="B70" s="160" t="s">
        <v>96</v>
      </c>
      <c r="C70" s="221" t="s">
        <v>97</v>
      </c>
      <c r="D70" s="123" t="s">
        <v>58</v>
      </c>
      <c r="E70" s="161">
        <v>0.13600000000000001</v>
      </c>
      <c r="F70" s="162">
        <v>20676.61</v>
      </c>
      <c r="G70" s="212">
        <f>10.4/100</f>
        <v>0.10400000000000001</v>
      </c>
    </row>
    <row r="71" spans="1:21" hidden="1" outlineLevel="1" x14ac:dyDescent="0.25">
      <c r="A71" s="123" t="s">
        <v>312</v>
      </c>
      <c r="B71" s="160" t="s">
        <v>104</v>
      </c>
      <c r="C71" s="221" t="s">
        <v>105</v>
      </c>
      <c r="D71" s="123" t="s">
        <v>106</v>
      </c>
      <c r="E71" s="161">
        <v>17.14</v>
      </c>
      <c r="F71" s="162">
        <v>106503.17</v>
      </c>
      <c r="G71" s="143">
        <f>1.26*G70*100</f>
        <v>13.104000000000001</v>
      </c>
    </row>
    <row r="72" spans="1:21" ht="33.75" hidden="1" outlineLevel="1" x14ac:dyDescent="0.25">
      <c r="A72" s="123" t="s">
        <v>313</v>
      </c>
      <c r="B72" s="160" t="s">
        <v>241</v>
      </c>
      <c r="C72" s="221" t="s">
        <v>242</v>
      </c>
      <c r="D72" s="123" t="s">
        <v>210</v>
      </c>
      <c r="E72" s="161">
        <v>1</v>
      </c>
      <c r="F72" s="162">
        <v>207003.6</v>
      </c>
      <c r="G72" s="164">
        <v>1</v>
      </c>
    </row>
    <row r="73" spans="1:21" hidden="1" outlineLevel="1" x14ac:dyDescent="0.25">
      <c r="A73" s="123" t="s">
        <v>314</v>
      </c>
      <c r="B73" s="160" t="s">
        <v>244</v>
      </c>
      <c r="C73" s="221" t="s">
        <v>245</v>
      </c>
      <c r="D73" s="123" t="s">
        <v>246</v>
      </c>
      <c r="E73" s="161">
        <v>1</v>
      </c>
      <c r="F73" s="162">
        <v>1667776.02</v>
      </c>
      <c r="G73" s="164">
        <v>1</v>
      </c>
    </row>
    <row r="74" spans="1:21" ht="22.5" hidden="1" outlineLevel="1" x14ac:dyDescent="0.25">
      <c r="A74" s="123" t="s">
        <v>315</v>
      </c>
      <c r="B74" s="160" t="s">
        <v>249</v>
      </c>
      <c r="C74" s="221" t="s">
        <v>250</v>
      </c>
      <c r="D74" s="123" t="s">
        <v>246</v>
      </c>
      <c r="E74" s="161">
        <v>1</v>
      </c>
      <c r="F74" s="162">
        <v>3596141.97</v>
      </c>
      <c r="G74" s="164">
        <v>1</v>
      </c>
    </row>
    <row r="75" spans="1:21" ht="33.75" hidden="1" outlineLevel="1" x14ac:dyDescent="0.25">
      <c r="A75" s="123" t="s">
        <v>316</v>
      </c>
      <c r="B75" s="160" t="s">
        <v>253</v>
      </c>
      <c r="C75" s="221" t="s">
        <v>254</v>
      </c>
      <c r="D75" s="123" t="s">
        <v>115</v>
      </c>
      <c r="E75" s="161">
        <v>1</v>
      </c>
      <c r="F75" s="162">
        <v>42192.34</v>
      </c>
      <c r="G75" s="164">
        <v>1</v>
      </c>
    </row>
    <row r="76" spans="1:21" s="229" customFormat="1" hidden="1" outlineLevel="1" x14ac:dyDescent="0.25">
      <c r="A76" s="257" t="s">
        <v>317</v>
      </c>
      <c r="B76" s="258" t="s">
        <v>260</v>
      </c>
      <c r="C76" s="241" t="s">
        <v>261</v>
      </c>
      <c r="D76" s="257" t="s">
        <v>115</v>
      </c>
      <c r="E76" s="259">
        <v>-2</v>
      </c>
      <c r="F76" s="260">
        <v>-5066.7299999999996</v>
      </c>
      <c r="G76" s="261">
        <v>-2</v>
      </c>
      <c r="H76" s="232"/>
      <c r="U76" s="323"/>
    </row>
    <row r="77" spans="1:21" hidden="1" outlineLevel="1" x14ac:dyDescent="0.25">
      <c r="A77" s="123" t="s">
        <v>318</v>
      </c>
      <c r="B77" s="160" t="s">
        <v>263</v>
      </c>
      <c r="C77" s="221" t="s">
        <v>264</v>
      </c>
      <c r="D77" s="123" t="s">
        <v>115</v>
      </c>
      <c r="E77" s="161">
        <v>2</v>
      </c>
      <c r="F77" s="162">
        <v>87727.09</v>
      </c>
      <c r="G77" s="164">
        <v>2</v>
      </c>
    </row>
    <row r="78" spans="1:21" ht="22.5" hidden="1" outlineLevel="1" x14ac:dyDescent="0.25">
      <c r="A78" s="123" t="s">
        <v>319</v>
      </c>
      <c r="B78" s="160" t="s">
        <v>267</v>
      </c>
      <c r="C78" s="221" t="s">
        <v>268</v>
      </c>
      <c r="D78" s="123" t="s">
        <v>115</v>
      </c>
      <c r="E78" s="161">
        <v>1</v>
      </c>
      <c r="F78" s="162">
        <v>156781.35</v>
      </c>
      <c r="G78" s="164">
        <v>1</v>
      </c>
    </row>
    <row r="79" spans="1:21" hidden="1" outlineLevel="1" x14ac:dyDescent="0.25">
      <c r="A79" s="123" t="s">
        <v>320</v>
      </c>
      <c r="B79" s="160" t="s">
        <v>120</v>
      </c>
      <c r="C79" s="221" t="s">
        <v>271</v>
      </c>
      <c r="D79" s="123" t="s">
        <v>115</v>
      </c>
      <c r="E79" s="161">
        <v>1</v>
      </c>
      <c r="F79" s="162">
        <v>4178.1000000000004</v>
      </c>
      <c r="G79" s="164">
        <v>1</v>
      </c>
    </row>
    <row r="80" spans="1:21" ht="22.5" hidden="1" outlineLevel="1" x14ac:dyDescent="0.25">
      <c r="A80" s="262" t="s">
        <v>321</v>
      </c>
      <c r="B80" s="263" t="s">
        <v>274</v>
      </c>
      <c r="C80" s="264" t="s">
        <v>275</v>
      </c>
      <c r="D80" s="262" t="s">
        <v>276</v>
      </c>
      <c r="E80" s="243">
        <v>0.06</v>
      </c>
      <c r="F80" s="265">
        <v>15658.24</v>
      </c>
      <c r="G80" s="243">
        <v>0</v>
      </c>
      <c r="H80" s="218" t="s">
        <v>546</v>
      </c>
    </row>
    <row r="81" spans="1:21" s="229" customFormat="1" hidden="1" outlineLevel="1" x14ac:dyDescent="0.25">
      <c r="A81" s="262" t="s">
        <v>322</v>
      </c>
      <c r="B81" s="263" t="s">
        <v>282</v>
      </c>
      <c r="C81" s="264" t="s">
        <v>283</v>
      </c>
      <c r="D81" s="262" t="s">
        <v>127</v>
      </c>
      <c r="E81" s="243">
        <v>-2.9000000000000001E-2</v>
      </c>
      <c r="F81" s="265">
        <v>-2679.86</v>
      </c>
      <c r="G81" s="243">
        <v>0</v>
      </c>
      <c r="H81" s="218" t="s">
        <v>546</v>
      </c>
      <c r="U81" s="323"/>
    </row>
    <row r="82" spans="1:21" hidden="1" outlineLevel="1" x14ac:dyDescent="0.25">
      <c r="A82" s="262" t="s">
        <v>323</v>
      </c>
      <c r="B82" s="263" t="s">
        <v>120</v>
      </c>
      <c r="C82" s="264" t="s">
        <v>285</v>
      </c>
      <c r="D82" s="262" t="s">
        <v>130</v>
      </c>
      <c r="E82" s="243">
        <v>0.36</v>
      </c>
      <c r="F82" s="265">
        <v>134204.32</v>
      </c>
      <c r="G82" s="243">
        <v>0</v>
      </c>
      <c r="H82" s="218" t="s">
        <v>546</v>
      </c>
    </row>
    <row r="83" spans="1:21" hidden="1" outlineLevel="1" x14ac:dyDescent="0.25">
      <c r="A83" s="262" t="s">
        <v>324</v>
      </c>
      <c r="B83" s="263" t="s">
        <v>120</v>
      </c>
      <c r="C83" s="264" t="s">
        <v>129</v>
      </c>
      <c r="D83" s="262" t="s">
        <v>130</v>
      </c>
      <c r="E83" s="243">
        <v>2.9000000000000001E-2</v>
      </c>
      <c r="F83" s="265">
        <v>8010.5</v>
      </c>
      <c r="G83" s="243">
        <v>0</v>
      </c>
      <c r="H83" s="218" t="s">
        <v>546</v>
      </c>
    </row>
    <row r="84" spans="1:21" ht="22.5" hidden="1" outlineLevel="1" x14ac:dyDescent="0.25">
      <c r="A84" s="123" t="s">
        <v>325</v>
      </c>
      <c r="B84" s="160" t="s">
        <v>288</v>
      </c>
      <c r="C84" s="221" t="s">
        <v>289</v>
      </c>
      <c r="D84" s="123" t="s">
        <v>160</v>
      </c>
      <c r="E84" s="161">
        <v>1.3299999999999999E-2</v>
      </c>
      <c r="F84" s="162">
        <v>34682.379999999997</v>
      </c>
      <c r="G84" s="212">
        <f>E84</f>
        <v>1.3299999999999999E-2</v>
      </c>
    </row>
    <row r="85" spans="1:21" hidden="1" outlineLevel="1" x14ac:dyDescent="0.25">
      <c r="A85" s="117" t="s">
        <v>161</v>
      </c>
      <c r="B85" s="117"/>
      <c r="C85" s="221"/>
      <c r="D85" s="123"/>
      <c r="E85" s="123"/>
      <c r="F85" s="147"/>
      <c r="G85" s="226"/>
    </row>
    <row r="86" spans="1:21" ht="33.75" hidden="1" outlineLevel="1" x14ac:dyDescent="0.25">
      <c r="A86" s="123" t="s">
        <v>326</v>
      </c>
      <c r="B86" s="160" t="s">
        <v>163</v>
      </c>
      <c r="C86" s="221" t="s">
        <v>164</v>
      </c>
      <c r="D86" s="123" t="s">
        <v>165</v>
      </c>
      <c r="E86" s="161">
        <v>50.7</v>
      </c>
      <c r="F86" s="162">
        <v>2612.5700000000002</v>
      </c>
      <c r="G86" s="143">
        <f>G68*1.75*100</f>
        <v>37.9925</v>
      </c>
    </row>
    <row r="87" spans="1:21" ht="33.75" hidden="1" outlineLevel="1" x14ac:dyDescent="0.25">
      <c r="A87" s="123" t="s">
        <v>327</v>
      </c>
      <c r="B87" s="160" t="s">
        <v>167</v>
      </c>
      <c r="C87" s="221" t="s">
        <v>292</v>
      </c>
      <c r="D87" s="123" t="s">
        <v>165</v>
      </c>
      <c r="E87" s="161">
        <v>9.9</v>
      </c>
      <c r="F87" s="162">
        <v>1304.8699999999999</v>
      </c>
      <c r="G87" s="143">
        <v>8.84</v>
      </c>
    </row>
    <row r="88" spans="1:21" ht="22.5" hidden="1" outlineLevel="1" x14ac:dyDescent="0.25">
      <c r="A88" s="123" t="s">
        <v>328</v>
      </c>
      <c r="B88" s="160" t="s">
        <v>170</v>
      </c>
      <c r="C88" s="221" t="s">
        <v>294</v>
      </c>
      <c r="D88" s="123" t="s">
        <v>165</v>
      </c>
      <c r="E88" s="161">
        <v>5</v>
      </c>
      <c r="F88" s="162">
        <v>854.62</v>
      </c>
      <c r="G88" s="143">
        <f>1.7+3.1</f>
        <v>4.8</v>
      </c>
    </row>
    <row r="89" spans="1:21" ht="33.75" hidden="1" outlineLevel="1" x14ac:dyDescent="0.25">
      <c r="A89" s="123" t="s">
        <v>329</v>
      </c>
      <c r="B89" s="160" t="s">
        <v>173</v>
      </c>
      <c r="C89" s="221" t="s">
        <v>174</v>
      </c>
      <c r="D89" s="123" t="s">
        <v>165</v>
      </c>
      <c r="E89" s="161">
        <v>65.599999999999994</v>
      </c>
      <c r="F89" s="162">
        <v>4107.2299999999996</v>
      </c>
      <c r="G89" s="143">
        <f>G86+G87+G88</f>
        <v>51.632499999999993</v>
      </c>
    </row>
    <row r="90" spans="1:21" hidden="1" outlineLevel="1" x14ac:dyDescent="0.25">
      <c r="A90" s="114" t="s">
        <v>334</v>
      </c>
      <c r="B90" s="114"/>
      <c r="C90" s="220"/>
      <c r="D90" s="120"/>
      <c r="E90" s="120"/>
      <c r="F90" s="140"/>
    </row>
    <row r="91" spans="1:21" ht="22.5" hidden="1" outlineLevel="1" x14ac:dyDescent="0.25">
      <c r="A91" s="123" t="s">
        <v>335</v>
      </c>
      <c r="B91" s="160" t="s">
        <v>208</v>
      </c>
      <c r="C91" s="221" t="s">
        <v>209</v>
      </c>
      <c r="D91" s="123" t="s">
        <v>210</v>
      </c>
      <c r="E91" s="161">
        <v>1</v>
      </c>
      <c r="F91" s="162">
        <v>44914.41</v>
      </c>
    </row>
    <row r="92" spans="1:21" ht="22.5" hidden="1" outlineLevel="1" x14ac:dyDescent="0.25">
      <c r="A92" s="123" t="s">
        <v>336</v>
      </c>
      <c r="B92" s="160" t="s">
        <v>82</v>
      </c>
      <c r="C92" s="221" t="s">
        <v>83</v>
      </c>
      <c r="D92" s="123" t="s">
        <v>58</v>
      </c>
      <c r="E92" s="161">
        <v>0.25800000000000001</v>
      </c>
      <c r="F92" s="162">
        <v>5130.6099999999997</v>
      </c>
    </row>
    <row r="93" spans="1:21" ht="22.5" hidden="1" outlineLevel="1" x14ac:dyDescent="0.25">
      <c r="A93" s="123" t="s">
        <v>337</v>
      </c>
      <c r="B93" s="160" t="s">
        <v>89</v>
      </c>
      <c r="C93" s="221" t="s">
        <v>90</v>
      </c>
      <c r="D93" s="123" t="s">
        <v>58</v>
      </c>
      <c r="E93" s="161">
        <v>0.1237</v>
      </c>
      <c r="F93" s="162">
        <v>2287.64</v>
      </c>
    </row>
    <row r="94" spans="1:21" ht="22.5" hidden="1" outlineLevel="1" x14ac:dyDescent="0.25">
      <c r="A94" s="123" t="s">
        <v>338</v>
      </c>
      <c r="B94" s="160" t="s">
        <v>96</v>
      </c>
      <c r="C94" s="221" t="s">
        <v>97</v>
      </c>
      <c r="D94" s="123" t="s">
        <v>58</v>
      </c>
      <c r="E94" s="161">
        <v>0.124</v>
      </c>
      <c r="F94" s="162">
        <v>18852.34</v>
      </c>
    </row>
    <row r="95" spans="1:21" hidden="1" outlineLevel="1" x14ac:dyDescent="0.25">
      <c r="A95" s="123" t="s">
        <v>339</v>
      </c>
      <c r="B95" s="160" t="s">
        <v>104</v>
      </c>
      <c r="C95" s="221" t="s">
        <v>105</v>
      </c>
      <c r="D95" s="123" t="s">
        <v>106</v>
      </c>
      <c r="E95" s="161">
        <v>15.62</v>
      </c>
      <c r="F95" s="162">
        <v>97058.27</v>
      </c>
    </row>
    <row r="96" spans="1:21" ht="33.75" hidden="1" outlineLevel="1" x14ac:dyDescent="0.25">
      <c r="A96" s="123" t="s">
        <v>340</v>
      </c>
      <c r="B96" s="160" t="s">
        <v>241</v>
      </c>
      <c r="C96" s="221" t="s">
        <v>242</v>
      </c>
      <c r="D96" s="123" t="s">
        <v>210</v>
      </c>
      <c r="E96" s="161">
        <v>1</v>
      </c>
      <c r="F96" s="162">
        <v>207003.6</v>
      </c>
    </row>
    <row r="97" spans="1:21" hidden="1" outlineLevel="1" x14ac:dyDescent="0.25">
      <c r="A97" s="123" t="s">
        <v>341</v>
      </c>
      <c r="B97" s="160" t="s">
        <v>244</v>
      </c>
      <c r="C97" s="221" t="s">
        <v>245</v>
      </c>
      <c r="D97" s="123" t="s">
        <v>246</v>
      </c>
      <c r="E97" s="161">
        <v>1</v>
      </c>
      <c r="F97" s="162">
        <v>1667776.02</v>
      </c>
    </row>
    <row r="98" spans="1:21" ht="22.5" hidden="1" outlineLevel="1" x14ac:dyDescent="0.25">
      <c r="A98" s="123" t="s">
        <v>342</v>
      </c>
      <c r="B98" s="160" t="s">
        <v>249</v>
      </c>
      <c r="C98" s="221" t="s">
        <v>250</v>
      </c>
      <c r="D98" s="123" t="s">
        <v>246</v>
      </c>
      <c r="E98" s="161">
        <v>1</v>
      </c>
      <c r="F98" s="162">
        <v>3596141.97</v>
      </c>
    </row>
    <row r="99" spans="1:21" ht="33.75" hidden="1" outlineLevel="1" x14ac:dyDescent="0.25">
      <c r="A99" s="123" t="s">
        <v>343</v>
      </c>
      <c r="B99" s="160" t="s">
        <v>253</v>
      </c>
      <c r="C99" s="221" t="s">
        <v>254</v>
      </c>
      <c r="D99" s="123" t="s">
        <v>115</v>
      </c>
      <c r="E99" s="161">
        <v>1</v>
      </c>
      <c r="F99" s="162">
        <v>42192.34</v>
      </c>
    </row>
    <row r="100" spans="1:21" s="229" customFormat="1" hidden="1" outlineLevel="1" x14ac:dyDescent="0.25">
      <c r="A100" s="166" t="s">
        <v>344</v>
      </c>
      <c r="B100" s="167" t="s">
        <v>260</v>
      </c>
      <c r="C100" s="222" t="s">
        <v>261</v>
      </c>
      <c r="D100" s="166" t="s">
        <v>115</v>
      </c>
      <c r="E100" s="169">
        <v>-2</v>
      </c>
      <c r="F100" s="170">
        <v>-5066.7299999999996</v>
      </c>
      <c r="G100" s="233"/>
      <c r="H100" s="232"/>
      <c r="U100" s="323"/>
    </row>
    <row r="101" spans="1:21" hidden="1" outlineLevel="1" x14ac:dyDescent="0.25">
      <c r="A101" s="123" t="s">
        <v>345</v>
      </c>
      <c r="B101" s="160" t="s">
        <v>263</v>
      </c>
      <c r="C101" s="221" t="s">
        <v>264</v>
      </c>
      <c r="D101" s="123" t="s">
        <v>115</v>
      </c>
      <c r="E101" s="161">
        <v>2</v>
      </c>
      <c r="F101" s="162">
        <v>87727.09</v>
      </c>
    </row>
    <row r="102" spans="1:21" ht="22.5" hidden="1" outlineLevel="1" x14ac:dyDescent="0.25">
      <c r="A102" s="123" t="s">
        <v>346</v>
      </c>
      <c r="B102" s="160" t="s">
        <v>267</v>
      </c>
      <c r="C102" s="221" t="s">
        <v>268</v>
      </c>
      <c r="D102" s="123" t="s">
        <v>115</v>
      </c>
      <c r="E102" s="161">
        <v>1</v>
      </c>
      <c r="F102" s="162">
        <v>156781.35</v>
      </c>
    </row>
    <row r="103" spans="1:21" hidden="1" outlineLevel="1" x14ac:dyDescent="0.25">
      <c r="A103" s="123" t="s">
        <v>347</v>
      </c>
      <c r="B103" s="160" t="s">
        <v>120</v>
      </c>
      <c r="C103" s="221" t="s">
        <v>271</v>
      </c>
      <c r="D103" s="123" t="s">
        <v>115</v>
      </c>
      <c r="E103" s="161">
        <v>1</v>
      </c>
      <c r="F103" s="162">
        <v>4178.1000000000004</v>
      </c>
    </row>
    <row r="104" spans="1:21" ht="22.5" hidden="1" outlineLevel="1" x14ac:dyDescent="0.25">
      <c r="A104" s="123" t="s">
        <v>348</v>
      </c>
      <c r="B104" s="160" t="s">
        <v>274</v>
      </c>
      <c r="C104" s="221" t="s">
        <v>275</v>
      </c>
      <c r="D104" s="123" t="s">
        <v>276</v>
      </c>
      <c r="E104" s="161">
        <v>0.06</v>
      </c>
      <c r="F104" s="162">
        <v>15658.24</v>
      </c>
    </row>
    <row r="105" spans="1:21" s="229" customFormat="1" hidden="1" outlineLevel="1" x14ac:dyDescent="0.25">
      <c r="A105" s="166" t="s">
        <v>349</v>
      </c>
      <c r="B105" s="167" t="s">
        <v>282</v>
      </c>
      <c r="C105" s="222" t="s">
        <v>283</v>
      </c>
      <c r="D105" s="166" t="s">
        <v>127</v>
      </c>
      <c r="E105" s="169">
        <v>-2.9000000000000001E-2</v>
      </c>
      <c r="F105" s="170">
        <v>-2679.86</v>
      </c>
      <c r="G105" s="233"/>
      <c r="H105" s="232"/>
      <c r="U105" s="323"/>
    </row>
    <row r="106" spans="1:21" hidden="1" outlineLevel="1" x14ac:dyDescent="0.25">
      <c r="A106" s="123" t="s">
        <v>350</v>
      </c>
      <c r="B106" s="160" t="s">
        <v>120</v>
      </c>
      <c r="C106" s="221" t="s">
        <v>285</v>
      </c>
      <c r="D106" s="123" t="s">
        <v>130</v>
      </c>
      <c r="E106" s="161">
        <v>0.36</v>
      </c>
      <c r="F106" s="162">
        <v>134204.32</v>
      </c>
    </row>
    <row r="107" spans="1:21" hidden="1" outlineLevel="1" x14ac:dyDescent="0.25">
      <c r="A107" s="123" t="s">
        <v>351</v>
      </c>
      <c r="B107" s="160" t="s">
        <v>120</v>
      </c>
      <c r="C107" s="221" t="s">
        <v>129</v>
      </c>
      <c r="D107" s="123" t="s">
        <v>130</v>
      </c>
      <c r="E107" s="161">
        <v>2.9000000000000001E-2</v>
      </c>
      <c r="F107" s="162">
        <v>8010.5</v>
      </c>
    </row>
    <row r="108" spans="1:21" ht="22.5" hidden="1" outlineLevel="1" x14ac:dyDescent="0.25">
      <c r="A108" s="123" t="s">
        <v>352</v>
      </c>
      <c r="B108" s="160" t="s">
        <v>288</v>
      </c>
      <c r="C108" s="221" t="s">
        <v>289</v>
      </c>
      <c r="D108" s="123" t="s">
        <v>160</v>
      </c>
      <c r="E108" s="161">
        <v>1.3299999999999999E-2</v>
      </c>
      <c r="F108" s="162">
        <v>34682.379999999997</v>
      </c>
    </row>
    <row r="109" spans="1:21" hidden="1" outlineLevel="1" x14ac:dyDescent="0.25">
      <c r="A109" s="117" t="s">
        <v>161</v>
      </c>
      <c r="B109" s="117"/>
      <c r="C109" s="221"/>
      <c r="D109" s="123"/>
      <c r="E109" s="123"/>
      <c r="F109" s="147"/>
    </row>
    <row r="110" spans="1:21" ht="33.75" hidden="1" outlineLevel="1" x14ac:dyDescent="0.25">
      <c r="A110" s="123" t="s">
        <v>353</v>
      </c>
      <c r="B110" s="160" t="s">
        <v>163</v>
      </c>
      <c r="C110" s="221" t="s">
        <v>164</v>
      </c>
      <c r="D110" s="123" t="s">
        <v>165</v>
      </c>
      <c r="E110" s="161">
        <v>45.2</v>
      </c>
      <c r="F110" s="162">
        <v>2329.16</v>
      </c>
    </row>
    <row r="111" spans="1:21" ht="33.75" hidden="1" outlineLevel="1" x14ac:dyDescent="0.25">
      <c r="A111" s="123" t="s">
        <v>354</v>
      </c>
      <c r="B111" s="160" t="s">
        <v>167</v>
      </c>
      <c r="C111" s="221" t="s">
        <v>292</v>
      </c>
      <c r="D111" s="123" t="s">
        <v>165</v>
      </c>
      <c r="E111" s="161">
        <v>9.9</v>
      </c>
      <c r="F111" s="162">
        <v>1304.8699999999999</v>
      </c>
    </row>
    <row r="112" spans="1:21" ht="22.5" hidden="1" outlineLevel="1" x14ac:dyDescent="0.25">
      <c r="A112" s="123" t="s">
        <v>355</v>
      </c>
      <c r="B112" s="160" t="s">
        <v>170</v>
      </c>
      <c r="C112" s="221" t="s">
        <v>294</v>
      </c>
      <c r="D112" s="123" t="s">
        <v>165</v>
      </c>
      <c r="E112" s="161">
        <v>5</v>
      </c>
      <c r="F112" s="162">
        <v>854.62</v>
      </c>
    </row>
    <row r="113" spans="1:21" ht="33.75" hidden="1" outlineLevel="1" x14ac:dyDescent="0.25">
      <c r="A113" s="123" t="s">
        <v>356</v>
      </c>
      <c r="B113" s="160" t="s">
        <v>173</v>
      </c>
      <c r="C113" s="221" t="s">
        <v>174</v>
      </c>
      <c r="D113" s="123" t="s">
        <v>165</v>
      </c>
      <c r="E113" s="161">
        <v>60.1</v>
      </c>
      <c r="F113" s="162">
        <v>3762.88</v>
      </c>
    </row>
    <row r="114" spans="1:21" hidden="1" outlineLevel="1" x14ac:dyDescent="0.25">
      <c r="A114" s="118" t="s">
        <v>361</v>
      </c>
      <c r="B114" s="118"/>
      <c r="C114" s="240"/>
      <c r="D114" s="120"/>
      <c r="E114" s="120"/>
      <c r="F114" s="140"/>
      <c r="G114" s="216" t="s">
        <v>541</v>
      </c>
    </row>
    <row r="115" spans="1:21" ht="22.5" hidden="1" outlineLevel="1" x14ac:dyDescent="0.25">
      <c r="A115" s="123" t="s">
        <v>362</v>
      </c>
      <c r="B115" s="160" t="s">
        <v>208</v>
      </c>
      <c r="C115" s="221" t="s">
        <v>209</v>
      </c>
      <c r="D115" s="123" t="s">
        <v>210</v>
      </c>
      <c r="E115" s="161">
        <v>1</v>
      </c>
      <c r="F115" s="162">
        <v>44914.41</v>
      </c>
      <c r="G115" s="164">
        <v>1</v>
      </c>
    </row>
    <row r="116" spans="1:21" ht="22.5" hidden="1" outlineLevel="1" x14ac:dyDescent="0.25">
      <c r="A116" s="123" t="s">
        <v>363</v>
      </c>
      <c r="B116" s="160" t="s">
        <v>82</v>
      </c>
      <c r="C116" s="221" t="s">
        <v>83</v>
      </c>
      <c r="D116" s="123" t="s">
        <v>58</v>
      </c>
      <c r="E116" s="161">
        <v>0.218</v>
      </c>
      <c r="F116" s="162">
        <v>4334.57</v>
      </c>
      <c r="G116" s="215">
        <f>20.8/100</f>
        <v>0.20800000000000002</v>
      </c>
    </row>
    <row r="117" spans="1:21" ht="22.5" hidden="1" outlineLevel="1" x14ac:dyDescent="0.25">
      <c r="A117" s="123" t="s">
        <v>364</v>
      </c>
      <c r="B117" s="160" t="s">
        <v>89</v>
      </c>
      <c r="C117" s="221" t="s">
        <v>90</v>
      </c>
      <c r="D117" s="123" t="s">
        <v>58</v>
      </c>
      <c r="E117" s="161">
        <v>0.1082</v>
      </c>
      <c r="F117" s="162">
        <v>2000.54</v>
      </c>
      <c r="G117" s="238">
        <f>10.36/100</f>
        <v>0.1036</v>
      </c>
    </row>
    <row r="118" spans="1:21" ht="22.5" hidden="1" outlineLevel="1" x14ac:dyDescent="0.25">
      <c r="A118" s="123" t="s">
        <v>365</v>
      </c>
      <c r="B118" s="160" t="s">
        <v>96</v>
      </c>
      <c r="C118" s="221" t="s">
        <v>97</v>
      </c>
      <c r="D118" s="123" t="s">
        <v>58</v>
      </c>
      <c r="E118" s="161">
        <v>0.108</v>
      </c>
      <c r="F118" s="162">
        <v>16420.39</v>
      </c>
      <c r="G118" s="238">
        <f>G117</f>
        <v>0.1036</v>
      </c>
    </row>
    <row r="119" spans="1:21" hidden="1" outlineLevel="1" x14ac:dyDescent="0.25">
      <c r="A119" s="123" t="s">
        <v>366</v>
      </c>
      <c r="B119" s="160" t="s">
        <v>104</v>
      </c>
      <c r="C119" s="221" t="s">
        <v>105</v>
      </c>
      <c r="D119" s="123" t="s">
        <v>106</v>
      </c>
      <c r="E119" s="161">
        <v>15.62</v>
      </c>
      <c r="F119" s="162">
        <v>97058.27</v>
      </c>
      <c r="G119" s="143">
        <f>G118*1.26*100</f>
        <v>13.053599999999999</v>
      </c>
    </row>
    <row r="120" spans="1:21" ht="33.75" hidden="1" outlineLevel="1" x14ac:dyDescent="0.25">
      <c r="A120" s="123" t="s">
        <v>367</v>
      </c>
      <c r="B120" s="160" t="s">
        <v>241</v>
      </c>
      <c r="C120" s="221" t="s">
        <v>242</v>
      </c>
      <c r="D120" s="123" t="s">
        <v>210</v>
      </c>
      <c r="E120" s="161">
        <v>1</v>
      </c>
      <c r="F120" s="162">
        <v>207003.6</v>
      </c>
      <c r="G120" s="164">
        <v>1</v>
      </c>
    </row>
    <row r="121" spans="1:21" hidden="1" outlineLevel="1" x14ac:dyDescent="0.25">
      <c r="A121" s="123" t="s">
        <v>368</v>
      </c>
      <c r="B121" s="160" t="s">
        <v>244</v>
      </c>
      <c r="C121" s="221" t="s">
        <v>245</v>
      </c>
      <c r="D121" s="123" t="s">
        <v>246</v>
      </c>
      <c r="E121" s="161">
        <v>1</v>
      </c>
      <c r="F121" s="162">
        <v>1667776.02</v>
      </c>
      <c r="G121" s="164">
        <v>1</v>
      </c>
    </row>
    <row r="122" spans="1:21" ht="22.5" hidden="1" outlineLevel="1" x14ac:dyDescent="0.25">
      <c r="A122" s="123" t="s">
        <v>369</v>
      </c>
      <c r="B122" s="160" t="s">
        <v>249</v>
      </c>
      <c r="C122" s="221" t="s">
        <v>250</v>
      </c>
      <c r="D122" s="123" t="s">
        <v>246</v>
      </c>
      <c r="E122" s="161">
        <v>1</v>
      </c>
      <c r="F122" s="162">
        <v>3596141.97</v>
      </c>
      <c r="G122" s="164">
        <v>1</v>
      </c>
    </row>
    <row r="123" spans="1:21" ht="33.75" hidden="1" outlineLevel="1" x14ac:dyDescent="0.25">
      <c r="A123" s="123" t="s">
        <v>370</v>
      </c>
      <c r="B123" s="160" t="s">
        <v>253</v>
      </c>
      <c r="C123" s="221" t="s">
        <v>254</v>
      </c>
      <c r="D123" s="123" t="s">
        <v>115</v>
      </c>
      <c r="E123" s="161">
        <v>1</v>
      </c>
      <c r="F123" s="162">
        <v>42192.34</v>
      </c>
      <c r="G123" s="164">
        <v>1</v>
      </c>
    </row>
    <row r="124" spans="1:21" s="229" customFormat="1" hidden="1" outlineLevel="1" x14ac:dyDescent="0.25">
      <c r="A124" s="257" t="s">
        <v>371</v>
      </c>
      <c r="B124" s="258" t="s">
        <v>260</v>
      </c>
      <c r="C124" s="241" t="s">
        <v>261</v>
      </c>
      <c r="D124" s="257" t="s">
        <v>115</v>
      </c>
      <c r="E124" s="259">
        <v>-2</v>
      </c>
      <c r="F124" s="260">
        <v>-5066.7299999999996</v>
      </c>
      <c r="G124" s="261">
        <v>-2</v>
      </c>
      <c r="H124" s="232"/>
      <c r="U124" s="323"/>
    </row>
    <row r="125" spans="1:21" hidden="1" outlineLevel="1" x14ac:dyDescent="0.25">
      <c r="A125" s="123" t="s">
        <v>372</v>
      </c>
      <c r="B125" s="160" t="s">
        <v>263</v>
      </c>
      <c r="C125" s="221" t="s">
        <v>264</v>
      </c>
      <c r="D125" s="123" t="s">
        <v>115</v>
      </c>
      <c r="E125" s="161">
        <v>2</v>
      </c>
      <c r="F125" s="162">
        <v>87727.09</v>
      </c>
      <c r="G125" s="164">
        <v>2</v>
      </c>
    </row>
    <row r="126" spans="1:21" ht="22.5" hidden="1" outlineLevel="1" x14ac:dyDescent="0.25">
      <c r="A126" s="123" t="s">
        <v>373</v>
      </c>
      <c r="B126" s="160" t="s">
        <v>267</v>
      </c>
      <c r="C126" s="221" t="s">
        <v>268</v>
      </c>
      <c r="D126" s="123" t="s">
        <v>115</v>
      </c>
      <c r="E126" s="161">
        <v>1</v>
      </c>
      <c r="F126" s="162">
        <v>156781.35</v>
      </c>
      <c r="G126" s="164">
        <v>1</v>
      </c>
    </row>
    <row r="127" spans="1:21" hidden="1" outlineLevel="1" x14ac:dyDescent="0.25">
      <c r="A127" s="123" t="s">
        <v>374</v>
      </c>
      <c r="B127" s="160" t="s">
        <v>120</v>
      </c>
      <c r="C127" s="221" t="s">
        <v>271</v>
      </c>
      <c r="D127" s="123" t="s">
        <v>115</v>
      </c>
      <c r="E127" s="161">
        <v>1</v>
      </c>
      <c r="F127" s="162">
        <v>4178.1000000000004</v>
      </c>
      <c r="G127" s="164">
        <v>1</v>
      </c>
    </row>
    <row r="128" spans="1:21" ht="22.5" hidden="1" outlineLevel="1" x14ac:dyDescent="0.25">
      <c r="A128" s="262" t="s">
        <v>375</v>
      </c>
      <c r="B128" s="263" t="s">
        <v>274</v>
      </c>
      <c r="C128" s="264" t="s">
        <v>275</v>
      </c>
      <c r="D128" s="262" t="s">
        <v>276</v>
      </c>
      <c r="E128" s="243">
        <v>0.06</v>
      </c>
      <c r="F128" s="265">
        <v>15658.24</v>
      </c>
      <c r="G128" s="243">
        <v>0</v>
      </c>
      <c r="H128" s="218" t="s">
        <v>546</v>
      </c>
    </row>
    <row r="129" spans="1:21" s="229" customFormat="1" hidden="1" outlineLevel="1" x14ac:dyDescent="0.25">
      <c r="A129" s="262" t="s">
        <v>376</v>
      </c>
      <c r="B129" s="263" t="s">
        <v>282</v>
      </c>
      <c r="C129" s="264" t="s">
        <v>283</v>
      </c>
      <c r="D129" s="262" t="s">
        <v>127</v>
      </c>
      <c r="E129" s="243">
        <v>-2.9000000000000001E-2</v>
      </c>
      <c r="F129" s="265">
        <v>-2679.86</v>
      </c>
      <c r="G129" s="243">
        <v>0</v>
      </c>
      <c r="H129" s="218" t="s">
        <v>546</v>
      </c>
      <c r="U129" s="323"/>
    </row>
    <row r="130" spans="1:21" hidden="1" outlineLevel="1" x14ac:dyDescent="0.25">
      <c r="A130" s="262" t="s">
        <v>377</v>
      </c>
      <c r="B130" s="263" t="s">
        <v>120</v>
      </c>
      <c r="C130" s="264" t="s">
        <v>285</v>
      </c>
      <c r="D130" s="262" t="s">
        <v>130</v>
      </c>
      <c r="E130" s="243">
        <v>0.36</v>
      </c>
      <c r="F130" s="265">
        <v>134204.32</v>
      </c>
      <c r="G130" s="243">
        <v>0</v>
      </c>
      <c r="H130" s="218" t="s">
        <v>546</v>
      </c>
    </row>
    <row r="131" spans="1:21" hidden="1" outlineLevel="1" x14ac:dyDescent="0.25">
      <c r="A131" s="262" t="s">
        <v>378</v>
      </c>
      <c r="B131" s="263" t="s">
        <v>120</v>
      </c>
      <c r="C131" s="264" t="s">
        <v>129</v>
      </c>
      <c r="D131" s="262" t="s">
        <v>130</v>
      </c>
      <c r="E131" s="243">
        <v>2.9000000000000001E-2</v>
      </c>
      <c r="F131" s="265">
        <v>8010.5</v>
      </c>
      <c r="G131" s="243">
        <v>0</v>
      </c>
      <c r="H131" s="218" t="s">
        <v>546</v>
      </c>
    </row>
    <row r="132" spans="1:21" ht="22.5" hidden="1" outlineLevel="1" x14ac:dyDescent="0.25">
      <c r="A132" s="123" t="s">
        <v>379</v>
      </c>
      <c r="B132" s="160" t="s">
        <v>288</v>
      </c>
      <c r="C132" s="221" t="s">
        <v>289</v>
      </c>
      <c r="D132" s="123" t="s">
        <v>160</v>
      </c>
      <c r="E132" s="161">
        <v>1.3299999999999999E-2</v>
      </c>
      <c r="F132" s="162">
        <v>34682.379999999997</v>
      </c>
      <c r="G132" s="212">
        <f>E132</f>
        <v>1.3299999999999999E-2</v>
      </c>
    </row>
    <row r="133" spans="1:21" hidden="1" outlineLevel="1" x14ac:dyDescent="0.25">
      <c r="A133" s="117" t="s">
        <v>161</v>
      </c>
      <c r="B133" s="117"/>
      <c r="C133" s="221"/>
      <c r="D133" s="123"/>
      <c r="E133" s="123"/>
      <c r="F133" s="147"/>
      <c r="G133" s="226"/>
    </row>
    <row r="134" spans="1:21" ht="33.75" hidden="1" outlineLevel="1" x14ac:dyDescent="0.25">
      <c r="A134" s="123" t="s">
        <v>380</v>
      </c>
      <c r="B134" s="160" t="s">
        <v>163</v>
      </c>
      <c r="C134" s="221" t="s">
        <v>164</v>
      </c>
      <c r="D134" s="123" t="s">
        <v>165</v>
      </c>
      <c r="E134" s="161">
        <v>38.1</v>
      </c>
      <c r="F134" s="162">
        <v>1963.28</v>
      </c>
      <c r="G134" s="143">
        <f>G116*1.75*100</f>
        <v>36.400000000000006</v>
      </c>
    </row>
    <row r="135" spans="1:21" ht="33.75" hidden="1" outlineLevel="1" x14ac:dyDescent="0.25">
      <c r="A135" s="123" t="s">
        <v>381</v>
      </c>
      <c r="B135" s="160" t="s">
        <v>167</v>
      </c>
      <c r="C135" s="221" t="s">
        <v>292</v>
      </c>
      <c r="D135" s="123" t="s">
        <v>165</v>
      </c>
      <c r="E135" s="161">
        <v>9.9</v>
      </c>
      <c r="F135" s="162">
        <v>1304.8699999999999</v>
      </c>
      <c r="G135" s="143">
        <v>8.85</v>
      </c>
    </row>
    <row r="136" spans="1:21" ht="22.5" hidden="1" outlineLevel="1" x14ac:dyDescent="0.25">
      <c r="A136" s="123" t="s">
        <v>382</v>
      </c>
      <c r="B136" s="160" t="s">
        <v>170</v>
      </c>
      <c r="C136" s="221" t="s">
        <v>294</v>
      </c>
      <c r="D136" s="123" t="s">
        <v>165</v>
      </c>
      <c r="E136" s="161">
        <v>5</v>
      </c>
      <c r="F136" s="162">
        <v>854.62</v>
      </c>
      <c r="G136" s="143">
        <v>5</v>
      </c>
    </row>
    <row r="137" spans="1:21" ht="33.75" hidden="1" outlineLevel="1" x14ac:dyDescent="0.25">
      <c r="A137" s="123" t="s">
        <v>383</v>
      </c>
      <c r="B137" s="160" t="s">
        <v>173</v>
      </c>
      <c r="C137" s="221" t="s">
        <v>174</v>
      </c>
      <c r="D137" s="123" t="s">
        <v>165</v>
      </c>
      <c r="E137" s="161">
        <v>53</v>
      </c>
      <c r="F137" s="162">
        <v>3318.29</v>
      </c>
      <c r="G137" s="143">
        <f>G134+G135+G136</f>
        <v>50.250000000000007</v>
      </c>
    </row>
    <row r="138" spans="1:21" hidden="1" outlineLevel="1" x14ac:dyDescent="0.25">
      <c r="A138" s="118" t="s">
        <v>388</v>
      </c>
      <c r="B138" s="118"/>
      <c r="C138" s="240"/>
      <c r="D138" s="120"/>
      <c r="E138" s="120"/>
      <c r="F138" s="140"/>
      <c r="G138" s="219" t="s">
        <v>525</v>
      </c>
      <c r="H138" s="218"/>
    </row>
    <row r="139" spans="1:21" ht="22.5" hidden="1" outlineLevel="1" x14ac:dyDescent="0.25">
      <c r="A139" s="123" t="s">
        <v>389</v>
      </c>
      <c r="B139" s="160" t="s">
        <v>208</v>
      </c>
      <c r="C139" s="221" t="s">
        <v>209</v>
      </c>
      <c r="D139" s="123" t="s">
        <v>210</v>
      </c>
      <c r="E139" s="161">
        <v>1</v>
      </c>
      <c r="F139" s="162">
        <v>44914.41</v>
      </c>
      <c r="G139" s="164">
        <v>1</v>
      </c>
      <c r="H139" s="218"/>
    </row>
    <row r="140" spans="1:21" ht="22.5" hidden="1" outlineLevel="1" x14ac:dyDescent="0.25">
      <c r="A140" s="123" t="s">
        <v>390</v>
      </c>
      <c r="B140" s="160" t="s">
        <v>82</v>
      </c>
      <c r="C140" s="221" t="s">
        <v>83</v>
      </c>
      <c r="D140" s="123" t="s">
        <v>58</v>
      </c>
      <c r="E140" s="161">
        <v>0.29899999999999999</v>
      </c>
      <c r="F140" s="162">
        <v>5945.15</v>
      </c>
      <c r="G140" s="212">
        <f>22.45/100</f>
        <v>0.22450000000000001</v>
      </c>
      <c r="H140" s="218"/>
    </row>
    <row r="141" spans="1:21" ht="22.5" hidden="1" outlineLevel="1" x14ac:dyDescent="0.25">
      <c r="A141" s="123" t="s">
        <v>391</v>
      </c>
      <c r="B141" s="160" t="s">
        <v>89</v>
      </c>
      <c r="C141" s="221" t="s">
        <v>90</v>
      </c>
      <c r="D141" s="123" t="s">
        <v>58</v>
      </c>
      <c r="E141" s="161">
        <v>0.13950000000000001</v>
      </c>
      <c r="F141" s="162">
        <v>2580.31</v>
      </c>
      <c r="G141" s="212">
        <f>10.37/100</f>
        <v>0.10369999999999999</v>
      </c>
      <c r="H141" s="218"/>
    </row>
    <row r="142" spans="1:21" ht="22.5" hidden="1" outlineLevel="1" x14ac:dyDescent="0.25">
      <c r="A142" s="123" t="s">
        <v>392</v>
      </c>
      <c r="B142" s="160" t="s">
        <v>96</v>
      </c>
      <c r="C142" s="221" t="s">
        <v>97</v>
      </c>
      <c r="D142" s="123" t="s">
        <v>58</v>
      </c>
      <c r="E142" s="161">
        <v>0.14000000000000001</v>
      </c>
      <c r="F142" s="162">
        <v>21284.21</v>
      </c>
      <c r="G142" s="212">
        <f>G141</f>
        <v>0.10369999999999999</v>
      </c>
      <c r="H142" s="218"/>
    </row>
    <row r="143" spans="1:21" hidden="1" outlineLevel="1" x14ac:dyDescent="0.25">
      <c r="A143" s="123" t="s">
        <v>393</v>
      </c>
      <c r="B143" s="160" t="s">
        <v>104</v>
      </c>
      <c r="C143" s="221" t="s">
        <v>105</v>
      </c>
      <c r="D143" s="123" t="s">
        <v>106</v>
      </c>
      <c r="E143" s="161">
        <v>17.64</v>
      </c>
      <c r="F143" s="162">
        <v>109610.05</v>
      </c>
      <c r="G143" s="215">
        <f>1.26*G142*100</f>
        <v>13.066199999999997</v>
      </c>
      <c r="H143" s="218"/>
    </row>
    <row r="144" spans="1:21" ht="33.75" hidden="1" outlineLevel="1" x14ac:dyDescent="0.25">
      <c r="A144" s="123" t="s">
        <v>394</v>
      </c>
      <c r="B144" s="160" t="s">
        <v>241</v>
      </c>
      <c r="C144" s="221" t="s">
        <v>242</v>
      </c>
      <c r="D144" s="123" t="s">
        <v>210</v>
      </c>
      <c r="E144" s="161">
        <v>1</v>
      </c>
      <c r="F144" s="162">
        <v>207003.6</v>
      </c>
      <c r="G144" s="164">
        <v>1</v>
      </c>
      <c r="H144" s="218"/>
    </row>
    <row r="145" spans="1:21" hidden="1" outlineLevel="1" x14ac:dyDescent="0.25">
      <c r="A145" s="123" t="s">
        <v>395</v>
      </c>
      <c r="B145" s="160" t="s">
        <v>244</v>
      </c>
      <c r="C145" s="221" t="s">
        <v>245</v>
      </c>
      <c r="D145" s="123" t="s">
        <v>246</v>
      </c>
      <c r="E145" s="161">
        <v>1</v>
      </c>
      <c r="F145" s="162">
        <v>1667776.02</v>
      </c>
      <c r="G145" s="164">
        <v>1</v>
      </c>
      <c r="H145" s="218"/>
    </row>
    <row r="146" spans="1:21" ht="22.5" hidden="1" outlineLevel="1" x14ac:dyDescent="0.25">
      <c r="A146" s="123" t="s">
        <v>396</v>
      </c>
      <c r="B146" s="160" t="s">
        <v>249</v>
      </c>
      <c r="C146" s="221" t="s">
        <v>250</v>
      </c>
      <c r="D146" s="123" t="s">
        <v>246</v>
      </c>
      <c r="E146" s="161">
        <v>1</v>
      </c>
      <c r="F146" s="162">
        <v>3596141.97</v>
      </c>
      <c r="G146" s="164">
        <v>1</v>
      </c>
      <c r="H146" s="218"/>
    </row>
    <row r="147" spans="1:21" ht="33.75" hidden="1" outlineLevel="1" x14ac:dyDescent="0.25">
      <c r="A147" s="123" t="s">
        <v>397</v>
      </c>
      <c r="B147" s="160" t="s">
        <v>253</v>
      </c>
      <c r="C147" s="221" t="s">
        <v>254</v>
      </c>
      <c r="D147" s="123" t="s">
        <v>115</v>
      </c>
      <c r="E147" s="161">
        <v>1</v>
      </c>
      <c r="F147" s="162">
        <v>42192.34</v>
      </c>
      <c r="G147" s="164">
        <v>1</v>
      </c>
      <c r="H147" s="218"/>
    </row>
    <row r="148" spans="1:21" s="229" customFormat="1" hidden="1" outlineLevel="1" x14ac:dyDescent="0.25">
      <c r="A148" s="257" t="s">
        <v>398</v>
      </c>
      <c r="B148" s="258" t="s">
        <v>260</v>
      </c>
      <c r="C148" s="241" t="s">
        <v>261</v>
      </c>
      <c r="D148" s="257" t="s">
        <v>115</v>
      </c>
      <c r="E148" s="259">
        <v>-2</v>
      </c>
      <c r="F148" s="260">
        <v>-5066.7299999999996</v>
      </c>
      <c r="G148" s="261">
        <v>-2</v>
      </c>
      <c r="U148" s="323"/>
    </row>
    <row r="149" spans="1:21" hidden="1" outlineLevel="1" x14ac:dyDescent="0.25">
      <c r="A149" s="123" t="s">
        <v>399</v>
      </c>
      <c r="B149" s="160" t="s">
        <v>263</v>
      </c>
      <c r="C149" s="221" t="s">
        <v>264</v>
      </c>
      <c r="D149" s="123" t="s">
        <v>115</v>
      </c>
      <c r="E149" s="161">
        <v>2</v>
      </c>
      <c r="F149" s="162">
        <v>87727.09</v>
      </c>
      <c r="G149" s="164">
        <v>2</v>
      </c>
      <c r="H149" s="218"/>
    </row>
    <row r="150" spans="1:21" ht="22.5" hidden="1" outlineLevel="1" x14ac:dyDescent="0.25">
      <c r="A150" s="123" t="s">
        <v>400</v>
      </c>
      <c r="B150" s="160" t="s">
        <v>267</v>
      </c>
      <c r="C150" s="221" t="s">
        <v>268</v>
      </c>
      <c r="D150" s="123" t="s">
        <v>115</v>
      </c>
      <c r="E150" s="161">
        <v>1</v>
      </c>
      <c r="F150" s="162">
        <v>156781.35</v>
      </c>
      <c r="G150" s="164">
        <v>1</v>
      </c>
      <c r="H150" s="234"/>
    </row>
    <row r="151" spans="1:21" hidden="1" outlineLevel="1" x14ac:dyDescent="0.25">
      <c r="A151" s="123" t="s">
        <v>401</v>
      </c>
      <c r="B151" s="160" t="s">
        <v>120</v>
      </c>
      <c r="C151" s="221" t="s">
        <v>271</v>
      </c>
      <c r="D151" s="123" t="s">
        <v>115</v>
      </c>
      <c r="E151" s="161">
        <v>1</v>
      </c>
      <c r="F151" s="162">
        <v>4178.1000000000004</v>
      </c>
      <c r="G151" s="164">
        <v>1</v>
      </c>
      <c r="H151" s="234"/>
    </row>
    <row r="152" spans="1:21" ht="22.5" hidden="1" outlineLevel="1" x14ac:dyDescent="0.25">
      <c r="A152" s="262" t="s">
        <v>402</v>
      </c>
      <c r="B152" s="263" t="s">
        <v>274</v>
      </c>
      <c r="C152" s="264" t="s">
        <v>275</v>
      </c>
      <c r="D152" s="262" t="s">
        <v>276</v>
      </c>
      <c r="E152" s="243">
        <v>0.06</v>
      </c>
      <c r="F152" s="265">
        <v>15658.24</v>
      </c>
      <c r="G152" s="243">
        <v>0</v>
      </c>
      <c r="H152" s="218" t="s">
        <v>546</v>
      </c>
    </row>
    <row r="153" spans="1:21" s="229" customFormat="1" hidden="1" outlineLevel="1" x14ac:dyDescent="0.25">
      <c r="A153" s="262" t="s">
        <v>403</v>
      </c>
      <c r="B153" s="263" t="s">
        <v>282</v>
      </c>
      <c r="C153" s="264" t="s">
        <v>283</v>
      </c>
      <c r="D153" s="262" t="s">
        <v>127</v>
      </c>
      <c r="E153" s="243">
        <v>-2.9000000000000001E-2</v>
      </c>
      <c r="F153" s="265">
        <v>-2679.86</v>
      </c>
      <c r="G153" s="243">
        <v>0</v>
      </c>
      <c r="H153" s="218" t="s">
        <v>546</v>
      </c>
      <c r="U153" s="323"/>
    </row>
    <row r="154" spans="1:21" hidden="1" outlineLevel="1" x14ac:dyDescent="0.25">
      <c r="A154" s="262" t="s">
        <v>404</v>
      </c>
      <c r="B154" s="263" t="s">
        <v>120</v>
      </c>
      <c r="C154" s="264" t="s">
        <v>285</v>
      </c>
      <c r="D154" s="262" t="s">
        <v>130</v>
      </c>
      <c r="E154" s="243">
        <v>0.36</v>
      </c>
      <c r="F154" s="265">
        <v>134204.32</v>
      </c>
      <c r="G154" s="243">
        <v>0</v>
      </c>
      <c r="H154" s="218" t="s">
        <v>546</v>
      </c>
    </row>
    <row r="155" spans="1:21" hidden="1" outlineLevel="1" x14ac:dyDescent="0.25">
      <c r="A155" s="262" t="s">
        <v>405</v>
      </c>
      <c r="B155" s="263" t="s">
        <v>120</v>
      </c>
      <c r="C155" s="264" t="s">
        <v>129</v>
      </c>
      <c r="D155" s="262" t="s">
        <v>130</v>
      </c>
      <c r="E155" s="243">
        <v>2.9000000000000001E-2</v>
      </c>
      <c r="F155" s="265">
        <v>8010.5</v>
      </c>
      <c r="G155" s="243">
        <v>0</v>
      </c>
      <c r="H155" s="218" t="s">
        <v>546</v>
      </c>
    </row>
    <row r="156" spans="1:21" ht="22.5" hidden="1" outlineLevel="1" x14ac:dyDescent="0.25">
      <c r="A156" s="123" t="s">
        <v>406</v>
      </c>
      <c r="B156" s="160" t="s">
        <v>288</v>
      </c>
      <c r="C156" s="221" t="s">
        <v>289</v>
      </c>
      <c r="D156" s="123" t="s">
        <v>160</v>
      </c>
      <c r="E156" s="161">
        <v>1.3299999999999999E-2</v>
      </c>
      <c r="F156" s="162">
        <v>34682.379999999997</v>
      </c>
      <c r="G156" s="212">
        <f>E156</f>
        <v>1.3299999999999999E-2</v>
      </c>
      <c r="H156" s="234"/>
    </row>
    <row r="157" spans="1:21" hidden="1" outlineLevel="1" x14ac:dyDescent="0.25">
      <c r="A157" s="117" t="s">
        <v>161</v>
      </c>
      <c r="B157" s="117"/>
      <c r="C157" s="221"/>
      <c r="D157" s="123"/>
      <c r="E157" s="123"/>
      <c r="F157" s="147"/>
      <c r="G157" s="226"/>
      <c r="H157" s="234"/>
    </row>
    <row r="158" spans="1:21" ht="33.75" hidden="1" outlineLevel="1" x14ac:dyDescent="0.25">
      <c r="A158" s="123" t="s">
        <v>407</v>
      </c>
      <c r="B158" s="160" t="s">
        <v>163</v>
      </c>
      <c r="C158" s="221" t="s">
        <v>164</v>
      </c>
      <c r="D158" s="123" t="s">
        <v>165</v>
      </c>
      <c r="E158" s="161">
        <v>52.3</v>
      </c>
      <c r="F158" s="162">
        <v>2694.89</v>
      </c>
      <c r="G158" s="143">
        <f>G140*100*1.75</f>
        <v>39.287500000000001</v>
      </c>
      <c r="H158" s="234"/>
    </row>
    <row r="159" spans="1:21" ht="33.75" hidden="1" outlineLevel="1" x14ac:dyDescent="0.25">
      <c r="A159" s="123" t="s">
        <v>408</v>
      </c>
      <c r="B159" s="160" t="s">
        <v>167</v>
      </c>
      <c r="C159" s="221" t="s">
        <v>292</v>
      </c>
      <c r="D159" s="123" t="s">
        <v>165</v>
      </c>
      <c r="E159" s="161">
        <v>9.9</v>
      </c>
      <c r="F159" s="162">
        <v>1304.8699999999999</v>
      </c>
      <c r="G159" s="143">
        <v>7.56</v>
      </c>
      <c r="H159" s="234"/>
    </row>
    <row r="160" spans="1:21" ht="22.5" hidden="1" outlineLevel="1" x14ac:dyDescent="0.25">
      <c r="A160" s="123" t="s">
        <v>409</v>
      </c>
      <c r="B160" s="160" t="s">
        <v>170</v>
      </c>
      <c r="C160" s="221" t="s">
        <v>294</v>
      </c>
      <c r="D160" s="123" t="s">
        <v>165</v>
      </c>
      <c r="E160" s="161">
        <v>5</v>
      </c>
      <c r="F160" s="162">
        <v>854.62</v>
      </c>
      <c r="G160" s="143">
        <f>1.6+2.64</f>
        <v>4.24</v>
      </c>
      <c r="H160" s="234"/>
    </row>
    <row r="161" spans="1:21" ht="33.75" hidden="1" outlineLevel="1" x14ac:dyDescent="0.25">
      <c r="A161" s="123" t="s">
        <v>410</v>
      </c>
      <c r="B161" s="160" t="s">
        <v>173</v>
      </c>
      <c r="C161" s="221" t="s">
        <v>174</v>
      </c>
      <c r="D161" s="123" t="s">
        <v>165</v>
      </c>
      <c r="E161" s="161">
        <v>67.2</v>
      </c>
      <c r="F161" s="162">
        <v>4207.3100000000004</v>
      </c>
      <c r="G161" s="143">
        <f>G160+G159+G158</f>
        <v>51.087500000000006</v>
      </c>
      <c r="H161" s="218"/>
    </row>
    <row r="162" spans="1:21" hidden="1" outlineLevel="1" x14ac:dyDescent="0.25">
      <c r="A162" s="114" t="s">
        <v>415</v>
      </c>
      <c r="B162" s="114"/>
      <c r="C162" s="220"/>
      <c r="D162" s="120"/>
      <c r="E162" s="120"/>
      <c r="F162" s="140"/>
    </row>
    <row r="163" spans="1:21" ht="22.5" hidden="1" outlineLevel="1" x14ac:dyDescent="0.25">
      <c r="A163" s="123" t="s">
        <v>416</v>
      </c>
      <c r="B163" s="160" t="s">
        <v>208</v>
      </c>
      <c r="C163" s="221" t="s">
        <v>209</v>
      </c>
      <c r="D163" s="123" t="s">
        <v>210</v>
      </c>
      <c r="E163" s="161">
        <v>1</v>
      </c>
      <c r="F163" s="162">
        <v>44914.41</v>
      </c>
    </row>
    <row r="164" spans="1:21" ht="22.5" hidden="1" outlineLevel="1" x14ac:dyDescent="0.25">
      <c r="A164" s="123" t="s">
        <v>417</v>
      </c>
      <c r="B164" s="160" t="s">
        <v>82</v>
      </c>
      <c r="C164" s="221" t="s">
        <v>83</v>
      </c>
      <c r="D164" s="123" t="s">
        <v>58</v>
      </c>
      <c r="E164" s="161">
        <v>0.23699999999999999</v>
      </c>
      <c r="F164" s="162">
        <v>4712.08</v>
      </c>
    </row>
    <row r="165" spans="1:21" ht="22.5" hidden="1" outlineLevel="1" x14ac:dyDescent="0.25">
      <c r="A165" s="123" t="s">
        <v>418</v>
      </c>
      <c r="B165" s="160" t="s">
        <v>89</v>
      </c>
      <c r="C165" s="221" t="s">
        <v>90</v>
      </c>
      <c r="D165" s="123" t="s">
        <v>58</v>
      </c>
      <c r="E165" s="161">
        <v>0.11559999999999999</v>
      </c>
      <c r="F165" s="162">
        <v>2138.88</v>
      </c>
    </row>
    <row r="166" spans="1:21" ht="22.5" hidden="1" outlineLevel="1" x14ac:dyDescent="0.25">
      <c r="A166" s="123" t="s">
        <v>419</v>
      </c>
      <c r="B166" s="160" t="s">
        <v>96</v>
      </c>
      <c r="C166" s="221" t="s">
        <v>97</v>
      </c>
      <c r="D166" s="123" t="s">
        <v>58</v>
      </c>
      <c r="E166" s="161">
        <v>0.11600000000000001</v>
      </c>
      <c r="F166" s="162">
        <v>17635.43</v>
      </c>
    </row>
    <row r="167" spans="1:21" hidden="1" outlineLevel="1" x14ac:dyDescent="0.25">
      <c r="A167" s="123" t="s">
        <v>420</v>
      </c>
      <c r="B167" s="160" t="s">
        <v>104</v>
      </c>
      <c r="C167" s="221" t="s">
        <v>105</v>
      </c>
      <c r="D167" s="123" t="s">
        <v>106</v>
      </c>
      <c r="E167" s="161">
        <v>14.62</v>
      </c>
      <c r="F167" s="162">
        <v>90844.61</v>
      </c>
    </row>
    <row r="168" spans="1:21" ht="33.75" hidden="1" outlineLevel="1" x14ac:dyDescent="0.25">
      <c r="A168" s="123" t="s">
        <v>421</v>
      </c>
      <c r="B168" s="160" t="s">
        <v>241</v>
      </c>
      <c r="C168" s="221" t="s">
        <v>242</v>
      </c>
      <c r="D168" s="123" t="s">
        <v>210</v>
      </c>
      <c r="E168" s="161">
        <v>1</v>
      </c>
      <c r="F168" s="162">
        <v>207003.6</v>
      </c>
    </row>
    <row r="169" spans="1:21" hidden="1" outlineLevel="1" x14ac:dyDescent="0.25">
      <c r="A169" s="123" t="s">
        <v>422</v>
      </c>
      <c r="B169" s="160" t="s">
        <v>244</v>
      </c>
      <c r="C169" s="221" t="s">
        <v>245</v>
      </c>
      <c r="D169" s="123" t="s">
        <v>246</v>
      </c>
      <c r="E169" s="161">
        <v>1</v>
      </c>
      <c r="F169" s="162">
        <v>1667776.02</v>
      </c>
    </row>
    <row r="170" spans="1:21" ht="22.5" hidden="1" outlineLevel="1" x14ac:dyDescent="0.25">
      <c r="A170" s="123" t="s">
        <v>423</v>
      </c>
      <c r="B170" s="160" t="s">
        <v>249</v>
      </c>
      <c r="C170" s="221" t="s">
        <v>250</v>
      </c>
      <c r="D170" s="123" t="s">
        <v>246</v>
      </c>
      <c r="E170" s="161">
        <v>1</v>
      </c>
      <c r="F170" s="162">
        <v>3596141.97</v>
      </c>
    </row>
    <row r="171" spans="1:21" ht="33.75" hidden="1" outlineLevel="1" x14ac:dyDescent="0.25">
      <c r="A171" s="123" t="s">
        <v>424</v>
      </c>
      <c r="B171" s="160" t="s">
        <v>253</v>
      </c>
      <c r="C171" s="221" t="s">
        <v>254</v>
      </c>
      <c r="D171" s="123" t="s">
        <v>115</v>
      </c>
      <c r="E171" s="161">
        <v>1</v>
      </c>
      <c r="F171" s="162">
        <v>42192.34</v>
      </c>
    </row>
    <row r="172" spans="1:21" s="229" customFormat="1" hidden="1" outlineLevel="1" x14ac:dyDescent="0.25">
      <c r="A172" s="166" t="s">
        <v>425</v>
      </c>
      <c r="B172" s="167" t="s">
        <v>260</v>
      </c>
      <c r="C172" s="222" t="s">
        <v>261</v>
      </c>
      <c r="D172" s="166" t="s">
        <v>115</v>
      </c>
      <c r="E172" s="169">
        <v>-2</v>
      </c>
      <c r="F172" s="170">
        <v>-5066.7299999999996</v>
      </c>
      <c r="G172" s="233"/>
      <c r="H172" s="232"/>
      <c r="U172" s="323"/>
    </row>
    <row r="173" spans="1:21" hidden="1" outlineLevel="1" x14ac:dyDescent="0.25">
      <c r="A173" s="123" t="s">
        <v>426</v>
      </c>
      <c r="B173" s="160" t="s">
        <v>263</v>
      </c>
      <c r="C173" s="221" t="s">
        <v>264</v>
      </c>
      <c r="D173" s="123" t="s">
        <v>115</v>
      </c>
      <c r="E173" s="161">
        <v>2</v>
      </c>
      <c r="F173" s="162">
        <v>87727.09</v>
      </c>
    </row>
    <row r="174" spans="1:21" ht="22.5" hidden="1" outlineLevel="1" x14ac:dyDescent="0.25">
      <c r="A174" s="123" t="s">
        <v>427</v>
      </c>
      <c r="B174" s="160" t="s">
        <v>267</v>
      </c>
      <c r="C174" s="221" t="s">
        <v>268</v>
      </c>
      <c r="D174" s="123" t="s">
        <v>115</v>
      </c>
      <c r="E174" s="161">
        <v>1</v>
      </c>
      <c r="F174" s="162">
        <v>156781.35</v>
      </c>
    </row>
    <row r="175" spans="1:21" hidden="1" outlineLevel="1" x14ac:dyDescent="0.25">
      <c r="A175" s="123" t="s">
        <v>428</v>
      </c>
      <c r="B175" s="160" t="s">
        <v>120</v>
      </c>
      <c r="C175" s="221" t="s">
        <v>271</v>
      </c>
      <c r="D175" s="123" t="s">
        <v>115</v>
      </c>
      <c r="E175" s="161">
        <v>1</v>
      </c>
      <c r="F175" s="162">
        <v>4178.1000000000004</v>
      </c>
    </row>
    <row r="176" spans="1:21" ht="22.5" hidden="1" outlineLevel="1" x14ac:dyDescent="0.25">
      <c r="A176" s="123" t="s">
        <v>429</v>
      </c>
      <c r="B176" s="160" t="s">
        <v>274</v>
      </c>
      <c r="C176" s="221" t="s">
        <v>275</v>
      </c>
      <c r="D176" s="123" t="s">
        <v>276</v>
      </c>
      <c r="E176" s="161">
        <v>0.06</v>
      </c>
      <c r="F176" s="162">
        <v>15658.24</v>
      </c>
    </row>
    <row r="177" spans="1:21" s="229" customFormat="1" hidden="1" outlineLevel="1" x14ac:dyDescent="0.25">
      <c r="A177" s="166" t="s">
        <v>430</v>
      </c>
      <c r="B177" s="167" t="s">
        <v>282</v>
      </c>
      <c r="C177" s="222" t="s">
        <v>283</v>
      </c>
      <c r="D177" s="166" t="s">
        <v>127</v>
      </c>
      <c r="E177" s="169">
        <v>-2.9000000000000001E-2</v>
      </c>
      <c r="F177" s="170">
        <v>-2679.86</v>
      </c>
      <c r="G177" s="233"/>
      <c r="H177" s="232"/>
      <c r="U177" s="323"/>
    </row>
    <row r="178" spans="1:21" hidden="1" outlineLevel="1" x14ac:dyDescent="0.25">
      <c r="A178" s="123" t="s">
        <v>431</v>
      </c>
      <c r="B178" s="160" t="s">
        <v>120</v>
      </c>
      <c r="C178" s="221" t="s">
        <v>285</v>
      </c>
      <c r="D178" s="123" t="s">
        <v>130</v>
      </c>
      <c r="E178" s="161">
        <v>0.36</v>
      </c>
      <c r="F178" s="162">
        <v>134204.32</v>
      </c>
    </row>
    <row r="179" spans="1:21" hidden="1" outlineLevel="1" x14ac:dyDescent="0.25">
      <c r="A179" s="123" t="s">
        <v>432</v>
      </c>
      <c r="B179" s="160" t="s">
        <v>120</v>
      </c>
      <c r="C179" s="221" t="s">
        <v>129</v>
      </c>
      <c r="D179" s="123" t="s">
        <v>130</v>
      </c>
      <c r="E179" s="161">
        <v>2.9000000000000001E-2</v>
      </c>
      <c r="F179" s="162">
        <v>8010.5</v>
      </c>
    </row>
    <row r="180" spans="1:21" ht="22.5" hidden="1" outlineLevel="1" x14ac:dyDescent="0.25">
      <c r="A180" s="123" t="s">
        <v>433</v>
      </c>
      <c r="B180" s="160" t="s">
        <v>288</v>
      </c>
      <c r="C180" s="221" t="s">
        <v>289</v>
      </c>
      <c r="D180" s="123" t="s">
        <v>160</v>
      </c>
      <c r="E180" s="161">
        <v>1.3299999999999999E-2</v>
      </c>
      <c r="F180" s="162">
        <v>34682.379999999997</v>
      </c>
    </row>
    <row r="181" spans="1:21" hidden="1" outlineLevel="1" x14ac:dyDescent="0.25">
      <c r="A181" s="117" t="s">
        <v>161</v>
      </c>
      <c r="B181" s="117"/>
      <c r="C181" s="221"/>
      <c r="D181" s="123"/>
      <c r="E181" s="123"/>
      <c r="F181" s="147"/>
    </row>
    <row r="182" spans="1:21" ht="33.75" hidden="1" outlineLevel="1" x14ac:dyDescent="0.25">
      <c r="A182" s="123" t="s">
        <v>434</v>
      </c>
      <c r="B182" s="160" t="s">
        <v>163</v>
      </c>
      <c r="C182" s="221" t="s">
        <v>164</v>
      </c>
      <c r="D182" s="123" t="s">
        <v>165</v>
      </c>
      <c r="E182" s="161">
        <v>41.5</v>
      </c>
      <c r="F182" s="162">
        <v>2138.4499999999998</v>
      </c>
    </row>
    <row r="183" spans="1:21" ht="33.75" hidden="1" outlineLevel="1" x14ac:dyDescent="0.25">
      <c r="A183" s="123" t="s">
        <v>435</v>
      </c>
      <c r="B183" s="160" t="s">
        <v>167</v>
      </c>
      <c r="C183" s="221" t="s">
        <v>292</v>
      </c>
      <c r="D183" s="123" t="s">
        <v>165</v>
      </c>
      <c r="E183" s="161">
        <v>9.9</v>
      </c>
      <c r="F183" s="162">
        <v>1304.8699999999999</v>
      </c>
    </row>
    <row r="184" spans="1:21" ht="22.5" hidden="1" outlineLevel="1" x14ac:dyDescent="0.25">
      <c r="A184" s="123" t="s">
        <v>436</v>
      </c>
      <c r="B184" s="160" t="s">
        <v>170</v>
      </c>
      <c r="C184" s="221" t="s">
        <v>294</v>
      </c>
      <c r="D184" s="123" t="s">
        <v>165</v>
      </c>
      <c r="E184" s="161">
        <v>5</v>
      </c>
      <c r="F184" s="162">
        <v>854.62</v>
      </c>
    </row>
    <row r="185" spans="1:21" ht="33.75" hidden="1" outlineLevel="1" x14ac:dyDescent="0.25">
      <c r="A185" s="123" t="s">
        <v>437</v>
      </c>
      <c r="B185" s="160" t="s">
        <v>173</v>
      </c>
      <c r="C185" s="221" t="s">
        <v>174</v>
      </c>
      <c r="D185" s="123" t="s">
        <v>165</v>
      </c>
      <c r="E185" s="161">
        <v>56.4</v>
      </c>
      <c r="F185" s="162">
        <v>3531.09</v>
      </c>
    </row>
    <row r="186" spans="1:21" hidden="1" outlineLevel="1" x14ac:dyDescent="0.25">
      <c r="A186" s="114" t="s">
        <v>442</v>
      </c>
      <c r="B186" s="114"/>
      <c r="C186" s="220"/>
      <c r="D186" s="120"/>
      <c r="E186" s="120"/>
      <c r="F186" s="140"/>
    </row>
    <row r="187" spans="1:21" ht="22.5" hidden="1" outlineLevel="1" x14ac:dyDescent="0.25">
      <c r="A187" s="123" t="s">
        <v>443</v>
      </c>
      <c r="B187" s="160" t="s">
        <v>208</v>
      </c>
      <c r="C187" s="221" t="s">
        <v>209</v>
      </c>
      <c r="D187" s="123" t="s">
        <v>210</v>
      </c>
      <c r="E187" s="161">
        <v>1</v>
      </c>
      <c r="F187" s="162">
        <v>44914.41</v>
      </c>
    </row>
    <row r="188" spans="1:21" ht="22.5" hidden="1" outlineLevel="1" x14ac:dyDescent="0.25">
      <c r="A188" s="123" t="s">
        <v>444</v>
      </c>
      <c r="B188" s="160" t="s">
        <v>82</v>
      </c>
      <c r="C188" s="221" t="s">
        <v>83</v>
      </c>
      <c r="D188" s="123" t="s">
        <v>58</v>
      </c>
      <c r="E188" s="161">
        <v>0.23599999999999999</v>
      </c>
      <c r="F188" s="162">
        <v>4693.04</v>
      </c>
    </row>
    <row r="189" spans="1:21" ht="22.5" hidden="1" outlineLevel="1" x14ac:dyDescent="0.25">
      <c r="A189" s="123" t="s">
        <v>445</v>
      </c>
      <c r="B189" s="160" t="s">
        <v>89</v>
      </c>
      <c r="C189" s="221" t="s">
        <v>90</v>
      </c>
      <c r="D189" s="123" t="s">
        <v>58</v>
      </c>
      <c r="E189" s="161">
        <v>0.1152</v>
      </c>
      <c r="F189" s="162">
        <v>2130.6</v>
      </c>
    </row>
    <row r="190" spans="1:21" ht="22.5" hidden="1" outlineLevel="1" x14ac:dyDescent="0.25">
      <c r="A190" s="123" t="s">
        <v>446</v>
      </c>
      <c r="B190" s="160" t="s">
        <v>96</v>
      </c>
      <c r="C190" s="221" t="s">
        <v>97</v>
      </c>
      <c r="D190" s="123" t="s">
        <v>58</v>
      </c>
      <c r="E190" s="161">
        <v>0.115</v>
      </c>
      <c r="F190" s="162">
        <v>17483.62</v>
      </c>
    </row>
    <row r="191" spans="1:21" hidden="1" outlineLevel="1" x14ac:dyDescent="0.25">
      <c r="A191" s="123" t="s">
        <v>447</v>
      </c>
      <c r="B191" s="160" t="s">
        <v>104</v>
      </c>
      <c r="C191" s="221" t="s">
        <v>105</v>
      </c>
      <c r="D191" s="123" t="s">
        <v>106</v>
      </c>
      <c r="E191" s="161">
        <v>14.49</v>
      </c>
      <c r="F191" s="162">
        <v>90036.82</v>
      </c>
    </row>
    <row r="192" spans="1:21" ht="33.75" hidden="1" outlineLevel="1" x14ac:dyDescent="0.25">
      <c r="A192" s="123" t="s">
        <v>448</v>
      </c>
      <c r="B192" s="160" t="s">
        <v>241</v>
      </c>
      <c r="C192" s="221" t="s">
        <v>242</v>
      </c>
      <c r="D192" s="123" t="s">
        <v>210</v>
      </c>
      <c r="E192" s="161">
        <v>1</v>
      </c>
      <c r="F192" s="162">
        <v>207003.6</v>
      </c>
    </row>
    <row r="193" spans="1:21" hidden="1" outlineLevel="1" x14ac:dyDescent="0.25">
      <c r="A193" s="123" t="s">
        <v>449</v>
      </c>
      <c r="B193" s="160" t="s">
        <v>244</v>
      </c>
      <c r="C193" s="221" t="s">
        <v>245</v>
      </c>
      <c r="D193" s="123" t="s">
        <v>246</v>
      </c>
      <c r="E193" s="161">
        <v>1</v>
      </c>
      <c r="F193" s="162">
        <v>1667776.02</v>
      </c>
    </row>
    <row r="194" spans="1:21" ht="22.5" hidden="1" outlineLevel="1" x14ac:dyDescent="0.25">
      <c r="A194" s="123" t="s">
        <v>450</v>
      </c>
      <c r="B194" s="160" t="s">
        <v>249</v>
      </c>
      <c r="C194" s="221" t="s">
        <v>451</v>
      </c>
      <c r="D194" s="123" t="s">
        <v>246</v>
      </c>
      <c r="E194" s="161">
        <v>1</v>
      </c>
      <c r="F194" s="162">
        <v>3596141.97</v>
      </c>
    </row>
    <row r="195" spans="1:21" ht="33.75" hidden="1" outlineLevel="1" x14ac:dyDescent="0.25">
      <c r="A195" s="123" t="s">
        <v>452</v>
      </c>
      <c r="B195" s="160" t="s">
        <v>253</v>
      </c>
      <c r="C195" s="221" t="s">
        <v>254</v>
      </c>
      <c r="D195" s="123" t="s">
        <v>115</v>
      </c>
      <c r="E195" s="161">
        <v>1</v>
      </c>
      <c r="F195" s="162">
        <v>42192.34</v>
      </c>
    </row>
    <row r="196" spans="1:21" s="229" customFormat="1" hidden="1" outlineLevel="1" x14ac:dyDescent="0.25">
      <c r="A196" s="166" t="s">
        <v>453</v>
      </c>
      <c r="B196" s="167" t="s">
        <v>260</v>
      </c>
      <c r="C196" s="222" t="s">
        <v>261</v>
      </c>
      <c r="D196" s="166" t="s">
        <v>115</v>
      </c>
      <c r="E196" s="169">
        <v>-2</v>
      </c>
      <c r="F196" s="170">
        <v>-5066.7299999999996</v>
      </c>
      <c r="G196" s="233"/>
      <c r="H196" s="232"/>
      <c r="U196" s="323"/>
    </row>
    <row r="197" spans="1:21" hidden="1" outlineLevel="1" x14ac:dyDescent="0.25">
      <c r="A197" s="123" t="s">
        <v>454</v>
      </c>
      <c r="B197" s="160" t="s">
        <v>263</v>
      </c>
      <c r="C197" s="221" t="s">
        <v>264</v>
      </c>
      <c r="D197" s="123" t="s">
        <v>115</v>
      </c>
      <c r="E197" s="161">
        <v>2</v>
      </c>
      <c r="F197" s="162">
        <v>87727.09</v>
      </c>
    </row>
    <row r="198" spans="1:21" ht="22.5" hidden="1" outlineLevel="1" x14ac:dyDescent="0.25">
      <c r="A198" s="123" t="s">
        <v>455</v>
      </c>
      <c r="B198" s="160" t="s">
        <v>267</v>
      </c>
      <c r="C198" s="221" t="s">
        <v>268</v>
      </c>
      <c r="D198" s="123" t="s">
        <v>115</v>
      </c>
      <c r="E198" s="161">
        <v>1</v>
      </c>
      <c r="F198" s="162">
        <v>156781.35</v>
      </c>
    </row>
    <row r="199" spans="1:21" hidden="1" outlineLevel="1" x14ac:dyDescent="0.25">
      <c r="A199" s="123" t="s">
        <v>456</v>
      </c>
      <c r="B199" s="160" t="s">
        <v>120</v>
      </c>
      <c r="C199" s="221" t="s">
        <v>271</v>
      </c>
      <c r="D199" s="123" t="s">
        <v>115</v>
      </c>
      <c r="E199" s="161">
        <v>1</v>
      </c>
      <c r="F199" s="162">
        <v>4178.1000000000004</v>
      </c>
    </row>
    <row r="200" spans="1:21" ht="22.5" hidden="1" outlineLevel="1" x14ac:dyDescent="0.25">
      <c r="A200" s="123" t="s">
        <v>457</v>
      </c>
      <c r="B200" s="160" t="s">
        <v>274</v>
      </c>
      <c r="C200" s="221" t="s">
        <v>275</v>
      </c>
      <c r="D200" s="123" t="s">
        <v>276</v>
      </c>
      <c r="E200" s="161">
        <v>0.06</v>
      </c>
      <c r="F200" s="162">
        <v>15638.67</v>
      </c>
    </row>
    <row r="201" spans="1:21" s="229" customFormat="1" hidden="1" outlineLevel="1" x14ac:dyDescent="0.25">
      <c r="A201" s="166" t="s">
        <v>458</v>
      </c>
      <c r="B201" s="167" t="s">
        <v>282</v>
      </c>
      <c r="C201" s="222" t="s">
        <v>283</v>
      </c>
      <c r="D201" s="166" t="s">
        <v>127</v>
      </c>
      <c r="E201" s="169">
        <v>-2.9000000000000001E-2</v>
      </c>
      <c r="F201" s="170">
        <v>-2679.86</v>
      </c>
      <c r="G201" s="233"/>
      <c r="H201" s="232"/>
      <c r="U201" s="323"/>
    </row>
    <row r="202" spans="1:21" hidden="1" outlineLevel="1" x14ac:dyDescent="0.25">
      <c r="A202" s="123" t="s">
        <v>459</v>
      </c>
      <c r="B202" s="160" t="s">
        <v>120</v>
      </c>
      <c r="C202" s="221" t="s">
        <v>285</v>
      </c>
      <c r="D202" s="123" t="s">
        <v>130</v>
      </c>
      <c r="E202" s="161">
        <v>0.36</v>
      </c>
      <c r="F202" s="162">
        <v>134204.32</v>
      </c>
    </row>
    <row r="203" spans="1:21" hidden="1" outlineLevel="1" x14ac:dyDescent="0.25">
      <c r="A203" s="123" t="s">
        <v>460</v>
      </c>
      <c r="B203" s="160" t="s">
        <v>120</v>
      </c>
      <c r="C203" s="221" t="s">
        <v>129</v>
      </c>
      <c r="D203" s="123" t="s">
        <v>130</v>
      </c>
      <c r="E203" s="161">
        <v>2.9000000000000001E-2</v>
      </c>
      <c r="F203" s="162">
        <v>8010.5</v>
      </c>
    </row>
    <row r="204" spans="1:21" ht="22.5" hidden="1" outlineLevel="1" x14ac:dyDescent="0.25">
      <c r="A204" s="123" t="s">
        <v>461</v>
      </c>
      <c r="B204" s="160" t="s">
        <v>288</v>
      </c>
      <c r="C204" s="221" t="s">
        <v>289</v>
      </c>
      <c r="D204" s="123" t="s">
        <v>160</v>
      </c>
      <c r="E204" s="161">
        <v>1.3299999999999999E-2</v>
      </c>
      <c r="F204" s="162">
        <v>34682.379999999997</v>
      </c>
    </row>
    <row r="205" spans="1:21" hidden="1" outlineLevel="1" x14ac:dyDescent="0.25">
      <c r="A205" s="117" t="s">
        <v>161</v>
      </c>
      <c r="B205" s="117"/>
      <c r="C205" s="221"/>
      <c r="D205" s="123"/>
      <c r="E205" s="123"/>
      <c r="F205" s="147"/>
    </row>
    <row r="206" spans="1:21" ht="33.75" hidden="1" outlineLevel="1" x14ac:dyDescent="0.25">
      <c r="A206" s="123" t="s">
        <v>462</v>
      </c>
      <c r="B206" s="160" t="s">
        <v>163</v>
      </c>
      <c r="C206" s="221" t="s">
        <v>164</v>
      </c>
      <c r="D206" s="123" t="s">
        <v>165</v>
      </c>
      <c r="E206" s="161">
        <v>41.3</v>
      </c>
      <c r="F206" s="162">
        <v>2128.08</v>
      </c>
    </row>
    <row r="207" spans="1:21" ht="33.75" hidden="1" outlineLevel="1" x14ac:dyDescent="0.25">
      <c r="A207" s="123" t="s">
        <v>463</v>
      </c>
      <c r="B207" s="160" t="s">
        <v>167</v>
      </c>
      <c r="C207" s="221" t="s">
        <v>292</v>
      </c>
      <c r="D207" s="123" t="s">
        <v>165</v>
      </c>
      <c r="E207" s="161">
        <v>12.1</v>
      </c>
      <c r="F207" s="162">
        <v>1594.88</v>
      </c>
    </row>
    <row r="208" spans="1:21" ht="22.5" hidden="1" outlineLevel="1" x14ac:dyDescent="0.25">
      <c r="A208" s="123" t="s">
        <v>464</v>
      </c>
      <c r="B208" s="160" t="s">
        <v>170</v>
      </c>
      <c r="C208" s="221" t="s">
        <v>294</v>
      </c>
      <c r="D208" s="123" t="s">
        <v>165</v>
      </c>
      <c r="E208" s="161">
        <v>5</v>
      </c>
      <c r="F208" s="162">
        <v>854.62</v>
      </c>
    </row>
    <row r="209" spans="1:21" ht="33.75" hidden="1" outlineLevel="1" x14ac:dyDescent="0.25">
      <c r="A209" s="123" t="s">
        <v>465</v>
      </c>
      <c r="B209" s="160" t="s">
        <v>173</v>
      </c>
      <c r="C209" s="221" t="s">
        <v>174</v>
      </c>
      <c r="D209" s="123" t="s">
        <v>165</v>
      </c>
      <c r="E209" s="161">
        <v>58.4</v>
      </c>
      <c r="F209" s="162">
        <v>3656.31</v>
      </c>
    </row>
    <row r="210" spans="1:21" hidden="1" outlineLevel="1" x14ac:dyDescent="0.25">
      <c r="A210" s="114" t="s">
        <v>470</v>
      </c>
      <c r="B210" s="114"/>
      <c r="C210" s="220"/>
      <c r="D210" s="120"/>
      <c r="E210" s="120"/>
      <c r="F210" s="140"/>
    </row>
    <row r="211" spans="1:21" ht="22.5" hidden="1" outlineLevel="1" x14ac:dyDescent="0.25">
      <c r="A211" s="123" t="s">
        <v>471</v>
      </c>
      <c r="B211" s="160" t="s">
        <v>208</v>
      </c>
      <c r="C211" s="221" t="s">
        <v>209</v>
      </c>
      <c r="D211" s="123" t="s">
        <v>210</v>
      </c>
      <c r="E211" s="161">
        <v>1</v>
      </c>
      <c r="F211" s="162">
        <v>44914.41</v>
      </c>
    </row>
    <row r="212" spans="1:21" ht="22.5" hidden="1" outlineLevel="1" x14ac:dyDescent="0.25">
      <c r="A212" s="123" t="s">
        <v>472</v>
      </c>
      <c r="B212" s="160" t="s">
        <v>82</v>
      </c>
      <c r="C212" s="221" t="s">
        <v>83</v>
      </c>
      <c r="D212" s="123" t="s">
        <v>58</v>
      </c>
      <c r="E212" s="161">
        <v>0.28399999999999997</v>
      </c>
      <c r="F212" s="162">
        <v>5647.38</v>
      </c>
    </row>
    <row r="213" spans="1:21" ht="22.5" hidden="1" outlineLevel="1" x14ac:dyDescent="0.25">
      <c r="A213" s="123" t="s">
        <v>473</v>
      </c>
      <c r="B213" s="160" t="s">
        <v>89</v>
      </c>
      <c r="C213" s="221" t="s">
        <v>90</v>
      </c>
      <c r="D213" s="123" t="s">
        <v>58</v>
      </c>
      <c r="E213" s="161">
        <v>0.1336</v>
      </c>
      <c r="F213" s="162">
        <v>2471.04</v>
      </c>
    </row>
    <row r="214" spans="1:21" ht="22.5" hidden="1" outlineLevel="1" x14ac:dyDescent="0.25">
      <c r="A214" s="123" t="s">
        <v>474</v>
      </c>
      <c r="B214" s="160" t="s">
        <v>96</v>
      </c>
      <c r="C214" s="221" t="s">
        <v>97</v>
      </c>
      <c r="D214" s="123" t="s">
        <v>58</v>
      </c>
      <c r="E214" s="161">
        <v>0.13400000000000001</v>
      </c>
      <c r="F214" s="162">
        <v>20372.580000000002</v>
      </c>
    </row>
    <row r="215" spans="1:21" hidden="1" outlineLevel="1" x14ac:dyDescent="0.25">
      <c r="A215" s="123" t="s">
        <v>475</v>
      </c>
      <c r="B215" s="160" t="s">
        <v>104</v>
      </c>
      <c r="C215" s="221" t="s">
        <v>105</v>
      </c>
      <c r="D215" s="123" t="s">
        <v>106</v>
      </c>
      <c r="E215" s="161">
        <v>14.49</v>
      </c>
      <c r="F215" s="162">
        <v>90036.82</v>
      </c>
    </row>
    <row r="216" spans="1:21" ht="33.75" hidden="1" outlineLevel="1" x14ac:dyDescent="0.25">
      <c r="A216" s="123" t="s">
        <v>476</v>
      </c>
      <c r="B216" s="160" t="s">
        <v>241</v>
      </c>
      <c r="C216" s="221" t="s">
        <v>242</v>
      </c>
      <c r="D216" s="123" t="s">
        <v>210</v>
      </c>
      <c r="E216" s="161">
        <v>1</v>
      </c>
      <c r="F216" s="162">
        <v>207003.6</v>
      </c>
    </row>
    <row r="217" spans="1:21" hidden="1" outlineLevel="1" x14ac:dyDescent="0.25">
      <c r="A217" s="123" t="s">
        <v>477</v>
      </c>
      <c r="B217" s="160" t="s">
        <v>244</v>
      </c>
      <c r="C217" s="221" t="s">
        <v>245</v>
      </c>
      <c r="D217" s="123" t="s">
        <v>246</v>
      </c>
      <c r="E217" s="161">
        <v>1</v>
      </c>
      <c r="F217" s="162">
        <v>1667776.02</v>
      </c>
    </row>
    <row r="218" spans="1:21" ht="22.5" hidden="1" outlineLevel="1" x14ac:dyDescent="0.25">
      <c r="A218" s="123" t="s">
        <v>478</v>
      </c>
      <c r="B218" s="160" t="s">
        <v>249</v>
      </c>
      <c r="C218" s="221" t="s">
        <v>250</v>
      </c>
      <c r="D218" s="123" t="s">
        <v>246</v>
      </c>
      <c r="E218" s="161">
        <v>1</v>
      </c>
      <c r="F218" s="162">
        <v>3596141.97</v>
      </c>
    </row>
    <row r="219" spans="1:21" ht="33.75" hidden="1" outlineLevel="1" x14ac:dyDescent="0.25">
      <c r="A219" s="123" t="s">
        <v>479</v>
      </c>
      <c r="B219" s="160" t="s">
        <v>253</v>
      </c>
      <c r="C219" s="221" t="s">
        <v>254</v>
      </c>
      <c r="D219" s="123" t="s">
        <v>115</v>
      </c>
      <c r="E219" s="161">
        <v>1</v>
      </c>
      <c r="F219" s="162">
        <v>42192.34</v>
      </c>
    </row>
    <row r="220" spans="1:21" s="229" customFormat="1" hidden="1" outlineLevel="1" x14ac:dyDescent="0.25">
      <c r="A220" s="166" t="s">
        <v>480</v>
      </c>
      <c r="B220" s="167" t="s">
        <v>260</v>
      </c>
      <c r="C220" s="222" t="s">
        <v>261</v>
      </c>
      <c r="D220" s="166" t="s">
        <v>115</v>
      </c>
      <c r="E220" s="169">
        <v>-2</v>
      </c>
      <c r="F220" s="170">
        <v>-5066.7299999999996</v>
      </c>
      <c r="G220" s="233"/>
      <c r="H220" s="232"/>
      <c r="U220" s="323"/>
    </row>
    <row r="221" spans="1:21" hidden="1" outlineLevel="1" x14ac:dyDescent="0.25">
      <c r="A221" s="123" t="s">
        <v>481</v>
      </c>
      <c r="B221" s="160" t="s">
        <v>263</v>
      </c>
      <c r="C221" s="221" t="s">
        <v>264</v>
      </c>
      <c r="D221" s="123" t="s">
        <v>115</v>
      </c>
      <c r="E221" s="161">
        <v>2</v>
      </c>
      <c r="F221" s="162">
        <v>87727.09</v>
      </c>
    </row>
    <row r="222" spans="1:21" ht="22.5" hidden="1" outlineLevel="1" x14ac:dyDescent="0.25">
      <c r="A222" s="123" t="s">
        <v>482</v>
      </c>
      <c r="B222" s="160" t="s">
        <v>267</v>
      </c>
      <c r="C222" s="221" t="s">
        <v>268</v>
      </c>
      <c r="D222" s="123" t="s">
        <v>115</v>
      </c>
      <c r="E222" s="161">
        <v>1</v>
      </c>
      <c r="F222" s="162">
        <v>156781.35</v>
      </c>
    </row>
    <row r="223" spans="1:21" hidden="1" outlineLevel="1" x14ac:dyDescent="0.25">
      <c r="A223" s="123" t="s">
        <v>483</v>
      </c>
      <c r="B223" s="160" t="s">
        <v>120</v>
      </c>
      <c r="C223" s="221" t="s">
        <v>271</v>
      </c>
      <c r="D223" s="123" t="s">
        <v>115</v>
      </c>
      <c r="E223" s="161">
        <v>1</v>
      </c>
      <c r="F223" s="162">
        <v>4178.1000000000004</v>
      </c>
    </row>
    <row r="224" spans="1:21" ht="22.5" hidden="1" outlineLevel="1" x14ac:dyDescent="0.25">
      <c r="A224" s="123" t="s">
        <v>484</v>
      </c>
      <c r="B224" s="160" t="s">
        <v>274</v>
      </c>
      <c r="C224" s="221" t="s">
        <v>275</v>
      </c>
      <c r="D224" s="123" t="s">
        <v>276</v>
      </c>
      <c r="E224" s="161">
        <v>0.06</v>
      </c>
      <c r="F224" s="162">
        <v>15625.8</v>
      </c>
    </row>
    <row r="225" spans="1:21" s="229" customFormat="1" hidden="1" outlineLevel="1" x14ac:dyDescent="0.25">
      <c r="A225" s="166" t="s">
        <v>485</v>
      </c>
      <c r="B225" s="167" t="s">
        <v>282</v>
      </c>
      <c r="C225" s="222" t="s">
        <v>283</v>
      </c>
      <c r="D225" s="166" t="s">
        <v>127</v>
      </c>
      <c r="E225" s="169">
        <v>-2.9000000000000001E-2</v>
      </c>
      <c r="F225" s="170">
        <v>-2679.76</v>
      </c>
      <c r="G225" s="233"/>
      <c r="H225" s="232"/>
      <c r="U225" s="323"/>
    </row>
    <row r="226" spans="1:21" hidden="1" outlineLevel="1" x14ac:dyDescent="0.25">
      <c r="A226" s="123" t="s">
        <v>486</v>
      </c>
      <c r="B226" s="160" t="s">
        <v>120</v>
      </c>
      <c r="C226" s="221" t="s">
        <v>285</v>
      </c>
      <c r="D226" s="123" t="s">
        <v>130</v>
      </c>
      <c r="E226" s="161">
        <v>0.36</v>
      </c>
      <c r="F226" s="162">
        <v>134204.32</v>
      </c>
    </row>
    <row r="227" spans="1:21" hidden="1" outlineLevel="1" x14ac:dyDescent="0.25">
      <c r="A227" s="123" t="s">
        <v>487</v>
      </c>
      <c r="B227" s="160" t="s">
        <v>120</v>
      </c>
      <c r="C227" s="221" t="s">
        <v>129</v>
      </c>
      <c r="D227" s="123" t="s">
        <v>130</v>
      </c>
      <c r="E227" s="161">
        <v>2.9000000000000001E-2</v>
      </c>
      <c r="F227" s="162">
        <v>8010.5</v>
      </c>
    </row>
    <row r="228" spans="1:21" ht="22.5" hidden="1" outlineLevel="1" x14ac:dyDescent="0.25">
      <c r="A228" s="123" t="s">
        <v>488</v>
      </c>
      <c r="B228" s="160" t="s">
        <v>288</v>
      </c>
      <c r="C228" s="221" t="s">
        <v>289</v>
      </c>
      <c r="D228" s="123" t="s">
        <v>160</v>
      </c>
      <c r="E228" s="161">
        <v>1.3299999999999999E-2</v>
      </c>
      <c r="F228" s="162">
        <v>34682.379999999997</v>
      </c>
    </row>
    <row r="229" spans="1:21" hidden="1" outlineLevel="1" x14ac:dyDescent="0.25">
      <c r="A229" s="117" t="s">
        <v>161</v>
      </c>
      <c r="B229" s="117"/>
      <c r="C229" s="221"/>
      <c r="D229" s="123"/>
      <c r="E229" s="123"/>
      <c r="F229" s="147"/>
    </row>
    <row r="230" spans="1:21" ht="33.75" hidden="1" outlineLevel="1" x14ac:dyDescent="0.25">
      <c r="A230" s="123" t="s">
        <v>489</v>
      </c>
      <c r="B230" s="160" t="s">
        <v>163</v>
      </c>
      <c r="C230" s="221" t="s">
        <v>164</v>
      </c>
      <c r="D230" s="123" t="s">
        <v>165</v>
      </c>
      <c r="E230" s="161">
        <v>49.6</v>
      </c>
      <c r="F230" s="162">
        <v>2555.86</v>
      </c>
    </row>
    <row r="231" spans="1:21" ht="33.75" hidden="1" outlineLevel="1" x14ac:dyDescent="0.25">
      <c r="A231" s="123" t="s">
        <v>490</v>
      </c>
      <c r="B231" s="160" t="s">
        <v>167</v>
      </c>
      <c r="C231" s="221" t="s">
        <v>292</v>
      </c>
      <c r="D231" s="123" t="s">
        <v>165</v>
      </c>
      <c r="E231" s="161">
        <v>9.9</v>
      </c>
      <c r="F231" s="162">
        <v>1304.8699999999999</v>
      </c>
    </row>
    <row r="232" spans="1:21" ht="22.5" hidden="1" outlineLevel="1" x14ac:dyDescent="0.25">
      <c r="A232" s="123" t="s">
        <v>491</v>
      </c>
      <c r="B232" s="160" t="s">
        <v>170</v>
      </c>
      <c r="C232" s="221" t="s">
        <v>294</v>
      </c>
      <c r="D232" s="123" t="s">
        <v>165</v>
      </c>
      <c r="E232" s="161">
        <v>5</v>
      </c>
      <c r="F232" s="162">
        <v>854.62</v>
      </c>
    </row>
    <row r="233" spans="1:21" ht="33.75" hidden="1" outlineLevel="1" x14ac:dyDescent="0.25">
      <c r="A233" s="123" t="s">
        <v>492</v>
      </c>
      <c r="B233" s="160" t="s">
        <v>173</v>
      </c>
      <c r="C233" s="221" t="s">
        <v>174</v>
      </c>
      <c r="D233" s="123" t="s">
        <v>165</v>
      </c>
      <c r="E233" s="161">
        <v>64.5</v>
      </c>
      <c r="F233" s="162">
        <v>4038.29</v>
      </c>
    </row>
    <row r="234" spans="1:21" hidden="1" outlineLevel="1" x14ac:dyDescent="0.25"/>
    <row r="235" spans="1:21" s="128" customFormat="1" collapsed="1" x14ac:dyDescent="0.25">
      <c r="A235" s="114" t="s">
        <v>470</v>
      </c>
      <c r="B235" s="114"/>
      <c r="C235" s="114"/>
      <c r="D235" s="120"/>
      <c r="E235" s="120"/>
      <c r="F235" s="140"/>
      <c r="G235" s="141"/>
      <c r="H235" s="131"/>
      <c r="P235" s="218"/>
      <c r="U235" s="326"/>
    </row>
    <row r="236" spans="1:21" s="128" customFormat="1" x14ac:dyDescent="0.25">
      <c r="A236" s="123" t="s">
        <v>471</v>
      </c>
      <c r="B236" s="160" t="s">
        <v>208</v>
      </c>
      <c r="C236" s="117" t="s">
        <v>209</v>
      </c>
      <c r="D236" s="123" t="s">
        <v>210</v>
      </c>
      <c r="E236" s="161">
        <v>1</v>
      </c>
      <c r="F236" s="162">
        <v>44914.41</v>
      </c>
      <c r="G236" s="141"/>
      <c r="H236" s="131"/>
      <c r="O236" s="164">
        <v>1</v>
      </c>
      <c r="P236" s="218"/>
      <c r="U236" s="326"/>
    </row>
    <row r="237" spans="1:21" s="128" customFormat="1" x14ac:dyDescent="0.25">
      <c r="A237" s="123" t="s">
        <v>472</v>
      </c>
      <c r="B237" s="160" t="s">
        <v>82</v>
      </c>
      <c r="C237" s="117" t="s">
        <v>83</v>
      </c>
      <c r="D237" s="123" t="s">
        <v>58</v>
      </c>
      <c r="E237" s="161">
        <v>0.28399999999999997</v>
      </c>
      <c r="F237" s="162">
        <v>5647.38</v>
      </c>
      <c r="G237" s="141"/>
      <c r="H237" s="131"/>
      <c r="O237" s="212">
        <f>20.51/100</f>
        <v>0.2051</v>
      </c>
      <c r="P237" s="218"/>
      <c r="U237" s="326"/>
    </row>
    <row r="238" spans="1:21" s="128" customFormat="1" x14ac:dyDescent="0.25">
      <c r="A238" s="123" t="s">
        <v>473</v>
      </c>
      <c r="B238" s="160" t="s">
        <v>89</v>
      </c>
      <c r="C238" s="117" t="s">
        <v>90</v>
      </c>
      <c r="D238" s="123" t="s">
        <v>58</v>
      </c>
      <c r="E238" s="161">
        <v>0.1336</v>
      </c>
      <c r="F238" s="162">
        <v>2471.04</v>
      </c>
      <c r="G238" s="141"/>
      <c r="H238" s="131"/>
      <c r="O238" s="212">
        <f>9.55/100</f>
        <v>9.5500000000000002E-2</v>
      </c>
      <c r="P238" s="218"/>
      <c r="U238" s="326"/>
    </row>
    <row r="239" spans="1:21" s="128" customFormat="1" x14ac:dyDescent="0.25">
      <c r="A239" s="123" t="s">
        <v>474</v>
      </c>
      <c r="B239" s="160" t="s">
        <v>96</v>
      </c>
      <c r="C239" s="117" t="s">
        <v>97</v>
      </c>
      <c r="D239" s="123" t="s">
        <v>58</v>
      </c>
      <c r="E239" s="161">
        <v>0.13400000000000001</v>
      </c>
      <c r="F239" s="162">
        <v>20372.580000000002</v>
      </c>
      <c r="G239" s="141"/>
      <c r="H239" s="131"/>
      <c r="O239" s="212">
        <f>O238</f>
        <v>9.5500000000000002E-2</v>
      </c>
      <c r="P239" s="218"/>
      <c r="U239" s="326"/>
    </row>
    <row r="240" spans="1:21" s="128" customFormat="1" x14ac:dyDescent="0.25">
      <c r="A240" s="123" t="s">
        <v>475</v>
      </c>
      <c r="B240" s="160" t="s">
        <v>104</v>
      </c>
      <c r="C240" s="117" t="s">
        <v>105</v>
      </c>
      <c r="D240" s="123" t="s">
        <v>106</v>
      </c>
      <c r="E240" s="161">
        <v>14.49</v>
      </c>
      <c r="F240" s="162">
        <v>90036.82</v>
      </c>
      <c r="G240" s="141"/>
      <c r="H240" s="131"/>
      <c r="O240" s="215">
        <f>1.26*O239*100</f>
        <v>12.033000000000001</v>
      </c>
      <c r="P240" s="218"/>
      <c r="U240" s="326"/>
    </row>
    <row r="241" spans="1:21" s="128" customFormat="1" x14ac:dyDescent="0.25">
      <c r="A241" s="123" t="s">
        <v>476</v>
      </c>
      <c r="B241" s="160" t="s">
        <v>241</v>
      </c>
      <c r="C241" s="117" t="s">
        <v>242</v>
      </c>
      <c r="D241" s="123" t="s">
        <v>210</v>
      </c>
      <c r="E241" s="161">
        <v>1</v>
      </c>
      <c r="F241" s="162">
        <v>207003.6</v>
      </c>
      <c r="G241" s="141"/>
      <c r="H241" s="131"/>
      <c r="O241" s="164">
        <v>1</v>
      </c>
      <c r="P241" s="218"/>
      <c r="U241" s="326"/>
    </row>
    <row r="242" spans="1:21" s="128" customFormat="1" x14ac:dyDescent="0.25">
      <c r="A242" s="123" t="s">
        <v>477</v>
      </c>
      <c r="B242" s="160" t="s">
        <v>244</v>
      </c>
      <c r="C242" s="117" t="s">
        <v>245</v>
      </c>
      <c r="D242" s="123" t="s">
        <v>246</v>
      </c>
      <c r="E242" s="161">
        <v>1</v>
      </c>
      <c r="F242" s="162">
        <v>1667776.02</v>
      </c>
      <c r="G242" s="141"/>
      <c r="H242" s="131"/>
      <c r="O242" s="164">
        <v>1</v>
      </c>
      <c r="P242" s="218"/>
      <c r="U242" s="326"/>
    </row>
    <row r="243" spans="1:21" s="128" customFormat="1" x14ac:dyDescent="0.25">
      <c r="A243" s="123" t="s">
        <v>478</v>
      </c>
      <c r="B243" s="160" t="s">
        <v>249</v>
      </c>
      <c r="C243" s="117" t="s">
        <v>250</v>
      </c>
      <c r="D243" s="123" t="s">
        <v>246</v>
      </c>
      <c r="E243" s="161">
        <v>1</v>
      </c>
      <c r="F243" s="162">
        <v>3596141.97</v>
      </c>
      <c r="G243" s="141"/>
      <c r="H243" s="131"/>
      <c r="O243" s="164">
        <v>1</v>
      </c>
      <c r="P243" s="218"/>
      <c r="U243" s="326"/>
    </row>
    <row r="244" spans="1:21" s="128" customFormat="1" x14ac:dyDescent="0.25">
      <c r="A244" s="123" t="s">
        <v>479</v>
      </c>
      <c r="B244" s="160" t="s">
        <v>253</v>
      </c>
      <c r="C244" s="117" t="s">
        <v>254</v>
      </c>
      <c r="D244" s="123" t="s">
        <v>115</v>
      </c>
      <c r="E244" s="161">
        <v>1</v>
      </c>
      <c r="F244" s="162">
        <v>42192.34</v>
      </c>
      <c r="G244" s="141"/>
      <c r="H244" s="131"/>
      <c r="O244" s="164">
        <v>1</v>
      </c>
      <c r="P244" s="218"/>
      <c r="U244" s="326"/>
    </row>
    <row r="245" spans="1:21" s="171" customFormat="1" x14ac:dyDescent="0.25">
      <c r="A245" s="166" t="s">
        <v>480</v>
      </c>
      <c r="B245" s="167" t="s">
        <v>260</v>
      </c>
      <c r="C245" s="168" t="s">
        <v>261</v>
      </c>
      <c r="D245" s="166" t="s">
        <v>115</v>
      </c>
      <c r="E245" s="169">
        <v>-2</v>
      </c>
      <c r="F245" s="170">
        <v>-5066.7299999999996</v>
      </c>
      <c r="G245" s="146"/>
      <c r="H245" s="135"/>
      <c r="O245" s="261">
        <v>-2</v>
      </c>
      <c r="P245" s="229"/>
      <c r="U245" s="326"/>
    </row>
    <row r="246" spans="1:21" s="128" customFormat="1" x14ac:dyDescent="0.25">
      <c r="A246" s="123" t="s">
        <v>481</v>
      </c>
      <c r="B246" s="160" t="s">
        <v>263</v>
      </c>
      <c r="C246" s="117" t="s">
        <v>264</v>
      </c>
      <c r="D246" s="123" t="s">
        <v>115</v>
      </c>
      <c r="E246" s="161">
        <v>2</v>
      </c>
      <c r="F246" s="162">
        <v>87727.09</v>
      </c>
      <c r="G246" s="141"/>
      <c r="H246" s="131"/>
      <c r="O246" s="164">
        <v>2</v>
      </c>
      <c r="P246" s="218"/>
      <c r="U246" s="326"/>
    </row>
    <row r="247" spans="1:21" s="128" customFormat="1" x14ac:dyDescent="0.25">
      <c r="A247" s="123" t="s">
        <v>482</v>
      </c>
      <c r="B247" s="160" t="s">
        <v>267</v>
      </c>
      <c r="C247" s="117" t="s">
        <v>268</v>
      </c>
      <c r="D247" s="123" t="s">
        <v>115</v>
      </c>
      <c r="E247" s="161">
        <v>1</v>
      </c>
      <c r="F247" s="162">
        <v>156781.35</v>
      </c>
      <c r="G247" s="141"/>
      <c r="H247" s="131"/>
      <c r="O247" s="164">
        <v>1</v>
      </c>
      <c r="P247" s="218"/>
      <c r="U247" s="326"/>
    </row>
    <row r="248" spans="1:21" s="128" customFormat="1" x14ac:dyDescent="0.25">
      <c r="A248" s="123" t="s">
        <v>483</v>
      </c>
      <c r="B248" s="160" t="s">
        <v>120</v>
      </c>
      <c r="C248" s="117" t="s">
        <v>271</v>
      </c>
      <c r="D248" s="123" t="s">
        <v>115</v>
      </c>
      <c r="E248" s="161">
        <v>1</v>
      </c>
      <c r="F248" s="162">
        <v>4178.1000000000004</v>
      </c>
      <c r="G248" s="141"/>
      <c r="H248" s="131"/>
      <c r="O248" s="164">
        <v>1</v>
      </c>
      <c r="P248" s="218"/>
      <c r="U248" s="326"/>
    </row>
    <row r="249" spans="1:21" s="128" customFormat="1" x14ac:dyDescent="0.25">
      <c r="A249" s="262" t="s">
        <v>484</v>
      </c>
      <c r="B249" s="263" t="s">
        <v>274</v>
      </c>
      <c r="C249" s="266" t="s">
        <v>275</v>
      </c>
      <c r="D249" s="262" t="s">
        <v>276</v>
      </c>
      <c r="E249" s="243">
        <v>0.06</v>
      </c>
      <c r="F249" s="265">
        <v>15625.8</v>
      </c>
      <c r="G249" s="141"/>
      <c r="H249" s="131"/>
      <c r="O249" s="243">
        <v>0</v>
      </c>
      <c r="P249" s="229" t="s">
        <v>552</v>
      </c>
      <c r="U249" s="326"/>
    </row>
    <row r="250" spans="1:21" s="171" customFormat="1" x14ac:dyDescent="0.25">
      <c r="A250" s="262" t="s">
        <v>485</v>
      </c>
      <c r="B250" s="263" t="s">
        <v>282</v>
      </c>
      <c r="C250" s="266" t="s">
        <v>283</v>
      </c>
      <c r="D250" s="262" t="s">
        <v>127</v>
      </c>
      <c r="E250" s="243">
        <v>-2.9000000000000001E-2</v>
      </c>
      <c r="F250" s="265">
        <v>-2679.76</v>
      </c>
      <c r="G250" s="146"/>
      <c r="H250" s="135"/>
      <c r="O250" s="243">
        <v>0</v>
      </c>
      <c r="P250" s="229" t="s">
        <v>552</v>
      </c>
      <c r="U250" s="326"/>
    </row>
    <row r="251" spans="1:21" s="128" customFormat="1" x14ac:dyDescent="0.25">
      <c r="A251" s="262" t="s">
        <v>486</v>
      </c>
      <c r="B251" s="263" t="s">
        <v>120</v>
      </c>
      <c r="C251" s="266" t="s">
        <v>285</v>
      </c>
      <c r="D251" s="262" t="s">
        <v>130</v>
      </c>
      <c r="E251" s="243">
        <v>0.36</v>
      </c>
      <c r="F251" s="265">
        <v>134204.32</v>
      </c>
      <c r="G251" s="141"/>
      <c r="H251" s="131"/>
      <c r="O251" s="243">
        <v>0</v>
      </c>
      <c r="P251" s="229" t="s">
        <v>552</v>
      </c>
      <c r="U251" s="326"/>
    </row>
    <row r="252" spans="1:21" s="128" customFormat="1" x14ac:dyDescent="0.25">
      <c r="A252" s="262" t="s">
        <v>487</v>
      </c>
      <c r="B252" s="263" t="s">
        <v>120</v>
      </c>
      <c r="C252" s="266" t="s">
        <v>129</v>
      </c>
      <c r="D252" s="262" t="s">
        <v>130</v>
      </c>
      <c r="E252" s="243">
        <v>2.9000000000000001E-2</v>
      </c>
      <c r="F252" s="265">
        <v>8010.5</v>
      </c>
      <c r="G252" s="141"/>
      <c r="H252" s="131"/>
      <c r="O252" s="243">
        <v>0</v>
      </c>
      <c r="P252" s="229" t="s">
        <v>552</v>
      </c>
      <c r="U252" s="326"/>
    </row>
    <row r="253" spans="1:21" s="128" customFormat="1" x14ac:dyDescent="0.25">
      <c r="A253" s="123" t="s">
        <v>488</v>
      </c>
      <c r="B253" s="160" t="s">
        <v>288</v>
      </c>
      <c r="C253" s="117" t="s">
        <v>289</v>
      </c>
      <c r="D253" s="123" t="s">
        <v>160</v>
      </c>
      <c r="E253" s="161">
        <v>1.3299999999999999E-2</v>
      </c>
      <c r="F253" s="162">
        <v>34682.379999999997</v>
      </c>
      <c r="G253" s="141"/>
      <c r="H253" s="131"/>
      <c r="O253" s="212">
        <f>12.47/1000</f>
        <v>1.247E-2</v>
      </c>
      <c r="P253" s="218"/>
      <c r="U253" s="326"/>
    </row>
    <row r="254" spans="1:21" s="128" customFormat="1" x14ac:dyDescent="0.25">
      <c r="A254" s="117" t="s">
        <v>161</v>
      </c>
      <c r="B254" s="117"/>
      <c r="C254" s="117"/>
      <c r="D254" s="123"/>
      <c r="E254" s="123"/>
      <c r="F254" s="147"/>
      <c r="G254" s="141"/>
      <c r="H254" s="131"/>
      <c r="O254" s="226"/>
      <c r="P254" s="218"/>
      <c r="U254" s="326"/>
    </row>
    <row r="255" spans="1:21" s="128" customFormat="1" x14ac:dyDescent="0.25">
      <c r="A255" s="123" t="s">
        <v>489</v>
      </c>
      <c r="B255" s="160" t="s">
        <v>163</v>
      </c>
      <c r="C255" s="117" t="s">
        <v>164</v>
      </c>
      <c r="D255" s="123" t="s">
        <v>165</v>
      </c>
      <c r="E255" s="161">
        <v>49.6</v>
      </c>
      <c r="F255" s="162">
        <v>2555.86</v>
      </c>
      <c r="G255" s="141"/>
      <c r="H255" s="131"/>
      <c r="O255" s="143">
        <f>O237*100*1.75</f>
        <v>35.892500000000005</v>
      </c>
      <c r="P255" s="218"/>
      <c r="U255" s="326"/>
    </row>
    <row r="256" spans="1:21" s="128" customFormat="1" x14ac:dyDescent="0.25">
      <c r="A256" s="123" t="s">
        <v>490</v>
      </c>
      <c r="B256" s="160" t="s">
        <v>167</v>
      </c>
      <c r="C256" s="117" t="s">
        <v>292</v>
      </c>
      <c r="D256" s="123" t="s">
        <v>165</v>
      </c>
      <c r="E256" s="161">
        <v>9.9</v>
      </c>
      <c r="F256" s="162">
        <v>1304.8699999999999</v>
      </c>
      <c r="G256" s="141"/>
      <c r="H256" s="131"/>
      <c r="O256" s="143">
        <v>8.85</v>
      </c>
      <c r="P256" s="218"/>
      <c r="U256" s="326"/>
    </row>
    <row r="257" spans="1:21" s="128" customFormat="1" x14ac:dyDescent="0.25">
      <c r="A257" s="123" t="s">
        <v>491</v>
      </c>
      <c r="B257" s="160" t="s">
        <v>170</v>
      </c>
      <c r="C257" s="117" t="s">
        <v>294</v>
      </c>
      <c r="D257" s="123" t="s">
        <v>165</v>
      </c>
      <c r="E257" s="161">
        <v>5</v>
      </c>
      <c r="F257" s="162">
        <v>854.62</v>
      </c>
      <c r="G257" s="141"/>
      <c r="H257" s="131"/>
      <c r="O257" s="143">
        <v>4.16</v>
      </c>
      <c r="P257" s="218"/>
      <c r="U257" s="326"/>
    </row>
    <row r="258" spans="1:21" s="128" customFormat="1" x14ac:dyDescent="0.25">
      <c r="A258" s="123" t="s">
        <v>492</v>
      </c>
      <c r="B258" s="160" t="s">
        <v>173</v>
      </c>
      <c r="C258" s="117" t="s">
        <v>174</v>
      </c>
      <c r="D258" s="123" t="s">
        <v>165</v>
      </c>
      <c r="E258" s="161">
        <v>64.5</v>
      </c>
      <c r="F258" s="162">
        <v>4038.29</v>
      </c>
      <c r="G258" s="141"/>
      <c r="H258" s="131"/>
      <c r="O258" s="143">
        <f>O257+O256+O255</f>
        <v>48.902500000000003</v>
      </c>
      <c r="P258" s="218"/>
      <c r="U258" s="326"/>
    </row>
  </sheetData>
  <pageMargins left="0.7" right="0.7" top="0.75" bottom="0.75" header="0.3" footer="0.3"/>
  <pageSetup paperSize="9" scale="56" fitToHeight="0" orientation="landscape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567A38-A78A-4A33-A52A-F844CCA1E1BF}">
  <sheetPr>
    <pageSetUpPr fitToPage="1"/>
  </sheetPr>
  <dimension ref="A1:S258"/>
  <sheetViews>
    <sheetView zoomScale="130" zoomScaleNormal="130" workbookViewId="0">
      <pane ySplit="1" topLeftCell="A2" activePane="bottomLeft" state="frozen"/>
      <selection pane="bottomLeft" activeCell="D6" sqref="D6"/>
    </sheetView>
  </sheetViews>
  <sheetFormatPr defaultRowHeight="15" outlineLevelRow="1" outlineLevelCol="1" x14ac:dyDescent="0.25"/>
  <cols>
    <col min="1" max="1" width="5.85546875" style="218" customWidth="1"/>
    <col min="2" max="2" width="17.42578125" style="218" customWidth="1"/>
    <col min="3" max="3" width="58.140625" style="235" customWidth="1"/>
    <col min="4" max="4" width="11.140625" style="217" customWidth="1"/>
    <col min="5" max="5" width="11" style="217" customWidth="1"/>
    <col min="6" max="6" width="13.140625" style="234" customWidth="1"/>
    <col min="7" max="7" width="11.140625" style="230" customWidth="1" outlineLevel="1"/>
    <col min="8" max="8" width="10.7109375" style="217" customWidth="1" outlineLevel="1"/>
    <col min="9" max="9" width="10.7109375" style="218" customWidth="1" outlineLevel="1"/>
    <col min="10" max="10" width="9.42578125" style="218" customWidth="1" outlineLevel="1"/>
    <col min="11" max="11" width="10.42578125" style="218" customWidth="1" outlineLevel="1"/>
    <col min="12" max="12" width="10.85546875" style="218" customWidth="1" outlineLevel="1"/>
    <col min="13" max="14" width="9.140625" style="218" customWidth="1" outlineLevel="1"/>
    <col min="15" max="15" width="9.140625" style="218"/>
    <col min="16" max="16" width="34.85546875" style="218" customWidth="1"/>
    <col min="17" max="17" width="9.140625" style="218"/>
    <col min="18" max="18" width="34.42578125" style="218" customWidth="1"/>
    <col min="19" max="16384" width="9.140625" style="218"/>
  </cols>
  <sheetData>
    <row r="1" spans="1:19" s="224" customFormat="1" ht="56.25" x14ac:dyDescent="0.25">
      <c r="A1" s="112" t="s">
        <v>42</v>
      </c>
      <c r="B1" s="113" t="s">
        <v>43</v>
      </c>
      <c r="C1" s="113" t="s">
        <v>44</v>
      </c>
      <c r="D1" s="113" t="s">
        <v>45</v>
      </c>
      <c r="E1" s="113" t="s">
        <v>46</v>
      </c>
      <c r="F1" s="137" t="s">
        <v>49</v>
      </c>
      <c r="G1" s="223"/>
      <c r="O1" s="267" t="s">
        <v>550</v>
      </c>
      <c r="P1" s="224">
        <f>37.5+66</f>
        <v>103.5</v>
      </c>
      <c r="Q1" s="267" t="s">
        <v>550</v>
      </c>
    </row>
    <row r="2" spans="1:19" x14ac:dyDescent="0.25">
      <c r="A2" s="118" t="s">
        <v>54</v>
      </c>
      <c r="B2" s="118"/>
      <c r="C2" s="240"/>
      <c r="D2" s="120"/>
      <c r="E2" s="120"/>
      <c r="F2" s="140"/>
      <c r="G2" s="219" t="s">
        <v>518</v>
      </c>
      <c r="H2" s="225" t="s">
        <v>519</v>
      </c>
      <c r="I2" s="225" t="s">
        <v>521</v>
      </c>
      <c r="J2" s="225" t="s">
        <v>538</v>
      </c>
      <c r="K2" s="225" t="s">
        <v>539</v>
      </c>
      <c r="L2" s="225" t="s">
        <v>542</v>
      </c>
      <c r="M2" s="225" t="s">
        <v>543</v>
      </c>
      <c r="N2" s="225" t="s">
        <v>544</v>
      </c>
      <c r="O2" s="225" t="s">
        <v>549</v>
      </c>
      <c r="Q2" s="225" t="s">
        <v>554</v>
      </c>
    </row>
    <row r="3" spans="1:19" ht="22.5" x14ac:dyDescent="0.25">
      <c r="A3" s="123" t="s">
        <v>55</v>
      </c>
      <c r="B3" s="160" t="s">
        <v>56</v>
      </c>
      <c r="C3" s="221" t="s">
        <v>57</v>
      </c>
      <c r="D3" s="123" t="s">
        <v>58</v>
      </c>
      <c r="E3" s="161">
        <v>0.17549999999999999</v>
      </c>
      <c r="F3" s="162">
        <v>18806.66</v>
      </c>
      <c r="G3" s="226">
        <v>0</v>
      </c>
      <c r="H3" s="227">
        <v>0</v>
      </c>
      <c r="I3" s="227">
        <v>0</v>
      </c>
      <c r="J3" s="227">
        <v>0</v>
      </c>
      <c r="K3" s="227">
        <v>0</v>
      </c>
      <c r="L3" s="226">
        <f>SUM(G3:K3)</f>
        <v>0</v>
      </c>
      <c r="M3" s="227">
        <v>0</v>
      </c>
      <c r="N3" s="227">
        <v>0</v>
      </c>
      <c r="O3" s="132">
        <v>0</v>
      </c>
      <c r="Q3" s="132">
        <v>0</v>
      </c>
      <c r="S3" s="234"/>
    </row>
    <row r="4" spans="1:19" ht="22.5" x14ac:dyDescent="0.25">
      <c r="A4" s="123" t="s">
        <v>70</v>
      </c>
      <c r="B4" s="160" t="s">
        <v>71</v>
      </c>
      <c r="C4" s="221" t="s">
        <v>72</v>
      </c>
      <c r="D4" s="123" t="s">
        <v>73</v>
      </c>
      <c r="E4" s="161">
        <v>0.78</v>
      </c>
      <c r="F4" s="147">
        <v>207758.2</v>
      </c>
      <c r="G4" s="236">
        <f>37.5/1000</f>
        <v>3.7499999999999999E-2</v>
      </c>
      <c r="H4" s="236">
        <v>0</v>
      </c>
      <c r="I4" s="248">
        <f>37.95/1000</f>
        <v>3.7950000000000005E-2</v>
      </c>
      <c r="J4" s="248">
        <f>(6+2.92)/1000</f>
        <v>8.9199999999999991E-3</v>
      </c>
      <c r="K4" s="248">
        <f>5.25/1000</f>
        <v>5.2500000000000003E-3</v>
      </c>
      <c r="L4" s="212">
        <f t="shared" ref="L4:L26" si="0">SUM(G4:K4)</f>
        <v>8.9620000000000005E-2</v>
      </c>
      <c r="M4" s="248">
        <f>37.5/1000</f>
        <v>3.7499999999999999E-2</v>
      </c>
      <c r="N4" s="248">
        <f>37.5/1000</f>
        <v>3.7499999999999999E-2</v>
      </c>
      <c r="O4" s="248">
        <f>0.0225+0.0125</f>
        <v>3.5000000000000003E-2</v>
      </c>
      <c r="P4" s="229" t="s">
        <v>551</v>
      </c>
      <c r="Q4" s="248">
        <f>34.92/1000</f>
        <v>3.492E-2</v>
      </c>
      <c r="S4" s="234"/>
    </row>
    <row r="5" spans="1:19" ht="22.5" x14ac:dyDescent="0.25">
      <c r="A5" s="123" t="s">
        <v>75</v>
      </c>
      <c r="B5" s="117" t="s">
        <v>82</v>
      </c>
      <c r="C5" s="221" t="s">
        <v>83</v>
      </c>
      <c r="D5" s="123" t="s">
        <v>58</v>
      </c>
      <c r="E5" s="161">
        <v>4.5659999999999998</v>
      </c>
      <c r="F5" s="147">
        <v>90796.58</v>
      </c>
      <c r="G5" s="237">
        <f>29.98/100</f>
        <v>0.29980000000000001</v>
      </c>
      <c r="H5" s="236">
        <f>5.95/100</f>
        <v>5.9500000000000004E-2</v>
      </c>
      <c r="I5" s="236">
        <f>30.44/100</f>
        <v>0.3044</v>
      </c>
      <c r="J5" s="236">
        <f>6.59/100</f>
        <v>6.59E-2</v>
      </c>
      <c r="K5" s="236">
        <f>4.93/100</f>
        <v>4.9299999999999997E-2</v>
      </c>
      <c r="L5" s="238">
        <f t="shared" si="0"/>
        <v>0.77889999999999993</v>
      </c>
      <c r="M5" s="236">
        <f>31.06/100</f>
        <v>0.31059999999999999</v>
      </c>
      <c r="N5" s="236">
        <f>27.73/100</f>
        <v>0.27729999999999999</v>
      </c>
      <c r="O5" s="236">
        <f>(17.25+9.3)/100</f>
        <v>0.26550000000000001</v>
      </c>
      <c r="Q5" s="236">
        <f>30.83/100</f>
        <v>0.30829999999999996</v>
      </c>
      <c r="S5" s="234"/>
    </row>
    <row r="6" spans="1:19" ht="22.5" x14ac:dyDescent="0.25">
      <c r="A6" s="123" t="s">
        <v>88</v>
      </c>
      <c r="B6" s="160" t="s">
        <v>89</v>
      </c>
      <c r="C6" s="221" t="s">
        <v>90</v>
      </c>
      <c r="D6" s="123" t="s">
        <v>58</v>
      </c>
      <c r="E6" s="161">
        <v>2.08</v>
      </c>
      <c r="F6" s="162">
        <v>38470.42</v>
      </c>
      <c r="G6" s="238">
        <f>14.12/100</f>
        <v>0.14119999999999999</v>
      </c>
      <c r="H6" s="212">
        <f>2.48/100</f>
        <v>2.4799999999999999E-2</v>
      </c>
      <c r="I6" s="238">
        <f>13.06/100</f>
        <v>0.13059999999999999</v>
      </c>
      <c r="J6" s="249">
        <f>3/100</f>
        <v>0.03</v>
      </c>
      <c r="K6" s="238">
        <f>2.08/100</f>
        <v>2.0799999999999999E-2</v>
      </c>
      <c r="L6" s="238">
        <f t="shared" si="0"/>
        <v>0.34739999999999999</v>
      </c>
      <c r="M6" s="212">
        <f>14.55/100</f>
        <v>0.14550000000000002</v>
      </c>
      <c r="N6" s="238">
        <f>13.48/100</f>
        <v>0.1348</v>
      </c>
      <c r="O6" s="238">
        <f>(7.33+4.3)/100</f>
        <v>0.11629999999999999</v>
      </c>
      <c r="Q6" s="238">
        <f>13.33/100</f>
        <v>0.1333</v>
      </c>
      <c r="S6" s="234"/>
    </row>
    <row r="7" spans="1:19" ht="22.5" x14ac:dyDescent="0.25">
      <c r="A7" s="123" t="s">
        <v>95</v>
      </c>
      <c r="B7" s="160" t="s">
        <v>96</v>
      </c>
      <c r="C7" s="221" t="s">
        <v>97</v>
      </c>
      <c r="D7" s="123" t="s">
        <v>58</v>
      </c>
      <c r="E7" s="161">
        <v>2.08</v>
      </c>
      <c r="F7" s="162">
        <v>316235.57</v>
      </c>
      <c r="G7" s="238">
        <f>14.12/100</f>
        <v>0.14119999999999999</v>
      </c>
      <c r="H7" s="238">
        <f>2.48/100</f>
        <v>2.4799999999999999E-2</v>
      </c>
      <c r="I7" s="238">
        <f>I6</f>
        <v>0.13059999999999999</v>
      </c>
      <c r="J7" s="249">
        <f>3/100</f>
        <v>0.03</v>
      </c>
      <c r="K7" s="238">
        <f>K6</f>
        <v>2.0799999999999999E-2</v>
      </c>
      <c r="L7" s="238">
        <f t="shared" si="0"/>
        <v>0.34739999999999999</v>
      </c>
      <c r="M7" s="238">
        <f>M6</f>
        <v>0.14550000000000002</v>
      </c>
      <c r="N7" s="238">
        <f>N6</f>
        <v>0.1348</v>
      </c>
      <c r="O7" s="238">
        <f>O6</f>
        <v>0.11629999999999999</v>
      </c>
      <c r="Q7" s="238">
        <f>Q6</f>
        <v>0.1333</v>
      </c>
      <c r="S7" s="234"/>
    </row>
    <row r="8" spans="1:19" x14ac:dyDescent="0.25">
      <c r="A8" s="123" t="s">
        <v>103</v>
      </c>
      <c r="B8" s="160" t="s">
        <v>104</v>
      </c>
      <c r="C8" s="221" t="s">
        <v>105</v>
      </c>
      <c r="D8" s="123" t="s">
        <v>106</v>
      </c>
      <c r="E8" s="161">
        <v>262.08</v>
      </c>
      <c r="F8" s="162">
        <v>1628491.9</v>
      </c>
      <c r="G8" s="212">
        <f>1.26*100*G7</f>
        <v>17.7912</v>
      </c>
      <c r="H8" s="212">
        <f>1.26*100*H7</f>
        <v>3.1248</v>
      </c>
      <c r="I8" s="212">
        <f>1.26*100*I7</f>
        <v>16.4556</v>
      </c>
      <c r="J8" s="212">
        <f>1.26*100*J7</f>
        <v>3.78</v>
      </c>
      <c r="K8" s="212">
        <f>1.26*100*K7</f>
        <v>2.6208</v>
      </c>
      <c r="L8" s="212">
        <f t="shared" si="0"/>
        <v>43.772400000000005</v>
      </c>
      <c r="M8" s="212">
        <f>1.26*100*M7</f>
        <v>18.333000000000002</v>
      </c>
      <c r="N8" s="212">
        <f>1.26*100*N7</f>
        <v>16.9848</v>
      </c>
      <c r="O8" s="212">
        <f>1.26*100*O7</f>
        <v>14.653799999999999</v>
      </c>
      <c r="Q8" s="212">
        <f>1.26*100*Q7</f>
        <v>16.7958</v>
      </c>
      <c r="S8" s="234"/>
    </row>
    <row r="9" spans="1:19" ht="22.5" x14ac:dyDescent="0.25">
      <c r="A9" s="123" t="s">
        <v>109</v>
      </c>
      <c r="B9" s="160" t="s">
        <v>110</v>
      </c>
      <c r="C9" s="221" t="s">
        <v>111</v>
      </c>
      <c r="D9" s="123" t="s">
        <v>73</v>
      </c>
      <c r="E9" s="161">
        <v>0.4647</v>
      </c>
      <c r="F9" s="162">
        <v>7513342.6799999997</v>
      </c>
      <c r="G9" s="238">
        <f>37.5/1000</f>
        <v>3.7499999999999999E-2</v>
      </c>
      <c r="H9" s="238">
        <f>6.4/1000</f>
        <v>6.4000000000000003E-3</v>
      </c>
      <c r="I9" s="250">
        <f>37.95/1000</f>
        <v>3.7950000000000005E-2</v>
      </c>
      <c r="J9" s="250">
        <f>8.92/1000</f>
        <v>8.9199999999999991E-3</v>
      </c>
      <c r="K9" s="250">
        <f>5.25/1000</f>
        <v>5.2500000000000003E-3</v>
      </c>
      <c r="L9" s="238">
        <f t="shared" si="0"/>
        <v>9.6020000000000008E-2</v>
      </c>
      <c r="M9" s="238">
        <f>37.5/1000</f>
        <v>3.7499999999999999E-2</v>
      </c>
      <c r="N9" s="238">
        <f>37.5/1000</f>
        <v>3.7499999999999999E-2</v>
      </c>
      <c r="O9" s="238">
        <f>(22.5+12.5)/1000</f>
        <v>3.5000000000000003E-2</v>
      </c>
      <c r="Q9" s="238">
        <f>34.92/1000</f>
        <v>3.492E-2</v>
      </c>
      <c r="S9" s="234"/>
    </row>
    <row r="10" spans="1:19" s="229" customFormat="1" ht="22.5" x14ac:dyDescent="0.25">
      <c r="A10" s="166" t="s">
        <v>112</v>
      </c>
      <c r="B10" s="167" t="s">
        <v>113</v>
      </c>
      <c r="C10" s="222" t="s">
        <v>114</v>
      </c>
      <c r="D10" s="166" t="s">
        <v>115</v>
      </c>
      <c r="E10" s="169">
        <v>-855</v>
      </c>
      <c r="F10" s="170">
        <v>-1527842.25</v>
      </c>
      <c r="G10" s="228" t="s">
        <v>540</v>
      </c>
      <c r="H10" s="228" t="s">
        <v>540</v>
      </c>
      <c r="I10" s="228" t="s">
        <v>540</v>
      </c>
      <c r="J10" s="228" t="s">
        <v>540</v>
      </c>
      <c r="K10" s="228" t="s">
        <v>540</v>
      </c>
      <c r="L10" s="228" t="s">
        <v>540</v>
      </c>
      <c r="M10" s="228" t="s">
        <v>540</v>
      </c>
      <c r="N10" s="228" t="s">
        <v>540</v>
      </c>
      <c r="O10" s="228" t="s">
        <v>540</v>
      </c>
      <c r="Q10" s="228" t="s">
        <v>540</v>
      </c>
      <c r="S10" s="234"/>
    </row>
    <row r="11" spans="1:19" s="229" customFormat="1" x14ac:dyDescent="0.25">
      <c r="A11" s="166" t="s">
        <v>116</v>
      </c>
      <c r="B11" s="167" t="s">
        <v>117</v>
      </c>
      <c r="C11" s="222" t="s">
        <v>118</v>
      </c>
      <c r="D11" s="166" t="s">
        <v>115</v>
      </c>
      <c r="E11" s="169">
        <v>-1710</v>
      </c>
      <c r="F11" s="170">
        <v>-708444.45</v>
      </c>
      <c r="G11" s="228" t="s">
        <v>540</v>
      </c>
      <c r="H11" s="228" t="s">
        <v>540</v>
      </c>
      <c r="I11" s="228" t="s">
        <v>540</v>
      </c>
      <c r="J11" s="228" t="s">
        <v>540</v>
      </c>
      <c r="K11" s="228" t="s">
        <v>540</v>
      </c>
      <c r="L11" s="228" t="s">
        <v>540</v>
      </c>
      <c r="M11" s="228" t="s">
        <v>540</v>
      </c>
      <c r="N11" s="228" t="s">
        <v>540</v>
      </c>
      <c r="O11" s="228" t="s">
        <v>540</v>
      </c>
      <c r="Q11" s="228" t="s">
        <v>540</v>
      </c>
      <c r="S11" s="234"/>
    </row>
    <row r="12" spans="1:19" ht="22.5" x14ac:dyDescent="0.25">
      <c r="A12" s="123" t="s">
        <v>119</v>
      </c>
      <c r="B12" s="160" t="s">
        <v>120</v>
      </c>
      <c r="C12" s="221" t="s">
        <v>121</v>
      </c>
      <c r="D12" s="123" t="s">
        <v>115</v>
      </c>
      <c r="E12" s="161">
        <v>855</v>
      </c>
      <c r="F12" s="162">
        <v>11682341.33</v>
      </c>
      <c r="G12" s="143">
        <v>69</v>
      </c>
      <c r="H12" s="132">
        <v>12</v>
      </c>
      <c r="I12" s="132">
        <v>61</v>
      </c>
      <c r="J12" s="132">
        <v>8</v>
      </c>
      <c r="K12" s="132">
        <v>11</v>
      </c>
      <c r="L12" s="213">
        <f t="shared" si="0"/>
        <v>161</v>
      </c>
      <c r="M12" s="132">
        <v>69</v>
      </c>
      <c r="N12" s="132">
        <v>69</v>
      </c>
      <c r="O12" s="132">
        <f>32+23</f>
        <v>55</v>
      </c>
      <c r="Q12" s="132">
        <v>64</v>
      </c>
      <c r="S12" s="234"/>
    </row>
    <row r="13" spans="1:19" s="229" customFormat="1" ht="22.5" x14ac:dyDescent="0.25">
      <c r="A13" s="166" t="s">
        <v>124</v>
      </c>
      <c r="B13" s="167" t="s">
        <v>125</v>
      </c>
      <c r="C13" s="222" t="s">
        <v>126</v>
      </c>
      <c r="D13" s="166" t="s">
        <v>127</v>
      </c>
      <c r="E13" s="169">
        <v>-0.307</v>
      </c>
      <c r="F13" s="170">
        <v>-30401.62</v>
      </c>
      <c r="G13" s="228" t="s">
        <v>540</v>
      </c>
      <c r="H13" s="228" t="s">
        <v>540</v>
      </c>
      <c r="I13" s="228" t="s">
        <v>540</v>
      </c>
      <c r="J13" s="228" t="s">
        <v>540</v>
      </c>
      <c r="K13" s="228" t="s">
        <v>540</v>
      </c>
      <c r="L13" s="228" t="s">
        <v>540</v>
      </c>
      <c r="M13" s="228" t="s">
        <v>540</v>
      </c>
      <c r="N13" s="228" t="s">
        <v>540</v>
      </c>
      <c r="O13" s="228" t="s">
        <v>540</v>
      </c>
      <c r="Q13" s="228" t="s">
        <v>540</v>
      </c>
      <c r="S13" s="234"/>
    </row>
    <row r="14" spans="1:19" x14ac:dyDescent="0.25">
      <c r="A14" s="123" t="s">
        <v>128</v>
      </c>
      <c r="B14" s="160" t="s">
        <v>120</v>
      </c>
      <c r="C14" s="221" t="s">
        <v>129</v>
      </c>
      <c r="D14" s="123" t="s">
        <v>130</v>
      </c>
      <c r="E14" s="161">
        <v>0.307</v>
      </c>
      <c r="F14" s="162">
        <v>84801.18</v>
      </c>
      <c r="G14" s="239">
        <v>5.1999999999999998E-2</v>
      </c>
      <c r="H14" s="239">
        <v>1.2999999999999999E-2</v>
      </c>
      <c r="I14" s="239">
        <v>0.05</v>
      </c>
      <c r="J14" s="239">
        <v>1.2999999999999999E-2</v>
      </c>
      <c r="K14" s="239">
        <v>1.4E-2</v>
      </c>
      <c r="L14" s="239">
        <f t="shared" si="0"/>
        <v>0.14200000000000002</v>
      </c>
      <c r="M14" s="239">
        <v>5.7000000000000002E-2</v>
      </c>
      <c r="N14" s="239">
        <v>5.5E-2</v>
      </c>
      <c r="O14" s="239">
        <f>0.023+0.017</f>
        <v>0.04</v>
      </c>
      <c r="Q14" s="239">
        <v>5.1999999999999998E-2</v>
      </c>
      <c r="S14" s="234"/>
    </row>
    <row r="15" spans="1:19" s="229" customFormat="1" x14ac:dyDescent="0.25">
      <c r="A15" s="166" t="s">
        <v>132</v>
      </c>
      <c r="B15" s="167" t="s">
        <v>133</v>
      </c>
      <c r="C15" s="222" t="s">
        <v>134</v>
      </c>
      <c r="D15" s="166" t="s">
        <v>115</v>
      </c>
      <c r="E15" s="169">
        <v>-149</v>
      </c>
      <c r="F15" s="170">
        <v>-205672.15</v>
      </c>
      <c r="G15" s="228" t="s">
        <v>540</v>
      </c>
      <c r="H15" s="228" t="s">
        <v>540</v>
      </c>
      <c r="I15" s="228" t="s">
        <v>540</v>
      </c>
      <c r="J15" s="228" t="s">
        <v>540</v>
      </c>
      <c r="K15" s="228" t="s">
        <v>540</v>
      </c>
      <c r="L15" s="228" t="s">
        <v>540</v>
      </c>
      <c r="M15" s="228" t="s">
        <v>540</v>
      </c>
      <c r="N15" s="228" t="s">
        <v>540</v>
      </c>
      <c r="O15" s="228" t="s">
        <v>540</v>
      </c>
      <c r="Q15" s="228" t="s">
        <v>540</v>
      </c>
      <c r="S15" s="234"/>
    </row>
    <row r="16" spans="1:19" x14ac:dyDescent="0.25">
      <c r="A16" s="123" t="s">
        <v>135</v>
      </c>
      <c r="B16" s="160" t="s">
        <v>120</v>
      </c>
      <c r="C16" s="221" t="s">
        <v>136</v>
      </c>
      <c r="D16" s="123" t="s">
        <v>130</v>
      </c>
      <c r="E16" s="161">
        <v>3.18</v>
      </c>
      <c r="F16" s="162">
        <v>1185471.18</v>
      </c>
      <c r="G16" s="239">
        <v>0.36</v>
      </c>
      <c r="H16" s="239">
        <v>0.12</v>
      </c>
      <c r="I16" s="239">
        <v>0.24</v>
      </c>
      <c r="J16" s="239">
        <v>0.12</v>
      </c>
      <c r="K16" s="239">
        <v>0.12</v>
      </c>
      <c r="L16" s="239">
        <f t="shared" si="0"/>
        <v>0.96</v>
      </c>
      <c r="M16" s="239">
        <v>0.24</v>
      </c>
      <c r="N16" s="239">
        <v>0.24</v>
      </c>
      <c r="O16" s="239">
        <f>0.24+0.18</f>
        <v>0.42</v>
      </c>
      <c r="Q16" s="239">
        <v>0.36</v>
      </c>
      <c r="S16" s="234"/>
    </row>
    <row r="17" spans="1:19" s="229" customFormat="1" x14ac:dyDescent="0.25">
      <c r="A17" s="166" t="s">
        <v>138</v>
      </c>
      <c r="B17" s="167" t="s">
        <v>139</v>
      </c>
      <c r="C17" s="222" t="s">
        <v>140</v>
      </c>
      <c r="D17" s="166" t="s">
        <v>141</v>
      </c>
      <c r="E17" s="169">
        <v>-929.4</v>
      </c>
      <c r="F17" s="170">
        <v>-3100850.16</v>
      </c>
      <c r="G17" s="228" t="s">
        <v>540</v>
      </c>
      <c r="H17" s="228" t="s">
        <v>540</v>
      </c>
      <c r="I17" s="228" t="s">
        <v>540</v>
      </c>
      <c r="J17" s="228" t="s">
        <v>540</v>
      </c>
      <c r="K17" s="228" t="s">
        <v>540</v>
      </c>
      <c r="L17" s="228" t="s">
        <v>540</v>
      </c>
      <c r="M17" s="228" t="s">
        <v>540</v>
      </c>
      <c r="N17" s="228" t="s">
        <v>540</v>
      </c>
      <c r="O17" s="228" t="s">
        <v>540</v>
      </c>
      <c r="Q17" s="228" t="s">
        <v>540</v>
      </c>
      <c r="S17" s="234"/>
    </row>
    <row r="18" spans="1:19" x14ac:dyDescent="0.25">
      <c r="A18" s="123" t="s">
        <v>142</v>
      </c>
      <c r="B18" s="160" t="s">
        <v>120</v>
      </c>
      <c r="C18" s="221" t="s">
        <v>143</v>
      </c>
      <c r="D18" s="123" t="s">
        <v>130</v>
      </c>
      <c r="E18" s="161">
        <v>60.75</v>
      </c>
      <c r="F18" s="162">
        <v>10553895.23</v>
      </c>
      <c r="G18" s="239">
        <f>64.88*37.5*2/1000</f>
        <v>4.8659999999999997</v>
      </c>
      <c r="H18" s="239">
        <f>64.88*6.4*2/1000</f>
        <v>0.83046399999999998</v>
      </c>
      <c r="I18" s="239">
        <f>64.88*37.95*2/1000</f>
        <v>4.9243920000000001</v>
      </c>
      <c r="J18" s="239">
        <f>64.88*8.92*2/1000</f>
        <v>1.1574591999999999</v>
      </c>
      <c r="K18" s="239">
        <f>64.88*5.25*2/1000</f>
        <v>0.68123999999999996</v>
      </c>
      <c r="L18" s="239">
        <f t="shared" si="0"/>
        <v>12.4595552</v>
      </c>
      <c r="M18" s="239">
        <f>64.88*75/1000</f>
        <v>4.8659999999999997</v>
      </c>
      <c r="N18" s="239">
        <f>64.88*75/1000</f>
        <v>4.8659999999999997</v>
      </c>
      <c r="O18" s="239">
        <f>2.92+1.62</f>
        <v>4.54</v>
      </c>
      <c r="P18" s="229"/>
      <c r="Q18" s="239">
        <v>4.53</v>
      </c>
      <c r="S18" s="234"/>
    </row>
    <row r="19" spans="1:19" x14ac:dyDescent="0.25">
      <c r="A19" s="123" t="s">
        <v>145</v>
      </c>
      <c r="B19" s="160" t="s">
        <v>120</v>
      </c>
      <c r="C19" s="221" t="s">
        <v>146</v>
      </c>
      <c r="D19" s="123" t="s">
        <v>147</v>
      </c>
      <c r="E19" s="161">
        <v>16</v>
      </c>
      <c r="F19" s="162">
        <v>262341.27</v>
      </c>
      <c r="G19" s="208">
        <v>2</v>
      </c>
      <c r="H19" s="208">
        <v>0</v>
      </c>
      <c r="I19" s="208">
        <v>4</v>
      </c>
      <c r="J19" s="208">
        <v>0</v>
      </c>
      <c r="K19" s="208">
        <v>0</v>
      </c>
      <c r="L19" s="213">
        <f t="shared" si="0"/>
        <v>6</v>
      </c>
      <c r="M19" s="208">
        <v>4</v>
      </c>
      <c r="N19" s="208">
        <v>4</v>
      </c>
      <c r="O19" s="208">
        <v>2</v>
      </c>
      <c r="P19" s="229" t="s">
        <v>553</v>
      </c>
      <c r="Q19" s="268">
        <v>0</v>
      </c>
      <c r="R19" s="229" t="s">
        <v>555</v>
      </c>
      <c r="S19" s="234"/>
    </row>
    <row r="20" spans="1:19" ht="22.5" x14ac:dyDescent="0.25">
      <c r="A20" s="252" t="s">
        <v>149</v>
      </c>
      <c r="B20" s="253" t="s">
        <v>150</v>
      </c>
      <c r="C20" s="254" t="s">
        <v>151</v>
      </c>
      <c r="D20" s="252" t="s">
        <v>152</v>
      </c>
      <c r="E20" s="242">
        <v>6.84</v>
      </c>
      <c r="F20" s="255">
        <v>2675.92</v>
      </c>
      <c r="G20" s="244">
        <f>0.18*2</f>
        <v>0.36</v>
      </c>
      <c r="H20" s="245">
        <f>E20/38*6</f>
        <v>1.08</v>
      </c>
      <c r="I20" s="245">
        <f>E20/38*4</f>
        <v>0.72</v>
      </c>
      <c r="J20" s="245">
        <f>E20/38*7</f>
        <v>1.26</v>
      </c>
      <c r="K20" s="244">
        <f>E20/38*6</f>
        <v>1.08</v>
      </c>
      <c r="L20" s="244">
        <f t="shared" si="0"/>
        <v>4.5</v>
      </c>
      <c r="M20" s="245">
        <f>E20/38*3</f>
        <v>0.54</v>
      </c>
      <c r="N20" s="245">
        <f>E20/38*3</f>
        <v>0.54</v>
      </c>
      <c r="O20" s="245">
        <f>E20/38*8*0</f>
        <v>0</v>
      </c>
      <c r="P20" s="229" t="s">
        <v>552</v>
      </c>
      <c r="Q20" s="245">
        <f>G20/38*8*0</f>
        <v>0</v>
      </c>
      <c r="S20" s="234"/>
    </row>
    <row r="21" spans="1:19" ht="22.5" x14ac:dyDescent="0.25">
      <c r="A21" s="123" t="s">
        <v>157</v>
      </c>
      <c r="B21" s="160" t="s">
        <v>158</v>
      </c>
      <c r="C21" s="221" t="s">
        <v>159</v>
      </c>
      <c r="D21" s="123" t="s">
        <v>160</v>
      </c>
      <c r="E21" s="161">
        <v>0.2051</v>
      </c>
      <c r="F21" s="162">
        <v>534393.89</v>
      </c>
      <c r="G21" s="214">
        <f>15.35/1000</f>
        <v>1.5349999999999999E-2</v>
      </c>
      <c r="H21" s="132">
        <f>2.71/1000</f>
        <v>2.7100000000000002E-3</v>
      </c>
      <c r="I21" s="132">
        <f>14.62/1000</f>
        <v>1.4619999999999999E-2</v>
      </c>
      <c r="J21" s="250">
        <f>4.24/1000</f>
        <v>4.2399999999999998E-3</v>
      </c>
      <c r="K21" s="132">
        <f>2.14/1000</f>
        <v>2.14E-3</v>
      </c>
      <c r="L21" s="214">
        <f t="shared" si="0"/>
        <v>3.9060000000000004E-2</v>
      </c>
      <c r="M21" s="250">
        <f>16.13/1000</f>
        <v>1.6129999999999999E-2</v>
      </c>
      <c r="N21" s="250">
        <f>14.21/1000</f>
        <v>1.421E-2</v>
      </c>
      <c r="O21" s="250">
        <f>(8.53+4.39)/1000</f>
        <v>1.2919999999999997E-2</v>
      </c>
      <c r="Q21" s="250">
        <f>14.66/1000</f>
        <v>1.4659999999999999E-2</v>
      </c>
      <c r="S21" s="234"/>
    </row>
    <row r="22" spans="1:19" x14ac:dyDescent="0.25">
      <c r="A22" s="117" t="s">
        <v>161</v>
      </c>
      <c r="B22" s="117"/>
      <c r="C22" s="221"/>
      <c r="D22" s="123"/>
      <c r="E22" s="123"/>
      <c r="F22" s="147"/>
      <c r="G22" s="226"/>
      <c r="H22" s="227"/>
      <c r="I22" s="227"/>
      <c r="J22" s="227"/>
      <c r="K22" s="227"/>
      <c r="L22" s="226"/>
      <c r="M22" s="227"/>
      <c r="N22" s="227"/>
      <c r="O22" s="227"/>
      <c r="Q22" s="227"/>
      <c r="S22" s="234"/>
    </row>
    <row r="23" spans="1:19" ht="33.75" x14ac:dyDescent="0.25">
      <c r="A23" s="123" t="s">
        <v>162</v>
      </c>
      <c r="B23" s="160" t="s">
        <v>163</v>
      </c>
      <c r="C23" s="221" t="s">
        <v>164</v>
      </c>
      <c r="D23" s="123" t="s">
        <v>165</v>
      </c>
      <c r="E23" s="161">
        <v>829.75</v>
      </c>
      <c r="F23" s="162">
        <v>42756.02</v>
      </c>
      <c r="G23" s="143">
        <f>(G3+G5)*1.75*100</f>
        <v>52.465000000000003</v>
      </c>
      <c r="H23" s="143">
        <f>(H3+H5)*1.75*100</f>
        <v>10.412500000000001</v>
      </c>
      <c r="I23" s="143">
        <f>(I3+I5)*1.75*100</f>
        <v>53.269999999999996</v>
      </c>
      <c r="J23" s="207">
        <f>(J3+J5)*1.75*100</f>
        <v>11.532499999999999</v>
      </c>
      <c r="K23" s="207">
        <f>(K3+K5)*1.75*100</f>
        <v>8.6274999999999995</v>
      </c>
      <c r="L23" s="215">
        <f t="shared" si="0"/>
        <v>136.3075</v>
      </c>
      <c r="M23" s="207">
        <f>(M3+M5)*1.75*100</f>
        <v>54.354999999999997</v>
      </c>
      <c r="N23" s="207">
        <f>(N3+N5)*1.75*100</f>
        <v>48.527500000000003</v>
      </c>
      <c r="O23" s="207">
        <f>(O3+O5)*1.75*100</f>
        <v>46.462499999999999</v>
      </c>
      <c r="Q23" s="207">
        <f>(Q3+Q5)*1.75*100</f>
        <v>53.952499999999993</v>
      </c>
      <c r="S23" s="234"/>
    </row>
    <row r="24" spans="1:19" ht="33.75" x14ac:dyDescent="0.25">
      <c r="A24" s="252" t="s">
        <v>166</v>
      </c>
      <c r="B24" s="253" t="s">
        <v>167</v>
      </c>
      <c r="C24" s="254" t="s">
        <v>168</v>
      </c>
      <c r="D24" s="252" t="s">
        <v>165</v>
      </c>
      <c r="E24" s="242">
        <v>86.37</v>
      </c>
      <c r="F24" s="255">
        <v>11384.09</v>
      </c>
      <c r="G24" s="244">
        <v>3.89</v>
      </c>
      <c r="H24" s="245">
        <v>0</v>
      </c>
      <c r="I24" s="245">
        <v>3.93</v>
      </c>
      <c r="J24" s="246">
        <v>0.93</v>
      </c>
      <c r="K24" s="246">
        <v>0.54</v>
      </c>
      <c r="L24" s="247">
        <f t="shared" si="0"/>
        <v>9.2899999999999991</v>
      </c>
      <c r="M24" s="246">
        <f>4.07+0.03</f>
        <v>4.1000000000000005</v>
      </c>
      <c r="N24" s="246">
        <f>3.89+0.17+0.01</f>
        <v>4.07</v>
      </c>
      <c r="O24" s="246">
        <f>(2.33+0.025+1.58)*0</f>
        <v>0</v>
      </c>
      <c r="P24" s="229" t="s">
        <v>552</v>
      </c>
      <c r="Q24" s="246">
        <f>(2.33+0.025+1.58)*0</f>
        <v>0</v>
      </c>
      <c r="S24" s="234"/>
    </row>
    <row r="25" spans="1:19" ht="22.5" x14ac:dyDescent="0.25">
      <c r="A25" s="252" t="s">
        <v>169</v>
      </c>
      <c r="B25" s="253" t="s">
        <v>170</v>
      </c>
      <c r="C25" s="254" t="s">
        <v>171</v>
      </c>
      <c r="D25" s="252" t="s">
        <v>165</v>
      </c>
      <c r="E25" s="242">
        <v>133.68</v>
      </c>
      <c r="F25" s="255">
        <v>22849.25</v>
      </c>
      <c r="G25" s="256">
        <v>2.8</v>
      </c>
      <c r="H25" s="246">
        <v>0</v>
      </c>
      <c r="I25" s="246">
        <v>2.48</v>
      </c>
      <c r="J25" s="246">
        <v>1.2</v>
      </c>
      <c r="K25" s="246">
        <v>0.56000000000000005</v>
      </c>
      <c r="L25" s="247">
        <f t="shared" si="0"/>
        <v>7.0399999999999991</v>
      </c>
      <c r="M25" s="246">
        <v>4.4800000000000004</v>
      </c>
      <c r="N25" s="246">
        <v>5.04</v>
      </c>
      <c r="O25" s="246">
        <f>(2+0.8)*0</f>
        <v>0</v>
      </c>
      <c r="P25" s="229" t="s">
        <v>552</v>
      </c>
      <c r="Q25" s="246">
        <f>(2+0.8)*0</f>
        <v>0</v>
      </c>
      <c r="S25" s="234"/>
    </row>
    <row r="26" spans="1:19" ht="33.75" x14ac:dyDescent="0.25">
      <c r="A26" s="123" t="s">
        <v>172</v>
      </c>
      <c r="B26" s="160" t="s">
        <v>173</v>
      </c>
      <c r="C26" s="221" t="s">
        <v>174</v>
      </c>
      <c r="D26" s="123" t="s">
        <v>165</v>
      </c>
      <c r="E26" s="161">
        <v>1049.8</v>
      </c>
      <c r="F26" s="162">
        <v>65727.17</v>
      </c>
      <c r="G26" s="215">
        <f>G23</f>
        <v>52.465000000000003</v>
      </c>
      <c r="H26" s="215">
        <f t="shared" ref="H26:K26" si="1">H23</f>
        <v>10.412500000000001</v>
      </c>
      <c r="I26" s="215">
        <f t="shared" si="1"/>
        <v>53.269999999999996</v>
      </c>
      <c r="J26" s="215">
        <f t="shared" si="1"/>
        <v>11.532499999999999</v>
      </c>
      <c r="K26" s="215">
        <f t="shared" si="1"/>
        <v>8.6274999999999995</v>
      </c>
      <c r="L26" s="215">
        <f t="shared" si="0"/>
        <v>136.3075</v>
      </c>
      <c r="M26" s="215">
        <f t="shared" ref="M26:N26" si="2">M23</f>
        <v>54.354999999999997</v>
      </c>
      <c r="N26" s="215">
        <f t="shared" si="2"/>
        <v>48.527500000000003</v>
      </c>
      <c r="O26" s="215">
        <f t="shared" ref="O26:Q26" si="3">O23</f>
        <v>46.462499999999999</v>
      </c>
      <c r="Q26" s="215">
        <f t="shared" si="3"/>
        <v>53.952499999999993</v>
      </c>
      <c r="S26" s="234"/>
    </row>
    <row r="27" spans="1:19" hidden="1" x14ac:dyDescent="0.25">
      <c r="A27" s="114" t="s">
        <v>206</v>
      </c>
      <c r="B27" s="114"/>
      <c r="C27" s="220"/>
      <c r="D27" s="120"/>
      <c r="E27" s="120"/>
      <c r="F27" s="140"/>
    </row>
    <row r="28" spans="1:19" ht="22.5" hidden="1" x14ac:dyDescent="0.25">
      <c r="A28" s="123" t="s">
        <v>207</v>
      </c>
      <c r="B28" s="160" t="s">
        <v>208</v>
      </c>
      <c r="C28" s="221" t="s">
        <v>209</v>
      </c>
      <c r="D28" s="123" t="s">
        <v>210</v>
      </c>
      <c r="E28" s="161">
        <v>1</v>
      </c>
      <c r="F28" s="162">
        <v>44914.41</v>
      </c>
    </row>
    <row r="29" spans="1:19" ht="22.5" hidden="1" x14ac:dyDescent="0.25">
      <c r="A29" s="123" t="s">
        <v>211</v>
      </c>
      <c r="B29" s="160" t="s">
        <v>167</v>
      </c>
      <c r="C29" s="221" t="s">
        <v>212</v>
      </c>
      <c r="D29" s="123" t="s">
        <v>165</v>
      </c>
      <c r="E29" s="161">
        <v>8.6199999999999992</v>
      </c>
      <c r="F29" s="162">
        <v>1136.1500000000001</v>
      </c>
    </row>
    <row r="30" spans="1:19" ht="22.5" hidden="1" x14ac:dyDescent="0.25">
      <c r="A30" s="123" t="s">
        <v>213</v>
      </c>
      <c r="B30" s="160" t="s">
        <v>170</v>
      </c>
      <c r="C30" s="221" t="s">
        <v>214</v>
      </c>
      <c r="D30" s="123" t="s">
        <v>165</v>
      </c>
      <c r="E30" s="161">
        <v>5.04</v>
      </c>
      <c r="F30" s="162">
        <v>861.54</v>
      </c>
    </row>
    <row r="31" spans="1:19" ht="33.75" hidden="1" x14ac:dyDescent="0.25">
      <c r="A31" s="123" t="s">
        <v>215</v>
      </c>
      <c r="B31" s="160" t="s">
        <v>173</v>
      </c>
      <c r="C31" s="221" t="s">
        <v>174</v>
      </c>
      <c r="D31" s="123" t="s">
        <v>165</v>
      </c>
      <c r="E31" s="161">
        <v>13.66</v>
      </c>
      <c r="F31" s="162">
        <v>855.28</v>
      </c>
    </row>
    <row r="32" spans="1:19" hidden="1" x14ac:dyDescent="0.25">
      <c r="A32" s="114" t="s">
        <v>220</v>
      </c>
      <c r="B32" s="114"/>
      <c r="C32" s="220"/>
      <c r="D32" s="120"/>
      <c r="E32" s="120"/>
      <c r="F32" s="140"/>
    </row>
    <row r="33" spans="1:8" ht="22.5" hidden="1" x14ac:dyDescent="0.25">
      <c r="A33" s="123" t="s">
        <v>221</v>
      </c>
      <c r="B33" s="160" t="s">
        <v>208</v>
      </c>
      <c r="C33" s="221" t="s">
        <v>209</v>
      </c>
      <c r="D33" s="123" t="s">
        <v>210</v>
      </c>
      <c r="E33" s="161">
        <v>1</v>
      </c>
      <c r="F33" s="162">
        <v>44914.41</v>
      </c>
    </row>
    <row r="34" spans="1:8" ht="22.5" hidden="1" x14ac:dyDescent="0.25">
      <c r="A34" s="123" t="s">
        <v>222</v>
      </c>
      <c r="B34" s="160" t="s">
        <v>167</v>
      </c>
      <c r="C34" s="221" t="s">
        <v>212</v>
      </c>
      <c r="D34" s="123" t="s">
        <v>165</v>
      </c>
      <c r="E34" s="161">
        <v>8.6199999999999992</v>
      </c>
      <c r="F34" s="162">
        <v>1136.1500000000001</v>
      </c>
    </row>
    <row r="35" spans="1:8" ht="22.5" hidden="1" x14ac:dyDescent="0.25">
      <c r="A35" s="123" t="s">
        <v>223</v>
      </c>
      <c r="B35" s="160" t="s">
        <v>170</v>
      </c>
      <c r="C35" s="221" t="s">
        <v>214</v>
      </c>
      <c r="D35" s="123" t="s">
        <v>165</v>
      </c>
      <c r="E35" s="161">
        <v>5.04</v>
      </c>
      <c r="F35" s="162">
        <v>861.54</v>
      </c>
    </row>
    <row r="36" spans="1:8" ht="33.75" hidden="1" x14ac:dyDescent="0.25">
      <c r="A36" s="123" t="s">
        <v>224</v>
      </c>
      <c r="B36" s="160" t="s">
        <v>173</v>
      </c>
      <c r="C36" s="221" t="s">
        <v>174</v>
      </c>
      <c r="D36" s="123" t="s">
        <v>165</v>
      </c>
      <c r="E36" s="161">
        <v>13.66</v>
      </c>
      <c r="F36" s="162">
        <v>855.28</v>
      </c>
    </row>
    <row r="37" spans="1:8" hidden="1" x14ac:dyDescent="0.25">
      <c r="A37" s="114" t="s">
        <v>227</v>
      </c>
      <c r="B37" s="114"/>
      <c r="C37" s="220"/>
      <c r="D37" s="120"/>
      <c r="E37" s="120"/>
      <c r="F37" s="140"/>
    </row>
    <row r="38" spans="1:8" ht="22.5" hidden="1" x14ac:dyDescent="0.25">
      <c r="A38" s="123" t="s">
        <v>228</v>
      </c>
      <c r="B38" s="160" t="s">
        <v>208</v>
      </c>
      <c r="C38" s="221" t="s">
        <v>209</v>
      </c>
      <c r="D38" s="123" t="s">
        <v>210</v>
      </c>
      <c r="E38" s="161">
        <v>1</v>
      </c>
      <c r="F38" s="162">
        <v>44914.41</v>
      </c>
    </row>
    <row r="39" spans="1:8" ht="22.5" hidden="1" x14ac:dyDescent="0.25">
      <c r="A39" s="123" t="s">
        <v>229</v>
      </c>
      <c r="B39" s="160" t="s">
        <v>167</v>
      </c>
      <c r="C39" s="221" t="s">
        <v>212</v>
      </c>
      <c r="D39" s="123" t="s">
        <v>165</v>
      </c>
      <c r="E39" s="161">
        <v>11.71</v>
      </c>
      <c r="F39" s="162">
        <v>1543.51</v>
      </c>
    </row>
    <row r="40" spans="1:8" ht="22.5" hidden="1" x14ac:dyDescent="0.25">
      <c r="A40" s="123" t="s">
        <v>230</v>
      </c>
      <c r="B40" s="160" t="s">
        <v>170</v>
      </c>
      <c r="C40" s="221" t="s">
        <v>214</v>
      </c>
      <c r="D40" s="123" t="s">
        <v>165</v>
      </c>
      <c r="E40" s="161">
        <v>5.04</v>
      </c>
      <c r="F40" s="162">
        <v>861.54</v>
      </c>
    </row>
    <row r="41" spans="1:8" ht="33.75" hidden="1" x14ac:dyDescent="0.25">
      <c r="A41" s="123" t="s">
        <v>231</v>
      </c>
      <c r="B41" s="160" t="s">
        <v>173</v>
      </c>
      <c r="C41" s="221" t="s">
        <v>174</v>
      </c>
      <c r="D41" s="123" t="s">
        <v>165</v>
      </c>
      <c r="E41" s="161">
        <v>16.75</v>
      </c>
      <c r="F41" s="162">
        <v>1048.79</v>
      </c>
    </row>
    <row r="42" spans="1:8" hidden="1" outlineLevel="1" x14ac:dyDescent="0.25">
      <c r="A42" s="118" t="s">
        <v>234</v>
      </c>
      <c r="B42" s="118"/>
      <c r="C42" s="240"/>
      <c r="D42" s="120"/>
      <c r="E42" s="120"/>
      <c r="F42" s="140"/>
      <c r="G42" s="219" t="s">
        <v>541</v>
      </c>
      <c r="H42" s="218"/>
    </row>
    <row r="43" spans="1:8" ht="22.5" hidden="1" outlineLevel="1" x14ac:dyDescent="0.25">
      <c r="A43" s="123" t="s">
        <v>235</v>
      </c>
      <c r="B43" s="160" t="s">
        <v>208</v>
      </c>
      <c r="C43" s="241" t="s">
        <v>209</v>
      </c>
      <c r="D43" s="123" t="s">
        <v>210</v>
      </c>
      <c r="E43" s="161">
        <v>1</v>
      </c>
      <c r="F43" s="162">
        <v>44914.41</v>
      </c>
      <c r="G43" s="213">
        <v>1</v>
      </c>
      <c r="H43" s="218"/>
    </row>
    <row r="44" spans="1:8" ht="22.5" hidden="1" outlineLevel="1" x14ac:dyDescent="0.25">
      <c r="A44" s="123" t="s">
        <v>236</v>
      </c>
      <c r="B44" s="160" t="s">
        <v>82</v>
      </c>
      <c r="C44" s="221" t="s">
        <v>83</v>
      </c>
      <c r="D44" s="123" t="s">
        <v>58</v>
      </c>
      <c r="E44" s="161">
        <v>0.34</v>
      </c>
      <c r="F44" s="162">
        <v>6761.04</v>
      </c>
      <c r="G44" s="215">
        <f>20.1/100</f>
        <v>0.20100000000000001</v>
      </c>
      <c r="H44" s="218"/>
    </row>
    <row r="45" spans="1:8" ht="22.5" hidden="1" outlineLevel="1" x14ac:dyDescent="0.25">
      <c r="A45" s="123" t="s">
        <v>237</v>
      </c>
      <c r="B45" s="160" t="s">
        <v>89</v>
      </c>
      <c r="C45" s="221" t="s">
        <v>90</v>
      </c>
      <c r="D45" s="123" t="s">
        <v>58</v>
      </c>
      <c r="E45" s="161">
        <v>0.15540000000000001</v>
      </c>
      <c r="F45" s="162">
        <v>2874.51</v>
      </c>
      <c r="G45" s="212">
        <f>10.09/100</f>
        <v>0.1009</v>
      </c>
      <c r="H45" s="218"/>
    </row>
    <row r="46" spans="1:8" ht="22.5" hidden="1" outlineLevel="1" x14ac:dyDescent="0.25">
      <c r="A46" s="123" t="s">
        <v>238</v>
      </c>
      <c r="B46" s="160" t="s">
        <v>96</v>
      </c>
      <c r="C46" s="221" t="s">
        <v>97</v>
      </c>
      <c r="D46" s="123" t="s">
        <v>58</v>
      </c>
      <c r="E46" s="161">
        <v>0.155</v>
      </c>
      <c r="F46" s="162">
        <v>23565.74</v>
      </c>
      <c r="G46" s="212">
        <f>G45</f>
        <v>0.1009</v>
      </c>
      <c r="H46" s="218"/>
    </row>
    <row r="47" spans="1:8" hidden="1" outlineLevel="1" x14ac:dyDescent="0.25">
      <c r="A47" s="123" t="s">
        <v>239</v>
      </c>
      <c r="B47" s="160" t="s">
        <v>104</v>
      </c>
      <c r="C47" s="221" t="s">
        <v>105</v>
      </c>
      <c r="D47" s="123" t="s">
        <v>106</v>
      </c>
      <c r="E47" s="161">
        <v>19.53</v>
      </c>
      <c r="F47" s="162">
        <v>121353.95</v>
      </c>
      <c r="G47" s="212">
        <f>1.26*100*G46</f>
        <v>12.7134</v>
      </c>
      <c r="H47" s="218"/>
    </row>
    <row r="48" spans="1:8" ht="33.75" hidden="1" outlineLevel="1" x14ac:dyDescent="0.25">
      <c r="A48" s="123" t="s">
        <v>240</v>
      </c>
      <c r="B48" s="160" t="s">
        <v>241</v>
      </c>
      <c r="C48" s="221" t="s">
        <v>242</v>
      </c>
      <c r="D48" s="123" t="s">
        <v>210</v>
      </c>
      <c r="E48" s="161">
        <v>1</v>
      </c>
      <c r="F48" s="162">
        <v>207003.6</v>
      </c>
      <c r="G48" s="164">
        <v>1</v>
      </c>
      <c r="H48" s="218"/>
    </row>
    <row r="49" spans="1:8" hidden="1" outlineLevel="1" x14ac:dyDescent="0.25">
      <c r="A49" s="123" t="s">
        <v>243</v>
      </c>
      <c r="B49" s="160" t="s">
        <v>244</v>
      </c>
      <c r="C49" s="221" t="s">
        <v>245</v>
      </c>
      <c r="D49" s="123" t="s">
        <v>246</v>
      </c>
      <c r="E49" s="161">
        <v>1</v>
      </c>
      <c r="F49" s="162">
        <v>1667776.02</v>
      </c>
      <c r="G49" s="164">
        <v>1</v>
      </c>
      <c r="H49" s="218"/>
    </row>
    <row r="50" spans="1:8" ht="22.5" hidden="1" outlineLevel="1" x14ac:dyDescent="0.25">
      <c r="A50" s="123" t="s">
        <v>248</v>
      </c>
      <c r="B50" s="160" t="s">
        <v>249</v>
      </c>
      <c r="C50" s="221" t="s">
        <v>250</v>
      </c>
      <c r="D50" s="123" t="s">
        <v>246</v>
      </c>
      <c r="E50" s="161">
        <v>1</v>
      </c>
      <c r="F50" s="162">
        <v>3596141.97</v>
      </c>
      <c r="G50" s="164">
        <v>1</v>
      </c>
      <c r="H50" s="218"/>
    </row>
    <row r="51" spans="1:8" ht="33.75" hidden="1" outlineLevel="1" x14ac:dyDescent="0.25">
      <c r="A51" s="123" t="s">
        <v>252</v>
      </c>
      <c r="B51" s="160" t="s">
        <v>253</v>
      </c>
      <c r="C51" s="221" t="s">
        <v>254</v>
      </c>
      <c r="D51" s="123" t="s">
        <v>115</v>
      </c>
      <c r="E51" s="161">
        <v>1</v>
      </c>
      <c r="F51" s="162">
        <v>42192.34</v>
      </c>
      <c r="G51" s="164">
        <v>1</v>
      </c>
      <c r="H51" s="218"/>
    </row>
    <row r="52" spans="1:8" s="231" customFormat="1" hidden="1" outlineLevel="1" x14ac:dyDescent="0.25">
      <c r="A52" s="257" t="s">
        <v>259</v>
      </c>
      <c r="B52" s="258" t="s">
        <v>260</v>
      </c>
      <c r="C52" s="241" t="s">
        <v>261</v>
      </c>
      <c r="D52" s="257" t="s">
        <v>115</v>
      </c>
      <c r="E52" s="259">
        <v>-2</v>
      </c>
      <c r="F52" s="260">
        <v>-5066.7299999999996</v>
      </c>
      <c r="G52" s="261">
        <v>-2</v>
      </c>
      <c r="H52" s="218"/>
    </row>
    <row r="53" spans="1:8" hidden="1" outlineLevel="1" x14ac:dyDescent="0.25">
      <c r="A53" s="123" t="s">
        <v>262</v>
      </c>
      <c r="B53" s="160" t="s">
        <v>263</v>
      </c>
      <c r="C53" s="221" t="s">
        <v>264</v>
      </c>
      <c r="D53" s="123" t="s">
        <v>115</v>
      </c>
      <c r="E53" s="161">
        <v>2</v>
      </c>
      <c r="F53" s="162">
        <v>87727.09</v>
      </c>
      <c r="G53" s="164">
        <v>2</v>
      </c>
      <c r="H53" s="218"/>
    </row>
    <row r="54" spans="1:8" ht="22.5" hidden="1" outlineLevel="1" x14ac:dyDescent="0.25">
      <c r="A54" s="123" t="s">
        <v>266</v>
      </c>
      <c r="B54" s="160" t="s">
        <v>267</v>
      </c>
      <c r="C54" s="221" t="s">
        <v>268</v>
      </c>
      <c r="D54" s="123" t="s">
        <v>115</v>
      </c>
      <c r="E54" s="161">
        <v>1</v>
      </c>
      <c r="F54" s="162">
        <v>156781.35</v>
      </c>
      <c r="G54" s="164">
        <v>1</v>
      </c>
      <c r="H54" s="218"/>
    </row>
    <row r="55" spans="1:8" hidden="1" outlineLevel="1" x14ac:dyDescent="0.25">
      <c r="A55" s="123" t="s">
        <v>270</v>
      </c>
      <c r="B55" s="160" t="s">
        <v>120</v>
      </c>
      <c r="C55" s="221" t="s">
        <v>271</v>
      </c>
      <c r="D55" s="123" t="s">
        <v>115</v>
      </c>
      <c r="E55" s="161">
        <v>1</v>
      </c>
      <c r="F55" s="162">
        <v>4178.1000000000004</v>
      </c>
      <c r="G55" s="164">
        <v>1</v>
      </c>
      <c r="H55" s="218"/>
    </row>
    <row r="56" spans="1:8" ht="22.5" hidden="1" outlineLevel="1" x14ac:dyDescent="0.25">
      <c r="A56" s="252" t="s">
        <v>273</v>
      </c>
      <c r="B56" s="253" t="s">
        <v>274</v>
      </c>
      <c r="C56" s="254" t="s">
        <v>275</v>
      </c>
      <c r="D56" s="252" t="s">
        <v>276</v>
      </c>
      <c r="E56" s="242">
        <v>0.06</v>
      </c>
      <c r="F56" s="255">
        <v>15658.24</v>
      </c>
      <c r="G56" s="242">
        <v>0</v>
      </c>
      <c r="H56" s="218" t="s">
        <v>546</v>
      </c>
    </row>
    <row r="57" spans="1:8" s="231" customFormat="1" hidden="1" outlineLevel="1" x14ac:dyDescent="0.25">
      <c r="A57" s="262" t="s">
        <v>281</v>
      </c>
      <c r="B57" s="263" t="s">
        <v>282</v>
      </c>
      <c r="C57" s="264" t="s">
        <v>283</v>
      </c>
      <c r="D57" s="262" t="s">
        <v>127</v>
      </c>
      <c r="E57" s="243">
        <v>-2.9000000000000001E-2</v>
      </c>
      <c r="F57" s="265">
        <v>-2679.86</v>
      </c>
      <c r="G57" s="243">
        <v>0</v>
      </c>
      <c r="H57" s="218" t="s">
        <v>546</v>
      </c>
    </row>
    <row r="58" spans="1:8" hidden="1" outlineLevel="1" x14ac:dyDescent="0.25">
      <c r="A58" s="252" t="s">
        <v>284</v>
      </c>
      <c r="B58" s="253" t="s">
        <v>120</v>
      </c>
      <c r="C58" s="254" t="s">
        <v>285</v>
      </c>
      <c r="D58" s="252" t="s">
        <v>130</v>
      </c>
      <c r="E58" s="242">
        <v>0.36</v>
      </c>
      <c r="F58" s="255">
        <v>134204.32</v>
      </c>
      <c r="G58" s="243">
        <v>0</v>
      </c>
      <c r="H58" s="218" t="s">
        <v>546</v>
      </c>
    </row>
    <row r="59" spans="1:8" hidden="1" outlineLevel="1" x14ac:dyDescent="0.25">
      <c r="A59" s="252" t="s">
        <v>286</v>
      </c>
      <c r="B59" s="253" t="s">
        <v>120</v>
      </c>
      <c r="C59" s="254" t="s">
        <v>129</v>
      </c>
      <c r="D59" s="252" t="s">
        <v>130</v>
      </c>
      <c r="E59" s="242">
        <v>2.9000000000000001E-2</v>
      </c>
      <c r="F59" s="255">
        <v>8010.5</v>
      </c>
      <c r="G59" s="243">
        <v>0</v>
      </c>
      <c r="H59" s="218" t="s">
        <v>546</v>
      </c>
    </row>
    <row r="60" spans="1:8" ht="22.5" hidden="1" outlineLevel="1" x14ac:dyDescent="0.25">
      <c r="A60" s="123" t="s">
        <v>287</v>
      </c>
      <c r="B60" s="160" t="s">
        <v>288</v>
      </c>
      <c r="C60" s="221" t="s">
        <v>289</v>
      </c>
      <c r="D60" s="123" t="s">
        <v>160</v>
      </c>
      <c r="E60" s="161">
        <v>1.333E-2</v>
      </c>
      <c r="F60" s="162">
        <v>34759.839999999997</v>
      </c>
      <c r="G60" s="214">
        <f>E60</f>
        <v>1.333E-2</v>
      </c>
      <c r="H60" s="218"/>
    </row>
    <row r="61" spans="1:8" hidden="1" outlineLevel="1" x14ac:dyDescent="0.25">
      <c r="A61" s="117" t="s">
        <v>161</v>
      </c>
      <c r="B61" s="117"/>
      <c r="C61" s="221"/>
      <c r="D61" s="123"/>
      <c r="E61" s="123"/>
      <c r="F61" s="147"/>
      <c r="G61" s="226"/>
      <c r="H61" s="218"/>
    </row>
    <row r="62" spans="1:8" ht="33.75" hidden="1" outlineLevel="1" x14ac:dyDescent="0.25">
      <c r="A62" s="123" t="s">
        <v>290</v>
      </c>
      <c r="B62" s="160" t="s">
        <v>163</v>
      </c>
      <c r="C62" s="221" t="s">
        <v>164</v>
      </c>
      <c r="D62" s="123" t="s">
        <v>165</v>
      </c>
      <c r="E62" s="161">
        <v>59.55</v>
      </c>
      <c r="F62" s="162">
        <v>3068.48</v>
      </c>
      <c r="G62" s="143">
        <f>G44*1.75*100</f>
        <v>35.174999999999997</v>
      </c>
      <c r="H62" s="218"/>
    </row>
    <row r="63" spans="1:8" ht="33.75" hidden="1" outlineLevel="1" x14ac:dyDescent="0.25">
      <c r="A63" s="123" t="s">
        <v>291</v>
      </c>
      <c r="B63" s="160" t="s">
        <v>167</v>
      </c>
      <c r="C63" s="221" t="s">
        <v>292</v>
      </c>
      <c r="D63" s="123" t="s">
        <v>165</v>
      </c>
      <c r="E63" s="161">
        <v>9.9</v>
      </c>
      <c r="F63" s="162">
        <v>1304.8699999999999</v>
      </c>
      <c r="G63" s="143">
        <v>8.85</v>
      </c>
      <c r="H63" s="218"/>
    </row>
    <row r="64" spans="1:8" ht="22.5" hidden="1" outlineLevel="1" x14ac:dyDescent="0.25">
      <c r="A64" s="123" t="s">
        <v>293</v>
      </c>
      <c r="B64" s="160" t="s">
        <v>170</v>
      </c>
      <c r="C64" s="221" t="s">
        <v>294</v>
      </c>
      <c r="D64" s="123" t="s">
        <v>165</v>
      </c>
      <c r="E64" s="161">
        <v>5</v>
      </c>
      <c r="F64" s="162">
        <v>854.62</v>
      </c>
      <c r="G64" s="143">
        <f>1.6+3.4</f>
        <v>5</v>
      </c>
      <c r="H64" s="218"/>
    </row>
    <row r="65" spans="1:8" ht="33.75" hidden="1" outlineLevel="1" x14ac:dyDescent="0.25">
      <c r="A65" s="123" t="s">
        <v>295</v>
      </c>
      <c r="B65" s="160" t="s">
        <v>173</v>
      </c>
      <c r="C65" s="221" t="s">
        <v>174</v>
      </c>
      <c r="D65" s="123" t="s">
        <v>165</v>
      </c>
      <c r="E65" s="161">
        <v>74.45</v>
      </c>
      <c r="F65" s="162">
        <v>4661.3</v>
      </c>
      <c r="G65" s="143">
        <f>G62+G63+G64</f>
        <v>49.024999999999999</v>
      </c>
      <c r="H65" s="218"/>
    </row>
    <row r="66" spans="1:8" hidden="1" outlineLevel="1" x14ac:dyDescent="0.25">
      <c r="A66" s="118" t="s">
        <v>307</v>
      </c>
      <c r="B66" s="118"/>
      <c r="C66" s="240"/>
      <c r="D66" s="120"/>
      <c r="E66" s="120"/>
      <c r="F66" s="140"/>
      <c r="G66" s="216" t="s">
        <v>541</v>
      </c>
    </row>
    <row r="67" spans="1:8" ht="22.5" hidden="1" outlineLevel="1" x14ac:dyDescent="0.25">
      <c r="A67" s="123" t="s">
        <v>308</v>
      </c>
      <c r="B67" s="160" t="s">
        <v>208</v>
      </c>
      <c r="C67" s="221" t="s">
        <v>209</v>
      </c>
      <c r="D67" s="123" t="s">
        <v>210</v>
      </c>
      <c r="E67" s="161">
        <v>1</v>
      </c>
      <c r="F67" s="162">
        <v>44914.41</v>
      </c>
      <c r="G67" s="164">
        <v>1</v>
      </c>
    </row>
    <row r="68" spans="1:8" ht="22.5" hidden="1" outlineLevel="1" x14ac:dyDescent="0.25">
      <c r="A68" s="123" t="s">
        <v>309</v>
      </c>
      <c r="B68" s="160" t="s">
        <v>82</v>
      </c>
      <c r="C68" s="221" t="s">
        <v>83</v>
      </c>
      <c r="D68" s="123" t="s">
        <v>58</v>
      </c>
      <c r="E68" s="161">
        <v>0.28999999999999998</v>
      </c>
      <c r="F68" s="162">
        <v>5766.65</v>
      </c>
      <c r="G68" s="212">
        <f>21.71/100</f>
        <v>0.21710000000000002</v>
      </c>
    </row>
    <row r="69" spans="1:8" ht="22.5" hidden="1" outlineLevel="1" x14ac:dyDescent="0.25">
      <c r="A69" s="123" t="s">
        <v>310</v>
      </c>
      <c r="B69" s="160" t="s">
        <v>89</v>
      </c>
      <c r="C69" s="221" t="s">
        <v>90</v>
      </c>
      <c r="D69" s="123" t="s">
        <v>58</v>
      </c>
      <c r="E69" s="161">
        <v>0.1361</v>
      </c>
      <c r="F69" s="162">
        <v>2517.83</v>
      </c>
      <c r="G69" s="212">
        <f>10.4/100</f>
        <v>0.10400000000000001</v>
      </c>
    </row>
    <row r="70" spans="1:8" ht="22.5" hidden="1" outlineLevel="1" x14ac:dyDescent="0.25">
      <c r="A70" s="123" t="s">
        <v>311</v>
      </c>
      <c r="B70" s="160" t="s">
        <v>96</v>
      </c>
      <c r="C70" s="221" t="s">
        <v>97</v>
      </c>
      <c r="D70" s="123" t="s">
        <v>58</v>
      </c>
      <c r="E70" s="161">
        <v>0.13600000000000001</v>
      </c>
      <c r="F70" s="162">
        <v>20676.61</v>
      </c>
      <c r="G70" s="212">
        <f>10.4/100</f>
        <v>0.10400000000000001</v>
      </c>
    </row>
    <row r="71" spans="1:8" hidden="1" outlineLevel="1" x14ac:dyDescent="0.25">
      <c r="A71" s="123" t="s">
        <v>312</v>
      </c>
      <c r="B71" s="160" t="s">
        <v>104</v>
      </c>
      <c r="C71" s="221" t="s">
        <v>105</v>
      </c>
      <c r="D71" s="123" t="s">
        <v>106</v>
      </c>
      <c r="E71" s="161">
        <v>17.14</v>
      </c>
      <c r="F71" s="162">
        <v>106503.17</v>
      </c>
      <c r="G71" s="143">
        <f>1.26*G70*100</f>
        <v>13.104000000000001</v>
      </c>
    </row>
    <row r="72" spans="1:8" ht="33.75" hidden="1" outlineLevel="1" x14ac:dyDescent="0.25">
      <c r="A72" s="123" t="s">
        <v>313</v>
      </c>
      <c r="B72" s="160" t="s">
        <v>241</v>
      </c>
      <c r="C72" s="221" t="s">
        <v>242</v>
      </c>
      <c r="D72" s="123" t="s">
        <v>210</v>
      </c>
      <c r="E72" s="161">
        <v>1</v>
      </c>
      <c r="F72" s="162">
        <v>207003.6</v>
      </c>
      <c r="G72" s="164">
        <v>1</v>
      </c>
    </row>
    <row r="73" spans="1:8" hidden="1" outlineLevel="1" x14ac:dyDescent="0.25">
      <c r="A73" s="123" t="s">
        <v>314</v>
      </c>
      <c r="B73" s="160" t="s">
        <v>244</v>
      </c>
      <c r="C73" s="221" t="s">
        <v>245</v>
      </c>
      <c r="D73" s="123" t="s">
        <v>246</v>
      </c>
      <c r="E73" s="161">
        <v>1</v>
      </c>
      <c r="F73" s="162">
        <v>1667776.02</v>
      </c>
      <c r="G73" s="164">
        <v>1</v>
      </c>
    </row>
    <row r="74" spans="1:8" ht="22.5" hidden="1" outlineLevel="1" x14ac:dyDescent="0.25">
      <c r="A74" s="123" t="s">
        <v>315</v>
      </c>
      <c r="B74" s="160" t="s">
        <v>249</v>
      </c>
      <c r="C74" s="221" t="s">
        <v>250</v>
      </c>
      <c r="D74" s="123" t="s">
        <v>246</v>
      </c>
      <c r="E74" s="161">
        <v>1</v>
      </c>
      <c r="F74" s="162">
        <v>3596141.97</v>
      </c>
      <c r="G74" s="164">
        <v>1</v>
      </c>
    </row>
    <row r="75" spans="1:8" ht="33.75" hidden="1" outlineLevel="1" x14ac:dyDescent="0.25">
      <c r="A75" s="123" t="s">
        <v>316</v>
      </c>
      <c r="B75" s="160" t="s">
        <v>253</v>
      </c>
      <c r="C75" s="221" t="s">
        <v>254</v>
      </c>
      <c r="D75" s="123" t="s">
        <v>115</v>
      </c>
      <c r="E75" s="161">
        <v>1</v>
      </c>
      <c r="F75" s="162">
        <v>42192.34</v>
      </c>
      <c r="G75" s="164">
        <v>1</v>
      </c>
    </row>
    <row r="76" spans="1:8" s="229" customFormat="1" hidden="1" outlineLevel="1" x14ac:dyDescent="0.25">
      <c r="A76" s="257" t="s">
        <v>317</v>
      </c>
      <c r="B76" s="258" t="s">
        <v>260</v>
      </c>
      <c r="C76" s="241" t="s">
        <v>261</v>
      </c>
      <c r="D76" s="257" t="s">
        <v>115</v>
      </c>
      <c r="E76" s="259">
        <v>-2</v>
      </c>
      <c r="F76" s="260">
        <v>-5066.7299999999996</v>
      </c>
      <c r="G76" s="261">
        <v>-2</v>
      </c>
      <c r="H76" s="232"/>
    </row>
    <row r="77" spans="1:8" hidden="1" outlineLevel="1" x14ac:dyDescent="0.25">
      <c r="A77" s="123" t="s">
        <v>318</v>
      </c>
      <c r="B77" s="160" t="s">
        <v>263</v>
      </c>
      <c r="C77" s="221" t="s">
        <v>264</v>
      </c>
      <c r="D77" s="123" t="s">
        <v>115</v>
      </c>
      <c r="E77" s="161">
        <v>2</v>
      </c>
      <c r="F77" s="162">
        <v>87727.09</v>
      </c>
      <c r="G77" s="164">
        <v>2</v>
      </c>
    </row>
    <row r="78" spans="1:8" ht="22.5" hidden="1" outlineLevel="1" x14ac:dyDescent="0.25">
      <c r="A78" s="123" t="s">
        <v>319</v>
      </c>
      <c r="B78" s="160" t="s">
        <v>267</v>
      </c>
      <c r="C78" s="221" t="s">
        <v>268</v>
      </c>
      <c r="D78" s="123" t="s">
        <v>115</v>
      </c>
      <c r="E78" s="161">
        <v>1</v>
      </c>
      <c r="F78" s="162">
        <v>156781.35</v>
      </c>
      <c r="G78" s="164">
        <v>1</v>
      </c>
    </row>
    <row r="79" spans="1:8" hidden="1" outlineLevel="1" x14ac:dyDescent="0.25">
      <c r="A79" s="123" t="s">
        <v>320</v>
      </c>
      <c r="B79" s="160" t="s">
        <v>120</v>
      </c>
      <c r="C79" s="221" t="s">
        <v>271</v>
      </c>
      <c r="D79" s="123" t="s">
        <v>115</v>
      </c>
      <c r="E79" s="161">
        <v>1</v>
      </c>
      <c r="F79" s="162">
        <v>4178.1000000000004</v>
      </c>
      <c r="G79" s="164">
        <v>1</v>
      </c>
    </row>
    <row r="80" spans="1:8" ht="22.5" hidden="1" outlineLevel="1" x14ac:dyDescent="0.25">
      <c r="A80" s="262" t="s">
        <v>321</v>
      </c>
      <c r="B80" s="263" t="s">
        <v>274</v>
      </c>
      <c r="C80" s="264" t="s">
        <v>275</v>
      </c>
      <c r="D80" s="262" t="s">
        <v>276</v>
      </c>
      <c r="E80" s="243">
        <v>0.06</v>
      </c>
      <c r="F80" s="265">
        <v>15658.24</v>
      </c>
      <c r="G80" s="243">
        <v>0</v>
      </c>
      <c r="H80" s="218" t="s">
        <v>546</v>
      </c>
    </row>
    <row r="81" spans="1:8" s="229" customFormat="1" hidden="1" outlineLevel="1" x14ac:dyDescent="0.25">
      <c r="A81" s="262" t="s">
        <v>322</v>
      </c>
      <c r="B81" s="263" t="s">
        <v>282</v>
      </c>
      <c r="C81" s="264" t="s">
        <v>283</v>
      </c>
      <c r="D81" s="262" t="s">
        <v>127</v>
      </c>
      <c r="E81" s="243">
        <v>-2.9000000000000001E-2</v>
      </c>
      <c r="F81" s="265">
        <v>-2679.86</v>
      </c>
      <c r="G81" s="243">
        <v>0</v>
      </c>
      <c r="H81" s="218" t="s">
        <v>546</v>
      </c>
    </row>
    <row r="82" spans="1:8" hidden="1" outlineLevel="1" x14ac:dyDescent="0.25">
      <c r="A82" s="262" t="s">
        <v>323</v>
      </c>
      <c r="B82" s="263" t="s">
        <v>120</v>
      </c>
      <c r="C82" s="264" t="s">
        <v>285</v>
      </c>
      <c r="D82" s="262" t="s">
        <v>130</v>
      </c>
      <c r="E82" s="243">
        <v>0.36</v>
      </c>
      <c r="F82" s="265">
        <v>134204.32</v>
      </c>
      <c r="G82" s="243">
        <v>0</v>
      </c>
      <c r="H82" s="218" t="s">
        <v>546</v>
      </c>
    </row>
    <row r="83" spans="1:8" hidden="1" outlineLevel="1" x14ac:dyDescent="0.25">
      <c r="A83" s="262" t="s">
        <v>324</v>
      </c>
      <c r="B83" s="263" t="s">
        <v>120</v>
      </c>
      <c r="C83" s="264" t="s">
        <v>129</v>
      </c>
      <c r="D83" s="262" t="s">
        <v>130</v>
      </c>
      <c r="E83" s="243">
        <v>2.9000000000000001E-2</v>
      </c>
      <c r="F83" s="265">
        <v>8010.5</v>
      </c>
      <c r="G83" s="243">
        <v>0</v>
      </c>
      <c r="H83" s="218" t="s">
        <v>546</v>
      </c>
    </row>
    <row r="84" spans="1:8" ht="22.5" hidden="1" outlineLevel="1" x14ac:dyDescent="0.25">
      <c r="A84" s="123" t="s">
        <v>325</v>
      </c>
      <c r="B84" s="160" t="s">
        <v>288</v>
      </c>
      <c r="C84" s="221" t="s">
        <v>289</v>
      </c>
      <c r="D84" s="123" t="s">
        <v>160</v>
      </c>
      <c r="E84" s="161">
        <v>1.3299999999999999E-2</v>
      </c>
      <c r="F84" s="162">
        <v>34682.379999999997</v>
      </c>
      <c r="G84" s="212">
        <f>E84</f>
        <v>1.3299999999999999E-2</v>
      </c>
    </row>
    <row r="85" spans="1:8" hidden="1" outlineLevel="1" x14ac:dyDescent="0.25">
      <c r="A85" s="117" t="s">
        <v>161</v>
      </c>
      <c r="B85" s="117"/>
      <c r="C85" s="221"/>
      <c r="D85" s="123"/>
      <c r="E85" s="123"/>
      <c r="F85" s="147"/>
      <c r="G85" s="226"/>
    </row>
    <row r="86" spans="1:8" ht="33.75" hidden="1" outlineLevel="1" x14ac:dyDescent="0.25">
      <c r="A86" s="123" t="s">
        <v>326</v>
      </c>
      <c r="B86" s="160" t="s">
        <v>163</v>
      </c>
      <c r="C86" s="221" t="s">
        <v>164</v>
      </c>
      <c r="D86" s="123" t="s">
        <v>165</v>
      </c>
      <c r="E86" s="161">
        <v>50.7</v>
      </c>
      <c r="F86" s="162">
        <v>2612.5700000000002</v>
      </c>
      <c r="G86" s="143">
        <f>G68*1.75*100</f>
        <v>37.9925</v>
      </c>
    </row>
    <row r="87" spans="1:8" ht="33.75" hidden="1" outlineLevel="1" x14ac:dyDescent="0.25">
      <c r="A87" s="123" t="s">
        <v>327</v>
      </c>
      <c r="B87" s="160" t="s">
        <v>167</v>
      </c>
      <c r="C87" s="221" t="s">
        <v>292</v>
      </c>
      <c r="D87" s="123" t="s">
        <v>165</v>
      </c>
      <c r="E87" s="161">
        <v>9.9</v>
      </c>
      <c r="F87" s="162">
        <v>1304.8699999999999</v>
      </c>
      <c r="G87" s="143">
        <v>8.84</v>
      </c>
    </row>
    <row r="88" spans="1:8" ht="22.5" hidden="1" outlineLevel="1" x14ac:dyDescent="0.25">
      <c r="A88" s="123" t="s">
        <v>328</v>
      </c>
      <c r="B88" s="160" t="s">
        <v>170</v>
      </c>
      <c r="C88" s="221" t="s">
        <v>294</v>
      </c>
      <c r="D88" s="123" t="s">
        <v>165</v>
      </c>
      <c r="E88" s="161">
        <v>5</v>
      </c>
      <c r="F88" s="162">
        <v>854.62</v>
      </c>
      <c r="G88" s="143">
        <f>1.7+3.1</f>
        <v>4.8</v>
      </c>
    </row>
    <row r="89" spans="1:8" ht="33.75" hidden="1" outlineLevel="1" x14ac:dyDescent="0.25">
      <c r="A89" s="123" t="s">
        <v>329</v>
      </c>
      <c r="B89" s="160" t="s">
        <v>173</v>
      </c>
      <c r="C89" s="221" t="s">
        <v>174</v>
      </c>
      <c r="D89" s="123" t="s">
        <v>165</v>
      </c>
      <c r="E89" s="161">
        <v>65.599999999999994</v>
      </c>
      <c r="F89" s="162">
        <v>4107.2299999999996</v>
      </c>
      <c r="G89" s="143">
        <f>G86+G87+G88</f>
        <v>51.632499999999993</v>
      </c>
    </row>
    <row r="90" spans="1:8" hidden="1" outlineLevel="1" x14ac:dyDescent="0.25">
      <c r="A90" s="114" t="s">
        <v>334</v>
      </c>
      <c r="B90" s="114"/>
      <c r="C90" s="220"/>
      <c r="D90" s="120"/>
      <c r="E90" s="120"/>
      <c r="F90" s="140"/>
    </row>
    <row r="91" spans="1:8" ht="22.5" hidden="1" outlineLevel="1" x14ac:dyDescent="0.25">
      <c r="A91" s="123" t="s">
        <v>335</v>
      </c>
      <c r="B91" s="160" t="s">
        <v>208</v>
      </c>
      <c r="C91" s="221" t="s">
        <v>209</v>
      </c>
      <c r="D91" s="123" t="s">
        <v>210</v>
      </c>
      <c r="E91" s="161">
        <v>1</v>
      </c>
      <c r="F91" s="162">
        <v>44914.41</v>
      </c>
    </row>
    <row r="92" spans="1:8" ht="22.5" hidden="1" outlineLevel="1" x14ac:dyDescent="0.25">
      <c r="A92" s="123" t="s">
        <v>336</v>
      </c>
      <c r="B92" s="160" t="s">
        <v>82</v>
      </c>
      <c r="C92" s="221" t="s">
        <v>83</v>
      </c>
      <c r="D92" s="123" t="s">
        <v>58</v>
      </c>
      <c r="E92" s="161">
        <v>0.25800000000000001</v>
      </c>
      <c r="F92" s="162">
        <v>5130.6099999999997</v>
      </c>
    </row>
    <row r="93" spans="1:8" ht="22.5" hidden="1" outlineLevel="1" x14ac:dyDescent="0.25">
      <c r="A93" s="123" t="s">
        <v>337</v>
      </c>
      <c r="B93" s="160" t="s">
        <v>89</v>
      </c>
      <c r="C93" s="221" t="s">
        <v>90</v>
      </c>
      <c r="D93" s="123" t="s">
        <v>58</v>
      </c>
      <c r="E93" s="161">
        <v>0.1237</v>
      </c>
      <c r="F93" s="162">
        <v>2287.64</v>
      </c>
    </row>
    <row r="94" spans="1:8" ht="22.5" hidden="1" outlineLevel="1" x14ac:dyDescent="0.25">
      <c r="A94" s="123" t="s">
        <v>338</v>
      </c>
      <c r="B94" s="160" t="s">
        <v>96</v>
      </c>
      <c r="C94" s="221" t="s">
        <v>97</v>
      </c>
      <c r="D94" s="123" t="s">
        <v>58</v>
      </c>
      <c r="E94" s="161">
        <v>0.124</v>
      </c>
      <c r="F94" s="162">
        <v>18852.34</v>
      </c>
    </row>
    <row r="95" spans="1:8" hidden="1" outlineLevel="1" x14ac:dyDescent="0.25">
      <c r="A95" s="123" t="s">
        <v>339</v>
      </c>
      <c r="B95" s="160" t="s">
        <v>104</v>
      </c>
      <c r="C95" s="221" t="s">
        <v>105</v>
      </c>
      <c r="D95" s="123" t="s">
        <v>106</v>
      </c>
      <c r="E95" s="161">
        <v>15.62</v>
      </c>
      <c r="F95" s="162">
        <v>97058.27</v>
      </c>
    </row>
    <row r="96" spans="1:8" ht="33.75" hidden="1" outlineLevel="1" x14ac:dyDescent="0.25">
      <c r="A96" s="123" t="s">
        <v>340</v>
      </c>
      <c r="B96" s="160" t="s">
        <v>241</v>
      </c>
      <c r="C96" s="221" t="s">
        <v>242</v>
      </c>
      <c r="D96" s="123" t="s">
        <v>210</v>
      </c>
      <c r="E96" s="161">
        <v>1</v>
      </c>
      <c r="F96" s="162">
        <v>207003.6</v>
      </c>
    </row>
    <row r="97" spans="1:8" hidden="1" outlineLevel="1" x14ac:dyDescent="0.25">
      <c r="A97" s="123" t="s">
        <v>341</v>
      </c>
      <c r="B97" s="160" t="s">
        <v>244</v>
      </c>
      <c r="C97" s="221" t="s">
        <v>245</v>
      </c>
      <c r="D97" s="123" t="s">
        <v>246</v>
      </c>
      <c r="E97" s="161">
        <v>1</v>
      </c>
      <c r="F97" s="162">
        <v>1667776.02</v>
      </c>
    </row>
    <row r="98" spans="1:8" ht="22.5" hidden="1" outlineLevel="1" x14ac:dyDescent="0.25">
      <c r="A98" s="123" t="s">
        <v>342</v>
      </c>
      <c r="B98" s="160" t="s">
        <v>249</v>
      </c>
      <c r="C98" s="221" t="s">
        <v>250</v>
      </c>
      <c r="D98" s="123" t="s">
        <v>246</v>
      </c>
      <c r="E98" s="161">
        <v>1</v>
      </c>
      <c r="F98" s="162">
        <v>3596141.97</v>
      </c>
    </row>
    <row r="99" spans="1:8" ht="33.75" hidden="1" outlineLevel="1" x14ac:dyDescent="0.25">
      <c r="A99" s="123" t="s">
        <v>343</v>
      </c>
      <c r="B99" s="160" t="s">
        <v>253</v>
      </c>
      <c r="C99" s="221" t="s">
        <v>254</v>
      </c>
      <c r="D99" s="123" t="s">
        <v>115</v>
      </c>
      <c r="E99" s="161">
        <v>1</v>
      </c>
      <c r="F99" s="162">
        <v>42192.34</v>
      </c>
    </row>
    <row r="100" spans="1:8" s="229" customFormat="1" hidden="1" outlineLevel="1" x14ac:dyDescent="0.25">
      <c r="A100" s="166" t="s">
        <v>344</v>
      </c>
      <c r="B100" s="167" t="s">
        <v>260</v>
      </c>
      <c r="C100" s="222" t="s">
        <v>261</v>
      </c>
      <c r="D100" s="166" t="s">
        <v>115</v>
      </c>
      <c r="E100" s="169">
        <v>-2</v>
      </c>
      <c r="F100" s="170">
        <v>-5066.7299999999996</v>
      </c>
      <c r="G100" s="233"/>
      <c r="H100" s="232"/>
    </row>
    <row r="101" spans="1:8" hidden="1" outlineLevel="1" x14ac:dyDescent="0.25">
      <c r="A101" s="123" t="s">
        <v>345</v>
      </c>
      <c r="B101" s="160" t="s">
        <v>263</v>
      </c>
      <c r="C101" s="221" t="s">
        <v>264</v>
      </c>
      <c r="D101" s="123" t="s">
        <v>115</v>
      </c>
      <c r="E101" s="161">
        <v>2</v>
      </c>
      <c r="F101" s="162">
        <v>87727.09</v>
      </c>
    </row>
    <row r="102" spans="1:8" ht="22.5" hidden="1" outlineLevel="1" x14ac:dyDescent="0.25">
      <c r="A102" s="123" t="s">
        <v>346</v>
      </c>
      <c r="B102" s="160" t="s">
        <v>267</v>
      </c>
      <c r="C102" s="221" t="s">
        <v>268</v>
      </c>
      <c r="D102" s="123" t="s">
        <v>115</v>
      </c>
      <c r="E102" s="161">
        <v>1</v>
      </c>
      <c r="F102" s="162">
        <v>156781.35</v>
      </c>
    </row>
    <row r="103" spans="1:8" hidden="1" outlineLevel="1" x14ac:dyDescent="0.25">
      <c r="A103" s="123" t="s">
        <v>347</v>
      </c>
      <c r="B103" s="160" t="s">
        <v>120</v>
      </c>
      <c r="C103" s="221" t="s">
        <v>271</v>
      </c>
      <c r="D103" s="123" t="s">
        <v>115</v>
      </c>
      <c r="E103" s="161">
        <v>1</v>
      </c>
      <c r="F103" s="162">
        <v>4178.1000000000004</v>
      </c>
    </row>
    <row r="104" spans="1:8" ht="22.5" hidden="1" outlineLevel="1" x14ac:dyDescent="0.25">
      <c r="A104" s="123" t="s">
        <v>348</v>
      </c>
      <c r="B104" s="160" t="s">
        <v>274</v>
      </c>
      <c r="C104" s="221" t="s">
        <v>275</v>
      </c>
      <c r="D104" s="123" t="s">
        <v>276</v>
      </c>
      <c r="E104" s="161">
        <v>0.06</v>
      </c>
      <c r="F104" s="162">
        <v>15658.24</v>
      </c>
    </row>
    <row r="105" spans="1:8" s="229" customFormat="1" hidden="1" outlineLevel="1" x14ac:dyDescent="0.25">
      <c r="A105" s="166" t="s">
        <v>349</v>
      </c>
      <c r="B105" s="167" t="s">
        <v>282</v>
      </c>
      <c r="C105" s="222" t="s">
        <v>283</v>
      </c>
      <c r="D105" s="166" t="s">
        <v>127</v>
      </c>
      <c r="E105" s="169">
        <v>-2.9000000000000001E-2</v>
      </c>
      <c r="F105" s="170">
        <v>-2679.86</v>
      </c>
      <c r="G105" s="233"/>
      <c r="H105" s="232"/>
    </row>
    <row r="106" spans="1:8" hidden="1" outlineLevel="1" x14ac:dyDescent="0.25">
      <c r="A106" s="123" t="s">
        <v>350</v>
      </c>
      <c r="B106" s="160" t="s">
        <v>120</v>
      </c>
      <c r="C106" s="221" t="s">
        <v>285</v>
      </c>
      <c r="D106" s="123" t="s">
        <v>130</v>
      </c>
      <c r="E106" s="161">
        <v>0.36</v>
      </c>
      <c r="F106" s="162">
        <v>134204.32</v>
      </c>
    </row>
    <row r="107" spans="1:8" hidden="1" outlineLevel="1" x14ac:dyDescent="0.25">
      <c r="A107" s="123" t="s">
        <v>351</v>
      </c>
      <c r="B107" s="160" t="s">
        <v>120</v>
      </c>
      <c r="C107" s="221" t="s">
        <v>129</v>
      </c>
      <c r="D107" s="123" t="s">
        <v>130</v>
      </c>
      <c r="E107" s="161">
        <v>2.9000000000000001E-2</v>
      </c>
      <c r="F107" s="162">
        <v>8010.5</v>
      </c>
    </row>
    <row r="108" spans="1:8" ht="22.5" hidden="1" outlineLevel="1" x14ac:dyDescent="0.25">
      <c r="A108" s="123" t="s">
        <v>352</v>
      </c>
      <c r="B108" s="160" t="s">
        <v>288</v>
      </c>
      <c r="C108" s="221" t="s">
        <v>289</v>
      </c>
      <c r="D108" s="123" t="s">
        <v>160</v>
      </c>
      <c r="E108" s="161">
        <v>1.3299999999999999E-2</v>
      </c>
      <c r="F108" s="162">
        <v>34682.379999999997</v>
      </c>
    </row>
    <row r="109" spans="1:8" hidden="1" outlineLevel="1" x14ac:dyDescent="0.25">
      <c r="A109" s="117" t="s">
        <v>161</v>
      </c>
      <c r="B109" s="117"/>
      <c r="C109" s="221"/>
      <c r="D109" s="123"/>
      <c r="E109" s="123"/>
      <c r="F109" s="147"/>
    </row>
    <row r="110" spans="1:8" ht="33.75" hidden="1" outlineLevel="1" x14ac:dyDescent="0.25">
      <c r="A110" s="123" t="s">
        <v>353</v>
      </c>
      <c r="B110" s="160" t="s">
        <v>163</v>
      </c>
      <c r="C110" s="221" t="s">
        <v>164</v>
      </c>
      <c r="D110" s="123" t="s">
        <v>165</v>
      </c>
      <c r="E110" s="161">
        <v>45.2</v>
      </c>
      <c r="F110" s="162">
        <v>2329.16</v>
      </c>
    </row>
    <row r="111" spans="1:8" ht="33.75" hidden="1" outlineLevel="1" x14ac:dyDescent="0.25">
      <c r="A111" s="123" t="s">
        <v>354</v>
      </c>
      <c r="B111" s="160" t="s">
        <v>167</v>
      </c>
      <c r="C111" s="221" t="s">
        <v>292</v>
      </c>
      <c r="D111" s="123" t="s">
        <v>165</v>
      </c>
      <c r="E111" s="161">
        <v>9.9</v>
      </c>
      <c r="F111" s="162">
        <v>1304.8699999999999</v>
      </c>
    </row>
    <row r="112" spans="1:8" ht="22.5" hidden="1" outlineLevel="1" x14ac:dyDescent="0.25">
      <c r="A112" s="123" t="s">
        <v>355</v>
      </c>
      <c r="B112" s="160" t="s">
        <v>170</v>
      </c>
      <c r="C112" s="221" t="s">
        <v>294</v>
      </c>
      <c r="D112" s="123" t="s">
        <v>165</v>
      </c>
      <c r="E112" s="161">
        <v>5</v>
      </c>
      <c r="F112" s="162">
        <v>854.62</v>
      </c>
    </row>
    <row r="113" spans="1:8" ht="33.75" hidden="1" outlineLevel="1" x14ac:dyDescent="0.25">
      <c r="A113" s="123" t="s">
        <v>356</v>
      </c>
      <c r="B113" s="160" t="s">
        <v>173</v>
      </c>
      <c r="C113" s="221" t="s">
        <v>174</v>
      </c>
      <c r="D113" s="123" t="s">
        <v>165</v>
      </c>
      <c r="E113" s="161">
        <v>60.1</v>
      </c>
      <c r="F113" s="162">
        <v>3762.88</v>
      </c>
    </row>
    <row r="114" spans="1:8" hidden="1" outlineLevel="1" x14ac:dyDescent="0.25">
      <c r="A114" s="118" t="s">
        <v>361</v>
      </c>
      <c r="B114" s="118"/>
      <c r="C114" s="240"/>
      <c r="D114" s="120"/>
      <c r="E114" s="120"/>
      <c r="F114" s="140"/>
      <c r="G114" s="216" t="s">
        <v>541</v>
      </c>
    </row>
    <row r="115" spans="1:8" ht="22.5" hidden="1" outlineLevel="1" x14ac:dyDescent="0.25">
      <c r="A115" s="123" t="s">
        <v>362</v>
      </c>
      <c r="B115" s="160" t="s">
        <v>208</v>
      </c>
      <c r="C115" s="221" t="s">
        <v>209</v>
      </c>
      <c r="D115" s="123" t="s">
        <v>210</v>
      </c>
      <c r="E115" s="161">
        <v>1</v>
      </c>
      <c r="F115" s="162">
        <v>44914.41</v>
      </c>
      <c r="G115" s="164">
        <v>1</v>
      </c>
    </row>
    <row r="116" spans="1:8" ht="22.5" hidden="1" outlineLevel="1" x14ac:dyDescent="0.25">
      <c r="A116" s="123" t="s">
        <v>363</v>
      </c>
      <c r="B116" s="160" t="s">
        <v>82</v>
      </c>
      <c r="C116" s="221" t="s">
        <v>83</v>
      </c>
      <c r="D116" s="123" t="s">
        <v>58</v>
      </c>
      <c r="E116" s="161">
        <v>0.218</v>
      </c>
      <c r="F116" s="162">
        <v>4334.57</v>
      </c>
      <c r="G116" s="215">
        <f>20.8/100</f>
        <v>0.20800000000000002</v>
      </c>
    </row>
    <row r="117" spans="1:8" ht="22.5" hidden="1" outlineLevel="1" x14ac:dyDescent="0.25">
      <c r="A117" s="123" t="s">
        <v>364</v>
      </c>
      <c r="B117" s="160" t="s">
        <v>89</v>
      </c>
      <c r="C117" s="221" t="s">
        <v>90</v>
      </c>
      <c r="D117" s="123" t="s">
        <v>58</v>
      </c>
      <c r="E117" s="161">
        <v>0.1082</v>
      </c>
      <c r="F117" s="162">
        <v>2000.54</v>
      </c>
      <c r="G117" s="238">
        <f>10.36/100</f>
        <v>0.1036</v>
      </c>
    </row>
    <row r="118" spans="1:8" ht="22.5" hidden="1" outlineLevel="1" x14ac:dyDescent="0.25">
      <c r="A118" s="123" t="s">
        <v>365</v>
      </c>
      <c r="B118" s="160" t="s">
        <v>96</v>
      </c>
      <c r="C118" s="221" t="s">
        <v>97</v>
      </c>
      <c r="D118" s="123" t="s">
        <v>58</v>
      </c>
      <c r="E118" s="161">
        <v>0.108</v>
      </c>
      <c r="F118" s="162">
        <v>16420.39</v>
      </c>
      <c r="G118" s="238">
        <f>G117</f>
        <v>0.1036</v>
      </c>
    </row>
    <row r="119" spans="1:8" hidden="1" outlineLevel="1" x14ac:dyDescent="0.25">
      <c r="A119" s="123" t="s">
        <v>366</v>
      </c>
      <c r="B119" s="160" t="s">
        <v>104</v>
      </c>
      <c r="C119" s="221" t="s">
        <v>105</v>
      </c>
      <c r="D119" s="123" t="s">
        <v>106</v>
      </c>
      <c r="E119" s="161">
        <v>15.62</v>
      </c>
      <c r="F119" s="162">
        <v>97058.27</v>
      </c>
      <c r="G119" s="143">
        <f>G118*1.26*100</f>
        <v>13.053599999999999</v>
      </c>
    </row>
    <row r="120" spans="1:8" ht="33.75" hidden="1" outlineLevel="1" x14ac:dyDescent="0.25">
      <c r="A120" s="123" t="s">
        <v>367</v>
      </c>
      <c r="B120" s="160" t="s">
        <v>241</v>
      </c>
      <c r="C120" s="221" t="s">
        <v>242</v>
      </c>
      <c r="D120" s="123" t="s">
        <v>210</v>
      </c>
      <c r="E120" s="161">
        <v>1</v>
      </c>
      <c r="F120" s="162">
        <v>207003.6</v>
      </c>
      <c r="G120" s="164">
        <v>1</v>
      </c>
    </row>
    <row r="121" spans="1:8" hidden="1" outlineLevel="1" x14ac:dyDescent="0.25">
      <c r="A121" s="123" t="s">
        <v>368</v>
      </c>
      <c r="B121" s="160" t="s">
        <v>244</v>
      </c>
      <c r="C121" s="221" t="s">
        <v>245</v>
      </c>
      <c r="D121" s="123" t="s">
        <v>246</v>
      </c>
      <c r="E121" s="161">
        <v>1</v>
      </c>
      <c r="F121" s="162">
        <v>1667776.02</v>
      </c>
      <c r="G121" s="164">
        <v>1</v>
      </c>
    </row>
    <row r="122" spans="1:8" ht="22.5" hidden="1" outlineLevel="1" x14ac:dyDescent="0.25">
      <c r="A122" s="123" t="s">
        <v>369</v>
      </c>
      <c r="B122" s="160" t="s">
        <v>249</v>
      </c>
      <c r="C122" s="221" t="s">
        <v>250</v>
      </c>
      <c r="D122" s="123" t="s">
        <v>246</v>
      </c>
      <c r="E122" s="161">
        <v>1</v>
      </c>
      <c r="F122" s="162">
        <v>3596141.97</v>
      </c>
      <c r="G122" s="164">
        <v>1</v>
      </c>
    </row>
    <row r="123" spans="1:8" ht="33.75" hidden="1" outlineLevel="1" x14ac:dyDescent="0.25">
      <c r="A123" s="123" t="s">
        <v>370</v>
      </c>
      <c r="B123" s="160" t="s">
        <v>253</v>
      </c>
      <c r="C123" s="221" t="s">
        <v>254</v>
      </c>
      <c r="D123" s="123" t="s">
        <v>115</v>
      </c>
      <c r="E123" s="161">
        <v>1</v>
      </c>
      <c r="F123" s="162">
        <v>42192.34</v>
      </c>
      <c r="G123" s="164">
        <v>1</v>
      </c>
    </row>
    <row r="124" spans="1:8" s="229" customFormat="1" hidden="1" outlineLevel="1" x14ac:dyDescent="0.25">
      <c r="A124" s="257" t="s">
        <v>371</v>
      </c>
      <c r="B124" s="258" t="s">
        <v>260</v>
      </c>
      <c r="C124" s="241" t="s">
        <v>261</v>
      </c>
      <c r="D124" s="257" t="s">
        <v>115</v>
      </c>
      <c r="E124" s="259">
        <v>-2</v>
      </c>
      <c r="F124" s="260">
        <v>-5066.7299999999996</v>
      </c>
      <c r="G124" s="261">
        <v>-2</v>
      </c>
      <c r="H124" s="232"/>
    </row>
    <row r="125" spans="1:8" hidden="1" outlineLevel="1" x14ac:dyDescent="0.25">
      <c r="A125" s="123" t="s">
        <v>372</v>
      </c>
      <c r="B125" s="160" t="s">
        <v>263</v>
      </c>
      <c r="C125" s="221" t="s">
        <v>264</v>
      </c>
      <c r="D125" s="123" t="s">
        <v>115</v>
      </c>
      <c r="E125" s="161">
        <v>2</v>
      </c>
      <c r="F125" s="162">
        <v>87727.09</v>
      </c>
      <c r="G125" s="164">
        <v>2</v>
      </c>
    </row>
    <row r="126" spans="1:8" ht="22.5" hidden="1" outlineLevel="1" x14ac:dyDescent="0.25">
      <c r="A126" s="123" t="s">
        <v>373</v>
      </c>
      <c r="B126" s="160" t="s">
        <v>267</v>
      </c>
      <c r="C126" s="221" t="s">
        <v>268</v>
      </c>
      <c r="D126" s="123" t="s">
        <v>115</v>
      </c>
      <c r="E126" s="161">
        <v>1</v>
      </c>
      <c r="F126" s="162">
        <v>156781.35</v>
      </c>
      <c r="G126" s="164">
        <v>1</v>
      </c>
    </row>
    <row r="127" spans="1:8" hidden="1" outlineLevel="1" x14ac:dyDescent="0.25">
      <c r="A127" s="123" t="s">
        <v>374</v>
      </c>
      <c r="B127" s="160" t="s">
        <v>120</v>
      </c>
      <c r="C127" s="221" t="s">
        <v>271</v>
      </c>
      <c r="D127" s="123" t="s">
        <v>115</v>
      </c>
      <c r="E127" s="161">
        <v>1</v>
      </c>
      <c r="F127" s="162">
        <v>4178.1000000000004</v>
      </c>
      <c r="G127" s="164">
        <v>1</v>
      </c>
    </row>
    <row r="128" spans="1:8" ht="22.5" hidden="1" outlineLevel="1" x14ac:dyDescent="0.25">
      <c r="A128" s="262" t="s">
        <v>375</v>
      </c>
      <c r="B128" s="263" t="s">
        <v>274</v>
      </c>
      <c r="C128" s="264" t="s">
        <v>275</v>
      </c>
      <c r="D128" s="262" t="s">
        <v>276</v>
      </c>
      <c r="E128" s="243">
        <v>0.06</v>
      </c>
      <c r="F128" s="265">
        <v>15658.24</v>
      </c>
      <c r="G128" s="243">
        <v>0</v>
      </c>
      <c r="H128" s="218" t="s">
        <v>546</v>
      </c>
    </row>
    <row r="129" spans="1:8" s="229" customFormat="1" hidden="1" outlineLevel="1" x14ac:dyDescent="0.25">
      <c r="A129" s="262" t="s">
        <v>376</v>
      </c>
      <c r="B129" s="263" t="s">
        <v>282</v>
      </c>
      <c r="C129" s="264" t="s">
        <v>283</v>
      </c>
      <c r="D129" s="262" t="s">
        <v>127</v>
      </c>
      <c r="E129" s="243">
        <v>-2.9000000000000001E-2</v>
      </c>
      <c r="F129" s="265">
        <v>-2679.86</v>
      </c>
      <c r="G129" s="243">
        <v>0</v>
      </c>
      <c r="H129" s="218" t="s">
        <v>546</v>
      </c>
    </row>
    <row r="130" spans="1:8" hidden="1" outlineLevel="1" x14ac:dyDescent="0.25">
      <c r="A130" s="262" t="s">
        <v>377</v>
      </c>
      <c r="B130" s="263" t="s">
        <v>120</v>
      </c>
      <c r="C130" s="264" t="s">
        <v>285</v>
      </c>
      <c r="D130" s="262" t="s">
        <v>130</v>
      </c>
      <c r="E130" s="243">
        <v>0.36</v>
      </c>
      <c r="F130" s="265">
        <v>134204.32</v>
      </c>
      <c r="G130" s="243">
        <v>0</v>
      </c>
      <c r="H130" s="218" t="s">
        <v>546</v>
      </c>
    </row>
    <row r="131" spans="1:8" hidden="1" outlineLevel="1" x14ac:dyDescent="0.25">
      <c r="A131" s="262" t="s">
        <v>378</v>
      </c>
      <c r="B131" s="263" t="s">
        <v>120</v>
      </c>
      <c r="C131" s="264" t="s">
        <v>129</v>
      </c>
      <c r="D131" s="262" t="s">
        <v>130</v>
      </c>
      <c r="E131" s="243">
        <v>2.9000000000000001E-2</v>
      </c>
      <c r="F131" s="265">
        <v>8010.5</v>
      </c>
      <c r="G131" s="243">
        <v>0</v>
      </c>
      <c r="H131" s="218" t="s">
        <v>546</v>
      </c>
    </row>
    <row r="132" spans="1:8" ht="22.5" hidden="1" outlineLevel="1" x14ac:dyDescent="0.25">
      <c r="A132" s="123" t="s">
        <v>379</v>
      </c>
      <c r="B132" s="160" t="s">
        <v>288</v>
      </c>
      <c r="C132" s="221" t="s">
        <v>289</v>
      </c>
      <c r="D132" s="123" t="s">
        <v>160</v>
      </c>
      <c r="E132" s="161">
        <v>1.3299999999999999E-2</v>
      </c>
      <c r="F132" s="162">
        <v>34682.379999999997</v>
      </c>
      <c r="G132" s="212">
        <f>E132</f>
        <v>1.3299999999999999E-2</v>
      </c>
    </row>
    <row r="133" spans="1:8" hidden="1" outlineLevel="1" x14ac:dyDescent="0.25">
      <c r="A133" s="117" t="s">
        <v>161</v>
      </c>
      <c r="B133" s="117"/>
      <c r="C133" s="221"/>
      <c r="D133" s="123"/>
      <c r="E133" s="123"/>
      <c r="F133" s="147"/>
      <c r="G133" s="226"/>
    </row>
    <row r="134" spans="1:8" ht="33.75" hidden="1" outlineLevel="1" x14ac:dyDescent="0.25">
      <c r="A134" s="123" t="s">
        <v>380</v>
      </c>
      <c r="B134" s="160" t="s">
        <v>163</v>
      </c>
      <c r="C134" s="221" t="s">
        <v>164</v>
      </c>
      <c r="D134" s="123" t="s">
        <v>165</v>
      </c>
      <c r="E134" s="161">
        <v>38.1</v>
      </c>
      <c r="F134" s="162">
        <v>1963.28</v>
      </c>
      <c r="G134" s="143">
        <f>G116*1.75*100</f>
        <v>36.400000000000006</v>
      </c>
    </row>
    <row r="135" spans="1:8" ht="33.75" hidden="1" outlineLevel="1" x14ac:dyDescent="0.25">
      <c r="A135" s="123" t="s">
        <v>381</v>
      </c>
      <c r="B135" s="160" t="s">
        <v>167</v>
      </c>
      <c r="C135" s="221" t="s">
        <v>292</v>
      </c>
      <c r="D135" s="123" t="s">
        <v>165</v>
      </c>
      <c r="E135" s="161">
        <v>9.9</v>
      </c>
      <c r="F135" s="162">
        <v>1304.8699999999999</v>
      </c>
      <c r="G135" s="143">
        <v>8.85</v>
      </c>
    </row>
    <row r="136" spans="1:8" ht="22.5" hidden="1" outlineLevel="1" x14ac:dyDescent="0.25">
      <c r="A136" s="123" t="s">
        <v>382</v>
      </c>
      <c r="B136" s="160" t="s">
        <v>170</v>
      </c>
      <c r="C136" s="221" t="s">
        <v>294</v>
      </c>
      <c r="D136" s="123" t="s">
        <v>165</v>
      </c>
      <c r="E136" s="161">
        <v>5</v>
      </c>
      <c r="F136" s="162">
        <v>854.62</v>
      </c>
      <c r="G136" s="143">
        <v>5</v>
      </c>
    </row>
    <row r="137" spans="1:8" ht="33.75" hidden="1" outlineLevel="1" x14ac:dyDescent="0.25">
      <c r="A137" s="123" t="s">
        <v>383</v>
      </c>
      <c r="B137" s="160" t="s">
        <v>173</v>
      </c>
      <c r="C137" s="221" t="s">
        <v>174</v>
      </c>
      <c r="D137" s="123" t="s">
        <v>165</v>
      </c>
      <c r="E137" s="161">
        <v>53</v>
      </c>
      <c r="F137" s="162">
        <v>3318.29</v>
      </c>
      <c r="G137" s="143">
        <f>G134+G135+G136</f>
        <v>50.250000000000007</v>
      </c>
    </row>
    <row r="138" spans="1:8" hidden="1" outlineLevel="1" x14ac:dyDescent="0.25">
      <c r="A138" s="118" t="s">
        <v>388</v>
      </c>
      <c r="B138" s="118"/>
      <c r="C138" s="240"/>
      <c r="D138" s="120"/>
      <c r="E138" s="120"/>
      <c r="F138" s="140"/>
      <c r="G138" s="219" t="s">
        <v>525</v>
      </c>
      <c r="H138" s="218"/>
    </row>
    <row r="139" spans="1:8" ht="22.5" hidden="1" outlineLevel="1" x14ac:dyDescent="0.25">
      <c r="A139" s="123" t="s">
        <v>389</v>
      </c>
      <c r="B139" s="160" t="s">
        <v>208</v>
      </c>
      <c r="C139" s="221" t="s">
        <v>209</v>
      </c>
      <c r="D139" s="123" t="s">
        <v>210</v>
      </c>
      <c r="E139" s="161">
        <v>1</v>
      </c>
      <c r="F139" s="162">
        <v>44914.41</v>
      </c>
      <c r="G139" s="164">
        <v>1</v>
      </c>
      <c r="H139" s="218"/>
    </row>
    <row r="140" spans="1:8" ht="22.5" hidden="1" outlineLevel="1" x14ac:dyDescent="0.25">
      <c r="A140" s="123" t="s">
        <v>390</v>
      </c>
      <c r="B140" s="160" t="s">
        <v>82</v>
      </c>
      <c r="C140" s="221" t="s">
        <v>83</v>
      </c>
      <c r="D140" s="123" t="s">
        <v>58</v>
      </c>
      <c r="E140" s="161">
        <v>0.29899999999999999</v>
      </c>
      <c r="F140" s="162">
        <v>5945.15</v>
      </c>
      <c r="G140" s="212">
        <f>22.45/100</f>
        <v>0.22450000000000001</v>
      </c>
      <c r="H140" s="218"/>
    </row>
    <row r="141" spans="1:8" ht="22.5" hidden="1" outlineLevel="1" x14ac:dyDescent="0.25">
      <c r="A141" s="123" t="s">
        <v>391</v>
      </c>
      <c r="B141" s="160" t="s">
        <v>89</v>
      </c>
      <c r="C141" s="221" t="s">
        <v>90</v>
      </c>
      <c r="D141" s="123" t="s">
        <v>58</v>
      </c>
      <c r="E141" s="161">
        <v>0.13950000000000001</v>
      </c>
      <c r="F141" s="162">
        <v>2580.31</v>
      </c>
      <c r="G141" s="212">
        <f>10.37/100</f>
        <v>0.10369999999999999</v>
      </c>
      <c r="H141" s="218"/>
    </row>
    <row r="142" spans="1:8" ht="22.5" hidden="1" outlineLevel="1" x14ac:dyDescent="0.25">
      <c r="A142" s="123" t="s">
        <v>392</v>
      </c>
      <c r="B142" s="160" t="s">
        <v>96</v>
      </c>
      <c r="C142" s="221" t="s">
        <v>97</v>
      </c>
      <c r="D142" s="123" t="s">
        <v>58</v>
      </c>
      <c r="E142" s="161">
        <v>0.14000000000000001</v>
      </c>
      <c r="F142" s="162">
        <v>21284.21</v>
      </c>
      <c r="G142" s="212">
        <f>G141</f>
        <v>0.10369999999999999</v>
      </c>
      <c r="H142" s="218"/>
    </row>
    <row r="143" spans="1:8" hidden="1" outlineLevel="1" x14ac:dyDescent="0.25">
      <c r="A143" s="123" t="s">
        <v>393</v>
      </c>
      <c r="B143" s="160" t="s">
        <v>104</v>
      </c>
      <c r="C143" s="221" t="s">
        <v>105</v>
      </c>
      <c r="D143" s="123" t="s">
        <v>106</v>
      </c>
      <c r="E143" s="161">
        <v>17.64</v>
      </c>
      <c r="F143" s="162">
        <v>109610.05</v>
      </c>
      <c r="G143" s="215">
        <f>1.26*G142*100</f>
        <v>13.066199999999997</v>
      </c>
      <c r="H143" s="218"/>
    </row>
    <row r="144" spans="1:8" ht="33.75" hidden="1" outlineLevel="1" x14ac:dyDescent="0.25">
      <c r="A144" s="123" t="s">
        <v>394</v>
      </c>
      <c r="B144" s="160" t="s">
        <v>241</v>
      </c>
      <c r="C144" s="221" t="s">
        <v>242</v>
      </c>
      <c r="D144" s="123" t="s">
        <v>210</v>
      </c>
      <c r="E144" s="161">
        <v>1</v>
      </c>
      <c r="F144" s="162">
        <v>207003.6</v>
      </c>
      <c r="G144" s="164">
        <v>1</v>
      </c>
      <c r="H144" s="218"/>
    </row>
    <row r="145" spans="1:8" hidden="1" outlineLevel="1" x14ac:dyDescent="0.25">
      <c r="A145" s="123" t="s">
        <v>395</v>
      </c>
      <c r="B145" s="160" t="s">
        <v>244</v>
      </c>
      <c r="C145" s="221" t="s">
        <v>245</v>
      </c>
      <c r="D145" s="123" t="s">
        <v>246</v>
      </c>
      <c r="E145" s="161">
        <v>1</v>
      </c>
      <c r="F145" s="162">
        <v>1667776.02</v>
      </c>
      <c r="G145" s="164">
        <v>1</v>
      </c>
      <c r="H145" s="218"/>
    </row>
    <row r="146" spans="1:8" ht="22.5" hidden="1" outlineLevel="1" x14ac:dyDescent="0.25">
      <c r="A146" s="123" t="s">
        <v>396</v>
      </c>
      <c r="B146" s="160" t="s">
        <v>249</v>
      </c>
      <c r="C146" s="221" t="s">
        <v>250</v>
      </c>
      <c r="D146" s="123" t="s">
        <v>246</v>
      </c>
      <c r="E146" s="161">
        <v>1</v>
      </c>
      <c r="F146" s="162">
        <v>3596141.97</v>
      </c>
      <c r="G146" s="164">
        <v>1</v>
      </c>
      <c r="H146" s="218"/>
    </row>
    <row r="147" spans="1:8" ht="33.75" hidden="1" outlineLevel="1" x14ac:dyDescent="0.25">
      <c r="A147" s="123" t="s">
        <v>397</v>
      </c>
      <c r="B147" s="160" t="s">
        <v>253</v>
      </c>
      <c r="C147" s="221" t="s">
        <v>254</v>
      </c>
      <c r="D147" s="123" t="s">
        <v>115</v>
      </c>
      <c r="E147" s="161">
        <v>1</v>
      </c>
      <c r="F147" s="162">
        <v>42192.34</v>
      </c>
      <c r="G147" s="164">
        <v>1</v>
      </c>
      <c r="H147" s="218"/>
    </row>
    <row r="148" spans="1:8" s="229" customFormat="1" hidden="1" outlineLevel="1" x14ac:dyDescent="0.25">
      <c r="A148" s="257" t="s">
        <v>398</v>
      </c>
      <c r="B148" s="258" t="s">
        <v>260</v>
      </c>
      <c r="C148" s="241" t="s">
        <v>261</v>
      </c>
      <c r="D148" s="257" t="s">
        <v>115</v>
      </c>
      <c r="E148" s="259">
        <v>-2</v>
      </c>
      <c r="F148" s="260">
        <v>-5066.7299999999996</v>
      </c>
      <c r="G148" s="261">
        <v>-2</v>
      </c>
    </row>
    <row r="149" spans="1:8" hidden="1" outlineLevel="1" x14ac:dyDescent="0.25">
      <c r="A149" s="123" t="s">
        <v>399</v>
      </c>
      <c r="B149" s="160" t="s">
        <v>263</v>
      </c>
      <c r="C149" s="221" t="s">
        <v>264</v>
      </c>
      <c r="D149" s="123" t="s">
        <v>115</v>
      </c>
      <c r="E149" s="161">
        <v>2</v>
      </c>
      <c r="F149" s="162">
        <v>87727.09</v>
      </c>
      <c r="G149" s="164">
        <v>2</v>
      </c>
      <c r="H149" s="218"/>
    </row>
    <row r="150" spans="1:8" ht="22.5" hidden="1" outlineLevel="1" x14ac:dyDescent="0.25">
      <c r="A150" s="123" t="s">
        <v>400</v>
      </c>
      <c r="B150" s="160" t="s">
        <v>267</v>
      </c>
      <c r="C150" s="221" t="s">
        <v>268</v>
      </c>
      <c r="D150" s="123" t="s">
        <v>115</v>
      </c>
      <c r="E150" s="161">
        <v>1</v>
      </c>
      <c r="F150" s="162">
        <v>156781.35</v>
      </c>
      <c r="G150" s="164">
        <v>1</v>
      </c>
      <c r="H150" s="234"/>
    </row>
    <row r="151" spans="1:8" hidden="1" outlineLevel="1" x14ac:dyDescent="0.25">
      <c r="A151" s="123" t="s">
        <v>401</v>
      </c>
      <c r="B151" s="160" t="s">
        <v>120</v>
      </c>
      <c r="C151" s="221" t="s">
        <v>271</v>
      </c>
      <c r="D151" s="123" t="s">
        <v>115</v>
      </c>
      <c r="E151" s="161">
        <v>1</v>
      </c>
      <c r="F151" s="162">
        <v>4178.1000000000004</v>
      </c>
      <c r="G151" s="164">
        <v>1</v>
      </c>
      <c r="H151" s="234"/>
    </row>
    <row r="152" spans="1:8" ht="22.5" hidden="1" outlineLevel="1" x14ac:dyDescent="0.25">
      <c r="A152" s="262" t="s">
        <v>402</v>
      </c>
      <c r="B152" s="263" t="s">
        <v>274</v>
      </c>
      <c r="C152" s="264" t="s">
        <v>275</v>
      </c>
      <c r="D152" s="262" t="s">
        <v>276</v>
      </c>
      <c r="E152" s="243">
        <v>0.06</v>
      </c>
      <c r="F152" s="265">
        <v>15658.24</v>
      </c>
      <c r="G152" s="243">
        <v>0</v>
      </c>
      <c r="H152" s="218" t="s">
        <v>546</v>
      </c>
    </row>
    <row r="153" spans="1:8" s="229" customFormat="1" hidden="1" outlineLevel="1" x14ac:dyDescent="0.25">
      <c r="A153" s="262" t="s">
        <v>403</v>
      </c>
      <c r="B153" s="263" t="s">
        <v>282</v>
      </c>
      <c r="C153" s="264" t="s">
        <v>283</v>
      </c>
      <c r="D153" s="262" t="s">
        <v>127</v>
      </c>
      <c r="E153" s="243">
        <v>-2.9000000000000001E-2</v>
      </c>
      <c r="F153" s="265">
        <v>-2679.86</v>
      </c>
      <c r="G153" s="243">
        <v>0</v>
      </c>
      <c r="H153" s="218" t="s">
        <v>546</v>
      </c>
    </row>
    <row r="154" spans="1:8" hidden="1" outlineLevel="1" x14ac:dyDescent="0.25">
      <c r="A154" s="262" t="s">
        <v>404</v>
      </c>
      <c r="B154" s="263" t="s">
        <v>120</v>
      </c>
      <c r="C154" s="264" t="s">
        <v>285</v>
      </c>
      <c r="D154" s="262" t="s">
        <v>130</v>
      </c>
      <c r="E154" s="243">
        <v>0.36</v>
      </c>
      <c r="F154" s="265">
        <v>134204.32</v>
      </c>
      <c r="G154" s="243">
        <v>0</v>
      </c>
      <c r="H154" s="218" t="s">
        <v>546</v>
      </c>
    </row>
    <row r="155" spans="1:8" hidden="1" outlineLevel="1" x14ac:dyDescent="0.25">
      <c r="A155" s="262" t="s">
        <v>405</v>
      </c>
      <c r="B155" s="263" t="s">
        <v>120</v>
      </c>
      <c r="C155" s="264" t="s">
        <v>129</v>
      </c>
      <c r="D155" s="262" t="s">
        <v>130</v>
      </c>
      <c r="E155" s="243">
        <v>2.9000000000000001E-2</v>
      </c>
      <c r="F155" s="265">
        <v>8010.5</v>
      </c>
      <c r="G155" s="243">
        <v>0</v>
      </c>
      <c r="H155" s="218" t="s">
        <v>546</v>
      </c>
    </row>
    <row r="156" spans="1:8" ht="22.5" hidden="1" outlineLevel="1" x14ac:dyDescent="0.25">
      <c r="A156" s="123" t="s">
        <v>406</v>
      </c>
      <c r="B156" s="160" t="s">
        <v>288</v>
      </c>
      <c r="C156" s="221" t="s">
        <v>289</v>
      </c>
      <c r="D156" s="123" t="s">
        <v>160</v>
      </c>
      <c r="E156" s="161">
        <v>1.3299999999999999E-2</v>
      </c>
      <c r="F156" s="162">
        <v>34682.379999999997</v>
      </c>
      <c r="G156" s="212">
        <f>E156</f>
        <v>1.3299999999999999E-2</v>
      </c>
      <c r="H156" s="234"/>
    </row>
    <row r="157" spans="1:8" hidden="1" outlineLevel="1" x14ac:dyDescent="0.25">
      <c r="A157" s="117" t="s">
        <v>161</v>
      </c>
      <c r="B157" s="117"/>
      <c r="C157" s="221"/>
      <c r="D157" s="123"/>
      <c r="E157" s="123"/>
      <c r="F157" s="147"/>
      <c r="G157" s="226"/>
      <c r="H157" s="234"/>
    </row>
    <row r="158" spans="1:8" ht="33.75" hidden="1" outlineLevel="1" x14ac:dyDescent="0.25">
      <c r="A158" s="123" t="s">
        <v>407</v>
      </c>
      <c r="B158" s="160" t="s">
        <v>163</v>
      </c>
      <c r="C158" s="221" t="s">
        <v>164</v>
      </c>
      <c r="D158" s="123" t="s">
        <v>165</v>
      </c>
      <c r="E158" s="161">
        <v>52.3</v>
      </c>
      <c r="F158" s="162">
        <v>2694.89</v>
      </c>
      <c r="G158" s="143">
        <f>G140*100*1.75</f>
        <v>39.287500000000001</v>
      </c>
      <c r="H158" s="234"/>
    </row>
    <row r="159" spans="1:8" ht="33.75" hidden="1" outlineLevel="1" x14ac:dyDescent="0.25">
      <c r="A159" s="123" t="s">
        <v>408</v>
      </c>
      <c r="B159" s="160" t="s">
        <v>167</v>
      </c>
      <c r="C159" s="221" t="s">
        <v>292</v>
      </c>
      <c r="D159" s="123" t="s">
        <v>165</v>
      </c>
      <c r="E159" s="161">
        <v>9.9</v>
      </c>
      <c r="F159" s="162">
        <v>1304.8699999999999</v>
      </c>
      <c r="G159" s="143">
        <v>7.56</v>
      </c>
      <c r="H159" s="234"/>
    </row>
    <row r="160" spans="1:8" ht="22.5" hidden="1" outlineLevel="1" x14ac:dyDescent="0.25">
      <c r="A160" s="123" t="s">
        <v>409</v>
      </c>
      <c r="B160" s="160" t="s">
        <v>170</v>
      </c>
      <c r="C160" s="221" t="s">
        <v>294</v>
      </c>
      <c r="D160" s="123" t="s">
        <v>165</v>
      </c>
      <c r="E160" s="161">
        <v>5</v>
      </c>
      <c r="F160" s="162">
        <v>854.62</v>
      </c>
      <c r="G160" s="143">
        <f>1.6+2.64</f>
        <v>4.24</v>
      </c>
      <c r="H160" s="234"/>
    </row>
    <row r="161" spans="1:8" ht="33.75" hidden="1" outlineLevel="1" x14ac:dyDescent="0.25">
      <c r="A161" s="123" t="s">
        <v>410</v>
      </c>
      <c r="B161" s="160" t="s">
        <v>173</v>
      </c>
      <c r="C161" s="221" t="s">
        <v>174</v>
      </c>
      <c r="D161" s="123" t="s">
        <v>165</v>
      </c>
      <c r="E161" s="161">
        <v>67.2</v>
      </c>
      <c r="F161" s="162">
        <v>4207.3100000000004</v>
      </c>
      <c r="G161" s="143">
        <f>G160+G159+G158</f>
        <v>51.087500000000006</v>
      </c>
      <c r="H161" s="218"/>
    </row>
    <row r="162" spans="1:8" hidden="1" outlineLevel="1" x14ac:dyDescent="0.25">
      <c r="A162" s="114" t="s">
        <v>415</v>
      </c>
      <c r="B162" s="114"/>
      <c r="C162" s="220"/>
      <c r="D162" s="120"/>
      <c r="E162" s="120"/>
      <c r="F162" s="140"/>
    </row>
    <row r="163" spans="1:8" ht="22.5" hidden="1" outlineLevel="1" x14ac:dyDescent="0.25">
      <c r="A163" s="123" t="s">
        <v>416</v>
      </c>
      <c r="B163" s="160" t="s">
        <v>208</v>
      </c>
      <c r="C163" s="221" t="s">
        <v>209</v>
      </c>
      <c r="D163" s="123" t="s">
        <v>210</v>
      </c>
      <c r="E163" s="161">
        <v>1</v>
      </c>
      <c r="F163" s="162">
        <v>44914.41</v>
      </c>
    </row>
    <row r="164" spans="1:8" ht="22.5" hidden="1" outlineLevel="1" x14ac:dyDescent="0.25">
      <c r="A164" s="123" t="s">
        <v>417</v>
      </c>
      <c r="B164" s="160" t="s">
        <v>82</v>
      </c>
      <c r="C164" s="221" t="s">
        <v>83</v>
      </c>
      <c r="D164" s="123" t="s">
        <v>58</v>
      </c>
      <c r="E164" s="161">
        <v>0.23699999999999999</v>
      </c>
      <c r="F164" s="162">
        <v>4712.08</v>
      </c>
    </row>
    <row r="165" spans="1:8" ht="22.5" hidden="1" outlineLevel="1" x14ac:dyDescent="0.25">
      <c r="A165" s="123" t="s">
        <v>418</v>
      </c>
      <c r="B165" s="160" t="s">
        <v>89</v>
      </c>
      <c r="C165" s="221" t="s">
        <v>90</v>
      </c>
      <c r="D165" s="123" t="s">
        <v>58</v>
      </c>
      <c r="E165" s="161">
        <v>0.11559999999999999</v>
      </c>
      <c r="F165" s="162">
        <v>2138.88</v>
      </c>
    </row>
    <row r="166" spans="1:8" ht="22.5" hidden="1" outlineLevel="1" x14ac:dyDescent="0.25">
      <c r="A166" s="123" t="s">
        <v>419</v>
      </c>
      <c r="B166" s="160" t="s">
        <v>96</v>
      </c>
      <c r="C166" s="221" t="s">
        <v>97</v>
      </c>
      <c r="D166" s="123" t="s">
        <v>58</v>
      </c>
      <c r="E166" s="161">
        <v>0.11600000000000001</v>
      </c>
      <c r="F166" s="162">
        <v>17635.43</v>
      </c>
    </row>
    <row r="167" spans="1:8" hidden="1" outlineLevel="1" x14ac:dyDescent="0.25">
      <c r="A167" s="123" t="s">
        <v>420</v>
      </c>
      <c r="B167" s="160" t="s">
        <v>104</v>
      </c>
      <c r="C167" s="221" t="s">
        <v>105</v>
      </c>
      <c r="D167" s="123" t="s">
        <v>106</v>
      </c>
      <c r="E167" s="161">
        <v>14.62</v>
      </c>
      <c r="F167" s="162">
        <v>90844.61</v>
      </c>
    </row>
    <row r="168" spans="1:8" ht="33.75" hidden="1" outlineLevel="1" x14ac:dyDescent="0.25">
      <c r="A168" s="123" t="s">
        <v>421</v>
      </c>
      <c r="B168" s="160" t="s">
        <v>241</v>
      </c>
      <c r="C168" s="221" t="s">
        <v>242</v>
      </c>
      <c r="D168" s="123" t="s">
        <v>210</v>
      </c>
      <c r="E168" s="161">
        <v>1</v>
      </c>
      <c r="F168" s="162">
        <v>207003.6</v>
      </c>
    </row>
    <row r="169" spans="1:8" hidden="1" outlineLevel="1" x14ac:dyDescent="0.25">
      <c r="A169" s="123" t="s">
        <v>422</v>
      </c>
      <c r="B169" s="160" t="s">
        <v>244</v>
      </c>
      <c r="C169" s="221" t="s">
        <v>245</v>
      </c>
      <c r="D169" s="123" t="s">
        <v>246</v>
      </c>
      <c r="E169" s="161">
        <v>1</v>
      </c>
      <c r="F169" s="162">
        <v>1667776.02</v>
      </c>
    </row>
    <row r="170" spans="1:8" ht="22.5" hidden="1" outlineLevel="1" x14ac:dyDescent="0.25">
      <c r="A170" s="123" t="s">
        <v>423</v>
      </c>
      <c r="B170" s="160" t="s">
        <v>249</v>
      </c>
      <c r="C170" s="221" t="s">
        <v>250</v>
      </c>
      <c r="D170" s="123" t="s">
        <v>246</v>
      </c>
      <c r="E170" s="161">
        <v>1</v>
      </c>
      <c r="F170" s="162">
        <v>3596141.97</v>
      </c>
    </row>
    <row r="171" spans="1:8" ht="33.75" hidden="1" outlineLevel="1" x14ac:dyDescent="0.25">
      <c r="A171" s="123" t="s">
        <v>424</v>
      </c>
      <c r="B171" s="160" t="s">
        <v>253</v>
      </c>
      <c r="C171" s="221" t="s">
        <v>254</v>
      </c>
      <c r="D171" s="123" t="s">
        <v>115</v>
      </c>
      <c r="E171" s="161">
        <v>1</v>
      </c>
      <c r="F171" s="162">
        <v>42192.34</v>
      </c>
    </row>
    <row r="172" spans="1:8" s="229" customFormat="1" hidden="1" outlineLevel="1" x14ac:dyDescent="0.25">
      <c r="A172" s="166" t="s">
        <v>425</v>
      </c>
      <c r="B172" s="167" t="s">
        <v>260</v>
      </c>
      <c r="C172" s="222" t="s">
        <v>261</v>
      </c>
      <c r="D172" s="166" t="s">
        <v>115</v>
      </c>
      <c r="E172" s="169">
        <v>-2</v>
      </c>
      <c r="F172" s="170">
        <v>-5066.7299999999996</v>
      </c>
      <c r="G172" s="233"/>
      <c r="H172" s="232"/>
    </row>
    <row r="173" spans="1:8" hidden="1" outlineLevel="1" x14ac:dyDescent="0.25">
      <c r="A173" s="123" t="s">
        <v>426</v>
      </c>
      <c r="B173" s="160" t="s">
        <v>263</v>
      </c>
      <c r="C173" s="221" t="s">
        <v>264</v>
      </c>
      <c r="D173" s="123" t="s">
        <v>115</v>
      </c>
      <c r="E173" s="161">
        <v>2</v>
      </c>
      <c r="F173" s="162">
        <v>87727.09</v>
      </c>
    </row>
    <row r="174" spans="1:8" ht="22.5" hidden="1" outlineLevel="1" x14ac:dyDescent="0.25">
      <c r="A174" s="123" t="s">
        <v>427</v>
      </c>
      <c r="B174" s="160" t="s">
        <v>267</v>
      </c>
      <c r="C174" s="221" t="s">
        <v>268</v>
      </c>
      <c r="D174" s="123" t="s">
        <v>115</v>
      </c>
      <c r="E174" s="161">
        <v>1</v>
      </c>
      <c r="F174" s="162">
        <v>156781.35</v>
      </c>
    </row>
    <row r="175" spans="1:8" hidden="1" outlineLevel="1" x14ac:dyDescent="0.25">
      <c r="A175" s="123" t="s">
        <v>428</v>
      </c>
      <c r="B175" s="160" t="s">
        <v>120</v>
      </c>
      <c r="C175" s="221" t="s">
        <v>271</v>
      </c>
      <c r="D175" s="123" t="s">
        <v>115</v>
      </c>
      <c r="E175" s="161">
        <v>1</v>
      </c>
      <c r="F175" s="162">
        <v>4178.1000000000004</v>
      </c>
    </row>
    <row r="176" spans="1:8" ht="22.5" hidden="1" outlineLevel="1" x14ac:dyDescent="0.25">
      <c r="A176" s="123" t="s">
        <v>429</v>
      </c>
      <c r="B176" s="160" t="s">
        <v>274</v>
      </c>
      <c r="C176" s="221" t="s">
        <v>275</v>
      </c>
      <c r="D176" s="123" t="s">
        <v>276</v>
      </c>
      <c r="E176" s="161">
        <v>0.06</v>
      </c>
      <c r="F176" s="162">
        <v>15658.24</v>
      </c>
    </row>
    <row r="177" spans="1:8" s="229" customFormat="1" hidden="1" outlineLevel="1" x14ac:dyDescent="0.25">
      <c r="A177" s="166" t="s">
        <v>430</v>
      </c>
      <c r="B177" s="167" t="s">
        <v>282</v>
      </c>
      <c r="C177" s="222" t="s">
        <v>283</v>
      </c>
      <c r="D177" s="166" t="s">
        <v>127</v>
      </c>
      <c r="E177" s="169">
        <v>-2.9000000000000001E-2</v>
      </c>
      <c r="F177" s="170">
        <v>-2679.86</v>
      </c>
      <c r="G177" s="233"/>
      <c r="H177" s="232"/>
    </row>
    <row r="178" spans="1:8" hidden="1" outlineLevel="1" x14ac:dyDescent="0.25">
      <c r="A178" s="123" t="s">
        <v>431</v>
      </c>
      <c r="B178" s="160" t="s">
        <v>120</v>
      </c>
      <c r="C178" s="221" t="s">
        <v>285</v>
      </c>
      <c r="D178" s="123" t="s">
        <v>130</v>
      </c>
      <c r="E178" s="161">
        <v>0.36</v>
      </c>
      <c r="F178" s="162">
        <v>134204.32</v>
      </c>
    </row>
    <row r="179" spans="1:8" hidden="1" outlineLevel="1" x14ac:dyDescent="0.25">
      <c r="A179" s="123" t="s">
        <v>432</v>
      </c>
      <c r="B179" s="160" t="s">
        <v>120</v>
      </c>
      <c r="C179" s="221" t="s">
        <v>129</v>
      </c>
      <c r="D179" s="123" t="s">
        <v>130</v>
      </c>
      <c r="E179" s="161">
        <v>2.9000000000000001E-2</v>
      </c>
      <c r="F179" s="162">
        <v>8010.5</v>
      </c>
    </row>
    <row r="180" spans="1:8" ht="22.5" hidden="1" outlineLevel="1" x14ac:dyDescent="0.25">
      <c r="A180" s="123" t="s">
        <v>433</v>
      </c>
      <c r="B180" s="160" t="s">
        <v>288</v>
      </c>
      <c r="C180" s="221" t="s">
        <v>289</v>
      </c>
      <c r="D180" s="123" t="s">
        <v>160</v>
      </c>
      <c r="E180" s="161">
        <v>1.3299999999999999E-2</v>
      </c>
      <c r="F180" s="162">
        <v>34682.379999999997</v>
      </c>
    </row>
    <row r="181" spans="1:8" hidden="1" outlineLevel="1" x14ac:dyDescent="0.25">
      <c r="A181" s="117" t="s">
        <v>161</v>
      </c>
      <c r="B181" s="117"/>
      <c r="C181" s="221"/>
      <c r="D181" s="123"/>
      <c r="E181" s="123"/>
      <c r="F181" s="147"/>
    </row>
    <row r="182" spans="1:8" ht="33.75" hidden="1" outlineLevel="1" x14ac:dyDescent="0.25">
      <c r="A182" s="123" t="s">
        <v>434</v>
      </c>
      <c r="B182" s="160" t="s">
        <v>163</v>
      </c>
      <c r="C182" s="221" t="s">
        <v>164</v>
      </c>
      <c r="D182" s="123" t="s">
        <v>165</v>
      </c>
      <c r="E182" s="161">
        <v>41.5</v>
      </c>
      <c r="F182" s="162">
        <v>2138.4499999999998</v>
      </c>
    </row>
    <row r="183" spans="1:8" ht="33.75" hidden="1" outlineLevel="1" x14ac:dyDescent="0.25">
      <c r="A183" s="123" t="s">
        <v>435</v>
      </c>
      <c r="B183" s="160" t="s">
        <v>167</v>
      </c>
      <c r="C183" s="221" t="s">
        <v>292</v>
      </c>
      <c r="D183" s="123" t="s">
        <v>165</v>
      </c>
      <c r="E183" s="161">
        <v>9.9</v>
      </c>
      <c r="F183" s="162">
        <v>1304.8699999999999</v>
      </c>
    </row>
    <row r="184" spans="1:8" ht="22.5" hidden="1" outlineLevel="1" x14ac:dyDescent="0.25">
      <c r="A184" s="123" t="s">
        <v>436</v>
      </c>
      <c r="B184" s="160" t="s">
        <v>170</v>
      </c>
      <c r="C184" s="221" t="s">
        <v>294</v>
      </c>
      <c r="D184" s="123" t="s">
        <v>165</v>
      </c>
      <c r="E184" s="161">
        <v>5</v>
      </c>
      <c r="F184" s="162">
        <v>854.62</v>
      </c>
    </row>
    <row r="185" spans="1:8" ht="33.75" hidden="1" outlineLevel="1" x14ac:dyDescent="0.25">
      <c r="A185" s="123" t="s">
        <v>437</v>
      </c>
      <c r="B185" s="160" t="s">
        <v>173</v>
      </c>
      <c r="C185" s="221" t="s">
        <v>174</v>
      </c>
      <c r="D185" s="123" t="s">
        <v>165</v>
      </c>
      <c r="E185" s="161">
        <v>56.4</v>
      </c>
      <c r="F185" s="162">
        <v>3531.09</v>
      </c>
    </row>
    <row r="186" spans="1:8" hidden="1" outlineLevel="1" x14ac:dyDescent="0.25">
      <c r="A186" s="114" t="s">
        <v>442</v>
      </c>
      <c r="B186" s="114"/>
      <c r="C186" s="220"/>
      <c r="D186" s="120"/>
      <c r="E186" s="120"/>
      <c r="F186" s="140"/>
    </row>
    <row r="187" spans="1:8" ht="22.5" hidden="1" outlineLevel="1" x14ac:dyDescent="0.25">
      <c r="A187" s="123" t="s">
        <v>443</v>
      </c>
      <c r="B187" s="160" t="s">
        <v>208</v>
      </c>
      <c r="C187" s="221" t="s">
        <v>209</v>
      </c>
      <c r="D187" s="123" t="s">
        <v>210</v>
      </c>
      <c r="E187" s="161">
        <v>1</v>
      </c>
      <c r="F187" s="162">
        <v>44914.41</v>
      </c>
    </row>
    <row r="188" spans="1:8" ht="22.5" hidden="1" outlineLevel="1" x14ac:dyDescent="0.25">
      <c r="A188" s="123" t="s">
        <v>444</v>
      </c>
      <c r="B188" s="160" t="s">
        <v>82</v>
      </c>
      <c r="C188" s="221" t="s">
        <v>83</v>
      </c>
      <c r="D188" s="123" t="s">
        <v>58</v>
      </c>
      <c r="E188" s="161">
        <v>0.23599999999999999</v>
      </c>
      <c r="F188" s="162">
        <v>4693.04</v>
      </c>
    </row>
    <row r="189" spans="1:8" ht="22.5" hidden="1" outlineLevel="1" x14ac:dyDescent="0.25">
      <c r="A189" s="123" t="s">
        <v>445</v>
      </c>
      <c r="B189" s="160" t="s">
        <v>89</v>
      </c>
      <c r="C189" s="221" t="s">
        <v>90</v>
      </c>
      <c r="D189" s="123" t="s">
        <v>58</v>
      </c>
      <c r="E189" s="161">
        <v>0.1152</v>
      </c>
      <c r="F189" s="162">
        <v>2130.6</v>
      </c>
    </row>
    <row r="190" spans="1:8" ht="22.5" hidden="1" outlineLevel="1" x14ac:dyDescent="0.25">
      <c r="A190" s="123" t="s">
        <v>446</v>
      </c>
      <c r="B190" s="160" t="s">
        <v>96</v>
      </c>
      <c r="C190" s="221" t="s">
        <v>97</v>
      </c>
      <c r="D190" s="123" t="s">
        <v>58</v>
      </c>
      <c r="E190" s="161">
        <v>0.115</v>
      </c>
      <c r="F190" s="162">
        <v>17483.62</v>
      </c>
    </row>
    <row r="191" spans="1:8" hidden="1" outlineLevel="1" x14ac:dyDescent="0.25">
      <c r="A191" s="123" t="s">
        <v>447</v>
      </c>
      <c r="B191" s="160" t="s">
        <v>104</v>
      </c>
      <c r="C191" s="221" t="s">
        <v>105</v>
      </c>
      <c r="D191" s="123" t="s">
        <v>106</v>
      </c>
      <c r="E191" s="161">
        <v>14.49</v>
      </c>
      <c r="F191" s="162">
        <v>90036.82</v>
      </c>
    </row>
    <row r="192" spans="1:8" ht="33.75" hidden="1" outlineLevel="1" x14ac:dyDescent="0.25">
      <c r="A192" s="123" t="s">
        <v>448</v>
      </c>
      <c r="B192" s="160" t="s">
        <v>241</v>
      </c>
      <c r="C192" s="221" t="s">
        <v>242</v>
      </c>
      <c r="D192" s="123" t="s">
        <v>210</v>
      </c>
      <c r="E192" s="161">
        <v>1</v>
      </c>
      <c r="F192" s="162">
        <v>207003.6</v>
      </c>
    </row>
    <row r="193" spans="1:8" hidden="1" outlineLevel="1" x14ac:dyDescent="0.25">
      <c r="A193" s="123" t="s">
        <v>449</v>
      </c>
      <c r="B193" s="160" t="s">
        <v>244</v>
      </c>
      <c r="C193" s="221" t="s">
        <v>245</v>
      </c>
      <c r="D193" s="123" t="s">
        <v>246</v>
      </c>
      <c r="E193" s="161">
        <v>1</v>
      </c>
      <c r="F193" s="162">
        <v>1667776.02</v>
      </c>
    </row>
    <row r="194" spans="1:8" ht="22.5" hidden="1" outlineLevel="1" x14ac:dyDescent="0.25">
      <c r="A194" s="123" t="s">
        <v>450</v>
      </c>
      <c r="B194" s="160" t="s">
        <v>249</v>
      </c>
      <c r="C194" s="221" t="s">
        <v>451</v>
      </c>
      <c r="D194" s="123" t="s">
        <v>246</v>
      </c>
      <c r="E194" s="161">
        <v>1</v>
      </c>
      <c r="F194" s="162">
        <v>3596141.97</v>
      </c>
    </row>
    <row r="195" spans="1:8" ht="33.75" hidden="1" outlineLevel="1" x14ac:dyDescent="0.25">
      <c r="A195" s="123" t="s">
        <v>452</v>
      </c>
      <c r="B195" s="160" t="s">
        <v>253</v>
      </c>
      <c r="C195" s="221" t="s">
        <v>254</v>
      </c>
      <c r="D195" s="123" t="s">
        <v>115</v>
      </c>
      <c r="E195" s="161">
        <v>1</v>
      </c>
      <c r="F195" s="162">
        <v>42192.34</v>
      </c>
    </row>
    <row r="196" spans="1:8" s="229" customFormat="1" hidden="1" outlineLevel="1" x14ac:dyDescent="0.25">
      <c r="A196" s="166" t="s">
        <v>453</v>
      </c>
      <c r="B196" s="167" t="s">
        <v>260</v>
      </c>
      <c r="C196" s="222" t="s">
        <v>261</v>
      </c>
      <c r="D196" s="166" t="s">
        <v>115</v>
      </c>
      <c r="E196" s="169">
        <v>-2</v>
      </c>
      <c r="F196" s="170">
        <v>-5066.7299999999996</v>
      </c>
      <c r="G196" s="233"/>
      <c r="H196" s="232"/>
    </row>
    <row r="197" spans="1:8" hidden="1" outlineLevel="1" x14ac:dyDescent="0.25">
      <c r="A197" s="123" t="s">
        <v>454</v>
      </c>
      <c r="B197" s="160" t="s">
        <v>263</v>
      </c>
      <c r="C197" s="221" t="s">
        <v>264</v>
      </c>
      <c r="D197" s="123" t="s">
        <v>115</v>
      </c>
      <c r="E197" s="161">
        <v>2</v>
      </c>
      <c r="F197" s="162">
        <v>87727.09</v>
      </c>
    </row>
    <row r="198" spans="1:8" ht="22.5" hidden="1" outlineLevel="1" x14ac:dyDescent="0.25">
      <c r="A198" s="123" t="s">
        <v>455</v>
      </c>
      <c r="B198" s="160" t="s">
        <v>267</v>
      </c>
      <c r="C198" s="221" t="s">
        <v>268</v>
      </c>
      <c r="D198" s="123" t="s">
        <v>115</v>
      </c>
      <c r="E198" s="161">
        <v>1</v>
      </c>
      <c r="F198" s="162">
        <v>156781.35</v>
      </c>
    </row>
    <row r="199" spans="1:8" hidden="1" outlineLevel="1" x14ac:dyDescent="0.25">
      <c r="A199" s="123" t="s">
        <v>456</v>
      </c>
      <c r="B199" s="160" t="s">
        <v>120</v>
      </c>
      <c r="C199" s="221" t="s">
        <v>271</v>
      </c>
      <c r="D199" s="123" t="s">
        <v>115</v>
      </c>
      <c r="E199" s="161">
        <v>1</v>
      </c>
      <c r="F199" s="162">
        <v>4178.1000000000004</v>
      </c>
    </row>
    <row r="200" spans="1:8" ht="22.5" hidden="1" outlineLevel="1" x14ac:dyDescent="0.25">
      <c r="A200" s="123" t="s">
        <v>457</v>
      </c>
      <c r="B200" s="160" t="s">
        <v>274</v>
      </c>
      <c r="C200" s="221" t="s">
        <v>275</v>
      </c>
      <c r="D200" s="123" t="s">
        <v>276</v>
      </c>
      <c r="E200" s="161">
        <v>0.06</v>
      </c>
      <c r="F200" s="162">
        <v>15638.67</v>
      </c>
    </row>
    <row r="201" spans="1:8" s="229" customFormat="1" hidden="1" outlineLevel="1" x14ac:dyDescent="0.25">
      <c r="A201" s="166" t="s">
        <v>458</v>
      </c>
      <c r="B201" s="167" t="s">
        <v>282</v>
      </c>
      <c r="C201" s="222" t="s">
        <v>283</v>
      </c>
      <c r="D201" s="166" t="s">
        <v>127</v>
      </c>
      <c r="E201" s="169">
        <v>-2.9000000000000001E-2</v>
      </c>
      <c r="F201" s="170">
        <v>-2679.86</v>
      </c>
      <c r="G201" s="233"/>
      <c r="H201" s="232"/>
    </row>
    <row r="202" spans="1:8" hidden="1" outlineLevel="1" x14ac:dyDescent="0.25">
      <c r="A202" s="123" t="s">
        <v>459</v>
      </c>
      <c r="B202" s="160" t="s">
        <v>120</v>
      </c>
      <c r="C202" s="221" t="s">
        <v>285</v>
      </c>
      <c r="D202" s="123" t="s">
        <v>130</v>
      </c>
      <c r="E202" s="161">
        <v>0.36</v>
      </c>
      <c r="F202" s="162">
        <v>134204.32</v>
      </c>
    </row>
    <row r="203" spans="1:8" hidden="1" outlineLevel="1" x14ac:dyDescent="0.25">
      <c r="A203" s="123" t="s">
        <v>460</v>
      </c>
      <c r="B203" s="160" t="s">
        <v>120</v>
      </c>
      <c r="C203" s="221" t="s">
        <v>129</v>
      </c>
      <c r="D203" s="123" t="s">
        <v>130</v>
      </c>
      <c r="E203" s="161">
        <v>2.9000000000000001E-2</v>
      </c>
      <c r="F203" s="162">
        <v>8010.5</v>
      </c>
    </row>
    <row r="204" spans="1:8" ht="22.5" hidden="1" outlineLevel="1" x14ac:dyDescent="0.25">
      <c r="A204" s="123" t="s">
        <v>461</v>
      </c>
      <c r="B204" s="160" t="s">
        <v>288</v>
      </c>
      <c r="C204" s="221" t="s">
        <v>289</v>
      </c>
      <c r="D204" s="123" t="s">
        <v>160</v>
      </c>
      <c r="E204" s="161">
        <v>1.3299999999999999E-2</v>
      </c>
      <c r="F204" s="162">
        <v>34682.379999999997</v>
      </c>
    </row>
    <row r="205" spans="1:8" hidden="1" outlineLevel="1" x14ac:dyDescent="0.25">
      <c r="A205" s="117" t="s">
        <v>161</v>
      </c>
      <c r="B205" s="117"/>
      <c r="C205" s="221"/>
      <c r="D205" s="123"/>
      <c r="E205" s="123"/>
      <c r="F205" s="147"/>
    </row>
    <row r="206" spans="1:8" ht="33.75" hidden="1" outlineLevel="1" x14ac:dyDescent="0.25">
      <c r="A206" s="123" t="s">
        <v>462</v>
      </c>
      <c r="B206" s="160" t="s">
        <v>163</v>
      </c>
      <c r="C206" s="221" t="s">
        <v>164</v>
      </c>
      <c r="D206" s="123" t="s">
        <v>165</v>
      </c>
      <c r="E206" s="161">
        <v>41.3</v>
      </c>
      <c r="F206" s="162">
        <v>2128.08</v>
      </c>
    </row>
    <row r="207" spans="1:8" ht="33.75" hidden="1" outlineLevel="1" x14ac:dyDescent="0.25">
      <c r="A207" s="123" t="s">
        <v>463</v>
      </c>
      <c r="B207" s="160" t="s">
        <v>167</v>
      </c>
      <c r="C207" s="221" t="s">
        <v>292</v>
      </c>
      <c r="D207" s="123" t="s">
        <v>165</v>
      </c>
      <c r="E207" s="161">
        <v>12.1</v>
      </c>
      <c r="F207" s="162">
        <v>1594.88</v>
      </c>
    </row>
    <row r="208" spans="1:8" ht="22.5" hidden="1" outlineLevel="1" x14ac:dyDescent="0.25">
      <c r="A208" s="123" t="s">
        <v>464</v>
      </c>
      <c r="B208" s="160" t="s">
        <v>170</v>
      </c>
      <c r="C208" s="221" t="s">
        <v>294</v>
      </c>
      <c r="D208" s="123" t="s">
        <v>165</v>
      </c>
      <c r="E208" s="161">
        <v>5</v>
      </c>
      <c r="F208" s="162">
        <v>854.62</v>
      </c>
    </row>
    <row r="209" spans="1:8" ht="33.75" hidden="1" outlineLevel="1" x14ac:dyDescent="0.25">
      <c r="A209" s="123" t="s">
        <v>465</v>
      </c>
      <c r="B209" s="160" t="s">
        <v>173</v>
      </c>
      <c r="C209" s="221" t="s">
        <v>174</v>
      </c>
      <c r="D209" s="123" t="s">
        <v>165</v>
      </c>
      <c r="E209" s="161">
        <v>58.4</v>
      </c>
      <c r="F209" s="162">
        <v>3656.31</v>
      </c>
    </row>
    <row r="210" spans="1:8" hidden="1" outlineLevel="1" x14ac:dyDescent="0.25">
      <c r="A210" s="114" t="s">
        <v>470</v>
      </c>
      <c r="B210" s="114"/>
      <c r="C210" s="220"/>
      <c r="D210" s="120"/>
      <c r="E210" s="120"/>
      <c r="F210" s="140"/>
    </row>
    <row r="211" spans="1:8" ht="22.5" hidden="1" outlineLevel="1" x14ac:dyDescent="0.25">
      <c r="A211" s="123" t="s">
        <v>471</v>
      </c>
      <c r="B211" s="160" t="s">
        <v>208</v>
      </c>
      <c r="C211" s="221" t="s">
        <v>209</v>
      </c>
      <c r="D211" s="123" t="s">
        <v>210</v>
      </c>
      <c r="E211" s="161">
        <v>1</v>
      </c>
      <c r="F211" s="162">
        <v>44914.41</v>
      </c>
    </row>
    <row r="212" spans="1:8" ht="22.5" hidden="1" outlineLevel="1" x14ac:dyDescent="0.25">
      <c r="A212" s="123" t="s">
        <v>472</v>
      </c>
      <c r="B212" s="160" t="s">
        <v>82</v>
      </c>
      <c r="C212" s="221" t="s">
        <v>83</v>
      </c>
      <c r="D212" s="123" t="s">
        <v>58</v>
      </c>
      <c r="E212" s="161">
        <v>0.28399999999999997</v>
      </c>
      <c r="F212" s="162">
        <v>5647.38</v>
      </c>
    </row>
    <row r="213" spans="1:8" ht="22.5" hidden="1" outlineLevel="1" x14ac:dyDescent="0.25">
      <c r="A213" s="123" t="s">
        <v>473</v>
      </c>
      <c r="B213" s="160" t="s">
        <v>89</v>
      </c>
      <c r="C213" s="221" t="s">
        <v>90</v>
      </c>
      <c r="D213" s="123" t="s">
        <v>58</v>
      </c>
      <c r="E213" s="161">
        <v>0.1336</v>
      </c>
      <c r="F213" s="162">
        <v>2471.04</v>
      </c>
    </row>
    <row r="214" spans="1:8" ht="22.5" hidden="1" outlineLevel="1" x14ac:dyDescent="0.25">
      <c r="A214" s="123" t="s">
        <v>474</v>
      </c>
      <c r="B214" s="160" t="s">
        <v>96</v>
      </c>
      <c r="C214" s="221" t="s">
        <v>97</v>
      </c>
      <c r="D214" s="123" t="s">
        <v>58</v>
      </c>
      <c r="E214" s="161">
        <v>0.13400000000000001</v>
      </c>
      <c r="F214" s="162">
        <v>20372.580000000002</v>
      </c>
    </row>
    <row r="215" spans="1:8" hidden="1" outlineLevel="1" x14ac:dyDescent="0.25">
      <c r="A215" s="123" t="s">
        <v>475</v>
      </c>
      <c r="B215" s="160" t="s">
        <v>104</v>
      </c>
      <c r="C215" s="221" t="s">
        <v>105</v>
      </c>
      <c r="D215" s="123" t="s">
        <v>106</v>
      </c>
      <c r="E215" s="161">
        <v>14.49</v>
      </c>
      <c r="F215" s="162">
        <v>90036.82</v>
      </c>
    </row>
    <row r="216" spans="1:8" ht="33.75" hidden="1" outlineLevel="1" x14ac:dyDescent="0.25">
      <c r="A216" s="123" t="s">
        <v>476</v>
      </c>
      <c r="B216" s="160" t="s">
        <v>241</v>
      </c>
      <c r="C216" s="221" t="s">
        <v>242</v>
      </c>
      <c r="D216" s="123" t="s">
        <v>210</v>
      </c>
      <c r="E216" s="161">
        <v>1</v>
      </c>
      <c r="F216" s="162">
        <v>207003.6</v>
      </c>
    </row>
    <row r="217" spans="1:8" hidden="1" outlineLevel="1" x14ac:dyDescent="0.25">
      <c r="A217" s="123" t="s">
        <v>477</v>
      </c>
      <c r="B217" s="160" t="s">
        <v>244</v>
      </c>
      <c r="C217" s="221" t="s">
        <v>245</v>
      </c>
      <c r="D217" s="123" t="s">
        <v>246</v>
      </c>
      <c r="E217" s="161">
        <v>1</v>
      </c>
      <c r="F217" s="162">
        <v>1667776.02</v>
      </c>
    </row>
    <row r="218" spans="1:8" ht="22.5" hidden="1" outlineLevel="1" x14ac:dyDescent="0.25">
      <c r="A218" s="123" t="s">
        <v>478</v>
      </c>
      <c r="B218" s="160" t="s">
        <v>249</v>
      </c>
      <c r="C218" s="221" t="s">
        <v>250</v>
      </c>
      <c r="D218" s="123" t="s">
        <v>246</v>
      </c>
      <c r="E218" s="161">
        <v>1</v>
      </c>
      <c r="F218" s="162">
        <v>3596141.97</v>
      </c>
    </row>
    <row r="219" spans="1:8" ht="33.75" hidden="1" outlineLevel="1" x14ac:dyDescent="0.25">
      <c r="A219" s="123" t="s">
        <v>479</v>
      </c>
      <c r="B219" s="160" t="s">
        <v>253</v>
      </c>
      <c r="C219" s="221" t="s">
        <v>254</v>
      </c>
      <c r="D219" s="123" t="s">
        <v>115</v>
      </c>
      <c r="E219" s="161">
        <v>1</v>
      </c>
      <c r="F219" s="162">
        <v>42192.34</v>
      </c>
    </row>
    <row r="220" spans="1:8" s="229" customFormat="1" hidden="1" outlineLevel="1" x14ac:dyDescent="0.25">
      <c r="A220" s="166" t="s">
        <v>480</v>
      </c>
      <c r="B220" s="167" t="s">
        <v>260</v>
      </c>
      <c r="C220" s="222" t="s">
        <v>261</v>
      </c>
      <c r="D220" s="166" t="s">
        <v>115</v>
      </c>
      <c r="E220" s="169">
        <v>-2</v>
      </c>
      <c r="F220" s="170">
        <v>-5066.7299999999996</v>
      </c>
      <c r="G220" s="233"/>
      <c r="H220" s="232"/>
    </row>
    <row r="221" spans="1:8" hidden="1" outlineLevel="1" x14ac:dyDescent="0.25">
      <c r="A221" s="123" t="s">
        <v>481</v>
      </c>
      <c r="B221" s="160" t="s">
        <v>263</v>
      </c>
      <c r="C221" s="221" t="s">
        <v>264</v>
      </c>
      <c r="D221" s="123" t="s">
        <v>115</v>
      </c>
      <c r="E221" s="161">
        <v>2</v>
      </c>
      <c r="F221" s="162">
        <v>87727.09</v>
      </c>
    </row>
    <row r="222" spans="1:8" ht="22.5" hidden="1" outlineLevel="1" x14ac:dyDescent="0.25">
      <c r="A222" s="123" t="s">
        <v>482</v>
      </c>
      <c r="B222" s="160" t="s">
        <v>267</v>
      </c>
      <c r="C222" s="221" t="s">
        <v>268</v>
      </c>
      <c r="D222" s="123" t="s">
        <v>115</v>
      </c>
      <c r="E222" s="161">
        <v>1</v>
      </c>
      <c r="F222" s="162">
        <v>156781.35</v>
      </c>
    </row>
    <row r="223" spans="1:8" hidden="1" outlineLevel="1" x14ac:dyDescent="0.25">
      <c r="A223" s="123" t="s">
        <v>483</v>
      </c>
      <c r="B223" s="160" t="s">
        <v>120</v>
      </c>
      <c r="C223" s="221" t="s">
        <v>271</v>
      </c>
      <c r="D223" s="123" t="s">
        <v>115</v>
      </c>
      <c r="E223" s="161">
        <v>1</v>
      </c>
      <c r="F223" s="162">
        <v>4178.1000000000004</v>
      </c>
    </row>
    <row r="224" spans="1:8" ht="22.5" hidden="1" outlineLevel="1" x14ac:dyDescent="0.25">
      <c r="A224" s="123" t="s">
        <v>484</v>
      </c>
      <c r="B224" s="160" t="s">
        <v>274</v>
      </c>
      <c r="C224" s="221" t="s">
        <v>275</v>
      </c>
      <c r="D224" s="123" t="s">
        <v>276</v>
      </c>
      <c r="E224" s="161">
        <v>0.06</v>
      </c>
      <c r="F224" s="162">
        <v>15625.8</v>
      </c>
    </row>
    <row r="225" spans="1:16" s="229" customFormat="1" hidden="1" outlineLevel="1" x14ac:dyDescent="0.25">
      <c r="A225" s="166" t="s">
        <v>485</v>
      </c>
      <c r="B225" s="167" t="s">
        <v>282</v>
      </c>
      <c r="C225" s="222" t="s">
        <v>283</v>
      </c>
      <c r="D225" s="166" t="s">
        <v>127</v>
      </c>
      <c r="E225" s="169">
        <v>-2.9000000000000001E-2</v>
      </c>
      <c r="F225" s="170">
        <v>-2679.76</v>
      </c>
      <c r="G225" s="233"/>
      <c r="H225" s="232"/>
    </row>
    <row r="226" spans="1:16" hidden="1" outlineLevel="1" x14ac:dyDescent="0.25">
      <c r="A226" s="123" t="s">
        <v>486</v>
      </c>
      <c r="B226" s="160" t="s">
        <v>120</v>
      </c>
      <c r="C226" s="221" t="s">
        <v>285</v>
      </c>
      <c r="D226" s="123" t="s">
        <v>130</v>
      </c>
      <c r="E226" s="161">
        <v>0.36</v>
      </c>
      <c r="F226" s="162">
        <v>134204.32</v>
      </c>
    </row>
    <row r="227" spans="1:16" hidden="1" outlineLevel="1" x14ac:dyDescent="0.25">
      <c r="A227" s="123" t="s">
        <v>487</v>
      </c>
      <c r="B227" s="160" t="s">
        <v>120</v>
      </c>
      <c r="C227" s="221" t="s">
        <v>129</v>
      </c>
      <c r="D227" s="123" t="s">
        <v>130</v>
      </c>
      <c r="E227" s="161">
        <v>2.9000000000000001E-2</v>
      </c>
      <c r="F227" s="162">
        <v>8010.5</v>
      </c>
    </row>
    <row r="228" spans="1:16" ht="22.5" hidden="1" outlineLevel="1" x14ac:dyDescent="0.25">
      <c r="A228" s="123" t="s">
        <v>488</v>
      </c>
      <c r="B228" s="160" t="s">
        <v>288</v>
      </c>
      <c r="C228" s="221" t="s">
        <v>289</v>
      </c>
      <c r="D228" s="123" t="s">
        <v>160</v>
      </c>
      <c r="E228" s="161">
        <v>1.3299999999999999E-2</v>
      </c>
      <c r="F228" s="162">
        <v>34682.379999999997</v>
      </c>
    </row>
    <row r="229" spans="1:16" hidden="1" outlineLevel="1" x14ac:dyDescent="0.25">
      <c r="A229" s="117" t="s">
        <v>161</v>
      </c>
      <c r="B229" s="117"/>
      <c r="C229" s="221"/>
      <c r="D229" s="123"/>
      <c r="E229" s="123"/>
      <c r="F229" s="147"/>
    </row>
    <row r="230" spans="1:16" ht="33.75" hidden="1" outlineLevel="1" x14ac:dyDescent="0.25">
      <c r="A230" s="123" t="s">
        <v>489</v>
      </c>
      <c r="B230" s="160" t="s">
        <v>163</v>
      </c>
      <c r="C230" s="221" t="s">
        <v>164</v>
      </c>
      <c r="D230" s="123" t="s">
        <v>165</v>
      </c>
      <c r="E230" s="161">
        <v>49.6</v>
      </c>
      <c r="F230" s="162">
        <v>2555.86</v>
      </c>
    </row>
    <row r="231" spans="1:16" ht="33.75" hidden="1" outlineLevel="1" x14ac:dyDescent="0.25">
      <c r="A231" s="123" t="s">
        <v>490</v>
      </c>
      <c r="B231" s="160" t="s">
        <v>167</v>
      </c>
      <c r="C231" s="221" t="s">
        <v>292</v>
      </c>
      <c r="D231" s="123" t="s">
        <v>165</v>
      </c>
      <c r="E231" s="161">
        <v>9.9</v>
      </c>
      <c r="F231" s="162">
        <v>1304.8699999999999</v>
      </c>
    </row>
    <row r="232" spans="1:16" ht="22.5" hidden="1" outlineLevel="1" x14ac:dyDescent="0.25">
      <c r="A232" s="123" t="s">
        <v>491</v>
      </c>
      <c r="B232" s="160" t="s">
        <v>170</v>
      </c>
      <c r="C232" s="221" t="s">
        <v>294</v>
      </c>
      <c r="D232" s="123" t="s">
        <v>165</v>
      </c>
      <c r="E232" s="161">
        <v>5</v>
      </c>
      <c r="F232" s="162">
        <v>854.62</v>
      </c>
    </row>
    <row r="233" spans="1:16" ht="33.75" hidden="1" outlineLevel="1" x14ac:dyDescent="0.25">
      <c r="A233" s="123" t="s">
        <v>492</v>
      </c>
      <c r="B233" s="160" t="s">
        <v>173</v>
      </c>
      <c r="C233" s="221" t="s">
        <v>174</v>
      </c>
      <c r="D233" s="123" t="s">
        <v>165</v>
      </c>
      <c r="E233" s="161">
        <v>64.5</v>
      </c>
      <c r="F233" s="162">
        <v>4038.29</v>
      </c>
    </row>
    <row r="234" spans="1:16" hidden="1" outlineLevel="1" x14ac:dyDescent="0.25"/>
    <row r="235" spans="1:16" s="128" customFormat="1" collapsed="1" x14ac:dyDescent="0.25">
      <c r="A235" s="114" t="s">
        <v>470</v>
      </c>
      <c r="B235" s="114"/>
      <c r="C235" s="114"/>
      <c r="D235" s="120"/>
      <c r="E235" s="120"/>
      <c r="F235" s="140"/>
      <c r="G235" s="141"/>
      <c r="H235" s="131"/>
      <c r="P235" s="218"/>
    </row>
    <row r="236" spans="1:16" s="128" customFormat="1" x14ac:dyDescent="0.25">
      <c r="A236" s="123" t="s">
        <v>471</v>
      </c>
      <c r="B236" s="160" t="s">
        <v>208</v>
      </c>
      <c r="C236" s="117" t="s">
        <v>209</v>
      </c>
      <c r="D236" s="123" t="s">
        <v>210</v>
      </c>
      <c r="E236" s="161">
        <v>1</v>
      </c>
      <c r="F236" s="162">
        <v>44914.41</v>
      </c>
      <c r="G236" s="141"/>
      <c r="H236" s="131"/>
      <c r="O236" s="164">
        <v>1</v>
      </c>
      <c r="P236" s="218"/>
    </row>
    <row r="237" spans="1:16" s="128" customFormat="1" x14ac:dyDescent="0.25">
      <c r="A237" s="123" t="s">
        <v>472</v>
      </c>
      <c r="B237" s="160" t="s">
        <v>82</v>
      </c>
      <c r="C237" s="117" t="s">
        <v>83</v>
      </c>
      <c r="D237" s="123" t="s">
        <v>58</v>
      </c>
      <c r="E237" s="161">
        <v>0.28399999999999997</v>
      </c>
      <c r="F237" s="162">
        <v>5647.38</v>
      </c>
      <c r="G237" s="141"/>
      <c r="H237" s="131"/>
      <c r="O237" s="212">
        <f>20.51/100</f>
        <v>0.2051</v>
      </c>
      <c r="P237" s="218"/>
    </row>
    <row r="238" spans="1:16" s="128" customFormat="1" x14ac:dyDescent="0.25">
      <c r="A238" s="123" t="s">
        <v>473</v>
      </c>
      <c r="B238" s="160" t="s">
        <v>89</v>
      </c>
      <c r="C238" s="117" t="s">
        <v>90</v>
      </c>
      <c r="D238" s="123" t="s">
        <v>58</v>
      </c>
      <c r="E238" s="161">
        <v>0.1336</v>
      </c>
      <c r="F238" s="162">
        <v>2471.04</v>
      </c>
      <c r="G238" s="141"/>
      <c r="H238" s="131"/>
      <c r="O238" s="212">
        <f>9.55/100</f>
        <v>9.5500000000000002E-2</v>
      </c>
      <c r="P238" s="218"/>
    </row>
    <row r="239" spans="1:16" s="128" customFormat="1" x14ac:dyDescent="0.25">
      <c r="A239" s="123" t="s">
        <v>474</v>
      </c>
      <c r="B239" s="160" t="s">
        <v>96</v>
      </c>
      <c r="C239" s="117" t="s">
        <v>97</v>
      </c>
      <c r="D239" s="123" t="s">
        <v>58</v>
      </c>
      <c r="E239" s="161">
        <v>0.13400000000000001</v>
      </c>
      <c r="F239" s="162">
        <v>20372.580000000002</v>
      </c>
      <c r="G239" s="141"/>
      <c r="H239" s="131"/>
      <c r="O239" s="212">
        <f>O238</f>
        <v>9.5500000000000002E-2</v>
      </c>
      <c r="P239" s="218"/>
    </row>
    <row r="240" spans="1:16" s="128" customFormat="1" x14ac:dyDescent="0.25">
      <c r="A240" s="123" t="s">
        <v>475</v>
      </c>
      <c r="B240" s="160" t="s">
        <v>104</v>
      </c>
      <c r="C240" s="117" t="s">
        <v>105</v>
      </c>
      <c r="D240" s="123" t="s">
        <v>106</v>
      </c>
      <c r="E240" s="161">
        <v>14.49</v>
      </c>
      <c r="F240" s="162">
        <v>90036.82</v>
      </c>
      <c r="G240" s="141"/>
      <c r="H240" s="131"/>
      <c r="O240" s="215">
        <f>1.26*O239*100</f>
        <v>12.033000000000001</v>
      </c>
      <c r="P240" s="218"/>
    </row>
    <row r="241" spans="1:16" s="128" customFormat="1" x14ac:dyDescent="0.25">
      <c r="A241" s="123" t="s">
        <v>476</v>
      </c>
      <c r="B241" s="160" t="s">
        <v>241</v>
      </c>
      <c r="C241" s="117" t="s">
        <v>242</v>
      </c>
      <c r="D241" s="123" t="s">
        <v>210</v>
      </c>
      <c r="E241" s="161">
        <v>1</v>
      </c>
      <c r="F241" s="162">
        <v>207003.6</v>
      </c>
      <c r="G241" s="141"/>
      <c r="H241" s="131"/>
      <c r="O241" s="164">
        <v>1</v>
      </c>
      <c r="P241" s="218"/>
    </row>
    <row r="242" spans="1:16" s="128" customFormat="1" x14ac:dyDescent="0.25">
      <c r="A242" s="123" t="s">
        <v>477</v>
      </c>
      <c r="B242" s="160" t="s">
        <v>244</v>
      </c>
      <c r="C242" s="117" t="s">
        <v>245</v>
      </c>
      <c r="D242" s="123" t="s">
        <v>246</v>
      </c>
      <c r="E242" s="161">
        <v>1</v>
      </c>
      <c r="F242" s="162">
        <v>1667776.02</v>
      </c>
      <c r="G242" s="141"/>
      <c r="H242" s="131"/>
      <c r="O242" s="164">
        <v>1</v>
      </c>
      <c r="P242" s="218"/>
    </row>
    <row r="243" spans="1:16" s="128" customFormat="1" x14ac:dyDescent="0.25">
      <c r="A243" s="123" t="s">
        <v>478</v>
      </c>
      <c r="B243" s="160" t="s">
        <v>249</v>
      </c>
      <c r="C243" s="117" t="s">
        <v>250</v>
      </c>
      <c r="D243" s="123" t="s">
        <v>246</v>
      </c>
      <c r="E243" s="161">
        <v>1</v>
      </c>
      <c r="F243" s="162">
        <v>3596141.97</v>
      </c>
      <c r="G243" s="141"/>
      <c r="H243" s="131"/>
      <c r="O243" s="164">
        <v>1</v>
      </c>
      <c r="P243" s="218"/>
    </row>
    <row r="244" spans="1:16" s="128" customFormat="1" x14ac:dyDescent="0.25">
      <c r="A244" s="123" t="s">
        <v>479</v>
      </c>
      <c r="B244" s="160" t="s">
        <v>253</v>
      </c>
      <c r="C244" s="117" t="s">
        <v>254</v>
      </c>
      <c r="D244" s="123" t="s">
        <v>115</v>
      </c>
      <c r="E244" s="161">
        <v>1</v>
      </c>
      <c r="F244" s="162">
        <v>42192.34</v>
      </c>
      <c r="G244" s="141"/>
      <c r="H244" s="131"/>
      <c r="O244" s="164">
        <v>1</v>
      </c>
      <c r="P244" s="218"/>
    </row>
    <row r="245" spans="1:16" s="171" customFormat="1" x14ac:dyDescent="0.25">
      <c r="A245" s="166" t="s">
        <v>480</v>
      </c>
      <c r="B245" s="167" t="s">
        <v>260</v>
      </c>
      <c r="C245" s="168" t="s">
        <v>261</v>
      </c>
      <c r="D245" s="166" t="s">
        <v>115</v>
      </c>
      <c r="E245" s="169">
        <v>-2</v>
      </c>
      <c r="F245" s="170">
        <v>-5066.7299999999996</v>
      </c>
      <c r="G245" s="146"/>
      <c r="H245" s="135"/>
      <c r="O245" s="261">
        <v>-2</v>
      </c>
      <c r="P245" s="229"/>
    </row>
    <row r="246" spans="1:16" s="128" customFormat="1" x14ac:dyDescent="0.25">
      <c r="A246" s="123" t="s">
        <v>481</v>
      </c>
      <c r="B246" s="160" t="s">
        <v>263</v>
      </c>
      <c r="C246" s="117" t="s">
        <v>264</v>
      </c>
      <c r="D246" s="123" t="s">
        <v>115</v>
      </c>
      <c r="E246" s="161">
        <v>2</v>
      </c>
      <c r="F246" s="162">
        <v>87727.09</v>
      </c>
      <c r="G246" s="141"/>
      <c r="H246" s="131"/>
      <c r="O246" s="164">
        <v>2</v>
      </c>
      <c r="P246" s="218"/>
    </row>
    <row r="247" spans="1:16" s="128" customFormat="1" x14ac:dyDescent="0.25">
      <c r="A247" s="123" t="s">
        <v>482</v>
      </c>
      <c r="B247" s="160" t="s">
        <v>267</v>
      </c>
      <c r="C247" s="117" t="s">
        <v>268</v>
      </c>
      <c r="D247" s="123" t="s">
        <v>115</v>
      </c>
      <c r="E247" s="161">
        <v>1</v>
      </c>
      <c r="F247" s="162">
        <v>156781.35</v>
      </c>
      <c r="G247" s="141"/>
      <c r="H247" s="131"/>
      <c r="O247" s="164">
        <v>1</v>
      </c>
      <c r="P247" s="218"/>
    </row>
    <row r="248" spans="1:16" s="128" customFormat="1" x14ac:dyDescent="0.25">
      <c r="A248" s="123" t="s">
        <v>483</v>
      </c>
      <c r="B248" s="160" t="s">
        <v>120</v>
      </c>
      <c r="C248" s="117" t="s">
        <v>271</v>
      </c>
      <c r="D248" s="123" t="s">
        <v>115</v>
      </c>
      <c r="E248" s="161">
        <v>1</v>
      </c>
      <c r="F248" s="162">
        <v>4178.1000000000004</v>
      </c>
      <c r="G248" s="141"/>
      <c r="H248" s="131"/>
      <c r="O248" s="164">
        <v>1</v>
      </c>
      <c r="P248" s="218"/>
    </row>
    <row r="249" spans="1:16" s="128" customFormat="1" x14ac:dyDescent="0.25">
      <c r="A249" s="262" t="s">
        <v>484</v>
      </c>
      <c r="B249" s="263" t="s">
        <v>274</v>
      </c>
      <c r="C249" s="266" t="s">
        <v>275</v>
      </c>
      <c r="D249" s="262" t="s">
        <v>276</v>
      </c>
      <c r="E249" s="243">
        <v>0.06</v>
      </c>
      <c r="F249" s="265">
        <v>15625.8</v>
      </c>
      <c r="G249" s="141"/>
      <c r="H249" s="131"/>
      <c r="O249" s="243">
        <v>0</v>
      </c>
      <c r="P249" s="229" t="s">
        <v>552</v>
      </c>
    </row>
    <row r="250" spans="1:16" s="171" customFormat="1" x14ac:dyDescent="0.25">
      <c r="A250" s="262" t="s">
        <v>485</v>
      </c>
      <c r="B250" s="263" t="s">
        <v>282</v>
      </c>
      <c r="C250" s="266" t="s">
        <v>283</v>
      </c>
      <c r="D250" s="262" t="s">
        <v>127</v>
      </c>
      <c r="E250" s="243">
        <v>-2.9000000000000001E-2</v>
      </c>
      <c r="F250" s="265">
        <v>-2679.76</v>
      </c>
      <c r="G250" s="146"/>
      <c r="H250" s="135"/>
      <c r="O250" s="243">
        <v>0</v>
      </c>
      <c r="P250" s="229" t="s">
        <v>552</v>
      </c>
    </row>
    <row r="251" spans="1:16" s="128" customFormat="1" x14ac:dyDescent="0.25">
      <c r="A251" s="262" t="s">
        <v>486</v>
      </c>
      <c r="B251" s="263" t="s">
        <v>120</v>
      </c>
      <c r="C251" s="266" t="s">
        <v>285</v>
      </c>
      <c r="D251" s="262" t="s">
        <v>130</v>
      </c>
      <c r="E251" s="243">
        <v>0.36</v>
      </c>
      <c r="F251" s="265">
        <v>134204.32</v>
      </c>
      <c r="G251" s="141"/>
      <c r="H251" s="131"/>
      <c r="O251" s="243">
        <v>0</v>
      </c>
      <c r="P251" s="229" t="s">
        <v>552</v>
      </c>
    </row>
    <row r="252" spans="1:16" s="128" customFormat="1" x14ac:dyDescent="0.25">
      <c r="A252" s="262" t="s">
        <v>487</v>
      </c>
      <c r="B252" s="263" t="s">
        <v>120</v>
      </c>
      <c r="C252" s="266" t="s">
        <v>129</v>
      </c>
      <c r="D252" s="262" t="s">
        <v>130</v>
      </c>
      <c r="E252" s="243">
        <v>2.9000000000000001E-2</v>
      </c>
      <c r="F252" s="265">
        <v>8010.5</v>
      </c>
      <c r="G252" s="141"/>
      <c r="H252" s="131"/>
      <c r="O252" s="243">
        <v>0</v>
      </c>
      <c r="P252" s="229" t="s">
        <v>552</v>
      </c>
    </row>
    <row r="253" spans="1:16" s="128" customFormat="1" x14ac:dyDescent="0.25">
      <c r="A253" s="123" t="s">
        <v>488</v>
      </c>
      <c r="B253" s="160" t="s">
        <v>288</v>
      </c>
      <c r="C253" s="117" t="s">
        <v>289</v>
      </c>
      <c r="D253" s="123" t="s">
        <v>160</v>
      </c>
      <c r="E253" s="161">
        <v>1.3299999999999999E-2</v>
      </c>
      <c r="F253" s="162">
        <v>34682.379999999997</v>
      </c>
      <c r="G253" s="141"/>
      <c r="H253" s="131"/>
      <c r="O253" s="212">
        <f>12.47/1000</f>
        <v>1.247E-2</v>
      </c>
      <c r="P253" s="218"/>
    </row>
    <row r="254" spans="1:16" s="128" customFormat="1" x14ac:dyDescent="0.25">
      <c r="A254" s="117" t="s">
        <v>161</v>
      </c>
      <c r="B254" s="117"/>
      <c r="C254" s="117"/>
      <c r="D254" s="123"/>
      <c r="E254" s="123"/>
      <c r="F254" s="147"/>
      <c r="G254" s="141"/>
      <c r="H254" s="131"/>
      <c r="O254" s="226"/>
      <c r="P254" s="218"/>
    </row>
    <row r="255" spans="1:16" s="128" customFormat="1" x14ac:dyDescent="0.25">
      <c r="A255" s="123" t="s">
        <v>489</v>
      </c>
      <c r="B255" s="160" t="s">
        <v>163</v>
      </c>
      <c r="C255" s="117" t="s">
        <v>164</v>
      </c>
      <c r="D255" s="123" t="s">
        <v>165</v>
      </c>
      <c r="E255" s="161">
        <v>49.6</v>
      </c>
      <c r="F255" s="162">
        <v>2555.86</v>
      </c>
      <c r="G255" s="141"/>
      <c r="H255" s="131"/>
      <c r="O255" s="143">
        <f>O237*100*1.75</f>
        <v>35.892500000000005</v>
      </c>
      <c r="P255" s="218"/>
    </row>
    <row r="256" spans="1:16" s="128" customFormat="1" x14ac:dyDescent="0.25">
      <c r="A256" s="123" t="s">
        <v>490</v>
      </c>
      <c r="B256" s="160" t="s">
        <v>167</v>
      </c>
      <c r="C256" s="117" t="s">
        <v>292</v>
      </c>
      <c r="D256" s="123" t="s">
        <v>165</v>
      </c>
      <c r="E256" s="161">
        <v>9.9</v>
      </c>
      <c r="F256" s="162">
        <v>1304.8699999999999</v>
      </c>
      <c r="G256" s="141"/>
      <c r="H256" s="131"/>
      <c r="O256" s="143">
        <v>8.85</v>
      </c>
      <c r="P256" s="218"/>
    </row>
    <row r="257" spans="1:16" s="128" customFormat="1" x14ac:dyDescent="0.25">
      <c r="A257" s="123" t="s">
        <v>491</v>
      </c>
      <c r="B257" s="160" t="s">
        <v>170</v>
      </c>
      <c r="C257" s="117" t="s">
        <v>294</v>
      </c>
      <c r="D257" s="123" t="s">
        <v>165</v>
      </c>
      <c r="E257" s="161">
        <v>5</v>
      </c>
      <c r="F257" s="162">
        <v>854.62</v>
      </c>
      <c r="G257" s="141"/>
      <c r="H257" s="131"/>
      <c r="O257" s="143">
        <v>4.16</v>
      </c>
      <c r="P257" s="218"/>
    </row>
    <row r="258" spans="1:16" s="128" customFormat="1" x14ac:dyDescent="0.25">
      <c r="A258" s="123" t="s">
        <v>492</v>
      </c>
      <c r="B258" s="160" t="s">
        <v>173</v>
      </c>
      <c r="C258" s="117" t="s">
        <v>174</v>
      </c>
      <c r="D258" s="123" t="s">
        <v>165</v>
      </c>
      <c r="E258" s="161">
        <v>64.5</v>
      </c>
      <c r="F258" s="162">
        <v>4038.29</v>
      </c>
      <c r="G258" s="141"/>
      <c r="H258" s="131"/>
      <c r="O258" s="143">
        <f>O257+O256+O255</f>
        <v>48.902500000000003</v>
      </c>
      <c r="P258" s="218"/>
    </row>
  </sheetData>
  <pageMargins left="0.7" right="0.7" top="0.75" bottom="0.75" header="0.3" footer="0.3"/>
  <pageSetup paperSize="9" scale="56" fitToHeight="0" orientation="landscape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A2D778-CB04-48A3-BB2A-C2972BAD92D7}">
  <sheetPr>
    <pageSetUpPr fitToPage="1"/>
  </sheetPr>
  <dimension ref="A1:CE1946"/>
  <sheetViews>
    <sheetView zoomScaleNormal="100" workbookViewId="0">
      <selection activeCell="BW16" sqref="BW16"/>
    </sheetView>
  </sheetViews>
  <sheetFormatPr defaultColWidth="9.140625" defaultRowHeight="12.75" customHeight="1" outlineLevelRow="1" x14ac:dyDescent="0.2"/>
  <cols>
    <col min="1" max="1" width="5.28515625" style="313" customWidth="1"/>
    <col min="2" max="2" width="5.28515625" style="270" customWidth="1"/>
    <col min="3" max="3" width="50.140625" style="269" customWidth="1"/>
    <col min="4" max="4" width="14.5703125" style="314" hidden="1" customWidth="1"/>
    <col min="5" max="5" width="8.42578125" style="276" customWidth="1"/>
    <col min="6" max="6" width="9.140625" style="276" customWidth="1"/>
    <col min="7" max="7" width="14" style="315" customWidth="1"/>
    <col min="8" max="8" width="11.42578125" style="315" customWidth="1"/>
    <col min="9" max="15" width="11.42578125" style="316" customWidth="1"/>
    <col min="16" max="21" width="82.28515625" style="317" hidden="1" customWidth="1"/>
    <col min="22" max="23" width="22.85546875" style="304" hidden="1" customWidth="1"/>
    <col min="24" max="29" width="82.28515625" style="317" hidden="1" customWidth="1"/>
    <col min="30" max="31" width="22.85546875" style="304" hidden="1" customWidth="1"/>
    <col min="32" max="43" width="82.28515625" style="317" hidden="1" customWidth="1"/>
    <col min="44" max="45" width="25.42578125" style="304" hidden="1" customWidth="1"/>
    <col min="46" max="47" width="22.85546875" style="304" hidden="1" customWidth="1"/>
    <col min="48" max="49" width="25.42578125" style="304" hidden="1" customWidth="1"/>
    <col min="50" max="51" width="22.85546875" style="304" hidden="1" customWidth="1"/>
    <col min="52" max="53" width="25.42578125" style="304" hidden="1" customWidth="1"/>
    <col min="54" max="55" width="22.85546875" style="304" hidden="1" customWidth="1"/>
    <col min="56" max="62" width="74.42578125" style="317" hidden="1" customWidth="1"/>
    <col min="63" max="65" width="26.85546875" style="318" hidden="1" customWidth="1"/>
    <col min="66" max="68" width="36.85546875" style="305" hidden="1" customWidth="1"/>
    <col min="69" max="71" width="26.85546875" style="318" hidden="1" customWidth="1"/>
    <col min="72" max="74" width="36.85546875" style="305" hidden="1" customWidth="1"/>
    <col min="75" max="75" width="11.42578125" style="316" customWidth="1"/>
    <col min="76" max="76" width="11.42578125" style="320" customWidth="1"/>
    <col min="77" max="698" width="11.42578125" style="316" customWidth="1"/>
    <col min="699" max="16384" width="9.140625" style="316"/>
  </cols>
  <sheetData>
    <row r="1" spans="1:83" s="273" customFormat="1" x14ac:dyDescent="0.25">
      <c r="A1" s="269"/>
      <c r="B1" s="270"/>
      <c r="C1" s="271"/>
      <c r="D1" s="272"/>
      <c r="F1" s="274" t="s">
        <v>556</v>
      </c>
      <c r="G1" s="275"/>
      <c r="H1" s="276"/>
      <c r="J1" s="276"/>
      <c r="K1" s="277"/>
      <c r="P1" s="278"/>
      <c r="Q1" s="278"/>
      <c r="R1" s="278"/>
      <c r="S1" s="278"/>
      <c r="T1" s="278"/>
      <c r="U1" s="278"/>
      <c r="V1" s="279"/>
      <c r="W1" s="279"/>
      <c r="X1" s="278"/>
      <c r="Y1" s="278"/>
      <c r="Z1" s="278"/>
      <c r="AA1" s="278"/>
      <c r="AB1" s="278"/>
      <c r="AC1" s="278"/>
      <c r="AD1" s="279"/>
      <c r="AE1" s="279"/>
      <c r="AF1" s="278"/>
      <c r="AG1" s="278"/>
      <c r="AH1" s="278"/>
      <c r="AI1" s="278"/>
      <c r="AJ1" s="278"/>
      <c r="AK1" s="278"/>
      <c r="AL1" s="278"/>
      <c r="AM1" s="278"/>
      <c r="AN1" s="278"/>
      <c r="AO1" s="278"/>
      <c r="AP1" s="278"/>
      <c r="AQ1" s="278"/>
      <c r="AR1" s="279"/>
      <c r="AS1" s="279"/>
      <c r="AT1" s="279"/>
      <c r="AU1" s="279"/>
      <c r="AV1" s="279"/>
      <c r="AW1" s="279"/>
      <c r="AX1" s="279"/>
      <c r="AY1" s="279"/>
      <c r="AZ1" s="279"/>
      <c r="BA1" s="279"/>
      <c r="BB1" s="279"/>
      <c r="BC1" s="279"/>
      <c r="BD1" s="278"/>
      <c r="BE1" s="278"/>
      <c r="BF1" s="278"/>
      <c r="BG1" s="278"/>
      <c r="BH1" s="278"/>
      <c r="BI1" s="278"/>
      <c r="BJ1" s="278"/>
      <c r="BK1" s="280"/>
      <c r="BL1" s="280"/>
      <c r="BM1" s="280"/>
      <c r="BN1" s="281"/>
      <c r="BO1" s="281"/>
      <c r="BP1" s="281"/>
      <c r="BQ1" s="280"/>
      <c r="BR1" s="280"/>
      <c r="BS1" s="280"/>
      <c r="BT1" s="281"/>
      <c r="BU1" s="281"/>
      <c r="BV1" s="281"/>
      <c r="BX1" s="283"/>
    </row>
    <row r="2" spans="1:83" s="273" customFormat="1" x14ac:dyDescent="0.25">
      <c r="A2" s="269"/>
      <c r="B2" s="270"/>
      <c r="C2" s="271"/>
      <c r="D2" s="272"/>
      <c r="E2" s="282"/>
      <c r="F2" s="283"/>
      <c r="G2" s="275"/>
      <c r="H2" s="276"/>
      <c r="J2" s="276"/>
      <c r="K2" s="277"/>
      <c r="P2" s="278"/>
      <c r="Q2" s="278"/>
      <c r="R2" s="278"/>
      <c r="S2" s="278"/>
      <c r="T2" s="278"/>
      <c r="U2" s="278"/>
      <c r="V2" s="279"/>
      <c r="W2" s="279"/>
      <c r="X2" s="278"/>
      <c r="Y2" s="278"/>
      <c r="Z2" s="278"/>
      <c r="AA2" s="278"/>
      <c r="AB2" s="278"/>
      <c r="AC2" s="278"/>
      <c r="AD2" s="279"/>
      <c r="AE2" s="279"/>
      <c r="AF2" s="278"/>
      <c r="AG2" s="278"/>
      <c r="AH2" s="278"/>
      <c r="AI2" s="278"/>
      <c r="AJ2" s="278"/>
      <c r="AK2" s="278"/>
      <c r="AL2" s="278"/>
      <c r="AM2" s="278"/>
      <c r="AN2" s="278"/>
      <c r="AO2" s="278"/>
      <c r="AP2" s="278"/>
      <c r="AQ2" s="278"/>
      <c r="AR2" s="279"/>
      <c r="AS2" s="279"/>
      <c r="AT2" s="279"/>
      <c r="AU2" s="279"/>
      <c r="AV2" s="279"/>
      <c r="AW2" s="279"/>
      <c r="AX2" s="279"/>
      <c r="AY2" s="279"/>
      <c r="AZ2" s="279"/>
      <c r="BA2" s="279"/>
      <c r="BB2" s="279"/>
      <c r="BC2" s="279"/>
      <c r="BD2" s="278"/>
      <c r="BE2" s="278"/>
      <c r="BF2" s="278"/>
      <c r="BG2" s="278"/>
      <c r="BH2" s="278"/>
      <c r="BI2" s="278"/>
      <c r="BJ2" s="278"/>
      <c r="BK2" s="280"/>
      <c r="BL2" s="280"/>
      <c r="BM2" s="280"/>
      <c r="BN2" s="281"/>
      <c r="BO2" s="281"/>
      <c r="BP2" s="281"/>
      <c r="BQ2" s="280"/>
      <c r="BR2" s="280"/>
      <c r="BS2" s="280"/>
      <c r="BT2" s="281"/>
      <c r="BU2" s="281"/>
      <c r="BV2" s="281"/>
      <c r="BX2" s="283"/>
    </row>
    <row r="3" spans="1:83" s="273" customFormat="1" ht="25.5" outlineLevel="1" x14ac:dyDescent="0.2">
      <c r="A3" s="284"/>
      <c r="B3" s="270"/>
      <c r="C3" s="275" t="s">
        <v>557</v>
      </c>
      <c r="D3" s="336" t="s">
        <v>558</v>
      </c>
      <c r="E3" s="336"/>
      <c r="F3" s="336"/>
      <c r="G3" s="336"/>
      <c r="H3" s="336"/>
      <c r="I3" s="336"/>
      <c r="J3" s="285"/>
      <c r="K3" s="285"/>
      <c r="L3" s="284"/>
      <c r="M3" s="284"/>
      <c r="N3" s="280"/>
      <c r="O3" s="284"/>
      <c r="P3" s="278"/>
      <c r="Q3" s="278"/>
      <c r="R3" s="278"/>
      <c r="S3" s="278"/>
      <c r="T3" s="278"/>
      <c r="U3" s="278"/>
      <c r="V3" s="279"/>
      <c r="W3" s="279"/>
      <c r="X3" s="278"/>
      <c r="Y3" s="278"/>
      <c r="Z3" s="278"/>
      <c r="AA3" s="278"/>
      <c r="AB3" s="278"/>
      <c r="AC3" s="278"/>
      <c r="AD3" s="279"/>
      <c r="AE3" s="279"/>
      <c r="AF3" s="278"/>
      <c r="AG3" s="278"/>
      <c r="AH3" s="278"/>
      <c r="AI3" s="278"/>
      <c r="AJ3" s="278"/>
      <c r="AK3" s="278"/>
      <c r="AL3" s="278"/>
      <c r="AM3" s="278"/>
      <c r="AN3" s="278"/>
      <c r="AO3" s="278"/>
      <c r="AP3" s="278"/>
      <c r="AQ3" s="278"/>
      <c r="AR3" s="279"/>
      <c r="AS3" s="279"/>
      <c r="AT3" s="279"/>
      <c r="AU3" s="279"/>
      <c r="AV3" s="279"/>
      <c r="AW3" s="279"/>
      <c r="AX3" s="279"/>
      <c r="AY3" s="279"/>
      <c r="AZ3" s="279"/>
      <c r="BA3" s="279"/>
      <c r="BB3" s="279"/>
      <c r="BC3" s="279"/>
      <c r="BD3" s="278" t="s">
        <v>558</v>
      </c>
      <c r="BE3" s="278" t="s">
        <v>559</v>
      </c>
      <c r="BF3" s="278" t="s">
        <v>559</v>
      </c>
      <c r="BG3" s="278" t="s">
        <v>559</v>
      </c>
      <c r="BH3" s="278" t="s">
        <v>559</v>
      </c>
      <c r="BI3" s="278" t="s">
        <v>559</v>
      </c>
      <c r="BJ3" s="278" t="s">
        <v>559</v>
      </c>
      <c r="BK3" s="280"/>
      <c r="BL3" s="280"/>
      <c r="BM3" s="280"/>
      <c r="BN3" s="281"/>
      <c r="BO3" s="281"/>
      <c r="BP3" s="281"/>
      <c r="BQ3" s="280"/>
      <c r="BR3" s="280"/>
      <c r="BS3" s="280"/>
      <c r="BT3" s="281"/>
      <c r="BU3" s="281"/>
      <c r="BV3" s="281"/>
      <c r="BX3" s="283"/>
    </row>
    <row r="4" spans="1:83" s="273" customFormat="1" outlineLevel="1" x14ac:dyDescent="0.2">
      <c r="B4" s="270"/>
      <c r="C4" s="271"/>
      <c r="D4" s="279"/>
      <c r="E4" s="286"/>
      <c r="F4" s="287" t="s">
        <v>560</v>
      </c>
      <c r="G4" s="287"/>
      <c r="H4" s="288"/>
      <c r="J4" s="276"/>
      <c r="K4" s="276"/>
      <c r="P4" s="278"/>
      <c r="Q4" s="278"/>
      <c r="R4" s="278"/>
      <c r="S4" s="278"/>
      <c r="T4" s="278"/>
      <c r="U4" s="278"/>
      <c r="V4" s="279"/>
      <c r="W4" s="279"/>
      <c r="X4" s="278"/>
      <c r="Y4" s="278"/>
      <c r="Z4" s="278"/>
      <c r="AA4" s="278"/>
      <c r="AB4" s="278"/>
      <c r="AC4" s="278"/>
      <c r="AD4" s="279"/>
      <c r="AE4" s="279"/>
      <c r="AF4" s="278"/>
      <c r="AG4" s="278"/>
      <c r="AH4" s="278"/>
      <c r="AI4" s="278"/>
      <c r="AJ4" s="278"/>
      <c r="AK4" s="278"/>
      <c r="AL4" s="278"/>
      <c r="AM4" s="278"/>
      <c r="AN4" s="278"/>
      <c r="AO4" s="278"/>
      <c r="AP4" s="278"/>
      <c r="AQ4" s="278"/>
      <c r="AR4" s="279"/>
      <c r="AS4" s="279"/>
      <c r="AT4" s="279"/>
      <c r="AU4" s="279"/>
      <c r="AV4" s="279"/>
      <c r="AW4" s="279"/>
      <c r="AX4" s="279"/>
      <c r="AY4" s="279"/>
      <c r="AZ4" s="279"/>
      <c r="BA4" s="279"/>
      <c r="BB4" s="279"/>
      <c r="BC4" s="279"/>
      <c r="BD4" s="278"/>
      <c r="BE4" s="278"/>
      <c r="BF4" s="278"/>
      <c r="BG4" s="278"/>
      <c r="BH4" s="278"/>
      <c r="BI4" s="278"/>
      <c r="BJ4" s="278"/>
      <c r="BK4" s="280"/>
      <c r="BL4" s="280"/>
      <c r="BM4" s="280"/>
      <c r="BN4" s="281"/>
      <c r="BO4" s="281"/>
      <c r="BP4" s="281"/>
      <c r="BQ4" s="280"/>
      <c r="BR4" s="280"/>
      <c r="BS4" s="280"/>
      <c r="BT4" s="281"/>
      <c r="BU4" s="281"/>
      <c r="BV4" s="281"/>
      <c r="BX4" s="283"/>
    </row>
    <row r="5" spans="1:83" s="294" customFormat="1" x14ac:dyDescent="0.25">
      <c r="A5" s="289"/>
      <c r="B5" s="290"/>
      <c r="C5" s="289"/>
      <c r="D5" s="291"/>
      <c r="E5" s="292"/>
      <c r="F5" s="293"/>
      <c r="G5" s="293"/>
      <c r="H5" s="293"/>
      <c r="I5" s="293"/>
      <c r="P5" s="285"/>
      <c r="Q5" s="285"/>
      <c r="R5" s="285"/>
      <c r="S5" s="285"/>
      <c r="T5" s="285"/>
      <c r="U5" s="285"/>
      <c r="V5" s="279"/>
      <c r="W5" s="279"/>
      <c r="X5" s="285"/>
      <c r="Y5" s="285"/>
      <c r="Z5" s="285"/>
      <c r="AA5" s="285"/>
      <c r="AB5" s="285"/>
      <c r="AC5" s="285"/>
      <c r="AD5" s="279"/>
      <c r="AE5" s="279"/>
      <c r="AF5" s="285"/>
      <c r="AG5" s="285"/>
      <c r="AH5" s="285"/>
      <c r="AI5" s="285"/>
      <c r="AJ5" s="285"/>
      <c r="AK5" s="285"/>
      <c r="AL5" s="285"/>
      <c r="AM5" s="285"/>
      <c r="AN5" s="285"/>
      <c r="AO5" s="285"/>
      <c r="AP5" s="285"/>
      <c r="AQ5" s="285"/>
      <c r="AR5" s="279"/>
      <c r="AS5" s="279"/>
      <c r="AT5" s="279"/>
      <c r="AU5" s="279"/>
      <c r="AV5" s="279"/>
      <c r="AW5" s="279"/>
      <c r="AX5" s="279"/>
      <c r="AY5" s="279"/>
      <c r="AZ5" s="279"/>
      <c r="BA5" s="279"/>
      <c r="BB5" s="279"/>
      <c r="BC5" s="279"/>
      <c r="BD5" s="285"/>
      <c r="BE5" s="285"/>
      <c r="BF5" s="285"/>
      <c r="BG5" s="285"/>
      <c r="BH5" s="285"/>
      <c r="BI5" s="285"/>
      <c r="BJ5" s="285"/>
      <c r="BK5" s="295"/>
      <c r="BL5" s="295"/>
      <c r="BM5" s="295"/>
      <c r="BN5" s="281"/>
      <c r="BO5" s="281"/>
      <c r="BP5" s="281"/>
      <c r="BQ5" s="295"/>
      <c r="BR5" s="295"/>
      <c r="BS5" s="295"/>
      <c r="BT5" s="281"/>
      <c r="BU5" s="281"/>
      <c r="BV5" s="281"/>
      <c r="BX5" s="283"/>
    </row>
    <row r="6" spans="1:83" s="298" customFormat="1" ht="22.5" customHeight="1" x14ac:dyDescent="0.25">
      <c r="A6" s="337" t="s">
        <v>561</v>
      </c>
      <c r="B6" s="337"/>
      <c r="C6" s="337" t="s">
        <v>562</v>
      </c>
      <c r="D6" s="338" t="s">
        <v>563</v>
      </c>
      <c r="E6" s="337" t="s">
        <v>564</v>
      </c>
      <c r="F6" s="337" t="s">
        <v>565</v>
      </c>
      <c r="G6" s="337" t="s">
        <v>566</v>
      </c>
      <c r="H6" s="337" t="s">
        <v>567</v>
      </c>
      <c r="I6" s="337"/>
      <c r="J6" s="337"/>
      <c r="K6" s="337"/>
      <c r="L6" s="337"/>
      <c r="M6" s="337"/>
      <c r="N6" s="337" t="s">
        <v>568</v>
      </c>
      <c r="O6" s="337"/>
      <c r="P6" s="296"/>
      <c r="Q6" s="297"/>
      <c r="R6" s="297"/>
      <c r="S6" s="297"/>
      <c r="T6" s="297"/>
      <c r="U6" s="297"/>
      <c r="V6" s="297"/>
      <c r="W6" s="297"/>
      <c r="X6" s="297"/>
      <c r="Y6" s="297"/>
      <c r="Z6" s="297"/>
      <c r="AA6" s="297"/>
      <c r="AB6" s="297"/>
      <c r="AC6" s="297"/>
      <c r="AD6" s="297"/>
      <c r="AE6" s="297"/>
      <c r="AF6" s="297"/>
      <c r="AG6" s="297"/>
      <c r="AH6" s="297"/>
      <c r="AI6" s="297"/>
      <c r="AJ6" s="297"/>
      <c r="AK6" s="297"/>
      <c r="AL6" s="297"/>
      <c r="AM6" s="297"/>
      <c r="AN6" s="297"/>
      <c r="AO6" s="297"/>
      <c r="AP6" s="297"/>
      <c r="AQ6" s="297"/>
      <c r="AR6" s="297"/>
      <c r="AS6" s="297"/>
      <c r="AT6" s="297"/>
      <c r="AU6" s="297"/>
      <c r="AV6" s="297"/>
      <c r="AW6" s="297"/>
      <c r="AX6" s="297"/>
      <c r="AY6" s="297"/>
      <c r="AZ6" s="297"/>
      <c r="BA6" s="297"/>
      <c r="BB6" s="297"/>
      <c r="BC6" s="297"/>
      <c r="BD6" s="297"/>
      <c r="BE6" s="297"/>
      <c r="BF6" s="297"/>
      <c r="BG6" s="297"/>
      <c r="BH6" s="297"/>
      <c r="BI6" s="297"/>
      <c r="BJ6" s="297"/>
      <c r="BN6" s="299"/>
      <c r="BO6" s="299"/>
      <c r="BP6" s="299"/>
      <c r="BT6" s="299"/>
      <c r="BU6" s="299"/>
      <c r="BV6" s="299"/>
    </row>
    <row r="7" spans="1:83" s="298" customFormat="1" ht="36" customHeight="1" x14ac:dyDescent="0.25">
      <c r="A7" s="337" t="s">
        <v>569</v>
      </c>
      <c r="B7" s="338" t="s">
        <v>570</v>
      </c>
      <c r="C7" s="337"/>
      <c r="D7" s="338"/>
      <c r="E7" s="337"/>
      <c r="F7" s="337"/>
      <c r="G7" s="337"/>
      <c r="H7" s="337" t="s">
        <v>571</v>
      </c>
      <c r="I7" s="337"/>
      <c r="J7" s="337" t="s">
        <v>572</v>
      </c>
      <c r="K7" s="337"/>
      <c r="L7" s="337" t="s">
        <v>573</v>
      </c>
      <c r="M7" s="337"/>
      <c r="N7" s="337"/>
      <c r="O7" s="337"/>
      <c r="P7" s="296"/>
      <c r="Q7" s="297"/>
      <c r="R7" s="297"/>
      <c r="S7" s="297"/>
      <c r="T7" s="297"/>
      <c r="U7" s="297"/>
      <c r="V7" s="297"/>
      <c r="W7" s="297"/>
      <c r="X7" s="297"/>
      <c r="Y7" s="297"/>
      <c r="Z7" s="297"/>
      <c r="AA7" s="297"/>
      <c r="AB7" s="297"/>
      <c r="AC7" s="297"/>
      <c r="AD7" s="297"/>
      <c r="AE7" s="297"/>
      <c r="AF7" s="297"/>
      <c r="AG7" s="297"/>
      <c r="AH7" s="297"/>
      <c r="AI7" s="297"/>
      <c r="AJ7" s="297"/>
      <c r="AK7" s="297"/>
      <c r="AL7" s="297"/>
      <c r="AM7" s="297"/>
      <c r="AN7" s="297"/>
      <c r="AO7" s="297"/>
      <c r="AP7" s="297"/>
      <c r="AQ7" s="297"/>
      <c r="AR7" s="297"/>
      <c r="AS7" s="297"/>
      <c r="AT7" s="297"/>
      <c r="AU7" s="297"/>
      <c r="AV7" s="297"/>
      <c r="AW7" s="297"/>
      <c r="AX7" s="297"/>
      <c r="AY7" s="297"/>
      <c r="AZ7" s="297"/>
      <c r="BA7" s="297"/>
      <c r="BB7" s="297"/>
      <c r="BC7" s="297"/>
      <c r="BD7" s="297"/>
      <c r="BE7" s="297"/>
      <c r="BF7" s="297"/>
      <c r="BG7" s="297"/>
      <c r="BH7" s="297"/>
      <c r="BI7" s="297"/>
      <c r="BJ7" s="297"/>
      <c r="BN7" s="299"/>
      <c r="BO7" s="299"/>
      <c r="BP7" s="299"/>
      <c r="BT7" s="299"/>
      <c r="BU7" s="299"/>
      <c r="BV7" s="299"/>
    </row>
    <row r="8" spans="1:83" s="298" customFormat="1" ht="27.75" customHeight="1" x14ac:dyDescent="0.25">
      <c r="A8" s="337"/>
      <c r="B8" s="338"/>
      <c r="C8" s="337"/>
      <c r="D8" s="338"/>
      <c r="E8" s="337"/>
      <c r="F8" s="337"/>
      <c r="G8" s="337"/>
      <c r="H8" s="300" t="s">
        <v>574</v>
      </c>
      <c r="I8" s="300" t="s">
        <v>575</v>
      </c>
      <c r="J8" s="300" t="s">
        <v>574</v>
      </c>
      <c r="K8" s="300" t="s">
        <v>575</v>
      </c>
      <c r="L8" s="300" t="s">
        <v>574</v>
      </c>
      <c r="M8" s="300" t="s">
        <v>575</v>
      </c>
      <c r="N8" s="300" t="s">
        <v>574</v>
      </c>
      <c r="O8" s="300" t="s">
        <v>575</v>
      </c>
      <c r="P8" s="296"/>
      <c r="Q8" s="297"/>
      <c r="R8" s="297"/>
      <c r="S8" s="297"/>
      <c r="T8" s="297"/>
      <c r="U8" s="297"/>
      <c r="V8" s="297"/>
      <c r="W8" s="297"/>
      <c r="X8" s="297"/>
      <c r="Y8" s="297"/>
      <c r="Z8" s="297"/>
      <c r="AA8" s="297"/>
      <c r="AB8" s="297"/>
      <c r="AC8" s="297"/>
      <c r="AD8" s="297"/>
      <c r="AE8" s="297"/>
      <c r="AF8" s="297"/>
      <c r="AG8" s="297"/>
      <c r="AH8" s="297"/>
      <c r="AI8" s="297"/>
      <c r="AJ8" s="297"/>
      <c r="AK8" s="297"/>
      <c r="AL8" s="297"/>
      <c r="AM8" s="297"/>
      <c r="AN8" s="297"/>
      <c r="AO8" s="297"/>
      <c r="AP8" s="297"/>
      <c r="AQ8" s="297"/>
      <c r="AR8" s="297"/>
      <c r="AS8" s="297"/>
      <c r="AT8" s="297"/>
      <c r="AU8" s="297"/>
      <c r="AV8" s="297"/>
      <c r="AW8" s="297"/>
      <c r="AX8" s="297"/>
      <c r="AY8" s="297"/>
      <c r="AZ8" s="297"/>
      <c r="BA8" s="297"/>
      <c r="BB8" s="297"/>
      <c r="BC8" s="297"/>
      <c r="BD8" s="297"/>
      <c r="BE8" s="297"/>
      <c r="BF8" s="297"/>
      <c r="BG8" s="297"/>
      <c r="BH8" s="297"/>
      <c r="BI8" s="297"/>
      <c r="BJ8" s="297"/>
      <c r="BN8" s="299"/>
      <c r="BO8" s="299"/>
      <c r="BP8" s="299"/>
      <c r="BT8" s="299"/>
      <c r="BU8" s="299"/>
      <c r="BV8" s="299"/>
    </row>
    <row r="9" spans="1:83" s="298" customFormat="1" ht="12.75" customHeight="1" x14ac:dyDescent="0.25">
      <c r="A9" s="301">
        <v>1</v>
      </c>
      <c r="B9" s="301">
        <v>2</v>
      </c>
      <c r="C9" s="301">
        <v>3</v>
      </c>
      <c r="D9" s="301">
        <v>4</v>
      </c>
      <c r="E9" s="301">
        <v>5</v>
      </c>
      <c r="F9" s="301" t="s">
        <v>103</v>
      </c>
      <c r="G9" s="301" t="s">
        <v>109</v>
      </c>
      <c r="H9" s="301" t="s">
        <v>112</v>
      </c>
      <c r="I9" s="301" t="s">
        <v>116</v>
      </c>
      <c r="J9" s="301" t="s">
        <v>119</v>
      </c>
      <c r="K9" s="301" t="s">
        <v>124</v>
      </c>
      <c r="L9" s="301" t="s">
        <v>128</v>
      </c>
      <c r="M9" s="301" t="s">
        <v>132</v>
      </c>
      <c r="N9" s="301" t="s">
        <v>135</v>
      </c>
      <c r="O9" s="301" t="s">
        <v>138</v>
      </c>
      <c r="P9" s="296"/>
      <c r="Q9" s="297"/>
      <c r="R9" s="297"/>
      <c r="S9" s="297"/>
      <c r="T9" s="297"/>
      <c r="U9" s="297"/>
      <c r="V9" s="297"/>
      <c r="W9" s="297"/>
      <c r="X9" s="297"/>
      <c r="Y9" s="297"/>
      <c r="Z9" s="297"/>
      <c r="AA9" s="297"/>
      <c r="AB9" s="297"/>
      <c r="AC9" s="297"/>
      <c r="AD9" s="297"/>
      <c r="AE9" s="297"/>
      <c r="AF9" s="297"/>
      <c r="AG9" s="297"/>
      <c r="AH9" s="297"/>
      <c r="AI9" s="297"/>
      <c r="AJ9" s="297"/>
      <c r="AK9" s="297"/>
      <c r="AL9" s="297"/>
      <c r="AM9" s="297"/>
      <c r="AN9" s="297"/>
      <c r="AO9" s="297"/>
      <c r="AP9" s="297"/>
      <c r="AQ9" s="297"/>
      <c r="AR9" s="297"/>
      <c r="AS9" s="297"/>
      <c r="AT9" s="297"/>
      <c r="AU9" s="297"/>
      <c r="AV9" s="297"/>
      <c r="AW9" s="297"/>
      <c r="AX9" s="297"/>
      <c r="AY9" s="297"/>
      <c r="AZ9" s="297"/>
      <c r="BA9" s="297"/>
      <c r="BB9" s="297"/>
      <c r="BC9" s="297"/>
      <c r="BD9" s="297"/>
      <c r="BE9" s="297"/>
      <c r="BF9" s="297"/>
      <c r="BG9" s="297"/>
      <c r="BH9" s="297"/>
      <c r="BI9" s="297"/>
      <c r="BJ9" s="297"/>
      <c r="BN9" s="299"/>
      <c r="BO9" s="299"/>
      <c r="BP9" s="299"/>
      <c r="BT9" s="299"/>
      <c r="BU9" s="299"/>
      <c r="BV9" s="299"/>
    </row>
    <row r="10" spans="1:83" s="303" customFormat="1" ht="15.75" customHeight="1" x14ac:dyDescent="0.25">
      <c r="A10" s="339" t="s">
        <v>54</v>
      </c>
      <c r="B10" s="340"/>
      <c r="C10" s="340"/>
      <c r="D10" s="340"/>
      <c r="E10" s="340"/>
      <c r="F10" s="340"/>
      <c r="G10" s="340"/>
      <c r="H10" s="340"/>
      <c r="I10" s="340"/>
      <c r="J10" s="340"/>
      <c r="K10" s="340"/>
      <c r="L10" s="340"/>
      <c r="M10" s="340"/>
      <c r="N10" s="340"/>
      <c r="O10" s="340"/>
      <c r="P10" s="302"/>
      <c r="V10" s="304"/>
      <c r="W10" s="304"/>
      <c r="AD10" s="304"/>
      <c r="AE10" s="304"/>
      <c r="AR10" s="304"/>
      <c r="AS10" s="304"/>
      <c r="AT10" s="304"/>
      <c r="AU10" s="304"/>
      <c r="AV10" s="304"/>
      <c r="AW10" s="304"/>
      <c r="AX10" s="304"/>
      <c r="AY10" s="304"/>
      <c r="AZ10" s="304"/>
      <c r="BA10" s="304"/>
      <c r="BB10" s="304"/>
      <c r="BC10" s="304"/>
      <c r="BK10" s="305"/>
      <c r="BL10" s="305"/>
      <c r="BM10" s="305"/>
      <c r="BN10" s="305"/>
      <c r="BO10" s="305"/>
      <c r="BP10" s="305"/>
      <c r="BQ10" s="305"/>
      <c r="BR10" s="305"/>
      <c r="BS10" s="305"/>
      <c r="BT10" s="305"/>
      <c r="BU10" s="305"/>
      <c r="BV10" s="305"/>
      <c r="BX10" s="298"/>
      <c r="BY10" s="298"/>
      <c r="BZ10" s="298"/>
      <c r="CA10" s="298"/>
    </row>
    <row r="11" spans="1:83" s="303" customFormat="1" ht="22.5" x14ac:dyDescent="0.25">
      <c r="A11" s="306" t="s">
        <v>55</v>
      </c>
      <c r="B11" s="306" t="s">
        <v>55</v>
      </c>
      <c r="C11" s="307" t="s">
        <v>57</v>
      </c>
      <c r="D11" s="307" t="s">
        <v>56</v>
      </c>
      <c r="E11" s="306" t="s">
        <v>58</v>
      </c>
      <c r="F11" s="308">
        <v>0.17549999999999999</v>
      </c>
      <c r="G11" s="309">
        <v>360.21</v>
      </c>
      <c r="H11" s="308" t="s">
        <v>559</v>
      </c>
      <c r="I11" s="309" t="s">
        <v>559</v>
      </c>
      <c r="J11" s="308" t="s">
        <v>559</v>
      </c>
      <c r="K11" s="309" t="s">
        <v>559</v>
      </c>
      <c r="L11" s="308" t="s">
        <v>559</v>
      </c>
      <c r="M11" s="309" t="s">
        <v>559</v>
      </c>
      <c r="N11" s="308">
        <v>0.17549999999999999</v>
      </c>
      <c r="O11" s="309">
        <v>360.21</v>
      </c>
      <c r="P11" s="302"/>
      <c r="V11" s="304"/>
      <c r="W11" s="304"/>
      <c r="AD11" s="304"/>
      <c r="AE11" s="304"/>
      <c r="AR11" s="304"/>
      <c r="AS11" s="304"/>
      <c r="AT11" s="304"/>
      <c r="AU11" s="304"/>
      <c r="AV11" s="304"/>
      <c r="AW11" s="304"/>
      <c r="AX11" s="304"/>
      <c r="AY11" s="304"/>
      <c r="AZ11" s="304"/>
      <c r="BA11" s="304"/>
      <c r="BB11" s="304"/>
      <c r="BC11" s="304"/>
      <c r="BK11" s="305"/>
      <c r="BL11" s="305"/>
      <c r="BM11" s="305"/>
      <c r="BN11" s="305"/>
      <c r="BO11" s="305"/>
      <c r="BP11" s="305"/>
      <c r="BQ11" s="305"/>
      <c r="BR11" s="305"/>
      <c r="BS11" s="305"/>
      <c r="BT11" s="305"/>
      <c r="BU11" s="305"/>
      <c r="BV11" s="305"/>
      <c r="BX11" s="298"/>
      <c r="BY11" s="298"/>
      <c r="BZ11" s="298"/>
      <c r="CA11" s="298"/>
    </row>
    <row r="12" spans="1:83" s="303" customFormat="1" ht="22.5" x14ac:dyDescent="0.25">
      <c r="A12" s="306" t="s">
        <v>70</v>
      </c>
      <c r="B12" s="306" t="s">
        <v>70</v>
      </c>
      <c r="C12" s="307" t="s">
        <v>72</v>
      </c>
      <c r="D12" s="307" t="s">
        <v>71</v>
      </c>
      <c r="E12" s="306" t="s">
        <v>73</v>
      </c>
      <c r="F12" s="308">
        <v>0.69040000000000001</v>
      </c>
      <c r="G12" s="309">
        <v>8392.5400000000009</v>
      </c>
      <c r="H12" s="308">
        <v>7.4999999999999997E-2</v>
      </c>
      <c r="I12" s="309">
        <v>911.71</v>
      </c>
      <c r="J12" s="308">
        <v>6.9919999999999996E-2</v>
      </c>
      <c r="K12" s="309">
        <v>849.95</v>
      </c>
      <c r="L12" s="308">
        <v>0.14491999999999999</v>
      </c>
      <c r="M12" s="309">
        <v>1761.66</v>
      </c>
      <c r="N12" s="308">
        <v>0.54547999999999996</v>
      </c>
      <c r="O12" s="309">
        <v>6630.88</v>
      </c>
      <c r="P12" s="302"/>
      <c r="V12" s="304"/>
      <c r="W12" s="304"/>
      <c r="AD12" s="304"/>
      <c r="AE12" s="304"/>
      <c r="AR12" s="304"/>
      <c r="AS12" s="304"/>
      <c r="AT12" s="304"/>
      <c r="AU12" s="304"/>
      <c r="AV12" s="304"/>
      <c r="AW12" s="304"/>
      <c r="AX12" s="304"/>
      <c r="AY12" s="304"/>
      <c r="AZ12" s="304"/>
      <c r="BA12" s="304"/>
      <c r="BB12" s="304"/>
      <c r="BC12" s="304"/>
      <c r="BK12" s="305"/>
      <c r="BL12" s="305"/>
      <c r="BM12" s="305"/>
      <c r="BN12" s="305"/>
      <c r="BO12" s="305"/>
      <c r="BP12" s="305"/>
      <c r="BQ12" s="305"/>
      <c r="BR12" s="305"/>
      <c r="BS12" s="305"/>
      <c r="BT12" s="305"/>
      <c r="BU12" s="305"/>
      <c r="BV12" s="305"/>
      <c r="BX12" s="298"/>
      <c r="BY12" s="298"/>
      <c r="BZ12" s="298"/>
      <c r="CA12" s="298"/>
      <c r="CE12" s="234"/>
    </row>
    <row r="13" spans="1:83" s="303" customFormat="1" ht="22.5" x14ac:dyDescent="0.25">
      <c r="A13" s="306" t="s">
        <v>75</v>
      </c>
      <c r="B13" s="306" t="s">
        <v>75</v>
      </c>
      <c r="C13" s="307" t="s">
        <v>83</v>
      </c>
      <c r="D13" s="307" t="s">
        <v>82</v>
      </c>
      <c r="E13" s="306" t="s">
        <v>58</v>
      </c>
      <c r="F13" s="308">
        <v>3.7871000000000001</v>
      </c>
      <c r="G13" s="309">
        <v>2203.85</v>
      </c>
      <c r="H13" s="308">
        <v>0.58789999999999998</v>
      </c>
      <c r="I13" s="309">
        <v>342.11</v>
      </c>
      <c r="J13" s="308">
        <v>0.57379999999999998</v>
      </c>
      <c r="K13" s="309">
        <v>333.93</v>
      </c>
      <c r="L13" s="308">
        <v>1.1617</v>
      </c>
      <c r="M13" s="309">
        <v>676.04</v>
      </c>
      <c r="N13" s="308">
        <v>2.6254</v>
      </c>
      <c r="O13" s="309">
        <v>1527.81</v>
      </c>
      <c r="P13" s="302"/>
      <c r="V13" s="304"/>
      <c r="W13" s="304"/>
      <c r="AD13" s="304"/>
      <c r="AE13" s="304"/>
      <c r="AR13" s="304"/>
      <c r="AS13" s="304"/>
      <c r="AT13" s="304"/>
      <c r="AU13" s="304"/>
      <c r="AV13" s="304"/>
      <c r="AW13" s="304"/>
      <c r="AX13" s="304"/>
      <c r="AY13" s="304"/>
      <c r="AZ13" s="304"/>
      <c r="BA13" s="304"/>
      <c r="BB13" s="304"/>
      <c r="BC13" s="304"/>
      <c r="BK13" s="305"/>
      <c r="BL13" s="305"/>
      <c r="BM13" s="305"/>
      <c r="BN13" s="305"/>
      <c r="BO13" s="305"/>
      <c r="BP13" s="305"/>
      <c r="BQ13" s="305"/>
      <c r="BR13" s="305"/>
      <c r="BS13" s="305"/>
      <c r="BT13" s="305"/>
      <c r="BU13" s="305"/>
      <c r="BV13" s="305"/>
      <c r="BX13" s="298"/>
      <c r="BY13" s="298"/>
      <c r="BZ13" s="298"/>
      <c r="CA13" s="298"/>
      <c r="CE13" s="234"/>
    </row>
    <row r="14" spans="1:83" s="303" customFormat="1" ht="22.5" x14ac:dyDescent="0.25">
      <c r="A14" s="306" t="s">
        <v>88</v>
      </c>
      <c r="B14" s="306" t="s">
        <v>88</v>
      </c>
      <c r="C14" s="307" t="s">
        <v>90</v>
      </c>
      <c r="D14" s="307" t="s">
        <v>89</v>
      </c>
      <c r="E14" s="306" t="s">
        <v>58</v>
      </c>
      <c r="F14" s="308">
        <v>1.7325999999999999</v>
      </c>
      <c r="G14" s="309">
        <v>906.38</v>
      </c>
      <c r="H14" s="308">
        <v>0.28029999999999999</v>
      </c>
      <c r="I14" s="309">
        <v>146.63</v>
      </c>
      <c r="J14" s="308">
        <v>0.24959999999999999</v>
      </c>
      <c r="K14" s="309">
        <v>130.58000000000001</v>
      </c>
      <c r="L14" s="308">
        <v>0.52990000000000004</v>
      </c>
      <c r="M14" s="309">
        <v>277.20999999999998</v>
      </c>
      <c r="N14" s="308">
        <v>1.2027000000000001</v>
      </c>
      <c r="O14" s="309">
        <v>629.16999999999996</v>
      </c>
      <c r="P14" s="302"/>
      <c r="V14" s="304"/>
      <c r="W14" s="304"/>
      <c r="AD14" s="304"/>
      <c r="AE14" s="304"/>
      <c r="AR14" s="304"/>
      <c r="AS14" s="304"/>
      <c r="AT14" s="304"/>
      <c r="AU14" s="304"/>
      <c r="AV14" s="304"/>
      <c r="AW14" s="304"/>
      <c r="AX14" s="304"/>
      <c r="AY14" s="304"/>
      <c r="AZ14" s="304"/>
      <c r="BA14" s="304"/>
      <c r="BB14" s="304"/>
      <c r="BC14" s="304"/>
      <c r="BK14" s="305"/>
      <c r="BL14" s="305"/>
      <c r="BM14" s="305"/>
      <c r="BN14" s="305"/>
      <c r="BO14" s="305"/>
      <c r="BP14" s="305"/>
      <c r="BQ14" s="305"/>
      <c r="BR14" s="305"/>
      <c r="BS14" s="305"/>
      <c r="BT14" s="305"/>
      <c r="BU14" s="305"/>
      <c r="BV14" s="305"/>
      <c r="BX14" s="298"/>
      <c r="BY14" s="298"/>
      <c r="BZ14" s="298"/>
      <c r="CA14" s="298"/>
      <c r="CE14" s="234"/>
    </row>
    <row r="15" spans="1:83" s="303" customFormat="1" ht="22.5" x14ac:dyDescent="0.25">
      <c r="A15" s="306" t="s">
        <v>95</v>
      </c>
      <c r="B15" s="306" t="s">
        <v>95</v>
      </c>
      <c r="C15" s="307" t="s">
        <v>97</v>
      </c>
      <c r="D15" s="307" t="s">
        <v>96</v>
      </c>
      <c r="E15" s="306" t="s">
        <v>58</v>
      </c>
      <c r="F15" s="308">
        <v>1.7325999999999999</v>
      </c>
      <c r="G15" s="309">
        <v>11451.42</v>
      </c>
      <c r="H15" s="308">
        <v>0.28029999999999999</v>
      </c>
      <c r="I15" s="309">
        <v>1852.63</v>
      </c>
      <c r="J15" s="308">
        <v>0.24959999999999999</v>
      </c>
      <c r="K15" s="309">
        <v>1649.7</v>
      </c>
      <c r="L15" s="308">
        <v>0.52990000000000004</v>
      </c>
      <c r="M15" s="309">
        <v>3502.33</v>
      </c>
      <c r="N15" s="308">
        <v>1.2027000000000001</v>
      </c>
      <c r="O15" s="309">
        <v>7949.09</v>
      </c>
      <c r="P15" s="302"/>
      <c r="V15" s="304"/>
      <c r="W15" s="304"/>
      <c r="AD15" s="304"/>
      <c r="AE15" s="304"/>
      <c r="AR15" s="304"/>
      <c r="AS15" s="304"/>
      <c r="AT15" s="304"/>
      <c r="AU15" s="304"/>
      <c r="AV15" s="304"/>
      <c r="AW15" s="304"/>
      <c r="AX15" s="304"/>
      <c r="AY15" s="304"/>
      <c r="AZ15" s="304"/>
      <c r="BA15" s="304"/>
      <c r="BB15" s="304"/>
      <c r="BC15" s="304"/>
      <c r="BK15" s="305"/>
      <c r="BL15" s="305"/>
      <c r="BM15" s="305"/>
      <c r="BN15" s="305"/>
      <c r="BO15" s="305"/>
      <c r="BP15" s="305"/>
      <c r="BQ15" s="305"/>
      <c r="BR15" s="305"/>
      <c r="BS15" s="305"/>
      <c r="BT15" s="305"/>
      <c r="BU15" s="305"/>
      <c r="BV15" s="305"/>
      <c r="BX15" s="298"/>
      <c r="BY15" s="298"/>
      <c r="BZ15" s="298"/>
      <c r="CA15" s="298"/>
      <c r="CE15" s="234"/>
    </row>
    <row r="16" spans="1:83" s="303" customFormat="1" ht="33.75" x14ac:dyDescent="0.25">
      <c r="A16" s="306" t="s">
        <v>103</v>
      </c>
      <c r="B16" s="306" t="s">
        <v>103</v>
      </c>
      <c r="C16" s="307" t="s">
        <v>105</v>
      </c>
      <c r="D16" s="307" t="s">
        <v>576</v>
      </c>
      <c r="E16" s="306" t="s">
        <v>106</v>
      </c>
      <c r="F16" s="308">
        <v>218.30799999999999</v>
      </c>
      <c r="G16" s="309">
        <v>142789.99</v>
      </c>
      <c r="H16" s="308">
        <v>35.317799999999998</v>
      </c>
      <c r="I16" s="309">
        <v>23100.52</v>
      </c>
      <c r="J16" s="308">
        <v>31.4496</v>
      </c>
      <c r="K16" s="309">
        <v>20570.419999999998</v>
      </c>
      <c r="L16" s="308">
        <v>66.767399999999995</v>
      </c>
      <c r="M16" s="309">
        <v>43670.94</v>
      </c>
      <c r="N16" s="308">
        <v>151.54060000000001</v>
      </c>
      <c r="O16" s="309">
        <v>99119.05</v>
      </c>
      <c r="P16" s="302"/>
      <c r="V16" s="304"/>
      <c r="W16" s="304"/>
      <c r="AD16" s="304"/>
      <c r="AE16" s="304"/>
      <c r="AR16" s="304"/>
      <c r="AS16" s="304"/>
      <c r="AT16" s="304"/>
      <c r="AU16" s="304"/>
      <c r="AV16" s="304"/>
      <c r="AW16" s="304"/>
      <c r="AX16" s="304"/>
      <c r="AY16" s="304"/>
      <c r="AZ16" s="304"/>
      <c r="BA16" s="304"/>
      <c r="BB16" s="304"/>
      <c r="BC16" s="304"/>
      <c r="BK16" s="305"/>
      <c r="BL16" s="305"/>
      <c r="BM16" s="305"/>
      <c r="BN16" s="305"/>
      <c r="BO16" s="305"/>
      <c r="BP16" s="305"/>
      <c r="BQ16" s="305"/>
      <c r="BR16" s="305"/>
      <c r="BS16" s="305"/>
      <c r="BT16" s="305"/>
      <c r="BU16" s="305"/>
      <c r="BV16" s="305"/>
      <c r="BX16" s="298"/>
      <c r="BY16" s="298"/>
      <c r="BZ16" s="298"/>
      <c r="CA16" s="298"/>
      <c r="CE16" s="234"/>
    </row>
    <row r="17" spans="1:83" s="303" customFormat="1" ht="33.75" x14ac:dyDescent="0.25">
      <c r="A17" s="306" t="s">
        <v>109</v>
      </c>
      <c r="B17" s="306" t="s">
        <v>109</v>
      </c>
      <c r="C17" s="307" t="s">
        <v>111</v>
      </c>
      <c r="D17" s="307" t="s">
        <v>110</v>
      </c>
      <c r="E17" s="306" t="s">
        <v>73</v>
      </c>
      <c r="F17" s="308">
        <v>0.36870000000000003</v>
      </c>
      <c r="G17" s="309">
        <v>570291.93000000005</v>
      </c>
      <c r="H17" s="308">
        <v>7.4999999999999997E-2</v>
      </c>
      <c r="I17" s="309">
        <v>116007.29</v>
      </c>
      <c r="J17" s="308">
        <v>6.9900000000000004E-2</v>
      </c>
      <c r="K17" s="309">
        <v>108118.81</v>
      </c>
      <c r="L17" s="308">
        <v>0.1449</v>
      </c>
      <c r="M17" s="309">
        <v>224126.1</v>
      </c>
      <c r="N17" s="308">
        <v>0.2238</v>
      </c>
      <c r="O17" s="309">
        <v>346165.83</v>
      </c>
      <c r="P17" s="302"/>
      <c r="V17" s="304"/>
      <c r="W17" s="304"/>
      <c r="AD17" s="304"/>
      <c r="AE17" s="304"/>
      <c r="AR17" s="304"/>
      <c r="AS17" s="304"/>
      <c r="AT17" s="304"/>
      <c r="AU17" s="304"/>
      <c r="AV17" s="304"/>
      <c r="AW17" s="304"/>
      <c r="AX17" s="304"/>
      <c r="AY17" s="304"/>
      <c r="AZ17" s="304"/>
      <c r="BA17" s="304"/>
      <c r="BB17" s="304"/>
      <c r="BC17" s="304"/>
      <c r="BK17" s="305"/>
      <c r="BL17" s="305"/>
      <c r="BM17" s="305"/>
      <c r="BN17" s="305"/>
      <c r="BO17" s="305"/>
      <c r="BP17" s="305"/>
      <c r="BQ17" s="305"/>
      <c r="BR17" s="305"/>
      <c r="BS17" s="305"/>
      <c r="BT17" s="305"/>
      <c r="BU17" s="305"/>
      <c r="BV17" s="305"/>
      <c r="BX17" s="298"/>
      <c r="BY17" s="298"/>
      <c r="BZ17" s="298"/>
      <c r="CA17" s="298"/>
      <c r="CE17" s="234"/>
    </row>
    <row r="18" spans="1:83" s="303" customFormat="1" ht="22.5" x14ac:dyDescent="0.25">
      <c r="A18" s="306" t="s">
        <v>112</v>
      </c>
      <c r="B18" s="306" t="s">
        <v>112</v>
      </c>
      <c r="C18" s="307" t="s">
        <v>114</v>
      </c>
      <c r="D18" s="307" t="s">
        <v>113</v>
      </c>
      <c r="E18" s="306" t="s">
        <v>115</v>
      </c>
      <c r="F18" s="308">
        <v>-678</v>
      </c>
      <c r="G18" s="309">
        <v>-127531.8</v>
      </c>
      <c r="H18" s="308">
        <v>-138</v>
      </c>
      <c r="I18" s="309">
        <v>-25957.8</v>
      </c>
      <c r="J18" s="308">
        <v>-129</v>
      </c>
      <c r="K18" s="309">
        <v>-24264.9</v>
      </c>
      <c r="L18" s="308">
        <v>-267</v>
      </c>
      <c r="M18" s="309">
        <v>-50222.7</v>
      </c>
      <c r="N18" s="308">
        <v>-411</v>
      </c>
      <c r="O18" s="309">
        <v>-77309.100000000006</v>
      </c>
      <c r="P18" s="302"/>
      <c r="V18" s="304"/>
      <c r="W18" s="304"/>
      <c r="AD18" s="304"/>
      <c r="AE18" s="304"/>
      <c r="AR18" s="304"/>
      <c r="AS18" s="304"/>
      <c r="AT18" s="304"/>
      <c r="AU18" s="304"/>
      <c r="AV18" s="304"/>
      <c r="AW18" s="304"/>
      <c r="AX18" s="304"/>
      <c r="AY18" s="304"/>
      <c r="AZ18" s="304"/>
      <c r="BA18" s="304"/>
      <c r="BB18" s="304"/>
      <c r="BC18" s="304"/>
      <c r="BK18" s="305"/>
      <c r="BL18" s="305"/>
      <c r="BM18" s="305"/>
      <c r="BN18" s="305"/>
      <c r="BO18" s="305"/>
      <c r="BP18" s="305"/>
      <c r="BQ18" s="305"/>
      <c r="BR18" s="305"/>
      <c r="BS18" s="305"/>
      <c r="BT18" s="305"/>
      <c r="BU18" s="305"/>
      <c r="BV18" s="305"/>
      <c r="BX18" s="298"/>
      <c r="BY18" s="298"/>
      <c r="BZ18" s="298"/>
      <c r="CA18" s="298"/>
      <c r="CE18" s="234"/>
    </row>
    <row r="19" spans="1:83" s="303" customFormat="1" ht="22.5" x14ac:dyDescent="0.25">
      <c r="A19" s="306" t="s">
        <v>116</v>
      </c>
      <c r="B19" s="306" t="s">
        <v>116</v>
      </c>
      <c r="C19" s="307" t="s">
        <v>118</v>
      </c>
      <c r="D19" s="307" t="s">
        <v>117</v>
      </c>
      <c r="E19" s="306" t="s">
        <v>115</v>
      </c>
      <c r="F19" s="308">
        <v>-1357</v>
      </c>
      <c r="G19" s="309">
        <v>-59178.77</v>
      </c>
      <c r="H19" s="308">
        <v>-276</v>
      </c>
      <c r="I19" s="309">
        <v>-12036.36</v>
      </c>
      <c r="J19" s="308">
        <v>-257</v>
      </c>
      <c r="K19" s="309">
        <v>-11207.77</v>
      </c>
      <c r="L19" s="308">
        <v>-533</v>
      </c>
      <c r="M19" s="309">
        <v>-23244.13</v>
      </c>
      <c r="N19" s="308">
        <v>-824</v>
      </c>
      <c r="O19" s="309">
        <v>-35934.639999999999</v>
      </c>
      <c r="P19" s="302"/>
      <c r="V19" s="304"/>
      <c r="W19" s="304"/>
      <c r="AD19" s="304"/>
      <c r="AE19" s="304"/>
      <c r="AR19" s="304"/>
      <c r="AS19" s="304"/>
      <c r="AT19" s="304"/>
      <c r="AU19" s="304"/>
      <c r="AV19" s="304"/>
      <c r="AW19" s="304"/>
      <c r="AX19" s="304"/>
      <c r="AY19" s="304"/>
      <c r="AZ19" s="304"/>
      <c r="BA19" s="304"/>
      <c r="BB19" s="304"/>
      <c r="BC19" s="304"/>
      <c r="BK19" s="305"/>
      <c r="BL19" s="305"/>
      <c r="BM19" s="305"/>
      <c r="BN19" s="305"/>
      <c r="BO19" s="305"/>
      <c r="BP19" s="305"/>
      <c r="BQ19" s="305"/>
      <c r="BR19" s="305"/>
      <c r="BS19" s="305"/>
      <c r="BT19" s="305"/>
      <c r="BU19" s="305"/>
      <c r="BV19" s="305"/>
      <c r="BX19" s="298"/>
      <c r="BY19" s="298"/>
      <c r="BZ19" s="298"/>
      <c r="CA19" s="298"/>
      <c r="CE19" s="234"/>
    </row>
    <row r="20" spans="1:83" s="303" customFormat="1" ht="33.75" x14ac:dyDescent="0.25">
      <c r="A20" s="306" t="s">
        <v>119</v>
      </c>
      <c r="B20" s="306" t="s">
        <v>119</v>
      </c>
      <c r="C20" s="307" t="s">
        <v>121</v>
      </c>
      <c r="D20" s="307" t="s">
        <v>577</v>
      </c>
      <c r="E20" s="306" t="s">
        <v>115</v>
      </c>
      <c r="F20" s="308">
        <v>694</v>
      </c>
      <c r="G20" s="309">
        <v>998158.81</v>
      </c>
      <c r="H20" s="308">
        <v>138</v>
      </c>
      <c r="I20" s="309">
        <v>198481.15</v>
      </c>
      <c r="J20" s="308">
        <v>119</v>
      </c>
      <c r="K20" s="309">
        <v>171154.03</v>
      </c>
      <c r="L20" s="308">
        <v>257</v>
      </c>
      <c r="M20" s="309">
        <v>369635.18</v>
      </c>
      <c r="N20" s="308">
        <v>437</v>
      </c>
      <c r="O20" s="309">
        <v>628523.63</v>
      </c>
      <c r="P20" s="302"/>
      <c r="V20" s="304"/>
      <c r="W20" s="304"/>
      <c r="AD20" s="304"/>
      <c r="AE20" s="304"/>
      <c r="AR20" s="304"/>
      <c r="AS20" s="304"/>
      <c r="AT20" s="304"/>
      <c r="AU20" s="304"/>
      <c r="AV20" s="304"/>
      <c r="AW20" s="304"/>
      <c r="AX20" s="304"/>
      <c r="AY20" s="304"/>
      <c r="AZ20" s="304"/>
      <c r="BA20" s="304"/>
      <c r="BB20" s="304"/>
      <c r="BC20" s="304"/>
      <c r="BK20" s="305"/>
      <c r="BL20" s="305"/>
      <c r="BM20" s="305"/>
      <c r="BN20" s="305"/>
      <c r="BO20" s="305"/>
      <c r="BP20" s="305"/>
      <c r="BQ20" s="305"/>
      <c r="BR20" s="305"/>
      <c r="BS20" s="305"/>
      <c r="BT20" s="305"/>
      <c r="BU20" s="305"/>
      <c r="BV20" s="305"/>
      <c r="BX20" s="298"/>
      <c r="BY20" s="298"/>
      <c r="BZ20" s="298"/>
      <c r="CA20" s="298"/>
      <c r="CE20" s="234"/>
    </row>
    <row r="21" spans="1:83" s="303" customFormat="1" ht="22.5" x14ac:dyDescent="0.25">
      <c r="A21" s="306" t="s">
        <v>124</v>
      </c>
      <c r="B21" s="306" t="s">
        <v>124</v>
      </c>
      <c r="C21" s="307" t="s">
        <v>126</v>
      </c>
      <c r="D21" s="307" t="s">
        <v>125</v>
      </c>
      <c r="E21" s="306" t="s">
        <v>127</v>
      </c>
      <c r="F21" s="308">
        <v>-0.24399999999999999</v>
      </c>
      <c r="G21" s="309">
        <v>-2543.46</v>
      </c>
      <c r="H21" s="308">
        <v>-4.9500000000000002E-2</v>
      </c>
      <c r="I21" s="309">
        <v>-515.99</v>
      </c>
      <c r="J21" s="308">
        <v>-4.6129999999999997E-2</v>
      </c>
      <c r="K21" s="309">
        <v>-480.86</v>
      </c>
      <c r="L21" s="308">
        <v>-9.5630000000000007E-2</v>
      </c>
      <c r="M21" s="309">
        <v>-996.85</v>
      </c>
      <c r="N21" s="308">
        <v>-0.14837</v>
      </c>
      <c r="O21" s="309">
        <v>-1546.61</v>
      </c>
      <c r="P21" s="302"/>
      <c r="V21" s="304"/>
      <c r="W21" s="304"/>
      <c r="AD21" s="304"/>
      <c r="AE21" s="304"/>
      <c r="AR21" s="304"/>
      <c r="AS21" s="304"/>
      <c r="AT21" s="304"/>
      <c r="AU21" s="304"/>
      <c r="AV21" s="304"/>
      <c r="AW21" s="304"/>
      <c r="AX21" s="304"/>
      <c r="AY21" s="304"/>
      <c r="AZ21" s="304"/>
      <c r="BA21" s="304"/>
      <c r="BB21" s="304"/>
      <c r="BC21" s="304"/>
      <c r="BK21" s="305"/>
      <c r="BL21" s="305"/>
      <c r="BM21" s="305"/>
      <c r="BN21" s="305"/>
      <c r="BO21" s="305"/>
      <c r="BP21" s="305"/>
      <c r="BQ21" s="305"/>
      <c r="BR21" s="305"/>
      <c r="BS21" s="305"/>
      <c r="BT21" s="305"/>
      <c r="BU21" s="305"/>
      <c r="BV21" s="305"/>
      <c r="BX21" s="298"/>
      <c r="BY21" s="298"/>
      <c r="BZ21" s="298"/>
      <c r="CA21" s="298"/>
      <c r="CE21" s="234"/>
    </row>
    <row r="22" spans="1:83" s="303" customFormat="1" ht="33.75" x14ac:dyDescent="0.25">
      <c r="A22" s="306" t="s">
        <v>128</v>
      </c>
      <c r="B22" s="306" t="s">
        <v>128</v>
      </c>
      <c r="C22" s="307" t="s">
        <v>129</v>
      </c>
      <c r="D22" s="307" t="s">
        <v>577</v>
      </c>
      <c r="E22" s="306" t="s">
        <v>130</v>
      </c>
      <c r="F22" s="308">
        <v>0.16500000000000001</v>
      </c>
      <c r="G22" s="309">
        <v>4797.6000000000004</v>
      </c>
      <c r="H22" s="308">
        <v>0.112</v>
      </c>
      <c r="I22" s="309">
        <v>3256.55</v>
      </c>
      <c r="J22" s="308">
        <v>4.6129999999999997E-2</v>
      </c>
      <c r="K22" s="309">
        <v>1341.29</v>
      </c>
      <c r="L22" s="308">
        <v>0.15812999999999999</v>
      </c>
      <c r="M22" s="309">
        <v>4597.84</v>
      </c>
      <c r="N22" s="308">
        <v>6.8700000000000202E-3</v>
      </c>
      <c r="O22" s="309">
        <v>199.76</v>
      </c>
      <c r="P22" s="302"/>
      <c r="V22" s="304"/>
      <c r="W22" s="304"/>
      <c r="AD22" s="304"/>
      <c r="AE22" s="304"/>
      <c r="AR22" s="304"/>
      <c r="AS22" s="304"/>
      <c r="AT22" s="304"/>
      <c r="AU22" s="304"/>
      <c r="AV22" s="304"/>
      <c r="AW22" s="304"/>
      <c r="AX22" s="304"/>
      <c r="AY22" s="304"/>
      <c r="AZ22" s="304"/>
      <c r="BA22" s="304"/>
      <c r="BB22" s="304"/>
      <c r="BC22" s="304"/>
      <c r="BK22" s="305"/>
      <c r="BL22" s="305"/>
      <c r="BM22" s="305"/>
      <c r="BN22" s="305"/>
      <c r="BO22" s="305"/>
      <c r="BP22" s="305"/>
      <c r="BQ22" s="305"/>
      <c r="BR22" s="305"/>
      <c r="BS22" s="305"/>
      <c r="BT22" s="305"/>
      <c r="BU22" s="305"/>
      <c r="BV22" s="305"/>
      <c r="BX22" s="298"/>
      <c r="BY22" s="298"/>
      <c r="BZ22" s="298"/>
      <c r="CA22" s="298"/>
      <c r="CE22" s="234"/>
    </row>
    <row r="23" spans="1:83" s="303" customFormat="1" ht="22.5" x14ac:dyDescent="0.25">
      <c r="A23" s="306" t="s">
        <v>132</v>
      </c>
      <c r="B23" s="306" t="s">
        <v>132</v>
      </c>
      <c r="C23" s="307" t="s">
        <v>134</v>
      </c>
      <c r="D23" s="307" t="s">
        <v>133</v>
      </c>
      <c r="E23" s="306" t="s">
        <v>115</v>
      </c>
      <c r="F23" s="308">
        <v>-118</v>
      </c>
      <c r="G23" s="309">
        <v>-17145.400000000001</v>
      </c>
      <c r="H23" s="308">
        <v>-24</v>
      </c>
      <c r="I23" s="309">
        <v>-3487.2</v>
      </c>
      <c r="J23" s="308">
        <v>-22</v>
      </c>
      <c r="K23" s="309">
        <v>-3196.6</v>
      </c>
      <c r="L23" s="308">
        <v>-46</v>
      </c>
      <c r="M23" s="309">
        <v>-6683.8</v>
      </c>
      <c r="N23" s="308">
        <v>-72</v>
      </c>
      <c r="O23" s="309">
        <v>-10461.6</v>
      </c>
      <c r="P23" s="302"/>
      <c r="V23" s="304"/>
      <c r="W23" s="304"/>
      <c r="AD23" s="304"/>
      <c r="AE23" s="304"/>
      <c r="AR23" s="304"/>
      <c r="AS23" s="304"/>
      <c r="AT23" s="304"/>
      <c r="AU23" s="304"/>
      <c r="AV23" s="304"/>
      <c r="AW23" s="304"/>
      <c r="AX23" s="304"/>
      <c r="AY23" s="304"/>
      <c r="AZ23" s="304"/>
      <c r="BA23" s="304"/>
      <c r="BB23" s="304"/>
      <c r="BC23" s="304"/>
      <c r="BK23" s="305"/>
      <c r="BL23" s="305"/>
      <c r="BM23" s="305"/>
      <c r="BN23" s="305"/>
      <c r="BO23" s="305"/>
      <c r="BP23" s="305"/>
      <c r="BQ23" s="305"/>
      <c r="BR23" s="305"/>
      <c r="BS23" s="305"/>
      <c r="BT23" s="305"/>
      <c r="BU23" s="305"/>
      <c r="BV23" s="305"/>
      <c r="BX23" s="298"/>
      <c r="BY23" s="298"/>
      <c r="BZ23" s="298"/>
      <c r="CA23" s="298"/>
      <c r="CE23" s="234"/>
    </row>
    <row r="24" spans="1:83" s="303" customFormat="1" ht="33.75" x14ac:dyDescent="0.25">
      <c r="A24" s="306" t="s">
        <v>135</v>
      </c>
      <c r="B24" s="306" t="s">
        <v>135</v>
      </c>
      <c r="C24" s="307" t="s">
        <v>136</v>
      </c>
      <c r="D24" s="307" t="s">
        <v>577</v>
      </c>
      <c r="E24" s="306" t="s">
        <v>130</v>
      </c>
      <c r="F24" s="308">
        <v>2.2200000000000002</v>
      </c>
      <c r="G24" s="309">
        <v>87115.06</v>
      </c>
      <c r="H24" s="308">
        <v>0.48</v>
      </c>
      <c r="I24" s="309">
        <v>18835.689999999999</v>
      </c>
      <c r="J24" s="308">
        <v>0.78</v>
      </c>
      <c r="K24" s="309">
        <v>30607.99</v>
      </c>
      <c r="L24" s="308">
        <v>1.26</v>
      </c>
      <c r="M24" s="309">
        <v>49443.68</v>
      </c>
      <c r="N24" s="308">
        <v>0.96</v>
      </c>
      <c r="O24" s="309">
        <v>37671.379999999997</v>
      </c>
      <c r="P24" s="302"/>
      <c r="V24" s="304"/>
      <c r="W24" s="304"/>
      <c r="AD24" s="304"/>
      <c r="AE24" s="304"/>
      <c r="AR24" s="304"/>
      <c r="AS24" s="304"/>
      <c r="AT24" s="304"/>
      <c r="AU24" s="304"/>
      <c r="AV24" s="304"/>
      <c r="AW24" s="304"/>
      <c r="AX24" s="304"/>
      <c r="AY24" s="304"/>
      <c r="AZ24" s="304"/>
      <c r="BA24" s="304"/>
      <c r="BB24" s="304"/>
      <c r="BC24" s="304"/>
      <c r="BK24" s="305"/>
      <c r="BL24" s="305"/>
      <c r="BM24" s="305"/>
      <c r="BN24" s="305"/>
      <c r="BO24" s="305"/>
      <c r="BP24" s="305"/>
      <c r="BQ24" s="305"/>
      <c r="BR24" s="305"/>
      <c r="BS24" s="305"/>
      <c r="BT24" s="305"/>
      <c r="BU24" s="305"/>
      <c r="BV24" s="305"/>
      <c r="BX24" s="298"/>
      <c r="BY24" s="298"/>
      <c r="BZ24" s="298"/>
      <c r="CA24" s="298"/>
      <c r="CE24" s="234"/>
    </row>
    <row r="25" spans="1:83" s="303" customFormat="1" ht="22.5" x14ac:dyDescent="0.25">
      <c r="A25" s="306" t="s">
        <v>138</v>
      </c>
      <c r="B25" s="306" t="s">
        <v>138</v>
      </c>
      <c r="C25" s="307" t="s">
        <v>140</v>
      </c>
      <c r="D25" s="307" t="s">
        <v>139</v>
      </c>
      <c r="E25" s="306" t="s">
        <v>141</v>
      </c>
      <c r="F25" s="308">
        <v>-737.4</v>
      </c>
      <c r="G25" s="309">
        <v>-258974.88</v>
      </c>
      <c r="H25" s="308">
        <v>-150</v>
      </c>
      <c r="I25" s="309">
        <v>-52680</v>
      </c>
      <c r="J25" s="308">
        <v>-140</v>
      </c>
      <c r="K25" s="309">
        <v>-49168</v>
      </c>
      <c r="L25" s="308">
        <v>-290</v>
      </c>
      <c r="M25" s="309">
        <v>-101848</v>
      </c>
      <c r="N25" s="308">
        <v>-447.4</v>
      </c>
      <c r="O25" s="309">
        <v>-157126.88</v>
      </c>
      <c r="P25" s="302"/>
      <c r="V25" s="304"/>
      <c r="W25" s="304"/>
      <c r="AD25" s="304"/>
      <c r="AE25" s="304"/>
      <c r="AR25" s="304"/>
      <c r="AS25" s="304"/>
      <c r="AT25" s="304"/>
      <c r="AU25" s="304"/>
      <c r="AV25" s="304"/>
      <c r="AW25" s="304"/>
      <c r="AX25" s="304"/>
      <c r="AY25" s="304"/>
      <c r="AZ25" s="304"/>
      <c r="BA25" s="304"/>
      <c r="BB25" s="304"/>
      <c r="BC25" s="304"/>
      <c r="BK25" s="305"/>
      <c r="BL25" s="305"/>
      <c r="BM25" s="305"/>
      <c r="BN25" s="305"/>
      <c r="BO25" s="305"/>
      <c r="BP25" s="305"/>
      <c r="BQ25" s="305"/>
      <c r="BR25" s="305"/>
      <c r="BS25" s="305"/>
      <c r="BT25" s="305"/>
      <c r="BU25" s="305"/>
      <c r="BV25" s="305"/>
      <c r="BX25" s="298"/>
      <c r="BY25" s="298"/>
      <c r="BZ25" s="298"/>
      <c r="CA25" s="298"/>
      <c r="CE25" s="234"/>
    </row>
    <row r="26" spans="1:83" s="303" customFormat="1" ht="33.75" x14ac:dyDescent="0.25">
      <c r="A26" s="306" t="s">
        <v>142</v>
      </c>
      <c r="B26" s="306" t="s">
        <v>142</v>
      </c>
      <c r="C26" s="307" t="s">
        <v>143</v>
      </c>
      <c r="D26" s="307" t="s">
        <v>577</v>
      </c>
      <c r="E26" s="306" t="s">
        <v>130</v>
      </c>
      <c r="F26" s="308">
        <v>48.29</v>
      </c>
      <c r="G26" s="309">
        <v>883080.09</v>
      </c>
      <c r="H26" s="308">
        <v>9.7319999999999993</v>
      </c>
      <c r="I26" s="309">
        <v>177969.26</v>
      </c>
      <c r="J26" s="308">
        <v>9.07</v>
      </c>
      <c r="K26" s="309">
        <v>165863.25</v>
      </c>
      <c r="L26" s="308">
        <v>18.802</v>
      </c>
      <c r="M26" s="309">
        <v>343832.51</v>
      </c>
      <c r="N26" s="308">
        <v>29.488</v>
      </c>
      <c r="O26" s="309">
        <v>539247.57999999996</v>
      </c>
      <c r="P26" s="302"/>
      <c r="V26" s="304"/>
      <c r="W26" s="304"/>
      <c r="AD26" s="304"/>
      <c r="AE26" s="304"/>
      <c r="AR26" s="304"/>
      <c r="AS26" s="304"/>
      <c r="AT26" s="304"/>
      <c r="AU26" s="304"/>
      <c r="AV26" s="304"/>
      <c r="AW26" s="304"/>
      <c r="AX26" s="304"/>
      <c r="AY26" s="304"/>
      <c r="AZ26" s="304"/>
      <c r="BA26" s="304"/>
      <c r="BB26" s="304"/>
      <c r="BC26" s="304"/>
      <c r="BK26" s="305"/>
      <c r="BL26" s="305"/>
      <c r="BM26" s="305"/>
      <c r="BN26" s="305"/>
      <c r="BO26" s="305"/>
      <c r="BP26" s="305"/>
      <c r="BQ26" s="305"/>
      <c r="BR26" s="305"/>
      <c r="BS26" s="305"/>
      <c r="BT26" s="305"/>
      <c r="BU26" s="305"/>
      <c r="BV26" s="305"/>
      <c r="BX26" s="298"/>
      <c r="BY26" s="298"/>
      <c r="BZ26" s="298"/>
      <c r="CA26" s="298"/>
      <c r="CE26" s="234"/>
    </row>
    <row r="27" spans="1:83" s="303" customFormat="1" ht="33.75" x14ac:dyDescent="0.25">
      <c r="A27" s="306" t="s">
        <v>145</v>
      </c>
      <c r="B27" s="306" t="s">
        <v>145</v>
      </c>
      <c r="C27" s="307" t="s">
        <v>146</v>
      </c>
      <c r="D27" s="307" t="s">
        <v>577</v>
      </c>
      <c r="E27" s="306" t="s">
        <v>147</v>
      </c>
      <c r="F27" s="308">
        <v>10</v>
      </c>
      <c r="G27" s="309">
        <v>17259.29</v>
      </c>
      <c r="H27" s="308">
        <v>8</v>
      </c>
      <c r="I27" s="309">
        <v>13807.43</v>
      </c>
      <c r="J27" s="308">
        <v>2</v>
      </c>
      <c r="K27" s="309">
        <v>3451.86</v>
      </c>
      <c r="L27" s="308">
        <v>10</v>
      </c>
      <c r="M27" s="309">
        <v>17259.29</v>
      </c>
      <c r="N27" s="308" t="s">
        <v>559</v>
      </c>
      <c r="O27" s="309" t="s">
        <v>559</v>
      </c>
      <c r="P27" s="302"/>
      <c r="V27" s="304"/>
      <c r="W27" s="304"/>
      <c r="AD27" s="304"/>
      <c r="AE27" s="304"/>
      <c r="AR27" s="304"/>
      <c r="AS27" s="304"/>
      <c r="AT27" s="304"/>
      <c r="AU27" s="304"/>
      <c r="AV27" s="304"/>
      <c r="AW27" s="304"/>
      <c r="AX27" s="304"/>
      <c r="AY27" s="304"/>
      <c r="AZ27" s="304"/>
      <c r="BA27" s="304"/>
      <c r="BB27" s="304"/>
      <c r="BC27" s="304"/>
      <c r="BK27" s="305"/>
      <c r="BL27" s="305"/>
      <c r="BM27" s="305"/>
      <c r="BN27" s="305"/>
      <c r="BO27" s="305"/>
      <c r="BP27" s="305"/>
      <c r="BQ27" s="305"/>
      <c r="BR27" s="305"/>
      <c r="BS27" s="305"/>
      <c r="BT27" s="305"/>
      <c r="BU27" s="305"/>
      <c r="BV27" s="305"/>
      <c r="BX27" s="298"/>
      <c r="BY27" s="298"/>
      <c r="BZ27" s="298"/>
      <c r="CA27" s="298"/>
      <c r="CE27" s="234"/>
    </row>
    <row r="28" spans="1:83" s="303" customFormat="1" ht="22.5" x14ac:dyDescent="0.25">
      <c r="A28" s="306" t="s">
        <v>149</v>
      </c>
      <c r="B28" s="306" t="s">
        <v>149</v>
      </c>
      <c r="C28" s="307" t="s">
        <v>151</v>
      </c>
      <c r="D28" s="307" t="s">
        <v>150</v>
      </c>
      <c r="E28" s="306" t="s">
        <v>152</v>
      </c>
      <c r="F28" s="308">
        <v>6.84</v>
      </c>
      <c r="G28" s="309">
        <v>51.25</v>
      </c>
      <c r="H28" s="308" t="s">
        <v>559</v>
      </c>
      <c r="I28" s="309" t="s">
        <v>559</v>
      </c>
      <c r="J28" s="308" t="s">
        <v>559</v>
      </c>
      <c r="K28" s="309" t="s">
        <v>559</v>
      </c>
      <c r="L28" s="308" t="s">
        <v>559</v>
      </c>
      <c r="M28" s="309" t="s">
        <v>559</v>
      </c>
      <c r="N28" s="308">
        <v>6.84</v>
      </c>
      <c r="O28" s="309">
        <v>51.25</v>
      </c>
      <c r="P28" s="302"/>
      <c r="V28" s="304"/>
      <c r="W28" s="304"/>
      <c r="AD28" s="304"/>
      <c r="AE28" s="304"/>
      <c r="AR28" s="304"/>
      <c r="AS28" s="304"/>
      <c r="AT28" s="304"/>
      <c r="AU28" s="304"/>
      <c r="AV28" s="304"/>
      <c r="AW28" s="304"/>
      <c r="AX28" s="304"/>
      <c r="AY28" s="304"/>
      <c r="AZ28" s="304"/>
      <c r="BA28" s="304"/>
      <c r="BB28" s="304"/>
      <c r="BC28" s="304"/>
      <c r="BK28" s="305"/>
      <c r="BL28" s="305"/>
      <c r="BM28" s="305"/>
      <c r="BN28" s="305"/>
      <c r="BO28" s="305"/>
      <c r="BP28" s="305"/>
      <c r="BQ28" s="305"/>
      <c r="BR28" s="305"/>
      <c r="BS28" s="305"/>
      <c r="BT28" s="305"/>
      <c r="BU28" s="305"/>
      <c r="BV28" s="305"/>
      <c r="BX28" s="298"/>
      <c r="BY28" s="298"/>
      <c r="BZ28" s="298"/>
      <c r="CA28" s="298"/>
      <c r="CE28" s="234"/>
    </row>
    <row r="29" spans="1:83" s="303" customFormat="1" ht="22.5" x14ac:dyDescent="0.25">
      <c r="A29" s="306" t="s">
        <v>157</v>
      </c>
      <c r="B29" s="306" t="s">
        <v>157</v>
      </c>
      <c r="C29" s="307" t="s">
        <v>159</v>
      </c>
      <c r="D29" s="307" t="s">
        <v>158</v>
      </c>
      <c r="E29" s="306" t="s">
        <v>160</v>
      </c>
      <c r="F29" s="308">
        <v>0.16603999999999999</v>
      </c>
      <c r="G29" s="309">
        <v>40981.410000000003</v>
      </c>
      <c r="H29" s="308">
        <v>3.04E-2</v>
      </c>
      <c r="I29" s="309">
        <v>7503.23</v>
      </c>
      <c r="J29" s="308">
        <v>2.758E-2</v>
      </c>
      <c r="K29" s="309">
        <v>6807.21</v>
      </c>
      <c r="L29" s="308">
        <v>5.7979999999999997E-2</v>
      </c>
      <c r="M29" s="309">
        <v>14310.44</v>
      </c>
      <c r="N29" s="308">
        <v>0.10806</v>
      </c>
      <c r="O29" s="309">
        <v>26670.97</v>
      </c>
      <c r="P29" s="302"/>
      <c r="V29" s="304"/>
      <c r="W29" s="304"/>
      <c r="AD29" s="304"/>
      <c r="AE29" s="304"/>
      <c r="AR29" s="304"/>
      <c r="AS29" s="304"/>
      <c r="AT29" s="304"/>
      <c r="AU29" s="304"/>
      <c r="AV29" s="304"/>
      <c r="AW29" s="304"/>
      <c r="AX29" s="304"/>
      <c r="AY29" s="304"/>
      <c r="AZ29" s="304"/>
      <c r="BA29" s="304"/>
      <c r="BB29" s="304"/>
      <c r="BC29" s="304"/>
      <c r="BK29" s="305"/>
      <c r="BL29" s="305"/>
      <c r="BM29" s="305"/>
      <c r="BN29" s="305"/>
      <c r="BO29" s="305"/>
      <c r="BP29" s="305"/>
      <c r="BQ29" s="305"/>
      <c r="BR29" s="305"/>
      <c r="BS29" s="305"/>
      <c r="BT29" s="305"/>
      <c r="BU29" s="305"/>
      <c r="BV29" s="305"/>
      <c r="BX29" s="298"/>
      <c r="BY29" s="298"/>
      <c r="BZ29" s="298"/>
      <c r="CA29" s="298"/>
      <c r="CE29" s="234"/>
    </row>
    <row r="30" spans="1:83" s="303" customFormat="1" ht="33.75" x14ac:dyDescent="0.25">
      <c r="A30" s="306" t="s">
        <v>162</v>
      </c>
      <c r="B30" s="306" t="s">
        <v>162</v>
      </c>
      <c r="C30" s="307" t="s">
        <v>164</v>
      </c>
      <c r="D30" s="307" t="s">
        <v>163</v>
      </c>
      <c r="E30" s="306" t="s">
        <v>165</v>
      </c>
      <c r="F30" s="308">
        <v>693.44200000000001</v>
      </c>
      <c r="G30" s="309">
        <v>2274.4899999999998</v>
      </c>
      <c r="H30" s="308">
        <v>102.88249999999999</v>
      </c>
      <c r="I30" s="309">
        <v>337.45</v>
      </c>
      <c r="J30" s="308">
        <v>100.41500000000001</v>
      </c>
      <c r="K30" s="309">
        <v>329.36</v>
      </c>
      <c r="L30" s="308">
        <v>203.29750000000001</v>
      </c>
      <c r="M30" s="309">
        <v>666.81</v>
      </c>
      <c r="N30" s="308">
        <v>490.14449999999999</v>
      </c>
      <c r="O30" s="309">
        <v>1607.68</v>
      </c>
      <c r="P30" s="302"/>
      <c r="V30" s="304"/>
      <c r="W30" s="304"/>
      <c r="AD30" s="304"/>
      <c r="AE30" s="304"/>
      <c r="AR30" s="304"/>
      <c r="AS30" s="304"/>
      <c r="AT30" s="304"/>
      <c r="AU30" s="304"/>
      <c r="AV30" s="304"/>
      <c r="AW30" s="304"/>
      <c r="AX30" s="304"/>
      <c r="AY30" s="304"/>
      <c r="AZ30" s="304"/>
      <c r="BA30" s="304"/>
      <c r="BB30" s="304"/>
      <c r="BC30" s="304"/>
      <c r="BK30" s="305"/>
      <c r="BL30" s="305"/>
      <c r="BM30" s="305"/>
      <c r="BN30" s="305"/>
      <c r="BO30" s="305"/>
      <c r="BP30" s="305"/>
      <c r="BQ30" s="305"/>
      <c r="BR30" s="305"/>
      <c r="BS30" s="305"/>
      <c r="BT30" s="305"/>
      <c r="BU30" s="305"/>
      <c r="BV30" s="305"/>
      <c r="BX30" s="298"/>
      <c r="BY30" s="298"/>
      <c r="BZ30" s="298"/>
      <c r="CA30" s="298"/>
    </row>
    <row r="31" spans="1:83" s="303" customFormat="1" ht="33.75" x14ac:dyDescent="0.25">
      <c r="A31" s="306" t="s">
        <v>166</v>
      </c>
      <c r="B31" s="306" t="s">
        <v>166</v>
      </c>
      <c r="C31" s="307" t="s">
        <v>168</v>
      </c>
      <c r="D31" s="307" t="s">
        <v>167</v>
      </c>
      <c r="E31" s="306" t="s">
        <v>165</v>
      </c>
      <c r="F31" s="308">
        <v>86.37</v>
      </c>
      <c r="G31" s="309">
        <v>724.64</v>
      </c>
      <c r="H31" s="308" t="s">
        <v>559</v>
      </c>
      <c r="I31" s="309" t="s">
        <v>559</v>
      </c>
      <c r="J31" s="308" t="s">
        <v>559</v>
      </c>
      <c r="K31" s="309" t="s">
        <v>559</v>
      </c>
      <c r="L31" s="308" t="s">
        <v>559</v>
      </c>
      <c r="M31" s="309" t="s">
        <v>559</v>
      </c>
      <c r="N31" s="308">
        <v>86.37</v>
      </c>
      <c r="O31" s="309">
        <v>724.64</v>
      </c>
      <c r="P31" s="302"/>
      <c r="V31" s="304"/>
      <c r="W31" s="304"/>
      <c r="AD31" s="304"/>
      <c r="AE31" s="304"/>
      <c r="AR31" s="304"/>
      <c r="AS31" s="304"/>
      <c r="AT31" s="304"/>
      <c r="AU31" s="304"/>
      <c r="AV31" s="304"/>
      <c r="AW31" s="304"/>
      <c r="AX31" s="304"/>
      <c r="AY31" s="304"/>
      <c r="AZ31" s="304"/>
      <c r="BA31" s="304"/>
      <c r="BB31" s="304"/>
      <c r="BC31" s="304"/>
      <c r="BK31" s="305"/>
      <c r="BL31" s="305"/>
      <c r="BM31" s="305"/>
      <c r="BN31" s="305"/>
      <c r="BO31" s="305"/>
      <c r="BP31" s="305"/>
      <c r="BQ31" s="305"/>
      <c r="BR31" s="305"/>
      <c r="BS31" s="305"/>
      <c r="BT31" s="305"/>
      <c r="BU31" s="305"/>
      <c r="BV31" s="305"/>
      <c r="BX31" s="298"/>
      <c r="BY31" s="298"/>
      <c r="BZ31" s="298"/>
      <c r="CA31" s="298"/>
    </row>
    <row r="32" spans="1:83" s="303" customFormat="1" ht="22.5" x14ac:dyDescent="0.25">
      <c r="A32" s="306" t="s">
        <v>169</v>
      </c>
      <c r="B32" s="306" t="s">
        <v>169</v>
      </c>
      <c r="C32" s="307" t="s">
        <v>171</v>
      </c>
      <c r="D32" s="307" t="s">
        <v>170</v>
      </c>
      <c r="E32" s="306" t="s">
        <v>165</v>
      </c>
      <c r="F32" s="308">
        <v>133.68</v>
      </c>
      <c r="G32" s="309">
        <v>1454.44</v>
      </c>
      <c r="H32" s="308" t="s">
        <v>559</v>
      </c>
      <c r="I32" s="309" t="s">
        <v>559</v>
      </c>
      <c r="J32" s="308" t="s">
        <v>559</v>
      </c>
      <c r="K32" s="309" t="s">
        <v>559</v>
      </c>
      <c r="L32" s="308" t="s">
        <v>559</v>
      </c>
      <c r="M32" s="309" t="s">
        <v>559</v>
      </c>
      <c r="N32" s="308">
        <v>133.68</v>
      </c>
      <c r="O32" s="309">
        <v>1454.44</v>
      </c>
      <c r="P32" s="302"/>
      <c r="V32" s="304"/>
      <c r="W32" s="304"/>
      <c r="AD32" s="304"/>
      <c r="AE32" s="304"/>
      <c r="AR32" s="304"/>
      <c r="AS32" s="304"/>
      <c r="AT32" s="304"/>
      <c r="AU32" s="304"/>
      <c r="AV32" s="304"/>
      <c r="AW32" s="304"/>
      <c r="AX32" s="304"/>
      <c r="AY32" s="304"/>
      <c r="AZ32" s="304"/>
      <c r="BA32" s="304"/>
      <c r="BB32" s="304"/>
      <c r="BC32" s="304"/>
      <c r="BK32" s="305"/>
      <c r="BL32" s="305"/>
      <c r="BM32" s="305"/>
      <c r="BN32" s="305"/>
      <c r="BO32" s="305"/>
      <c r="BP32" s="305"/>
      <c r="BQ32" s="305"/>
      <c r="BR32" s="305"/>
      <c r="BS32" s="305"/>
      <c r="BT32" s="305"/>
      <c r="BU32" s="305"/>
      <c r="BV32" s="305"/>
      <c r="BX32" s="298"/>
      <c r="BY32" s="298"/>
      <c r="BZ32" s="298"/>
      <c r="CA32" s="298"/>
    </row>
    <row r="33" spans="1:79" s="303" customFormat="1" ht="33.75" x14ac:dyDescent="0.25">
      <c r="A33" s="306" t="s">
        <v>172</v>
      </c>
      <c r="B33" s="306" t="s">
        <v>172</v>
      </c>
      <c r="C33" s="307" t="s">
        <v>174</v>
      </c>
      <c r="D33" s="307" t="s">
        <v>173</v>
      </c>
      <c r="E33" s="306" t="s">
        <v>165</v>
      </c>
      <c r="F33" s="308">
        <v>913.49199999999996</v>
      </c>
      <c r="G33" s="309">
        <v>3526.08</v>
      </c>
      <c r="H33" s="308">
        <v>102.88249999999999</v>
      </c>
      <c r="I33" s="309">
        <v>397.13</v>
      </c>
      <c r="J33" s="308">
        <v>100.41500000000001</v>
      </c>
      <c r="K33" s="309">
        <v>387.6</v>
      </c>
      <c r="L33" s="308">
        <v>203.29750000000001</v>
      </c>
      <c r="M33" s="309">
        <v>784.73</v>
      </c>
      <c r="N33" s="308">
        <v>710.19449999999995</v>
      </c>
      <c r="O33" s="309">
        <v>2741.35</v>
      </c>
      <c r="P33" s="302"/>
      <c r="V33" s="304"/>
      <c r="W33" s="304"/>
      <c r="AD33" s="304"/>
      <c r="AE33" s="304"/>
      <c r="AR33" s="304"/>
      <c r="AS33" s="304"/>
      <c r="AT33" s="304"/>
      <c r="AU33" s="304"/>
      <c r="AV33" s="304"/>
      <c r="AW33" s="304"/>
      <c r="AX33" s="304"/>
      <c r="AY33" s="304"/>
      <c r="AZ33" s="304"/>
      <c r="BA33" s="304"/>
      <c r="BB33" s="304"/>
      <c r="BC33" s="304"/>
      <c r="BK33" s="305"/>
      <c r="BL33" s="305"/>
      <c r="BM33" s="305"/>
      <c r="BN33" s="305"/>
      <c r="BO33" s="305"/>
      <c r="BP33" s="305"/>
      <c r="BQ33" s="305"/>
      <c r="BR33" s="305"/>
      <c r="BS33" s="305"/>
      <c r="BT33" s="305"/>
      <c r="BU33" s="305"/>
      <c r="BV33" s="305"/>
      <c r="BX33" s="298"/>
      <c r="BY33" s="298"/>
      <c r="BZ33" s="298"/>
      <c r="CA33" s="298"/>
    </row>
    <row r="34" spans="1:79" s="303" customFormat="1" x14ac:dyDescent="0.25">
      <c r="A34" s="339" t="s">
        <v>206</v>
      </c>
      <c r="B34" s="340"/>
      <c r="C34" s="340"/>
      <c r="D34" s="340"/>
      <c r="E34" s="340"/>
      <c r="F34" s="340"/>
      <c r="G34" s="340"/>
      <c r="H34" s="340"/>
      <c r="I34" s="340"/>
      <c r="J34" s="340"/>
      <c r="K34" s="340"/>
      <c r="L34" s="340"/>
      <c r="M34" s="340"/>
      <c r="N34" s="340"/>
      <c r="O34" s="340"/>
      <c r="P34" s="302"/>
      <c r="V34" s="304"/>
      <c r="W34" s="304"/>
      <c r="AD34" s="304"/>
      <c r="AE34" s="304"/>
      <c r="AR34" s="304"/>
      <c r="AS34" s="304"/>
      <c r="AT34" s="304"/>
      <c r="AU34" s="304"/>
      <c r="AV34" s="304"/>
      <c r="AW34" s="304"/>
      <c r="AX34" s="304"/>
      <c r="AY34" s="304"/>
      <c r="AZ34" s="304"/>
      <c r="BA34" s="304"/>
      <c r="BB34" s="304"/>
      <c r="BC34" s="304"/>
      <c r="BK34" s="305"/>
      <c r="BL34" s="305"/>
      <c r="BM34" s="305"/>
      <c r="BN34" s="305"/>
      <c r="BO34" s="305"/>
      <c r="BP34" s="305"/>
      <c r="BQ34" s="305"/>
      <c r="BR34" s="305"/>
      <c r="BS34" s="305"/>
      <c r="BT34" s="305"/>
      <c r="BU34" s="305"/>
      <c r="BV34" s="305"/>
      <c r="BX34" s="319"/>
    </row>
    <row r="35" spans="1:79" s="303" customFormat="1" ht="22.5" x14ac:dyDescent="0.25">
      <c r="A35" s="306" t="s">
        <v>207</v>
      </c>
      <c r="B35" s="306" t="s">
        <v>207</v>
      </c>
      <c r="C35" s="307" t="s">
        <v>209</v>
      </c>
      <c r="D35" s="307" t="s">
        <v>208</v>
      </c>
      <c r="E35" s="306" t="s">
        <v>210</v>
      </c>
      <c r="F35" s="308">
        <v>1</v>
      </c>
      <c r="G35" s="309">
        <v>949.76</v>
      </c>
      <c r="H35" s="308" t="s">
        <v>559</v>
      </c>
      <c r="I35" s="309" t="s">
        <v>559</v>
      </c>
      <c r="J35" s="308" t="s">
        <v>559</v>
      </c>
      <c r="K35" s="309" t="s">
        <v>559</v>
      </c>
      <c r="L35" s="308" t="s">
        <v>559</v>
      </c>
      <c r="M35" s="309" t="s">
        <v>559</v>
      </c>
      <c r="N35" s="308">
        <v>1</v>
      </c>
      <c r="O35" s="309">
        <v>949.76</v>
      </c>
      <c r="P35" s="302"/>
      <c r="V35" s="304"/>
      <c r="W35" s="304"/>
      <c r="AD35" s="304"/>
      <c r="AE35" s="304"/>
      <c r="AR35" s="304"/>
      <c r="AS35" s="304"/>
      <c r="AT35" s="304"/>
      <c r="AU35" s="304"/>
      <c r="AV35" s="304"/>
      <c r="AW35" s="304"/>
      <c r="AX35" s="304"/>
      <c r="AY35" s="304"/>
      <c r="AZ35" s="304"/>
      <c r="BA35" s="304"/>
      <c r="BB35" s="304"/>
      <c r="BC35" s="304"/>
      <c r="BK35" s="305"/>
      <c r="BL35" s="305"/>
      <c r="BM35" s="305"/>
      <c r="BN35" s="305"/>
      <c r="BO35" s="305"/>
      <c r="BP35" s="305"/>
      <c r="BQ35" s="305"/>
      <c r="BR35" s="305"/>
      <c r="BS35" s="305"/>
      <c r="BT35" s="305"/>
      <c r="BU35" s="305"/>
      <c r="BV35" s="305"/>
      <c r="BX35" s="319"/>
    </row>
    <row r="36" spans="1:79" s="303" customFormat="1" ht="22.5" x14ac:dyDescent="0.25">
      <c r="A36" s="306" t="s">
        <v>211</v>
      </c>
      <c r="B36" s="306" t="s">
        <v>211</v>
      </c>
      <c r="C36" s="307" t="s">
        <v>212</v>
      </c>
      <c r="D36" s="307" t="s">
        <v>167</v>
      </c>
      <c r="E36" s="306" t="s">
        <v>165</v>
      </c>
      <c r="F36" s="308">
        <v>8.6199999999999992</v>
      </c>
      <c r="G36" s="309">
        <v>72.319999999999993</v>
      </c>
      <c r="H36" s="308" t="s">
        <v>559</v>
      </c>
      <c r="I36" s="309" t="s">
        <v>559</v>
      </c>
      <c r="J36" s="308" t="s">
        <v>559</v>
      </c>
      <c r="K36" s="309" t="s">
        <v>559</v>
      </c>
      <c r="L36" s="308" t="s">
        <v>559</v>
      </c>
      <c r="M36" s="309" t="s">
        <v>559</v>
      </c>
      <c r="N36" s="308">
        <v>8.6199999999999992</v>
      </c>
      <c r="O36" s="309">
        <v>72.319999999999993</v>
      </c>
      <c r="P36" s="302"/>
      <c r="V36" s="304"/>
      <c r="W36" s="304"/>
      <c r="AD36" s="304"/>
      <c r="AE36" s="304"/>
      <c r="AR36" s="304"/>
      <c r="AS36" s="304"/>
      <c r="AT36" s="304"/>
      <c r="AU36" s="304"/>
      <c r="AV36" s="304"/>
      <c r="AW36" s="304"/>
      <c r="AX36" s="304"/>
      <c r="AY36" s="304"/>
      <c r="AZ36" s="304"/>
      <c r="BA36" s="304"/>
      <c r="BB36" s="304"/>
      <c r="BC36" s="304"/>
      <c r="BK36" s="305"/>
      <c r="BL36" s="305"/>
      <c r="BM36" s="305"/>
      <c r="BN36" s="305"/>
      <c r="BO36" s="305"/>
      <c r="BP36" s="305"/>
      <c r="BQ36" s="305"/>
      <c r="BR36" s="305"/>
      <c r="BS36" s="305"/>
      <c r="BT36" s="305"/>
      <c r="BU36" s="305"/>
      <c r="BV36" s="305"/>
      <c r="BX36" s="319"/>
    </row>
    <row r="37" spans="1:79" s="303" customFormat="1" ht="22.5" x14ac:dyDescent="0.25">
      <c r="A37" s="306" t="s">
        <v>213</v>
      </c>
      <c r="B37" s="306" t="s">
        <v>213</v>
      </c>
      <c r="C37" s="307" t="s">
        <v>214</v>
      </c>
      <c r="D37" s="307" t="s">
        <v>170</v>
      </c>
      <c r="E37" s="306" t="s">
        <v>165</v>
      </c>
      <c r="F37" s="308">
        <v>5.04</v>
      </c>
      <c r="G37" s="309">
        <v>54.84</v>
      </c>
      <c r="H37" s="308" t="s">
        <v>559</v>
      </c>
      <c r="I37" s="309" t="s">
        <v>559</v>
      </c>
      <c r="J37" s="308" t="s">
        <v>559</v>
      </c>
      <c r="K37" s="309" t="s">
        <v>559</v>
      </c>
      <c r="L37" s="308" t="s">
        <v>559</v>
      </c>
      <c r="M37" s="309" t="s">
        <v>559</v>
      </c>
      <c r="N37" s="308">
        <v>5.04</v>
      </c>
      <c r="O37" s="309">
        <v>54.84</v>
      </c>
      <c r="P37" s="302"/>
      <c r="V37" s="304"/>
      <c r="W37" s="304"/>
      <c r="AD37" s="304"/>
      <c r="AE37" s="304"/>
      <c r="AR37" s="304"/>
      <c r="AS37" s="304"/>
      <c r="AT37" s="304"/>
      <c r="AU37" s="304"/>
      <c r="AV37" s="304"/>
      <c r="AW37" s="304"/>
      <c r="AX37" s="304"/>
      <c r="AY37" s="304"/>
      <c r="AZ37" s="304"/>
      <c r="BA37" s="304"/>
      <c r="BB37" s="304"/>
      <c r="BC37" s="304"/>
      <c r="BK37" s="305"/>
      <c r="BL37" s="305"/>
      <c r="BM37" s="305"/>
      <c r="BN37" s="305"/>
      <c r="BO37" s="305"/>
      <c r="BP37" s="305"/>
      <c r="BQ37" s="305"/>
      <c r="BR37" s="305"/>
      <c r="BS37" s="305"/>
      <c r="BT37" s="305"/>
      <c r="BU37" s="305"/>
      <c r="BV37" s="305"/>
      <c r="BX37" s="319"/>
    </row>
    <row r="38" spans="1:79" s="303" customFormat="1" ht="33.75" x14ac:dyDescent="0.25">
      <c r="A38" s="306" t="s">
        <v>215</v>
      </c>
      <c r="B38" s="306" t="s">
        <v>215</v>
      </c>
      <c r="C38" s="307" t="s">
        <v>174</v>
      </c>
      <c r="D38" s="307" t="s">
        <v>173</v>
      </c>
      <c r="E38" s="306" t="s">
        <v>165</v>
      </c>
      <c r="F38" s="308">
        <v>13.66</v>
      </c>
      <c r="G38" s="309">
        <v>52.73</v>
      </c>
      <c r="H38" s="308" t="s">
        <v>559</v>
      </c>
      <c r="I38" s="309" t="s">
        <v>559</v>
      </c>
      <c r="J38" s="308" t="s">
        <v>559</v>
      </c>
      <c r="K38" s="309" t="s">
        <v>559</v>
      </c>
      <c r="L38" s="308" t="s">
        <v>559</v>
      </c>
      <c r="M38" s="309" t="s">
        <v>559</v>
      </c>
      <c r="N38" s="308">
        <v>13.66</v>
      </c>
      <c r="O38" s="309">
        <v>52.73</v>
      </c>
      <c r="P38" s="302"/>
      <c r="V38" s="304"/>
      <c r="W38" s="304"/>
      <c r="AD38" s="304"/>
      <c r="AE38" s="304"/>
      <c r="AR38" s="304"/>
      <c r="AS38" s="304"/>
      <c r="AT38" s="304"/>
      <c r="AU38" s="304"/>
      <c r="AV38" s="304"/>
      <c r="AW38" s="304"/>
      <c r="AX38" s="304"/>
      <c r="AY38" s="304"/>
      <c r="AZ38" s="304"/>
      <c r="BA38" s="304"/>
      <c r="BB38" s="304"/>
      <c r="BC38" s="304"/>
      <c r="BK38" s="305"/>
      <c r="BL38" s="305"/>
      <c r="BM38" s="305"/>
      <c r="BN38" s="305"/>
      <c r="BO38" s="305"/>
      <c r="BP38" s="305"/>
      <c r="BQ38" s="305"/>
      <c r="BR38" s="305"/>
      <c r="BS38" s="305"/>
      <c r="BT38" s="305"/>
      <c r="BU38" s="305"/>
      <c r="BV38" s="305"/>
      <c r="BX38" s="319"/>
    </row>
    <row r="39" spans="1:79" s="303" customFormat="1" x14ac:dyDescent="0.25">
      <c r="A39" s="339" t="s">
        <v>220</v>
      </c>
      <c r="B39" s="340"/>
      <c r="C39" s="340"/>
      <c r="D39" s="340"/>
      <c r="E39" s="340"/>
      <c r="F39" s="340"/>
      <c r="G39" s="340"/>
      <c r="H39" s="340"/>
      <c r="I39" s="340"/>
      <c r="J39" s="340"/>
      <c r="K39" s="340"/>
      <c r="L39" s="340"/>
      <c r="M39" s="340"/>
      <c r="N39" s="340"/>
      <c r="O39" s="340"/>
      <c r="P39" s="302"/>
      <c r="V39" s="304"/>
      <c r="W39" s="304"/>
      <c r="AD39" s="304"/>
      <c r="AE39" s="304"/>
      <c r="AR39" s="304"/>
      <c r="AS39" s="304"/>
      <c r="AT39" s="304"/>
      <c r="AU39" s="304"/>
      <c r="AV39" s="304"/>
      <c r="AW39" s="304"/>
      <c r="AX39" s="304"/>
      <c r="AY39" s="304"/>
      <c r="AZ39" s="304"/>
      <c r="BA39" s="304"/>
      <c r="BB39" s="304"/>
      <c r="BC39" s="304"/>
      <c r="BK39" s="305"/>
      <c r="BL39" s="305"/>
      <c r="BM39" s="305"/>
      <c r="BN39" s="305"/>
      <c r="BO39" s="305"/>
      <c r="BP39" s="305"/>
      <c r="BQ39" s="305"/>
      <c r="BR39" s="305"/>
      <c r="BS39" s="305"/>
      <c r="BT39" s="305"/>
      <c r="BU39" s="305"/>
      <c r="BV39" s="305"/>
      <c r="BX39" s="319"/>
    </row>
    <row r="40" spans="1:79" s="303" customFormat="1" ht="22.5" x14ac:dyDescent="0.25">
      <c r="A40" s="306" t="s">
        <v>221</v>
      </c>
      <c r="B40" s="306" t="s">
        <v>221</v>
      </c>
      <c r="C40" s="307" t="s">
        <v>209</v>
      </c>
      <c r="D40" s="307" t="s">
        <v>208</v>
      </c>
      <c r="E40" s="306" t="s">
        <v>210</v>
      </c>
      <c r="F40" s="308">
        <v>1</v>
      </c>
      <c r="G40" s="309">
        <v>949.76</v>
      </c>
      <c r="H40" s="308" t="s">
        <v>559</v>
      </c>
      <c r="I40" s="309" t="s">
        <v>559</v>
      </c>
      <c r="J40" s="308" t="s">
        <v>559</v>
      </c>
      <c r="K40" s="309" t="s">
        <v>559</v>
      </c>
      <c r="L40" s="308" t="s">
        <v>559</v>
      </c>
      <c r="M40" s="309" t="s">
        <v>559</v>
      </c>
      <c r="N40" s="308">
        <v>1</v>
      </c>
      <c r="O40" s="309">
        <v>949.76</v>
      </c>
      <c r="P40" s="302"/>
      <c r="V40" s="304"/>
      <c r="W40" s="304"/>
      <c r="AD40" s="304"/>
      <c r="AE40" s="304"/>
      <c r="AR40" s="304"/>
      <c r="AS40" s="304"/>
      <c r="AT40" s="304"/>
      <c r="AU40" s="304"/>
      <c r="AV40" s="304"/>
      <c r="AW40" s="304"/>
      <c r="AX40" s="304"/>
      <c r="AY40" s="304"/>
      <c r="AZ40" s="304"/>
      <c r="BA40" s="304"/>
      <c r="BB40" s="304"/>
      <c r="BC40" s="304"/>
      <c r="BK40" s="305"/>
      <c r="BL40" s="305"/>
      <c r="BM40" s="305"/>
      <c r="BN40" s="305"/>
      <c r="BO40" s="305"/>
      <c r="BP40" s="305"/>
      <c r="BQ40" s="305"/>
      <c r="BR40" s="305"/>
      <c r="BS40" s="305"/>
      <c r="BT40" s="305"/>
      <c r="BU40" s="305"/>
      <c r="BV40" s="305"/>
      <c r="BX40" s="319"/>
    </row>
    <row r="41" spans="1:79" s="303" customFormat="1" ht="22.5" x14ac:dyDescent="0.25">
      <c r="A41" s="306" t="s">
        <v>222</v>
      </c>
      <c r="B41" s="306" t="s">
        <v>222</v>
      </c>
      <c r="C41" s="307" t="s">
        <v>212</v>
      </c>
      <c r="D41" s="307" t="s">
        <v>167</v>
      </c>
      <c r="E41" s="306" t="s">
        <v>165</v>
      </c>
      <c r="F41" s="308">
        <v>8.6199999999999992</v>
      </c>
      <c r="G41" s="309">
        <v>72.319999999999993</v>
      </c>
      <c r="H41" s="308" t="s">
        <v>559</v>
      </c>
      <c r="I41" s="309" t="s">
        <v>559</v>
      </c>
      <c r="J41" s="308" t="s">
        <v>559</v>
      </c>
      <c r="K41" s="309" t="s">
        <v>559</v>
      </c>
      <c r="L41" s="308" t="s">
        <v>559</v>
      </c>
      <c r="M41" s="309" t="s">
        <v>559</v>
      </c>
      <c r="N41" s="308">
        <v>8.6199999999999992</v>
      </c>
      <c r="O41" s="309">
        <v>72.319999999999993</v>
      </c>
      <c r="P41" s="302"/>
      <c r="V41" s="304"/>
      <c r="W41" s="304"/>
      <c r="AD41" s="304"/>
      <c r="AE41" s="304"/>
      <c r="AR41" s="304"/>
      <c r="AS41" s="304"/>
      <c r="AT41" s="304"/>
      <c r="AU41" s="304"/>
      <c r="AV41" s="304"/>
      <c r="AW41" s="304"/>
      <c r="AX41" s="304"/>
      <c r="AY41" s="304"/>
      <c r="AZ41" s="304"/>
      <c r="BA41" s="304"/>
      <c r="BB41" s="304"/>
      <c r="BC41" s="304"/>
      <c r="BK41" s="305"/>
      <c r="BL41" s="305"/>
      <c r="BM41" s="305"/>
      <c r="BN41" s="305"/>
      <c r="BO41" s="305"/>
      <c r="BP41" s="305"/>
      <c r="BQ41" s="305"/>
      <c r="BR41" s="305"/>
      <c r="BS41" s="305"/>
      <c r="BT41" s="305"/>
      <c r="BU41" s="305"/>
      <c r="BV41" s="305"/>
      <c r="BX41" s="319"/>
    </row>
    <row r="42" spans="1:79" s="303" customFormat="1" ht="22.5" x14ac:dyDescent="0.25">
      <c r="A42" s="306" t="s">
        <v>223</v>
      </c>
      <c r="B42" s="306" t="s">
        <v>223</v>
      </c>
      <c r="C42" s="307" t="s">
        <v>214</v>
      </c>
      <c r="D42" s="307" t="s">
        <v>170</v>
      </c>
      <c r="E42" s="306" t="s">
        <v>165</v>
      </c>
      <c r="F42" s="308">
        <v>5.04</v>
      </c>
      <c r="G42" s="309">
        <v>54.84</v>
      </c>
      <c r="H42" s="308" t="s">
        <v>559</v>
      </c>
      <c r="I42" s="309" t="s">
        <v>559</v>
      </c>
      <c r="J42" s="308" t="s">
        <v>559</v>
      </c>
      <c r="K42" s="309" t="s">
        <v>559</v>
      </c>
      <c r="L42" s="308" t="s">
        <v>559</v>
      </c>
      <c r="M42" s="309" t="s">
        <v>559</v>
      </c>
      <c r="N42" s="308">
        <v>5.04</v>
      </c>
      <c r="O42" s="309">
        <v>54.84</v>
      </c>
      <c r="P42" s="302"/>
      <c r="V42" s="304"/>
      <c r="W42" s="304"/>
      <c r="AD42" s="304"/>
      <c r="AE42" s="304"/>
      <c r="AR42" s="304"/>
      <c r="AS42" s="304"/>
      <c r="AT42" s="304"/>
      <c r="AU42" s="304"/>
      <c r="AV42" s="304"/>
      <c r="AW42" s="304"/>
      <c r="AX42" s="304"/>
      <c r="AY42" s="304"/>
      <c r="AZ42" s="304"/>
      <c r="BA42" s="304"/>
      <c r="BB42" s="304"/>
      <c r="BC42" s="304"/>
      <c r="BK42" s="305"/>
      <c r="BL42" s="305"/>
      <c r="BM42" s="305"/>
      <c r="BN42" s="305"/>
      <c r="BO42" s="305"/>
      <c r="BP42" s="305"/>
      <c r="BQ42" s="305"/>
      <c r="BR42" s="305"/>
      <c r="BS42" s="305"/>
      <c r="BT42" s="305"/>
      <c r="BU42" s="305"/>
      <c r="BV42" s="305"/>
      <c r="BX42" s="319"/>
    </row>
    <row r="43" spans="1:79" s="303" customFormat="1" ht="33.75" x14ac:dyDescent="0.25">
      <c r="A43" s="306" t="s">
        <v>224</v>
      </c>
      <c r="B43" s="306" t="s">
        <v>224</v>
      </c>
      <c r="C43" s="307" t="s">
        <v>174</v>
      </c>
      <c r="D43" s="307" t="s">
        <v>173</v>
      </c>
      <c r="E43" s="306" t="s">
        <v>165</v>
      </c>
      <c r="F43" s="308">
        <v>13.66</v>
      </c>
      <c r="G43" s="309">
        <v>52.73</v>
      </c>
      <c r="H43" s="308" t="s">
        <v>559</v>
      </c>
      <c r="I43" s="309" t="s">
        <v>559</v>
      </c>
      <c r="J43" s="308" t="s">
        <v>559</v>
      </c>
      <c r="K43" s="309" t="s">
        <v>559</v>
      </c>
      <c r="L43" s="308" t="s">
        <v>559</v>
      </c>
      <c r="M43" s="309" t="s">
        <v>559</v>
      </c>
      <c r="N43" s="308">
        <v>13.66</v>
      </c>
      <c r="O43" s="309">
        <v>52.73</v>
      </c>
      <c r="P43" s="302"/>
      <c r="V43" s="304"/>
      <c r="W43" s="304"/>
      <c r="AD43" s="304"/>
      <c r="AE43" s="304"/>
      <c r="AR43" s="304"/>
      <c r="AS43" s="304"/>
      <c r="AT43" s="304"/>
      <c r="AU43" s="304"/>
      <c r="AV43" s="304"/>
      <c r="AW43" s="304"/>
      <c r="AX43" s="304"/>
      <c r="AY43" s="304"/>
      <c r="AZ43" s="304"/>
      <c r="BA43" s="304"/>
      <c r="BB43" s="304"/>
      <c r="BC43" s="304"/>
      <c r="BK43" s="305"/>
      <c r="BL43" s="305"/>
      <c r="BM43" s="305"/>
      <c r="BN43" s="305"/>
      <c r="BO43" s="305"/>
      <c r="BP43" s="305"/>
      <c r="BQ43" s="305"/>
      <c r="BR43" s="305"/>
      <c r="BS43" s="305"/>
      <c r="BT43" s="305"/>
      <c r="BU43" s="305"/>
      <c r="BV43" s="305"/>
      <c r="BX43" s="319"/>
    </row>
    <row r="44" spans="1:79" s="303" customFormat="1" x14ac:dyDescent="0.25">
      <c r="A44" s="339" t="s">
        <v>227</v>
      </c>
      <c r="B44" s="340"/>
      <c r="C44" s="340"/>
      <c r="D44" s="340"/>
      <c r="E44" s="340"/>
      <c r="F44" s="340"/>
      <c r="G44" s="340"/>
      <c r="H44" s="340"/>
      <c r="I44" s="340"/>
      <c r="J44" s="340"/>
      <c r="K44" s="340"/>
      <c r="L44" s="340"/>
      <c r="M44" s="340"/>
      <c r="N44" s="340"/>
      <c r="O44" s="340"/>
      <c r="P44" s="302"/>
      <c r="V44" s="304"/>
      <c r="W44" s="304"/>
      <c r="AD44" s="304"/>
      <c r="AE44" s="304"/>
      <c r="AR44" s="304"/>
      <c r="AS44" s="304"/>
      <c r="AT44" s="304"/>
      <c r="AU44" s="304"/>
      <c r="AV44" s="304"/>
      <c r="AW44" s="304"/>
      <c r="AX44" s="304"/>
      <c r="AY44" s="304"/>
      <c r="AZ44" s="304"/>
      <c r="BA44" s="304"/>
      <c r="BB44" s="304"/>
      <c r="BC44" s="304"/>
      <c r="BK44" s="305"/>
      <c r="BL44" s="305"/>
      <c r="BM44" s="305"/>
      <c r="BN44" s="305"/>
      <c r="BO44" s="305"/>
      <c r="BP44" s="305"/>
      <c r="BQ44" s="305"/>
      <c r="BR44" s="305"/>
      <c r="BS44" s="305"/>
      <c r="BT44" s="305"/>
      <c r="BU44" s="305"/>
      <c r="BV44" s="305"/>
      <c r="BX44" s="319"/>
    </row>
    <row r="45" spans="1:79" s="303" customFormat="1" ht="22.5" x14ac:dyDescent="0.25">
      <c r="A45" s="306" t="s">
        <v>228</v>
      </c>
      <c r="B45" s="306" t="s">
        <v>228</v>
      </c>
      <c r="C45" s="307" t="s">
        <v>209</v>
      </c>
      <c r="D45" s="307" t="s">
        <v>208</v>
      </c>
      <c r="E45" s="306" t="s">
        <v>210</v>
      </c>
      <c r="F45" s="308">
        <v>1</v>
      </c>
      <c r="G45" s="309">
        <v>949.76</v>
      </c>
      <c r="H45" s="308" t="s">
        <v>559</v>
      </c>
      <c r="I45" s="309" t="s">
        <v>559</v>
      </c>
      <c r="J45" s="308" t="s">
        <v>559</v>
      </c>
      <c r="K45" s="309" t="s">
        <v>559</v>
      </c>
      <c r="L45" s="308" t="s">
        <v>559</v>
      </c>
      <c r="M45" s="309" t="s">
        <v>559</v>
      </c>
      <c r="N45" s="308">
        <v>1</v>
      </c>
      <c r="O45" s="309">
        <v>949.76</v>
      </c>
      <c r="P45" s="302"/>
      <c r="V45" s="304"/>
      <c r="W45" s="304"/>
      <c r="AD45" s="304"/>
      <c r="AE45" s="304"/>
      <c r="AR45" s="304"/>
      <c r="AS45" s="304"/>
      <c r="AT45" s="304"/>
      <c r="AU45" s="304"/>
      <c r="AV45" s="304"/>
      <c r="AW45" s="304"/>
      <c r="AX45" s="304"/>
      <c r="AY45" s="304"/>
      <c r="AZ45" s="304"/>
      <c r="BA45" s="304"/>
      <c r="BB45" s="304"/>
      <c r="BC45" s="304"/>
      <c r="BK45" s="305"/>
      <c r="BL45" s="305"/>
      <c r="BM45" s="305"/>
      <c r="BN45" s="305"/>
      <c r="BO45" s="305"/>
      <c r="BP45" s="305"/>
      <c r="BQ45" s="305"/>
      <c r="BR45" s="305"/>
      <c r="BS45" s="305"/>
      <c r="BT45" s="305"/>
      <c r="BU45" s="305"/>
      <c r="BV45" s="305"/>
      <c r="BX45" s="319"/>
    </row>
    <row r="46" spans="1:79" s="303" customFormat="1" ht="22.5" x14ac:dyDescent="0.25">
      <c r="A46" s="306" t="s">
        <v>229</v>
      </c>
      <c r="B46" s="306" t="s">
        <v>229</v>
      </c>
      <c r="C46" s="307" t="s">
        <v>212</v>
      </c>
      <c r="D46" s="307" t="s">
        <v>167</v>
      </c>
      <c r="E46" s="306" t="s">
        <v>165</v>
      </c>
      <c r="F46" s="308">
        <v>11.71</v>
      </c>
      <c r="G46" s="309">
        <v>98.25</v>
      </c>
      <c r="H46" s="308" t="s">
        <v>559</v>
      </c>
      <c r="I46" s="309" t="s">
        <v>559</v>
      </c>
      <c r="J46" s="308" t="s">
        <v>559</v>
      </c>
      <c r="K46" s="309" t="s">
        <v>559</v>
      </c>
      <c r="L46" s="308" t="s">
        <v>559</v>
      </c>
      <c r="M46" s="309" t="s">
        <v>559</v>
      </c>
      <c r="N46" s="308">
        <v>11.71</v>
      </c>
      <c r="O46" s="309">
        <v>98.25</v>
      </c>
      <c r="P46" s="302"/>
      <c r="V46" s="304"/>
      <c r="W46" s="304"/>
      <c r="AD46" s="304"/>
      <c r="AE46" s="304"/>
      <c r="AR46" s="304"/>
      <c r="AS46" s="304"/>
      <c r="AT46" s="304"/>
      <c r="AU46" s="304"/>
      <c r="AV46" s="304"/>
      <c r="AW46" s="304"/>
      <c r="AX46" s="304"/>
      <c r="AY46" s="304"/>
      <c r="AZ46" s="304"/>
      <c r="BA46" s="304"/>
      <c r="BB46" s="304"/>
      <c r="BC46" s="304"/>
      <c r="BK46" s="305"/>
      <c r="BL46" s="305"/>
      <c r="BM46" s="305"/>
      <c r="BN46" s="305"/>
      <c r="BO46" s="305"/>
      <c r="BP46" s="305"/>
      <c r="BQ46" s="305"/>
      <c r="BR46" s="305"/>
      <c r="BS46" s="305"/>
      <c r="BT46" s="305"/>
      <c r="BU46" s="305"/>
      <c r="BV46" s="305"/>
      <c r="BX46" s="319"/>
    </row>
    <row r="47" spans="1:79" s="303" customFormat="1" ht="22.5" x14ac:dyDescent="0.25">
      <c r="A47" s="306" t="s">
        <v>230</v>
      </c>
      <c r="B47" s="306" t="s">
        <v>230</v>
      </c>
      <c r="C47" s="307" t="s">
        <v>214</v>
      </c>
      <c r="D47" s="307" t="s">
        <v>170</v>
      </c>
      <c r="E47" s="306" t="s">
        <v>165</v>
      </c>
      <c r="F47" s="308">
        <v>5.04</v>
      </c>
      <c r="G47" s="309">
        <v>54.84</v>
      </c>
      <c r="H47" s="308" t="s">
        <v>559</v>
      </c>
      <c r="I47" s="309" t="s">
        <v>559</v>
      </c>
      <c r="J47" s="308" t="s">
        <v>559</v>
      </c>
      <c r="K47" s="309" t="s">
        <v>559</v>
      </c>
      <c r="L47" s="308" t="s">
        <v>559</v>
      </c>
      <c r="M47" s="309" t="s">
        <v>559</v>
      </c>
      <c r="N47" s="308">
        <v>5.04</v>
      </c>
      <c r="O47" s="309">
        <v>54.84</v>
      </c>
      <c r="P47" s="302"/>
      <c r="V47" s="304"/>
      <c r="W47" s="304"/>
      <c r="AD47" s="304"/>
      <c r="AE47" s="304"/>
      <c r="AR47" s="304"/>
      <c r="AS47" s="304"/>
      <c r="AT47" s="304"/>
      <c r="AU47" s="304"/>
      <c r="AV47" s="304"/>
      <c r="AW47" s="304"/>
      <c r="AX47" s="304"/>
      <c r="AY47" s="304"/>
      <c r="AZ47" s="304"/>
      <c r="BA47" s="304"/>
      <c r="BB47" s="304"/>
      <c r="BC47" s="304"/>
      <c r="BK47" s="305"/>
      <c r="BL47" s="305"/>
      <c r="BM47" s="305"/>
      <c r="BN47" s="305"/>
      <c r="BO47" s="305"/>
      <c r="BP47" s="305"/>
      <c r="BQ47" s="305"/>
      <c r="BR47" s="305"/>
      <c r="BS47" s="305"/>
      <c r="BT47" s="305"/>
      <c r="BU47" s="305"/>
      <c r="BV47" s="305"/>
      <c r="BX47" s="319"/>
    </row>
    <row r="48" spans="1:79" s="303" customFormat="1" ht="33.75" x14ac:dyDescent="0.25">
      <c r="A48" s="306" t="s">
        <v>231</v>
      </c>
      <c r="B48" s="306" t="s">
        <v>231</v>
      </c>
      <c r="C48" s="307" t="s">
        <v>174</v>
      </c>
      <c r="D48" s="307" t="s">
        <v>173</v>
      </c>
      <c r="E48" s="306" t="s">
        <v>165</v>
      </c>
      <c r="F48" s="308">
        <v>16.75</v>
      </c>
      <c r="G48" s="309">
        <v>64.66</v>
      </c>
      <c r="H48" s="308" t="s">
        <v>559</v>
      </c>
      <c r="I48" s="309" t="s">
        <v>559</v>
      </c>
      <c r="J48" s="308" t="s">
        <v>559</v>
      </c>
      <c r="K48" s="309" t="s">
        <v>559</v>
      </c>
      <c r="L48" s="308" t="s">
        <v>559</v>
      </c>
      <c r="M48" s="309" t="s">
        <v>559</v>
      </c>
      <c r="N48" s="308">
        <v>16.75</v>
      </c>
      <c r="O48" s="309">
        <v>64.66</v>
      </c>
      <c r="P48" s="302"/>
      <c r="V48" s="304"/>
      <c r="W48" s="304"/>
      <c r="AD48" s="304"/>
      <c r="AE48" s="304"/>
      <c r="AR48" s="304"/>
      <c r="AS48" s="304"/>
      <c r="AT48" s="304"/>
      <c r="AU48" s="304"/>
      <c r="AV48" s="304"/>
      <c r="AW48" s="304"/>
      <c r="AX48" s="304"/>
      <c r="AY48" s="304"/>
      <c r="AZ48" s="304"/>
      <c r="BA48" s="304"/>
      <c r="BB48" s="304"/>
      <c r="BC48" s="304"/>
      <c r="BK48" s="305"/>
      <c r="BL48" s="305"/>
      <c r="BM48" s="305"/>
      <c r="BN48" s="305"/>
      <c r="BO48" s="305"/>
      <c r="BP48" s="305"/>
      <c r="BQ48" s="305"/>
      <c r="BR48" s="305"/>
      <c r="BS48" s="305"/>
      <c r="BT48" s="305"/>
      <c r="BU48" s="305"/>
      <c r="BV48" s="305"/>
      <c r="BX48" s="319"/>
    </row>
    <row r="49" spans="1:76" s="303" customFormat="1" x14ac:dyDescent="0.25">
      <c r="A49" s="339" t="s">
        <v>234</v>
      </c>
      <c r="B49" s="340"/>
      <c r="C49" s="340"/>
      <c r="D49" s="340"/>
      <c r="E49" s="340"/>
      <c r="F49" s="340"/>
      <c r="G49" s="340"/>
      <c r="H49" s="340"/>
      <c r="I49" s="340"/>
      <c r="J49" s="340"/>
      <c r="K49" s="340"/>
      <c r="L49" s="340"/>
      <c r="M49" s="340"/>
      <c r="N49" s="340"/>
      <c r="O49" s="340"/>
      <c r="P49" s="302"/>
      <c r="V49" s="304"/>
      <c r="W49" s="304"/>
      <c r="AD49" s="304"/>
      <c r="AE49" s="304"/>
      <c r="AR49" s="304"/>
      <c r="AS49" s="304"/>
      <c r="AT49" s="304"/>
      <c r="AU49" s="304"/>
      <c r="AV49" s="304"/>
      <c r="AW49" s="304"/>
      <c r="AX49" s="304"/>
      <c r="AY49" s="304"/>
      <c r="AZ49" s="304"/>
      <c r="BA49" s="304"/>
      <c r="BB49" s="304"/>
      <c r="BC49" s="304"/>
      <c r="BK49" s="305"/>
      <c r="BL49" s="305"/>
      <c r="BM49" s="305"/>
      <c r="BN49" s="305"/>
      <c r="BO49" s="305"/>
      <c r="BP49" s="305"/>
      <c r="BQ49" s="305"/>
      <c r="BR49" s="305"/>
      <c r="BS49" s="305"/>
      <c r="BT49" s="305"/>
      <c r="BU49" s="305"/>
      <c r="BV49" s="305"/>
      <c r="BX49" s="319"/>
    </row>
    <row r="50" spans="1:76" s="303" customFormat="1" ht="33.75" x14ac:dyDescent="0.25">
      <c r="A50" s="306" t="s">
        <v>235</v>
      </c>
      <c r="B50" s="306" t="s">
        <v>236</v>
      </c>
      <c r="C50" s="307" t="s">
        <v>83</v>
      </c>
      <c r="D50" s="307" t="s">
        <v>82</v>
      </c>
      <c r="E50" s="306" t="s">
        <v>58</v>
      </c>
      <c r="F50" s="308">
        <v>0.13900000000000001</v>
      </c>
      <c r="G50" s="309">
        <v>80.89</v>
      </c>
      <c r="H50" s="308" t="s">
        <v>559</v>
      </c>
      <c r="I50" s="309" t="s">
        <v>559</v>
      </c>
      <c r="J50" s="308" t="s">
        <v>559</v>
      </c>
      <c r="K50" s="309" t="s">
        <v>559</v>
      </c>
      <c r="L50" s="308" t="s">
        <v>559</v>
      </c>
      <c r="M50" s="309" t="s">
        <v>559</v>
      </c>
      <c r="N50" s="308">
        <v>0.13900000000000001</v>
      </c>
      <c r="O50" s="309">
        <v>80.89</v>
      </c>
      <c r="P50" s="302"/>
      <c r="V50" s="304"/>
      <c r="W50" s="304"/>
      <c r="AD50" s="304"/>
      <c r="AE50" s="304"/>
      <c r="AR50" s="304"/>
      <c r="AS50" s="304"/>
      <c r="AT50" s="304"/>
      <c r="AU50" s="304"/>
      <c r="AV50" s="304"/>
      <c r="AW50" s="304"/>
      <c r="AX50" s="304"/>
      <c r="AY50" s="304"/>
      <c r="AZ50" s="304"/>
      <c r="BA50" s="304"/>
      <c r="BB50" s="304"/>
      <c r="BC50" s="304"/>
      <c r="BK50" s="305"/>
      <c r="BL50" s="305"/>
      <c r="BM50" s="305"/>
      <c r="BN50" s="305"/>
      <c r="BO50" s="305"/>
      <c r="BP50" s="305"/>
      <c r="BQ50" s="305"/>
      <c r="BR50" s="305"/>
      <c r="BS50" s="305"/>
      <c r="BT50" s="305"/>
      <c r="BU50" s="305"/>
      <c r="BV50" s="305"/>
      <c r="BX50" s="319"/>
    </row>
    <row r="51" spans="1:76" s="303" customFormat="1" ht="22.5" x14ac:dyDescent="0.25">
      <c r="A51" s="306" t="s">
        <v>236</v>
      </c>
      <c r="B51" s="306" t="s">
        <v>237</v>
      </c>
      <c r="C51" s="307" t="s">
        <v>90</v>
      </c>
      <c r="D51" s="307" t="s">
        <v>89</v>
      </c>
      <c r="E51" s="306" t="s">
        <v>58</v>
      </c>
      <c r="F51" s="308">
        <v>5.45E-2</v>
      </c>
      <c r="G51" s="309">
        <v>28.51</v>
      </c>
      <c r="H51" s="308" t="s">
        <v>559</v>
      </c>
      <c r="I51" s="309" t="s">
        <v>559</v>
      </c>
      <c r="J51" s="308" t="s">
        <v>559</v>
      </c>
      <c r="K51" s="309" t="s">
        <v>559</v>
      </c>
      <c r="L51" s="308" t="s">
        <v>559</v>
      </c>
      <c r="M51" s="309" t="s">
        <v>559</v>
      </c>
      <c r="N51" s="308">
        <v>5.45E-2</v>
      </c>
      <c r="O51" s="309">
        <v>28.51</v>
      </c>
      <c r="P51" s="302"/>
      <c r="V51" s="304"/>
      <c r="W51" s="304"/>
      <c r="AD51" s="304"/>
      <c r="AE51" s="304"/>
      <c r="AR51" s="304"/>
      <c r="AS51" s="304"/>
      <c r="AT51" s="304"/>
      <c r="AU51" s="304"/>
      <c r="AV51" s="304"/>
      <c r="AW51" s="304"/>
      <c r="AX51" s="304"/>
      <c r="AY51" s="304"/>
      <c r="AZ51" s="304"/>
      <c r="BA51" s="304"/>
      <c r="BB51" s="304"/>
      <c r="BC51" s="304"/>
      <c r="BK51" s="305"/>
      <c r="BL51" s="305"/>
      <c r="BM51" s="305"/>
      <c r="BN51" s="305"/>
      <c r="BO51" s="305"/>
      <c r="BP51" s="305"/>
      <c r="BQ51" s="305"/>
      <c r="BR51" s="305"/>
      <c r="BS51" s="305"/>
      <c r="BT51" s="305"/>
      <c r="BU51" s="305"/>
      <c r="BV51" s="305"/>
      <c r="BX51" s="319"/>
    </row>
    <row r="52" spans="1:76" s="303" customFormat="1" ht="22.5" x14ac:dyDescent="0.25">
      <c r="A52" s="306" t="s">
        <v>237</v>
      </c>
      <c r="B52" s="306" t="s">
        <v>238</v>
      </c>
      <c r="C52" s="307" t="s">
        <v>97</v>
      </c>
      <c r="D52" s="307" t="s">
        <v>96</v>
      </c>
      <c r="E52" s="306" t="s">
        <v>58</v>
      </c>
      <c r="F52" s="308">
        <v>5.4100000000000002E-2</v>
      </c>
      <c r="G52" s="309">
        <v>357.56</v>
      </c>
      <c r="H52" s="308" t="s">
        <v>559</v>
      </c>
      <c r="I52" s="309" t="s">
        <v>559</v>
      </c>
      <c r="J52" s="308" t="s">
        <v>559</v>
      </c>
      <c r="K52" s="309" t="s">
        <v>559</v>
      </c>
      <c r="L52" s="308" t="s">
        <v>559</v>
      </c>
      <c r="M52" s="309" t="s">
        <v>559</v>
      </c>
      <c r="N52" s="308">
        <v>5.4100000000000002E-2</v>
      </c>
      <c r="O52" s="309">
        <v>357.56</v>
      </c>
      <c r="P52" s="302"/>
      <c r="V52" s="304"/>
      <c r="W52" s="304"/>
      <c r="AD52" s="304"/>
      <c r="AE52" s="304"/>
      <c r="AR52" s="304"/>
      <c r="AS52" s="304"/>
      <c r="AT52" s="304"/>
      <c r="AU52" s="304"/>
      <c r="AV52" s="304"/>
      <c r="AW52" s="304"/>
      <c r="AX52" s="304"/>
      <c r="AY52" s="304"/>
      <c r="AZ52" s="304"/>
      <c r="BA52" s="304"/>
      <c r="BB52" s="304"/>
      <c r="BC52" s="304"/>
      <c r="BK52" s="305"/>
      <c r="BL52" s="305"/>
      <c r="BM52" s="305"/>
      <c r="BN52" s="305"/>
      <c r="BO52" s="305"/>
      <c r="BP52" s="305"/>
      <c r="BQ52" s="305"/>
      <c r="BR52" s="305"/>
      <c r="BS52" s="305"/>
      <c r="BT52" s="305"/>
      <c r="BU52" s="305"/>
      <c r="BV52" s="305"/>
      <c r="BX52" s="319"/>
    </row>
    <row r="53" spans="1:76" s="303" customFormat="1" ht="33.75" x14ac:dyDescent="0.25">
      <c r="A53" s="306" t="s">
        <v>238</v>
      </c>
      <c r="B53" s="306" t="s">
        <v>239</v>
      </c>
      <c r="C53" s="307" t="s">
        <v>105</v>
      </c>
      <c r="D53" s="307" t="s">
        <v>104</v>
      </c>
      <c r="E53" s="306" t="s">
        <v>106</v>
      </c>
      <c r="F53" s="308">
        <v>6.8170000000000002</v>
      </c>
      <c r="G53" s="309">
        <v>4458.84</v>
      </c>
      <c r="H53" s="308" t="s">
        <v>559</v>
      </c>
      <c r="I53" s="309" t="s">
        <v>559</v>
      </c>
      <c r="J53" s="308" t="s">
        <v>559</v>
      </c>
      <c r="K53" s="309" t="s">
        <v>559</v>
      </c>
      <c r="L53" s="308" t="s">
        <v>559</v>
      </c>
      <c r="M53" s="309" t="s">
        <v>559</v>
      </c>
      <c r="N53" s="308">
        <v>6.8170000000000002</v>
      </c>
      <c r="O53" s="309">
        <v>4458.84</v>
      </c>
      <c r="P53" s="302"/>
      <c r="V53" s="304"/>
      <c r="W53" s="304"/>
      <c r="AD53" s="304"/>
      <c r="AE53" s="304"/>
      <c r="AR53" s="304"/>
      <c r="AS53" s="304"/>
      <c r="AT53" s="304"/>
      <c r="AU53" s="304"/>
      <c r="AV53" s="304"/>
      <c r="AW53" s="304"/>
      <c r="AX53" s="304"/>
      <c r="AY53" s="304"/>
      <c r="AZ53" s="304"/>
      <c r="BA53" s="304"/>
      <c r="BB53" s="304"/>
      <c r="BC53" s="304"/>
      <c r="BK53" s="305"/>
      <c r="BL53" s="305"/>
      <c r="BM53" s="305"/>
      <c r="BN53" s="305"/>
      <c r="BO53" s="305"/>
      <c r="BP53" s="305"/>
      <c r="BQ53" s="305"/>
      <c r="BR53" s="305"/>
      <c r="BS53" s="305"/>
      <c r="BT53" s="305"/>
      <c r="BU53" s="305"/>
      <c r="BV53" s="305"/>
      <c r="BX53" s="319"/>
    </row>
    <row r="54" spans="1:76" s="303" customFormat="1" ht="22.5" x14ac:dyDescent="0.25">
      <c r="A54" s="306" t="s">
        <v>239</v>
      </c>
      <c r="B54" s="306" t="s">
        <v>273</v>
      </c>
      <c r="C54" s="307" t="s">
        <v>275</v>
      </c>
      <c r="D54" s="307" t="s">
        <v>274</v>
      </c>
      <c r="E54" s="306" t="s">
        <v>276</v>
      </c>
      <c r="F54" s="308">
        <v>0.06</v>
      </c>
      <c r="G54" s="309">
        <v>763.83</v>
      </c>
      <c r="H54" s="308" t="s">
        <v>559</v>
      </c>
      <c r="I54" s="309" t="s">
        <v>559</v>
      </c>
      <c r="J54" s="308" t="s">
        <v>559</v>
      </c>
      <c r="K54" s="309" t="s">
        <v>559</v>
      </c>
      <c r="L54" s="308" t="s">
        <v>559</v>
      </c>
      <c r="M54" s="309" t="s">
        <v>559</v>
      </c>
      <c r="N54" s="308">
        <v>0.06</v>
      </c>
      <c r="O54" s="309">
        <v>763.83</v>
      </c>
      <c r="P54" s="302"/>
      <c r="V54" s="304"/>
      <c r="W54" s="304"/>
      <c r="AD54" s="304"/>
      <c r="AE54" s="304"/>
      <c r="AR54" s="304"/>
      <c r="AS54" s="304"/>
      <c r="AT54" s="304"/>
      <c r="AU54" s="304"/>
      <c r="AV54" s="304"/>
      <c r="AW54" s="304"/>
      <c r="AX54" s="304"/>
      <c r="AY54" s="304"/>
      <c r="AZ54" s="304"/>
      <c r="BA54" s="304"/>
      <c r="BB54" s="304"/>
      <c r="BC54" s="304"/>
      <c r="BK54" s="305"/>
      <c r="BL54" s="305"/>
      <c r="BM54" s="305"/>
      <c r="BN54" s="305"/>
      <c r="BO54" s="305"/>
      <c r="BP54" s="305"/>
      <c r="BQ54" s="305"/>
      <c r="BR54" s="305"/>
      <c r="BS54" s="305"/>
      <c r="BT54" s="305"/>
      <c r="BU54" s="305"/>
      <c r="BV54" s="305"/>
      <c r="BX54" s="319"/>
    </row>
    <row r="55" spans="1:76" s="303" customFormat="1" ht="22.5" x14ac:dyDescent="0.25">
      <c r="A55" s="306" t="s">
        <v>240</v>
      </c>
      <c r="B55" s="306" t="s">
        <v>281</v>
      </c>
      <c r="C55" s="307" t="s">
        <v>283</v>
      </c>
      <c r="D55" s="307" t="s">
        <v>282</v>
      </c>
      <c r="E55" s="306" t="s">
        <v>127</v>
      </c>
      <c r="F55" s="308">
        <v>-2.9000000000000001E-2</v>
      </c>
      <c r="G55" s="309">
        <v>-282.08999999999997</v>
      </c>
      <c r="H55" s="308" t="s">
        <v>559</v>
      </c>
      <c r="I55" s="309" t="s">
        <v>559</v>
      </c>
      <c r="J55" s="308" t="s">
        <v>559</v>
      </c>
      <c r="K55" s="309" t="s">
        <v>559</v>
      </c>
      <c r="L55" s="308" t="s">
        <v>559</v>
      </c>
      <c r="M55" s="309" t="s">
        <v>559</v>
      </c>
      <c r="N55" s="308">
        <v>-2.9000000000000001E-2</v>
      </c>
      <c r="O55" s="309">
        <v>-282.08999999999997</v>
      </c>
      <c r="P55" s="302"/>
      <c r="V55" s="304"/>
      <c r="W55" s="304"/>
      <c r="AD55" s="304"/>
      <c r="AE55" s="304"/>
      <c r="AR55" s="304"/>
      <c r="AS55" s="304"/>
      <c r="AT55" s="304"/>
      <c r="AU55" s="304"/>
      <c r="AV55" s="304"/>
      <c r="AW55" s="304"/>
      <c r="AX55" s="304"/>
      <c r="AY55" s="304"/>
      <c r="AZ55" s="304"/>
      <c r="BA55" s="304"/>
      <c r="BB55" s="304"/>
      <c r="BC55" s="304"/>
      <c r="BK55" s="305"/>
      <c r="BL55" s="305"/>
      <c r="BM55" s="305"/>
      <c r="BN55" s="305"/>
      <c r="BO55" s="305"/>
      <c r="BP55" s="305"/>
      <c r="BQ55" s="305"/>
      <c r="BR55" s="305"/>
      <c r="BS55" s="305"/>
      <c r="BT55" s="305"/>
      <c r="BU55" s="305"/>
      <c r="BV55" s="305"/>
      <c r="BX55" s="319"/>
    </row>
    <row r="56" spans="1:76" s="303" customFormat="1" ht="33.75" x14ac:dyDescent="0.25">
      <c r="A56" s="306" t="s">
        <v>243</v>
      </c>
      <c r="B56" s="306" t="s">
        <v>284</v>
      </c>
      <c r="C56" s="307" t="s">
        <v>285</v>
      </c>
      <c r="D56" s="307" t="s">
        <v>120</v>
      </c>
      <c r="E56" s="306" t="s">
        <v>130</v>
      </c>
      <c r="F56" s="308">
        <v>0.36</v>
      </c>
      <c r="G56" s="309">
        <v>14126.77</v>
      </c>
      <c r="H56" s="308" t="s">
        <v>559</v>
      </c>
      <c r="I56" s="309" t="s">
        <v>559</v>
      </c>
      <c r="J56" s="308" t="s">
        <v>559</v>
      </c>
      <c r="K56" s="309" t="s">
        <v>559</v>
      </c>
      <c r="L56" s="308" t="s">
        <v>559</v>
      </c>
      <c r="M56" s="309" t="s">
        <v>559</v>
      </c>
      <c r="N56" s="308">
        <v>0.36</v>
      </c>
      <c r="O56" s="309">
        <v>14126.77</v>
      </c>
      <c r="P56" s="302"/>
      <c r="V56" s="304"/>
      <c r="W56" s="304"/>
      <c r="AD56" s="304"/>
      <c r="AE56" s="304"/>
      <c r="AR56" s="304"/>
      <c r="AS56" s="304"/>
      <c r="AT56" s="304"/>
      <c r="AU56" s="304"/>
      <c r="AV56" s="304"/>
      <c r="AW56" s="304"/>
      <c r="AX56" s="304"/>
      <c r="AY56" s="304"/>
      <c r="AZ56" s="304"/>
      <c r="BA56" s="304"/>
      <c r="BB56" s="304"/>
      <c r="BC56" s="304"/>
      <c r="BK56" s="305"/>
      <c r="BL56" s="305"/>
      <c r="BM56" s="305"/>
      <c r="BN56" s="305"/>
      <c r="BO56" s="305"/>
      <c r="BP56" s="305"/>
      <c r="BQ56" s="305"/>
      <c r="BR56" s="305"/>
      <c r="BS56" s="305"/>
      <c r="BT56" s="305"/>
      <c r="BU56" s="305"/>
      <c r="BV56" s="305"/>
      <c r="BX56" s="319"/>
    </row>
    <row r="57" spans="1:76" s="303" customFormat="1" ht="33.75" x14ac:dyDescent="0.25">
      <c r="A57" s="306" t="s">
        <v>248</v>
      </c>
      <c r="B57" s="306" t="s">
        <v>286</v>
      </c>
      <c r="C57" s="307" t="s">
        <v>129</v>
      </c>
      <c r="D57" s="307" t="s">
        <v>120</v>
      </c>
      <c r="E57" s="306" t="s">
        <v>130</v>
      </c>
      <c r="F57" s="308">
        <v>2.9000000000000001E-2</v>
      </c>
      <c r="G57" s="309">
        <v>843.21</v>
      </c>
      <c r="H57" s="308" t="s">
        <v>559</v>
      </c>
      <c r="I57" s="309" t="s">
        <v>559</v>
      </c>
      <c r="J57" s="308" t="s">
        <v>559</v>
      </c>
      <c r="K57" s="309" t="s">
        <v>559</v>
      </c>
      <c r="L57" s="308" t="s">
        <v>559</v>
      </c>
      <c r="M57" s="309" t="s">
        <v>559</v>
      </c>
      <c r="N57" s="308">
        <v>2.9000000000000001E-2</v>
      </c>
      <c r="O57" s="309">
        <v>843.21</v>
      </c>
      <c r="P57" s="302"/>
      <c r="V57" s="304"/>
      <c r="W57" s="304"/>
      <c r="AD57" s="304"/>
      <c r="AE57" s="304"/>
      <c r="AR57" s="304"/>
      <c r="AS57" s="304"/>
      <c r="AT57" s="304"/>
      <c r="AU57" s="304"/>
      <c r="AV57" s="304"/>
      <c r="AW57" s="304"/>
      <c r="AX57" s="304"/>
      <c r="AY57" s="304"/>
      <c r="AZ57" s="304"/>
      <c r="BA57" s="304"/>
      <c r="BB57" s="304"/>
      <c r="BC57" s="304"/>
      <c r="BK57" s="305"/>
      <c r="BL57" s="305"/>
      <c r="BM57" s="305"/>
      <c r="BN57" s="305"/>
      <c r="BO57" s="305"/>
      <c r="BP57" s="305"/>
      <c r="BQ57" s="305"/>
      <c r="BR57" s="305"/>
      <c r="BS57" s="305"/>
      <c r="BT57" s="305"/>
      <c r="BU57" s="305"/>
      <c r="BV57" s="305"/>
      <c r="BX57" s="319"/>
    </row>
    <row r="58" spans="1:76" s="303" customFormat="1" ht="33.75" x14ac:dyDescent="0.25">
      <c r="A58" s="306" t="s">
        <v>252</v>
      </c>
      <c r="B58" s="306" t="s">
        <v>290</v>
      </c>
      <c r="C58" s="307" t="s">
        <v>164</v>
      </c>
      <c r="D58" s="307" t="s">
        <v>163</v>
      </c>
      <c r="E58" s="306" t="s">
        <v>165</v>
      </c>
      <c r="F58" s="308">
        <v>24.37</v>
      </c>
      <c r="G58" s="309">
        <v>79.930000000000007</v>
      </c>
      <c r="H58" s="308" t="s">
        <v>559</v>
      </c>
      <c r="I58" s="309" t="s">
        <v>559</v>
      </c>
      <c r="J58" s="308" t="s">
        <v>559</v>
      </c>
      <c r="K58" s="309" t="s">
        <v>559</v>
      </c>
      <c r="L58" s="308" t="s">
        <v>559</v>
      </c>
      <c r="M58" s="309" t="s">
        <v>559</v>
      </c>
      <c r="N58" s="308">
        <v>24.37</v>
      </c>
      <c r="O58" s="309">
        <v>79.930000000000007</v>
      </c>
      <c r="P58" s="302"/>
      <c r="V58" s="304"/>
      <c r="W58" s="304"/>
      <c r="AD58" s="304"/>
      <c r="AE58" s="304"/>
      <c r="AR58" s="304"/>
      <c r="AS58" s="304"/>
      <c r="AT58" s="304"/>
      <c r="AU58" s="304"/>
      <c r="AV58" s="304"/>
      <c r="AW58" s="304"/>
      <c r="AX58" s="304"/>
      <c r="AY58" s="304"/>
      <c r="AZ58" s="304"/>
      <c r="BA58" s="304"/>
      <c r="BB58" s="304"/>
      <c r="BC58" s="304"/>
      <c r="BK58" s="305"/>
      <c r="BL58" s="305"/>
      <c r="BM58" s="305"/>
      <c r="BN58" s="305"/>
      <c r="BO58" s="305"/>
      <c r="BP58" s="305"/>
      <c r="BQ58" s="305"/>
      <c r="BR58" s="305"/>
      <c r="BS58" s="305"/>
      <c r="BT58" s="305"/>
      <c r="BU58" s="305"/>
      <c r="BV58" s="305"/>
      <c r="BX58" s="319"/>
    </row>
    <row r="59" spans="1:76" s="303" customFormat="1" ht="45" x14ac:dyDescent="0.25">
      <c r="A59" s="306" t="s">
        <v>259</v>
      </c>
      <c r="B59" s="306" t="s">
        <v>291</v>
      </c>
      <c r="C59" s="307" t="s">
        <v>292</v>
      </c>
      <c r="D59" s="307" t="s">
        <v>167</v>
      </c>
      <c r="E59" s="306" t="s">
        <v>165</v>
      </c>
      <c r="F59" s="308">
        <v>1.05</v>
      </c>
      <c r="G59" s="309">
        <v>8.81</v>
      </c>
      <c r="H59" s="308" t="s">
        <v>559</v>
      </c>
      <c r="I59" s="309" t="s">
        <v>559</v>
      </c>
      <c r="J59" s="308" t="s">
        <v>559</v>
      </c>
      <c r="K59" s="309" t="s">
        <v>559</v>
      </c>
      <c r="L59" s="308" t="s">
        <v>559</v>
      </c>
      <c r="M59" s="309" t="s">
        <v>559</v>
      </c>
      <c r="N59" s="308">
        <v>1.05</v>
      </c>
      <c r="O59" s="309">
        <v>8.81</v>
      </c>
      <c r="P59" s="302"/>
      <c r="V59" s="304"/>
      <c r="W59" s="304"/>
      <c r="AD59" s="304"/>
      <c r="AE59" s="304"/>
      <c r="AR59" s="304"/>
      <c r="AS59" s="304"/>
      <c r="AT59" s="304"/>
      <c r="AU59" s="304"/>
      <c r="AV59" s="304"/>
      <c r="AW59" s="304"/>
      <c r="AX59" s="304"/>
      <c r="AY59" s="304"/>
      <c r="AZ59" s="304"/>
      <c r="BA59" s="304"/>
      <c r="BB59" s="304"/>
      <c r="BC59" s="304"/>
      <c r="BK59" s="305"/>
      <c r="BL59" s="305"/>
      <c r="BM59" s="305"/>
      <c r="BN59" s="305"/>
      <c r="BO59" s="305"/>
      <c r="BP59" s="305"/>
      <c r="BQ59" s="305"/>
      <c r="BR59" s="305"/>
      <c r="BS59" s="305"/>
      <c r="BT59" s="305"/>
      <c r="BU59" s="305"/>
      <c r="BV59" s="305"/>
      <c r="BX59" s="319"/>
    </row>
    <row r="60" spans="1:76" s="303" customFormat="1" ht="33.75" x14ac:dyDescent="0.25">
      <c r="A60" s="306" t="s">
        <v>262</v>
      </c>
      <c r="B60" s="306" t="s">
        <v>295</v>
      </c>
      <c r="C60" s="307" t="s">
        <v>174</v>
      </c>
      <c r="D60" s="307" t="s">
        <v>173</v>
      </c>
      <c r="E60" s="306" t="s">
        <v>165</v>
      </c>
      <c r="F60" s="308">
        <v>25.42</v>
      </c>
      <c r="G60" s="309">
        <v>98.12</v>
      </c>
      <c r="H60" s="308" t="s">
        <v>559</v>
      </c>
      <c r="I60" s="309" t="s">
        <v>559</v>
      </c>
      <c r="J60" s="308" t="s">
        <v>559</v>
      </c>
      <c r="K60" s="309" t="s">
        <v>559</v>
      </c>
      <c r="L60" s="308" t="s">
        <v>559</v>
      </c>
      <c r="M60" s="309" t="s">
        <v>559</v>
      </c>
      <c r="N60" s="308">
        <v>25.42</v>
      </c>
      <c r="O60" s="309">
        <v>98.12</v>
      </c>
      <c r="P60" s="302"/>
      <c r="V60" s="304"/>
      <c r="W60" s="304"/>
      <c r="AD60" s="304"/>
      <c r="AE60" s="304"/>
      <c r="AR60" s="304"/>
      <c r="AS60" s="304"/>
      <c r="AT60" s="304"/>
      <c r="AU60" s="304"/>
      <c r="AV60" s="304"/>
      <c r="AW60" s="304"/>
      <c r="AX60" s="304"/>
      <c r="AY60" s="304"/>
      <c r="AZ60" s="304"/>
      <c r="BA60" s="304"/>
      <c r="BB60" s="304"/>
      <c r="BC60" s="304"/>
      <c r="BK60" s="305"/>
      <c r="BL60" s="305"/>
      <c r="BM60" s="305"/>
      <c r="BN60" s="305"/>
      <c r="BO60" s="305"/>
      <c r="BP60" s="305"/>
      <c r="BQ60" s="305"/>
      <c r="BR60" s="305"/>
      <c r="BS60" s="305"/>
      <c r="BT60" s="305"/>
      <c r="BU60" s="305"/>
      <c r="BV60" s="305"/>
      <c r="BX60" s="319"/>
    </row>
    <row r="61" spans="1:76" s="303" customFormat="1" x14ac:dyDescent="0.25">
      <c r="A61" s="339" t="s">
        <v>307</v>
      </c>
      <c r="B61" s="340"/>
      <c r="C61" s="340"/>
      <c r="D61" s="340"/>
      <c r="E61" s="340"/>
      <c r="F61" s="340"/>
      <c r="G61" s="340"/>
      <c r="H61" s="340"/>
      <c r="I61" s="340"/>
      <c r="J61" s="340"/>
      <c r="K61" s="340"/>
      <c r="L61" s="340"/>
      <c r="M61" s="340"/>
      <c r="N61" s="340"/>
      <c r="O61" s="340"/>
      <c r="P61" s="302"/>
      <c r="V61" s="304"/>
      <c r="W61" s="304"/>
      <c r="AD61" s="304"/>
      <c r="AE61" s="304"/>
      <c r="AR61" s="304"/>
      <c r="AS61" s="304"/>
      <c r="AT61" s="304"/>
      <c r="AU61" s="304"/>
      <c r="AV61" s="304"/>
      <c r="AW61" s="304"/>
      <c r="AX61" s="304"/>
      <c r="AY61" s="304"/>
      <c r="AZ61" s="304"/>
      <c r="BA61" s="304"/>
      <c r="BB61" s="304"/>
      <c r="BC61" s="304"/>
      <c r="BK61" s="305"/>
      <c r="BL61" s="305"/>
      <c r="BM61" s="305"/>
      <c r="BN61" s="305"/>
      <c r="BO61" s="305"/>
      <c r="BP61" s="305"/>
      <c r="BQ61" s="305"/>
      <c r="BR61" s="305"/>
      <c r="BS61" s="305"/>
      <c r="BT61" s="305"/>
      <c r="BU61" s="305"/>
      <c r="BV61" s="305"/>
      <c r="BX61" s="319"/>
    </row>
    <row r="62" spans="1:76" s="303" customFormat="1" ht="33.75" x14ac:dyDescent="0.25">
      <c r="A62" s="306" t="s">
        <v>266</v>
      </c>
      <c r="B62" s="306" t="s">
        <v>309</v>
      </c>
      <c r="C62" s="307" t="s">
        <v>83</v>
      </c>
      <c r="D62" s="307" t="s">
        <v>82</v>
      </c>
      <c r="E62" s="306" t="s">
        <v>58</v>
      </c>
      <c r="F62" s="308">
        <v>7.2900000000000006E-2</v>
      </c>
      <c r="G62" s="309">
        <v>42.42</v>
      </c>
      <c r="H62" s="308" t="s">
        <v>559</v>
      </c>
      <c r="I62" s="309" t="s">
        <v>559</v>
      </c>
      <c r="J62" s="308" t="s">
        <v>559</v>
      </c>
      <c r="K62" s="309" t="s">
        <v>559</v>
      </c>
      <c r="L62" s="308" t="s">
        <v>559</v>
      </c>
      <c r="M62" s="309" t="s">
        <v>559</v>
      </c>
      <c r="N62" s="308">
        <v>7.2900000000000006E-2</v>
      </c>
      <c r="O62" s="309">
        <v>42.42</v>
      </c>
      <c r="P62" s="302"/>
      <c r="V62" s="304"/>
      <c r="W62" s="304"/>
      <c r="AD62" s="304"/>
      <c r="AE62" s="304"/>
      <c r="AR62" s="304"/>
      <c r="AS62" s="304"/>
      <c r="AT62" s="304"/>
      <c r="AU62" s="304"/>
      <c r="AV62" s="304"/>
      <c r="AW62" s="304"/>
      <c r="AX62" s="304"/>
      <c r="AY62" s="304"/>
      <c r="AZ62" s="304"/>
      <c r="BA62" s="304"/>
      <c r="BB62" s="304"/>
      <c r="BC62" s="304"/>
      <c r="BK62" s="305"/>
      <c r="BL62" s="305"/>
      <c r="BM62" s="305"/>
      <c r="BN62" s="305"/>
      <c r="BO62" s="305"/>
      <c r="BP62" s="305"/>
      <c r="BQ62" s="305"/>
      <c r="BR62" s="305"/>
      <c r="BS62" s="305"/>
      <c r="BT62" s="305"/>
      <c r="BU62" s="305"/>
      <c r="BV62" s="305"/>
      <c r="BX62" s="319"/>
    </row>
    <row r="63" spans="1:76" s="303" customFormat="1" ht="22.5" x14ac:dyDescent="0.25">
      <c r="A63" s="306" t="s">
        <v>270</v>
      </c>
      <c r="B63" s="306" t="s">
        <v>310</v>
      </c>
      <c r="C63" s="307" t="s">
        <v>90</v>
      </c>
      <c r="D63" s="307" t="s">
        <v>89</v>
      </c>
      <c r="E63" s="306" t="s">
        <v>58</v>
      </c>
      <c r="F63" s="308">
        <v>3.2099999999999997E-2</v>
      </c>
      <c r="G63" s="309">
        <v>16.79</v>
      </c>
      <c r="H63" s="308" t="s">
        <v>559</v>
      </c>
      <c r="I63" s="309" t="s">
        <v>559</v>
      </c>
      <c r="J63" s="308" t="s">
        <v>559</v>
      </c>
      <c r="K63" s="309" t="s">
        <v>559</v>
      </c>
      <c r="L63" s="308" t="s">
        <v>559</v>
      </c>
      <c r="M63" s="309" t="s">
        <v>559</v>
      </c>
      <c r="N63" s="308">
        <v>3.2099999999999997E-2</v>
      </c>
      <c r="O63" s="309">
        <v>16.79</v>
      </c>
      <c r="P63" s="302"/>
      <c r="V63" s="304"/>
      <c r="W63" s="304"/>
      <c r="AD63" s="304"/>
      <c r="AE63" s="304"/>
      <c r="AR63" s="304"/>
      <c r="AS63" s="304"/>
      <c r="AT63" s="304"/>
      <c r="AU63" s="304"/>
      <c r="AV63" s="304"/>
      <c r="AW63" s="304"/>
      <c r="AX63" s="304"/>
      <c r="AY63" s="304"/>
      <c r="AZ63" s="304"/>
      <c r="BA63" s="304"/>
      <c r="BB63" s="304"/>
      <c r="BC63" s="304"/>
      <c r="BK63" s="305"/>
      <c r="BL63" s="305"/>
      <c r="BM63" s="305"/>
      <c r="BN63" s="305"/>
      <c r="BO63" s="305"/>
      <c r="BP63" s="305"/>
      <c r="BQ63" s="305"/>
      <c r="BR63" s="305"/>
      <c r="BS63" s="305"/>
      <c r="BT63" s="305"/>
      <c r="BU63" s="305"/>
      <c r="BV63" s="305"/>
      <c r="BX63" s="319"/>
    </row>
    <row r="64" spans="1:76" s="303" customFormat="1" ht="22.5" x14ac:dyDescent="0.25">
      <c r="A64" s="306" t="s">
        <v>273</v>
      </c>
      <c r="B64" s="306" t="s">
        <v>311</v>
      </c>
      <c r="C64" s="307" t="s">
        <v>97</v>
      </c>
      <c r="D64" s="307" t="s">
        <v>96</v>
      </c>
      <c r="E64" s="306" t="s">
        <v>58</v>
      </c>
      <c r="F64" s="308">
        <v>3.2000000000000001E-2</v>
      </c>
      <c r="G64" s="309">
        <v>211.5</v>
      </c>
      <c r="H64" s="308" t="s">
        <v>559</v>
      </c>
      <c r="I64" s="309" t="s">
        <v>559</v>
      </c>
      <c r="J64" s="308" t="s">
        <v>559</v>
      </c>
      <c r="K64" s="309" t="s">
        <v>559</v>
      </c>
      <c r="L64" s="308" t="s">
        <v>559</v>
      </c>
      <c r="M64" s="309" t="s">
        <v>559</v>
      </c>
      <c r="N64" s="308">
        <v>3.2000000000000001E-2</v>
      </c>
      <c r="O64" s="309">
        <v>211.5</v>
      </c>
      <c r="P64" s="302"/>
      <c r="V64" s="304"/>
      <c r="W64" s="304"/>
      <c r="AD64" s="304"/>
      <c r="AE64" s="304"/>
      <c r="AR64" s="304"/>
      <c r="AS64" s="304"/>
      <c r="AT64" s="304"/>
      <c r="AU64" s="304"/>
      <c r="AV64" s="304"/>
      <c r="AW64" s="304"/>
      <c r="AX64" s="304"/>
      <c r="AY64" s="304"/>
      <c r="AZ64" s="304"/>
      <c r="BA64" s="304"/>
      <c r="BB64" s="304"/>
      <c r="BC64" s="304"/>
      <c r="BK64" s="305"/>
      <c r="BL64" s="305"/>
      <c r="BM64" s="305"/>
      <c r="BN64" s="305"/>
      <c r="BO64" s="305"/>
      <c r="BP64" s="305"/>
      <c r="BQ64" s="305"/>
      <c r="BR64" s="305"/>
      <c r="BS64" s="305"/>
      <c r="BT64" s="305"/>
      <c r="BU64" s="305"/>
      <c r="BV64" s="305"/>
      <c r="BX64" s="319"/>
    </row>
    <row r="65" spans="1:76" s="303" customFormat="1" ht="33.75" x14ac:dyDescent="0.25">
      <c r="A65" s="306" t="s">
        <v>281</v>
      </c>
      <c r="B65" s="306" t="s">
        <v>312</v>
      </c>
      <c r="C65" s="307" t="s">
        <v>105</v>
      </c>
      <c r="D65" s="307" t="s">
        <v>104</v>
      </c>
      <c r="E65" s="306" t="s">
        <v>106</v>
      </c>
      <c r="F65" s="308">
        <v>4.04</v>
      </c>
      <c r="G65" s="309">
        <v>2642.47</v>
      </c>
      <c r="H65" s="308" t="s">
        <v>559</v>
      </c>
      <c r="I65" s="309" t="s">
        <v>559</v>
      </c>
      <c r="J65" s="308" t="s">
        <v>559</v>
      </c>
      <c r="K65" s="309" t="s">
        <v>559</v>
      </c>
      <c r="L65" s="308" t="s">
        <v>559</v>
      </c>
      <c r="M65" s="309" t="s">
        <v>559</v>
      </c>
      <c r="N65" s="308">
        <v>4.04</v>
      </c>
      <c r="O65" s="309">
        <v>2642.47</v>
      </c>
      <c r="P65" s="302"/>
      <c r="V65" s="304"/>
      <c r="W65" s="304"/>
      <c r="AD65" s="304"/>
      <c r="AE65" s="304"/>
      <c r="AR65" s="304"/>
      <c r="AS65" s="304"/>
      <c r="AT65" s="304"/>
      <c r="AU65" s="304"/>
      <c r="AV65" s="304"/>
      <c r="AW65" s="304"/>
      <c r="AX65" s="304"/>
      <c r="AY65" s="304"/>
      <c r="AZ65" s="304"/>
      <c r="BA65" s="304"/>
      <c r="BB65" s="304"/>
      <c r="BC65" s="304"/>
      <c r="BK65" s="305"/>
      <c r="BL65" s="305"/>
      <c r="BM65" s="305"/>
      <c r="BN65" s="305"/>
      <c r="BO65" s="305"/>
      <c r="BP65" s="305"/>
      <c r="BQ65" s="305"/>
      <c r="BR65" s="305"/>
      <c r="BS65" s="305"/>
      <c r="BT65" s="305"/>
      <c r="BU65" s="305"/>
      <c r="BV65" s="305"/>
      <c r="BX65" s="319"/>
    </row>
    <row r="66" spans="1:76" s="303" customFormat="1" ht="22.5" x14ac:dyDescent="0.25">
      <c r="A66" s="306" t="s">
        <v>284</v>
      </c>
      <c r="B66" s="306" t="s">
        <v>321</v>
      </c>
      <c r="C66" s="307" t="s">
        <v>275</v>
      </c>
      <c r="D66" s="307" t="s">
        <v>274</v>
      </c>
      <c r="E66" s="306" t="s">
        <v>276</v>
      </c>
      <c r="F66" s="308">
        <v>0.06</v>
      </c>
      <c r="G66" s="309">
        <v>763.83</v>
      </c>
      <c r="H66" s="308" t="s">
        <v>559</v>
      </c>
      <c r="I66" s="309" t="s">
        <v>559</v>
      </c>
      <c r="J66" s="308" t="s">
        <v>559</v>
      </c>
      <c r="K66" s="309" t="s">
        <v>559</v>
      </c>
      <c r="L66" s="308" t="s">
        <v>559</v>
      </c>
      <c r="M66" s="309" t="s">
        <v>559</v>
      </c>
      <c r="N66" s="308">
        <v>0.06</v>
      </c>
      <c r="O66" s="309">
        <v>763.83</v>
      </c>
      <c r="P66" s="302"/>
      <c r="V66" s="304"/>
      <c r="W66" s="304"/>
      <c r="AD66" s="304"/>
      <c r="AE66" s="304"/>
      <c r="AR66" s="304"/>
      <c r="AS66" s="304"/>
      <c r="AT66" s="304"/>
      <c r="AU66" s="304"/>
      <c r="AV66" s="304"/>
      <c r="AW66" s="304"/>
      <c r="AX66" s="304"/>
      <c r="AY66" s="304"/>
      <c r="AZ66" s="304"/>
      <c r="BA66" s="304"/>
      <c r="BB66" s="304"/>
      <c r="BC66" s="304"/>
      <c r="BK66" s="305"/>
      <c r="BL66" s="305"/>
      <c r="BM66" s="305"/>
      <c r="BN66" s="305"/>
      <c r="BO66" s="305"/>
      <c r="BP66" s="305"/>
      <c r="BQ66" s="305"/>
      <c r="BR66" s="305"/>
      <c r="BS66" s="305"/>
      <c r="BT66" s="305"/>
      <c r="BU66" s="305"/>
      <c r="BV66" s="305"/>
      <c r="BX66" s="319"/>
    </row>
    <row r="67" spans="1:76" s="303" customFormat="1" ht="22.5" x14ac:dyDescent="0.25">
      <c r="A67" s="306" t="s">
        <v>286</v>
      </c>
      <c r="B67" s="306" t="s">
        <v>322</v>
      </c>
      <c r="C67" s="307" t="s">
        <v>283</v>
      </c>
      <c r="D67" s="307" t="s">
        <v>282</v>
      </c>
      <c r="E67" s="306" t="s">
        <v>127</v>
      </c>
      <c r="F67" s="308">
        <v>-2.9000000000000001E-2</v>
      </c>
      <c r="G67" s="309">
        <v>-282.08999999999997</v>
      </c>
      <c r="H67" s="308" t="s">
        <v>559</v>
      </c>
      <c r="I67" s="309" t="s">
        <v>559</v>
      </c>
      <c r="J67" s="308" t="s">
        <v>559</v>
      </c>
      <c r="K67" s="309" t="s">
        <v>559</v>
      </c>
      <c r="L67" s="308" t="s">
        <v>559</v>
      </c>
      <c r="M67" s="309" t="s">
        <v>559</v>
      </c>
      <c r="N67" s="308">
        <v>-2.9000000000000001E-2</v>
      </c>
      <c r="O67" s="309">
        <v>-282.08999999999997</v>
      </c>
      <c r="P67" s="302"/>
      <c r="V67" s="304"/>
      <c r="W67" s="304"/>
      <c r="AD67" s="304"/>
      <c r="AE67" s="304"/>
      <c r="AR67" s="304"/>
      <c r="AS67" s="304"/>
      <c r="AT67" s="304"/>
      <c r="AU67" s="304"/>
      <c r="AV67" s="304"/>
      <c r="AW67" s="304"/>
      <c r="AX67" s="304"/>
      <c r="AY67" s="304"/>
      <c r="AZ67" s="304"/>
      <c r="BA67" s="304"/>
      <c r="BB67" s="304"/>
      <c r="BC67" s="304"/>
      <c r="BK67" s="305"/>
      <c r="BL67" s="305"/>
      <c r="BM67" s="305"/>
      <c r="BN67" s="305"/>
      <c r="BO67" s="305"/>
      <c r="BP67" s="305"/>
      <c r="BQ67" s="305"/>
      <c r="BR67" s="305"/>
      <c r="BS67" s="305"/>
      <c r="BT67" s="305"/>
      <c r="BU67" s="305"/>
      <c r="BV67" s="305"/>
      <c r="BX67" s="319"/>
    </row>
    <row r="68" spans="1:76" s="303" customFormat="1" ht="33.75" x14ac:dyDescent="0.25">
      <c r="A68" s="306" t="s">
        <v>287</v>
      </c>
      <c r="B68" s="306" t="s">
        <v>323</v>
      </c>
      <c r="C68" s="307" t="s">
        <v>285</v>
      </c>
      <c r="D68" s="307" t="s">
        <v>120</v>
      </c>
      <c r="E68" s="306" t="s">
        <v>130</v>
      </c>
      <c r="F68" s="308">
        <v>0.36</v>
      </c>
      <c r="G68" s="309">
        <v>14126.77</v>
      </c>
      <c r="H68" s="308" t="s">
        <v>559</v>
      </c>
      <c r="I68" s="309" t="s">
        <v>559</v>
      </c>
      <c r="J68" s="308" t="s">
        <v>559</v>
      </c>
      <c r="K68" s="309" t="s">
        <v>559</v>
      </c>
      <c r="L68" s="308" t="s">
        <v>559</v>
      </c>
      <c r="M68" s="309" t="s">
        <v>559</v>
      </c>
      <c r="N68" s="308">
        <v>0.36</v>
      </c>
      <c r="O68" s="309">
        <v>14126.77</v>
      </c>
      <c r="P68" s="302"/>
      <c r="V68" s="304"/>
      <c r="W68" s="304"/>
      <c r="AD68" s="304"/>
      <c r="AE68" s="304"/>
      <c r="AR68" s="304"/>
      <c r="AS68" s="304"/>
      <c r="AT68" s="304"/>
      <c r="AU68" s="304"/>
      <c r="AV68" s="304"/>
      <c r="AW68" s="304"/>
      <c r="AX68" s="304"/>
      <c r="AY68" s="304"/>
      <c r="AZ68" s="304"/>
      <c r="BA68" s="304"/>
      <c r="BB68" s="304"/>
      <c r="BC68" s="304"/>
      <c r="BK68" s="305"/>
      <c r="BL68" s="305"/>
      <c r="BM68" s="305"/>
      <c r="BN68" s="305"/>
      <c r="BO68" s="305"/>
      <c r="BP68" s="305"/>
      <c r="BQ68" s="305"/>
      <c r="BR68" s="305"/>
      <c r="BS68" s="305"/>
      <c r="BT68" s="305"/>
      <c r="BU68" s="305"/>
      <c r="BV68" s="305"/>
      <c r="BX68" s="319"/>
    </row>
    <row r="69" spans="1:76" s="303" customFormat="1" ht="33.75" x14ac:dyDescent="0.25">
      <c r="A69" s="306" t="s">
        <v>290</v>
      </c>
      <c r="B69" s="306" t="s">
        <v>324</v>
      </c>
      <c r="C69" s="307" t="s">
        <v>129</v>
      </c>
      <c r="D69" s="307" t="s">
        <v>120</v>
      </c>
      <c r="E69" s="306" t="s">
        <v>130</v>
      </c>
      <c r="F69" s="308">
        <v>2.9000000000000001E-2</v>
      </c>
      <c r="G69" s="309">
        <v>843.21</v>
      </c>
      <c r="H69" s="308" t="s">
        <v>559</v>
      </c>
      <c r="I69" s="309" t="s">
        <v>559</v>
      </c>
      <c r="J69" s="308" t="s">
        <v>559</v>
      </c>
      <c r="K69" s="309" t="s">
        <v>559</v>
      </c>
      <c r="L69" s="308" t="s">
        <v>559</v>
      </c>
      <c r="M69" s="309" t="s">
        <v>559</v>
      </c>
      <c r="N69" s="308">
        <v>2.9000000000000001E-2</v>
      </c>
      <c r="O69" s="309">
        <v>843.21</v>
      </c>
      <c r="P69" s="302"/>
      <c r="V69" s="304"/>
      <c r="W69" s="304"/>
      <c r="AD69" s="304"/>
      <c r="AE69" s="304"/>
      <c r="AR69" s="304"/>
      <c r="AS69" s="304"/>
      <c r="AT69" s="304"/>
      <c r="AU69" s="304"/>
      <c r="AV69" s="304"/>
      <c r="AW69" s="304"/>
      <c r="AX69" s="304"/>
      <c r="AY69" s="304"/>
      <c r="AZ69" s="304"/>
      <c r="BA69" s="304"/>
      <c r="BB69" s="304"/>
      <c r="BC69" s="304"/>
      <c r="BK69" s="305"/>
      <c r="BL69" s="305"/>
      <c r="BM69" s="305"/>
      <c r="BN69" s="305"/>
      <c r="BO69" s="305"/>
      <c r="BP69" s="305"/>
      <c r="BQ69" s="305"/>
      <c r="BR69" s="305"/>
      <c r="BS69" s="305"/>
      <c r="BT69" s="305"/>
      <c r="BU69" s="305"/>
      <c r="BV69" s="305"/>
      <c r="BX69" s="319"/>
    </row>
    <row r="70" spans="1:76" s="303" customFormat="1" ht="33.75" x14ac:dyDescent="0.25">
      <c r="A70" s="306" t="s">
        <v>291</v>
      </c>
      <c r="B70" s="306" t="s">
        <v>326</v>
      </c>
      <c r="C70" s="307" t="s">
        <v>164</v>
      </c>
      <c r="D70" s="307" t="s">
        <v>163</v>
      </c>
      <c r="E70" s="306" t="s">
        <v>165</v>
      </c>
      <c r="F70" s="308">
        <v>12.71</v>
      </c>
      <c r="G70" s="309">
        <v>41.69</v>
      </c>
      <c r="H70" s="308" t="s">
        <v>559</v>
      </c>
      <c r="I70" s="309" t="s">
        <v>559</v>
      </c>
      <c r="J70" s="308" t="s">
        <v>559</v>
      </c>
      <c r="K70" s="309" t="s">
        <v>559</v>
      </c>
      <c r="L70" s="308" t="s">
        <v>559</v>
      </c>
      <c r="M70" s="309" t="s">
        <v>559</v>
      </c>
      <c r="N70" s="308">
        <v>12.71</v>
      </c>
      <c r="O70" s="309">
        <v>41.69</v>
      </c>
      <c r="P70" s="302"/>
      <c r="V70" s="304"/>
      <c r="W70" s="304"/>
      <c r="AD70" s="304"/>
      <c r="AE70" s="304"/>
      <c r="AR70" s="304"/>
      <c r="AS70" s="304"/>
      <c r="AT70" s="304"/>
      <c r="AU70" s="304"/>
      <c r="AV70" s="304"/>
      <c r="AW70" s="304"/>
      <c r="AX70" s="304"/>
      <c r="AY70" s="304"/>
      <c r="AZ70" s="304"/>
      <c r="BA70" s="304"/>
      <c r="BB70" s="304"/>
      <c r="BC70" s="304"/>
      <c r="BK70" s="305"/>
      <c r="BL70" s="305"/>
      <c r="BM70" s="305"/>
      <c r="BN70" s="305"/>
      <c r="BO70" s="305"/>
      <c r="BP70" s="305"/>
      <c r="BQ70" s="305"/>
      <c r="BR70" s="305"/>
      <c r="BS70" s="305"/>
      <c r="BT70" s="305"/>
      <c r="BU70" s="305"/>
      <c r="BV70" s="305"/>
      <c r="BX70" s="319"/>
    </row>
    <row r="71" spans="1:76" s="303" customFormat="1" ht="45" x14ac:dyDescent="0.25">
      <c r="A71" s="306" t="s">
        <v>293</v>
      </c>
      <c r="B71" s="306" t="s">
        <v>327</v>
      </c>
      <c r="C71" s="307" t="s">
        <v>292</v>
      </c>
      <c r="D71" s="307" t="s">
        <v>167</v>
      </c>
      <c r="E71" s="306" t="s">
        <v>165</v>
      </c>
      <c r="F71" s="308">
        <v>1.06</v>
      </c>
      <c r="G71" s="309">
        <v>8.89</v>
      </c>
      <c r="H71" s="308" t="s">
        <v>559</v>
      </c>
      <c r="I71" s="309" t="s">
        <v>559</v>
      </c>
      <c r="J71" s="308" t="s">
        <v>559</v>
      </c>
      <c r="K71" s="309" t="s">
        <v>559</v>
      </c>
      <c r="L71" s="308" t="s">
        <v>559</v>
      </c>
      <c r="M71" s="309" t="s">
        <v>559</v>
      </c>
      <c r="N71" s="308">
        <v>1.06</v>
      </c>
      <c r="O71" s="309">
        <v>8.89</v>
      </c>
      <c r="P71" s="302"/>
      <c r="V71" s="304"/>
      <c r="W71" s="304"/>
      <c r="AD71" s="304"/>
      <c r="AE71" s="304"/>
      <c r="AR71" s="304"/>
      <c r="AS71" s="304"/>
      <c r="AT71" s="304"/>
      <c r="AU71" s="304"/>
      <c r="AV71" s="304"/>
      <c r="AW71" s="304"/>
      <c r="AX71" s="304"/>
      <c r="AY71" s="304"/>
      <c r="AZ71" s="304"/>
      <c r="BA71" s="304"/>
      <c r="BB71" s="304"/>
      <c r="BC71" s="304"/>
      <c r="BK71" s="305"/>
      <c r="BL71" s="305"/>
      <c r="BM71" s="305"/>
      <c r="BN71" s="305"/>
      <c r="BO71" s="305"/>
      <c r="BP71" s="305"/>
      <c r="BQ71" s="305"/>
      <c r="BR71" s="305"/>
      <c r="BS71" s="305"/>
      <c r="BT71" s="305"/>
      <c r="BU71" s="305"/>
      <c r="BV71" s="305"/>
      <c r="BX71" s="319"/>
    </row>
    <row r="72" spans="1:76" s="303" customFormat="1" ht="33.75" x14ac:dyDescent="0.25">
      <c r="A72" s="306" t="s">
        <v>295</v>
      </c>
      <c r="B72" s="306" t="s">
        <v>328</v>
      </c>
      <c r="C72" s="307" t="s">
        <v>294</v>
      </c>
      <c r="D72" s="307" t="s">
        <v>170</v>
      </c>
      <c r="E72" s="306" t="s">
        <v>165</v>
      </c>
      <c r="F72" s="308">
        <v>0.2</v>
      </c>
      <c r="G72" s="309">
        <v>2.1800000000000002</v>
      </c>
      <c r="H72" s="308" t="s">
        <v>559</v>
      </c>
      <c r="I72" s="309" t="s">
        <v>559</v>
      </c>
      <c r="J72" s="308" t="s">
        <v>559</v>
      </c>
      <c r="K72" s="309" t="s">
        <v>559</v>
      </c>
      <c r="L72" s="308" t="s">
        <v>559</v>
      </c>
      <c r="M72" s="309" t="s">
        <v>559</v>
      </c>
      <c r="N72" s="308">
        <v>0.2</v>
      </c>
      <c r="O72" s="309">
        <v>2.1800000000000002</v>
      </c>
      <c r="P72" s="302"/>
      <c r="V72" s="304"/>
      <c r="W72" s="304"/>
      <c r="AD72" s="304"/>
      <c r="AE72" s="304"/>
      <c r="AR72" s="304"/>
      <c r="AS72" s="304"/>
      <c r="AT72" s="304"/>
      <c r="AU72" s="304"/>
      <c r="AV72" s="304"/>
      <c r="AW72" s="304"/>
      <c r="AX72" s="304"/>
      <c r="AY72" s="304"/>
      <c r="AZ72" s="304"/>
      <c r="BA72" s="304"/>
      <c r="BB72" s="304"/>
      <c r="BC72" s="304"/>
      <c r="BK72" s="305"/>
      <c r="BL72" s="305"/>
      <c r="BM72" s="305"/>
      <c r="BN72" s="305"/>
      <c r="BO72" s="305"/>
      <c r="BP72" s="305"/>
      <c r="BQ72" s="305"/>
      <c r="BR72" s="305"/>
      <c r="BS72" s="305"/>
      <c r="BT72" s="305"/>
      <c r="BU72" s="305"/>
      <c r="BV72" s="305"/>
      <c r="BX72" s="319"/>
    </row>
    <row r="73" spans="1:76" s="303" customFormat="1" ht="33.75" x14ac:dyDescent="0.25">
      <c r="A73" s="306" t="s">
        <v>308</v>
      </c>
      <c r="B73" s="306" t="s">
        <v>329</v>
      </c>
      <c r="C73" s="307" t="s">
        <v>174</v>
      </c>
      <c r="D73" s="307" t="s">
        <v>173</v>
      </c>
      <c r="E73" s="306" t="s">
        <v>165</v>
      </c>
      <c r="F73" s="308">
        <v>13.97</v>
      </c>
      <c r="G73" s="309">
        <v>53.92</v>
      </c>
      <c r="H73" s="308" t="s">
        <v>559</v>
      </c>
      <c r="I73" s="309" t="s">
        <v>559</v>
      </c>
      <c r="J73" s="308" t="s">
        <v>559</v>
      </c>
      <c r="K73" s="309" t="s">
        <v>559</v>
      </c>
      <c r="L73" s="308" t="s">
        <v>559</v>
      </c>
      <c r="M73" s="309" t="s">
        <v>559</v>
      </c>
      <c r="N73" s="308">
        <v>13.97</v>
      </c>
      <c r="O73" s="309">
        <v>53.92</v>
      </c>
      <c r="P73" s="302"/>
      <c r="V73" s="304"/>
      <c r="W73" s="304"/>
      <c r="AD73" s="304"/>
      <c r="AE73" s="304"/>
      <c r="AR73" s="304"/>
      <c r="AS73" s="304"/>
      <c r="AT73" s="304"/>
      <c r="AU73" s="304"/>
      <c r="AV73" s="304"/>
      <c r="AW73" s="304"/>
      <c r="AX73" s="304"/>
      <c r="AY73" s="304"/>
      <c r="AZ73" s="304"/>
      <c r="BA73" s="304"/>
      <c r="BB73" s="304"/>
      <c r="BC73" s="304"/>
      <c r="BK73" s="305"/>
      <c r="BL73" s="305"/>
      <c r="BM73" s="305"/>
      <c r="BN73" s="305"/>
      <c r="BO73" s="305"/>
      <c r="BP73" s="305"/>
      <c r="BQ73" s="305"/>
      <c r="BR73" s="305"/>
      <c r="BS73" s="305"/>
      <c r="BT73" s="305"/>
      <c r="BU73" s="305"/>
      <c r="BV73" s="305"/>
      <c r="BX73" s="319"/>
    </row>
    <row r="74" spans="1:76" s="303" customFormat="1" x14ac:dyDescent="0.25">
      <c r="A74" s="339" t="s">
        <v>334</v>
      </c>
      <c r="B74" s="340"/>
      <c r="C74" s="340"/>
      <c r="D74" s="340"/>
      <c r="E74" s="340"/>
      <c r="F74" s="340"/>
      <c r="G74" s="340"/>
      <c r="H74" s="340"/>
      <c r="I74" s="340"/>
      <c r="J74" s="340"/>
      <c r="K74" s="340"/>
      <c r="L74" s="340"/>
      <c r="M74" s="340"/>
      <c r="N74" s="340"/>
      <c r="O74" s="340"/>
      <c r="P74" s="302"/>
      <c r="V74" s="304"/>
      <c r="W74" s="304"/>
      <c r="AD74" s="304"/>
      <c r="AE74" s="304"/>
      <c r="AR74" s="304"/>
      <c r="AS74" s="304"/>
      <c r="AT74" s="304"/>
      <c r="AU74" s="304"/>
      <c r="AV74" s="304"/>
      <c r="AW74" s="304"/>
      <c r="AX74" s="304"/>
      <c r="AY74" s="304"/>
      <c r="AZ74" s="304"/>
      <c r="BA74" s="304"/>
      <c r="BB74" s="304"/>
      <c r="BC74" s="304"/>
      <c r="BK74" s="305"/>
      <c r="BL74" s="305"/>
      <c r="BM74" s="305"/>
      <c r="BN74" s="305"/>
      <c r="BO74" s="305"/>
      <c r="BP74" s="305"/>
      <c r="BQ74" s="305"/>
      <c r="BR74" s="305"/>
      <c r="BS74" s="305"/>
      <c r="BT74" s="305"/>
      <c r="BU74" s="305"/>
      <c r="BV74" s="305"/>
      <c r="BX74" s="319"/>
    </row>
    <row r="75" spans="1:76" s="303" customFormat="1" ht="22.5" x14ac:dyDescent="0.25">
      <c r="A75" s="306" t="s">
        <v>309</v>
      </c>
      <c r="B75" s="306" t="s">
        <v>335</v>
      </c>
      <c r="C75" s="307" t="s">
        <v>209</v>
      </c>
      <c r="D75" s="307" t="s">
        <v>208</v>
      </c>
      <c r="E75" s="306" t="s">
        <v>210</v>
      </c>
      <c r="F75" s="308">
        <v>1</v>
      </c>
      <c r="G75" s="309">
        <v>949.76</v>
      </c>
      <c r="H75" s="308" t="s">
        <v>559</v>
      </c>
      <c r="I75" s="309" t="s">
        <v>559</v>
      </c>
      <c r="J75" s="308" t="s">
        <v>559</v>
      </c>
      <c r="K75" s="309" t="s">
        <v>559</v>
      </c>
      <c r="L75" s="308" t="s">
        <v>559</v>
      </c>
      <c r="M75" s="309" t="s">
        <v>559</v>
      </c>
      <c r="N75" s="308">
        <v>1</v>
      </c>
      <c r="O75" s="309">
        <v>949.76</v>
      </c>
      <c r="P75" s="302"/>
      <c r="V75" s="304"/>
      <c r="W75" s="304"/>
      <c r="AD75" s="304"/>
      <c r="AE75" s="304"/>
      <c r="AR75" s="304"/>
      <c r="AS75" s="304"/>
      <c r="AT75" s="304"/>
      <c r="AU75" s="304"/>
      <c r="AV75" s="304"/>
      <c r="AW75" s="304"/>
      <c r="AX75" s="304"/>
      <c r="AY75" s="304"/>
      <c r="AZ75" s="304"/>
      <c r="BA75" s="304"/>
      <c r="BB75" s="304"/>
      <c r="BC75" s="304"/>
      <c r="BK75" s="305"/>
      <c r="BL75" s="305"/>
      <c r="BM75" s="305"/>
      <c r="BN75" s="305"/>
      <c r="BO75" s="305"/>
      <c r="BP75" s="305"/>
      <c r="BQ75" s="305"/>
      <c r="BR75" s="305"/>
      <c r="BS75" s="305"/>
      <c r="BT75" s="305"/>
      <c r="BU75" s="305"/>
      <c r="BV75" s="305"/>
      <c r="BX75" s="319"/>
    </row>
    <row r="76" spans="1:76" s="303" customFormat="1" ht="33.75" x14ac:dyDescent="0.25">
      <c r="A76" s="306" t="s">
        <v>310</v>
      </c>
      <c r="B76" s="306" t="s">
        <v>336</v>
      </c>
      <c r="C76" s="307" t="s">
        <v>83</v>
      </c>
      <c r="D76" s="307" t="s">
        <v>82</v>
      </c>
      <c r="E76" s="306" t="s">
        <v>58</v>
      </c>
      <c r="F76" s="308">
        <v>0.25800000000000001</v>
      </c>
      <c r="G76" s="309">
        <v>150.13999999999999</v>
      </c>
      <c r="H76" s="308" t="s">
        <v>559</v>
      </c>
      <c r="I76" s="309" t="s">
        <v>559</v>
      </c>
      <c r="J76" s="308" t="s">
        <v>559</v>
      </c>
      <c r="K76" s="309" t="s">
        <v>559</v>
      </c>
      <c r="L76" s="308" t="s">
        <v>559</v>
      </c>
      <c r="M76" s="309" t="s">
        <v>559</v>
      </c>
      <c r="N76" s="308">
        <v>0.25800000000000001</v>
      </c>
      <c r="O76" s="309">
        <v>150.13999999999999</v>
      </c>
      <c r="P76" s="302"/>
      <c r="V76" s="304"/>
      <c r="W76" s="304"/>
      <c r="AD76" s="304"/>
      <c r="AE76" s="304"/>
      <c r="AR76" s="304"/>
      <c r="AS76" s="304"/>
      <c r="AT76" s="304"/>
      <c r="AU76" s="304"/>
      <c r="AV76" s="304"/>
      <c r="AW76" s="304"/>
      <c r="AX76" s="304"/>
      <c r="AY76" s="304"/>
      <c r="AZ76" s="304"/>
      <c r="BA76" s="304"/>
      <c r="BB76" s="304"/>
      <c r="BC76" s="304"/>
      <c r="BK76" s="305"/>
      <c r="BL76" s="305"/>
      <c r="BM76" s="305"/>
      <c r="BN76" s="305"/>
      <c r="BO76" s="305"/>
      <c r="BP76" s="305"/>
      <c r="BQ76" s="305"/>
      <c r="BR76" s="305"/>
      <c r="BS76" s="305"/>
      <c r="BT76" s="305"/>
      <c r="BU76" s="305"/>
      <c r="BV76" s="305"/>
      <c r="BX76" s="319"/>
    </row>
    <row r="77" spans="1:76" s="303" customFormat="1" ht="22.5" x14ac:dyDescent="0.25">
      <c r="A77" s="306" t="s">
        <v>311</v>
      </c>
      <c r="B77" s="306" t="s">
        <v>337</v>
      </c>
      <c r="C77" s="307" t="s">
        <v>90</v>
      </c>
      <c r="D77" s="307" t="s">
        <v>89</v>
      </c>
      <c r="E77" s="306" t="s">
        <v>58</v>
      </c>
      <c r="F77" s="308">
        <v>0.1237</v>
      </c>
      <c r="G77" s="309">
        <v>64.7</v>
      </c>
      <c r="H77" s="308" t="s">
        <v>559</v>
      </c>
      <c r="I77" s="309" t="s">
        <v>559</v>
      </c>
      <c r="J77" s="308" t="s">
        <v>559</v>
      </c>
      <c r="K77" s="309" t="s">
        <v>559</v>
      </c>
      <c r="L77" s="308" t="s">
        <v>559</v>
      </c>
      <c r="M77" s="309" t="s">
        <v>559</v>
      </c>
      <c r="N77" s="308">
        <v>0.1237</v>
      </c>
      <c r="O77" s="309">
        <v>64.7</v>
      </c>
      <c r="P77" s="302"/>
      <c r="V77" s="304"/>
      <c r="W77" s="304"/>
      <c r="AD77" s="304"/>
      <c r="AE77" s="304"/>
      <c r="AR77" s="304"/>
      <c r="AS77" s="304"/>
      <c r="AT77" s="304"/>
      <c r="AU77" s="304"/>
      <c r="AV77" s="304"/>
      <c r="AW77" s="304"/>
      <c r="AX77" s="304"/>
      <c r="AY77" s="304"/>
      <c r="AZ77" s="304"/>
      <c r="BA77" s="304"/>
      <c r="BB77" s="304"/>
      <c r="BC77" s="304"/>
      <c r="BK77" s="305"/>
      <c r="BL77" s="305"/>
      <c r="BM77" s="305"/>
      <c r="BN77" s="305"/>
      <c r="BO77" s="305"/>
      <c r="BP77" s="305"/>
      <c r="BQ77" s="305"/>
      <c r="BR77" s="305"/>
      <c r="BS77" s="305"/>
      <c r="BT77" s="305"/>
      <c r="BU77" s="305"/>
      <c r="BV77" s="305"/>
      <c r="BX77" s="319"/>
    </row>
    <row r="78" spans="1:76" s="303" customFormat="1" ht="22.5" x14ac:dyDescent="0.25">
      <c r="A78" s="306" t="s">
        <v>312</v>
      </c>
      <c r="B78" s="306" t="s">
        <v>338</v>
      </c>
      <c r="C78" s="307" t="s">
        <v>97</v>
      </c>
      <c r="D78" s="307" t="s">
        <v>96</v>
      </c>
      <c r="E78" s="306" t="s">
        <v>58</v>
      </c>
      <c r="F78" s="308">
        <v>0.124</v>
      </c>
      <c r="G78" s="309">
        <v>819.56</v>
      </c>
      <c r="H78" s="308" t="s">
        <v>559</v>
      </c>
      <c r="I78" s="309" t="s">
        <v>559</v>
      </c>
      <c r="J78" s="308" t="s">
        <v>559</v>
      </c>
      <c r="K78" s="309" t="s">
        <v>559</v>
      </c>
      <c r="L78" s="308" t="s">
        <v>559</v>
      </c>
      <c r="M78" s="309" t="s">
        <v>559</v>
      </c>
      <c r="N78" s="308">
        <v>0.124</v>
      </c>
      <c r="O78" s="309">
        <v>819.56</v>
      </c>
      <c r="P78" s="302"/>
      <c r="V78" s="304"/>
      <c r="W78" s="304"/>
      <c r="AD78" s="304"/>
      <c r="AE78" s="304"/>
      <c r="AR78" s="304"/>
      <c r="AS78" s="304"/>
      <c r="AT78" s="304"/>
      <c r="AU78" s="304"/>
      <c r="AV78" s="304"/>
      <c r="AW78" s="304"/>
      <c r="AX78" s="304"/>
      <c r="AY78" s="304"/>
      <c r="AZ78" s="304"/>
      <c r="BA78" s="304"/>
      <c r="BB78" s="304"/>
      <c r="BC78" s="304"/>
      <c r="BK78" s="305"/>
      <c r="BL78" s="305"/>
      <c r="BM78" s="305"/>
      <c r="BN78" s="305"/>
      <c r="BO78" s="305"/>
      <c r="BP78" s="305"/>
      <c r="BQ78" s="305"/>
      <c r="BR78" s="305"/>
      <c r="BS78" s="305"/>
      <c r="BT78" s="305"/>
      <c r="BU78" s="305"/>
      <c r="BV78" s="305"/>
      <c r="BX78" s="319"/>
    </row>
    <row r="79" spans="1:76" s="303" customFormat="1" ht="33.75" x14ac:dyDescent="0.25">
      <c r="A79" s="306" t="s">
        <v>313</v>
      </c>
      <c r="B79" s="306" t="s">
        <v>339</v>
      </c>
      <c r="C79" s="307" t="s">
        <v>105</v>
      </c>
      <c r="D79" s="307" t="s">
        <v>104</v>
      </c>
      <c r="E79" s="306" t="s">
        <v>106</v>
      </c>
      <c r="F79" s="308">
        <v>15.62</v>
      </c>
      <c r="G79" s="309">
        <v>10216.66</v>
      </c>
      <c r="H79" s="308" t="s">
        <v>559</v>
      </c>
      <c r="I79" s="309" t="s">
        <v>559</v>
      </c>
      <c r="J79" s="308" t="s">
        <v>559</v>
      </c>
      <c r="K79" s="309" t="s">
        <v>559</v>
      </c>
      <c r="L79" s="308" t="s">
        <v>559</v>
      </c>
      <c r="M79" s="309" t="s">
        <v>559</v>
      </c>
      <c r="N79" s="308">
        <v>15.62</v>
      </c>
      <c r="O79" s="309">
        <v>10216.66</v>
      </c>
      <c r="P79" s="302"/>
      <c r="V79" s="304"/>
      <c r="W79" s="304"/>
      <c r="AD79" s="304"/>
      <c r="AE79" s="304"/>
      <c r="AR79" s="304"/>
      <c r="AS79" s="304"/>
      <c r="AT79" s="304"/>
      <c r="AU79" s="304"/>
      <c r="AV79" s="304"/>
      <c r="AW79" s="304"/>
      <c r="AX79" s="304"/>
      <c r="AY79" s="304"/>
      <c r="AZ79" s="304"/>
      <c r="BA79" s="304"/>
      <c r="BB79" s="304"/>
      <c r="BC79" s="304"/>
      <c r="BK79" s="305"/>
      <c r="BL79" s="305"/>
      <c r="BM79" s="305"/>
      <c r="BN79" s="305"/>
      <c r="BO79" s="305"/>
      <c r="BP79" s="305"/>
      <c r="BQ79" s="305"/>
      <c r="BR79" s="305"/>
      <c r="BS79" s="305"/>
      <c r="BT79" s="305"/>
      <c r="BU79" s="305"/>
      <c r="BV79" s="305"/>
      <c r="BX79" s="319"/>
    </row>
    <row r="80" spans="1:76" s="303" customFormat="1" ht="33.75" x14ac:dyDescent="0.25">
      <c r="A80" s="306" t="s">
        <v>314</v>
      </c>
      <c r="B80" s="306" t="s">
        <v>340</v>
      </c>
      <c r="C80" s="307" t="s">
        <v>242</v>
      </c>
      <c r="D80" s="307" t="s">
        <v>241</v>
      </c>
      <c r="E80" s="306" t="s">
        <v>210</v>
      </c>
      <c r="F80" s="308">
        <v>1</v>
      </c>
      <c r="G80" s="309">
        <v>9978.5400000000009</v>
      </c>
      <c r="H80" s="308" t="s">
        <v>559</v>
      </c>
      <c r="I80" s="309" t="s">
        <v>559</v>
      </c>
      <c r="J80" s="308" t="s">
        <v>559</v>
      </c>
      <c r="K80" s="309" t="s">
        <v>559</v>
      </c>
      <c r="L80" s="308" t="s">
        <v>559</v>
      </c>
      <c r="M80" s="309" t="s">
        <v>559</v>
      </c>
      <c r="N80" s="308">
        <v>1</v>
      </c>
      <c r="O80" s="309">
        <v>9978.5400000000009</v>
      </c>
      <c r="P80" s="302"/>
      <c r="V80" s="304"/>
      <c r="W80" s="304"/>
      <c r="AD80" s="304"/>
      <c r="AE80" s="304"/>
      <c r="AR80" s="304"/>
      <c r="AS80" s="304"/>
      <c r="AT80" s="304"/>
      <c r="AU80" s="304"/>
      <c r="AV80" s="304"/>
      <c r="AW80" s="304"/>
      <c r="AX80" s="304"/>
      <c r="AY80" s="304"/>
      <c r="AZ80" s="304"/>
      <c r="BA80" s="304"/>
      <c r="BB80" s="304"/>
      <c r="BC80" s="304"/>
      <c r="BK80" s="305"/>
      <c r="BL80" s="305"/>
      <c r="BM80" s="305"/>
      <c r="BN80" s="305"/>
      <c r="BO80" s="305"/>
      <c r="BP80" s="305"/>
      <c r="BQ80" s="305"/>
      <c r="BR80" s="305"/>
      <c r="BS80" s="305"/>
      <c r="BT80" s="305"/>
      <c r="BU80" s="305"/>
      <c r="BV80" s="305"/>
      <c r="BX80" s="319"/>
    </row>
    <row r="81" spans="1:76" s="303" customFormat="1" ht="33.75" x14ac:dyDescent="0.25">
      <c r="A81" s="306" t="s">
        <v>315</v>
      </c>
      <c r="B81" s="306" t="s">
        <v>341</v>
      </c>
      <c r="C81" s="307" t="s">
        <v>245</v>
      </c>
      <c r="D81" s="307" t="s">
        <v>244</v>
      </c>
      <c r="E81" s="306" t="s">
        <v>246</v>
      </c>
      <c r="F81" s="308">
        <v>1</v>
      </c>
      <c r="G81" s="309">
        <v>175555.37</v>
      </c>
      <c r="H81" s="308" t="s">
        <v>559</v>
      </c>
      <c r="I81" s="309" t="s">
        <v>559</v>
      </c>
      <c r="J81" s="308" t="s">
        <v>559</v>
      </c>
      <c r="K81" s="309" t="s">
        <v>559</v>
      </c>
      <c r="L81" s="308" t="s">
        <v>559</v>
      </c>
      <c r="M81" s="309" t="s">
        <v>559</v>
      </c>
      <c r="N81" s="308">
        <v>1</v>
      </c>
      <c r="O81" s="309">
        <v>175555.37</v>
      </c>
      <c r="P81" s="302"/>
      <c r="V81" s="304"/>
      <c r="W81" s="304"/>
      <c r="AD81" s="304"/>
      <c r="AE81" s="304"/>
      <c r="AR81" s="304"/>
      <c r="AS81" s="304"/>
      <c r="AT81" s="304"/>
      <c r="AU81" s="304"/>
      <c r="AV81" s="304"/>
      <c r="AW81" s="304"/>
      <c r="AX81" s="304"/>
      <c r="AY81" s="304"/>
      <c r="AZ81" s="304"/>
      <c r="BA81" s="304"/>
      <c r="BB81" s="304"/>
      <c r="BC81" s="304"/>
      <c r="BK81" s="305"/>
      <c r="BL81" s="305"/>
      <c r="BM81" s="305"/>
      <c r="BN81" s="305"/>
      <c r="BO81" s="305"/>
      <c r="BP81" s="305"/>
      <c r="BQ81" s="305"/>
      <c r="BR81" s="305"/>
      <c r="BS81" s="305"/>
      <c r="BT81" s="305"/>
      <c r="BU81" s="305"/>
      <c r="BV81" s="305"/>
      <c r="BX81" s="319"/>
    </row>
    <row r="82" spans="1:76" s="303" customFormat="1" ht="33.75" x14ac:dyDescent="0.25">
      <c r="A82" s="306" t="s">
        <v>316</v>
      </c>
      <c r="B82" s="306" t="s">
        <v>342</v>
      </c>
      <c r="C82" s="307" t="s">
        <v>250</v>
      </c>
      <c r="D82" s="307" t="s">
        <v>249</v>
      </c>
      <c r="E82" s="306" t="s">
        <v>246</v>
      </c>
      <c r="F82" s="308">
        <v>1</v>
      </c>
      <c r="G82" s="309">
        <v>378541.26</v>
      </c>
      <c r="H82" s="308" t="s">
        <v>559</v>
      </c>
      <c r="I82" s="309" t="s">
        <v>559</v>
      </c>
      <c r="J82" s="308" t="s">
        <v>559</v>
      </c>
      <c r="K82" s="309" t="s">
        <v>559</v>
      </c>
      <c r="L82" s="308" t="s">
        <v>559</v>
      </c>
      <c r="M82" s="309" t="s">
        <v>559</v>
      </c>
      <c r="N82" s="308">
        <v>1</v>
      </c>
      <c r="O82" s="309">
        <v>378541.26</v>
      </c>
      <c r="P82" s="302"/>
      <c r="V82" s="304"/>
      <c r="W82" s="304"/>
      <c r="AD82" s="304"/>
      <c r="AE82" s="304"/>
      <c r="AR82" s="304"/>
      <c r="AS82" s="304"/>
      <c r="AT82" s="304"/>
      <c r="AU82" s="304"/>
      <c r="AV82" s="304"/>
      <c r="AW82" s="304"/>
      <c r="AX82" s="304"/>
      <c r="AY82" s="304"/>
      <c r="AZ82" s="304"/>
      <c r="BA82" s="304"/>
      <c r="BB82" s="304"/>
      <c r="BC82" s="304"/>
      <c r="BK82" s="305"/>
      <c r="BL82" s="305"/>
      <c r="BM82" s="305"/>
      <c r="BN82" s="305"/>
      <c r="BO82" s="305"/>
      <c r="BP82" s="305"/>
      <c r="BQ82" s="305"/>
      <c r="BR82" s="305"/>
      <c r="BS82" s="305"/>
      <c r="BT82" s="305"/>
      <c r="BU82" s="305"/>
      <c r="BV82" s="305"/>
      <c r="BX82" s="319"/>
    </row>
    <row r="83" spans="1:76" s="303" customFormat="1" ht="33.75" x14ac:dyDescent="0.25">
      <c r="A83" s="306" t="s">
        <v>317</v>
      </c>
      <c r="B83" s="306" t="s">
        <v>343</v>
      </c>
      <c r="C83" s="307" t="s">
        <v>254</v>
      </c>
      <c r="D83" s="307" t="s">
        <v>253</v>
      </c>
      <c r="E83" s="306" t="s">
        <v>115</v>
      </c>
      <c r="F83" s="308">
        <v>1</v>
      </c>
      <c r="G83" s="309">
        <v>1556.89</v>
      </c>
      <c r="H83" s="308" t="s">
        <v>559</v>
      </c>
      <c r="I83" s="309" t="s">
        <v>559</v>
      </c>
      <c r="J83" s="308" t="s">
        <v>559</v>
      </c>
      <c r="K83" s="309" t="s">
        <v>559</v>
      </c>
      <c r="L83" s="308" t="s">
        <v>559</v>
      </c>
      <c r="M83" s="309" t="s">
        <v>559</v>
      </c>
      <c r="N83" s="308">
        <v>1</v>
      </c>
      <c r="O83" s="309">
        <v>1556.89</v>
      </c>
      <c r="P83" s="302"/>
      <c r="V83" s="304"/>
      <c r="W83" s="304"/>
      <c r="AD83" s="304"/>
      <c r="AE83" s="304"/>
      <c r="AR83" s="304"/>
      <c r="AS83" s="304"/>
      <c r="AT83" s="304"/>
      <c r="AU83" s="304"/>
      <c r="AV83" s="304"/>
      <c r="AW83" s="304"/>
      <c r="AX83" s="304"/>
      <c r="AY83" s="304"/>
      <c r="AZ83" s="304"/>
      <c r="BA83" s="304"/>
      <c r="BB83" s="304"/>
      <c r="BC83" s="304"/>
      <c r="BK83" s="305"/>
      <c r="BL83" s="305"/>
      <c r="BM83" s="305"/>
      <c r="BN83" s="305"/>
      <c r="BO83" s="305"/>
      <c r="BP83" s="305"/>
      <c r="BQ83" s="305"/>
      <c r="BR83" s="305"/>
      <c r="BS83" s="305"/>
      <c r="BT83" s="305"/>
      <c r="BU83" s="305"/>
      <c r="BV83" s="305"/>
      <c r="BX83" s="319"/>
    </row>
    <row r="84" spans="1:76" s="303" customFormat="1" ht="22.5" x14ac:dyDescent="0.25">
      <c r="A84" s="306" t="s">
        <v>318</v>
      </c>
      <c r="B84" s="306" t="s">
        <v>344</v>
      </c>
      <c r="C84" s="307" t="s">
        <v>261</v>
      </c>
      <c r="D84" s="307" t="s">
        <v>260</v>
      </c>
      <c r="E84" s="306" t="s">
        <v>115</v>
      </c>
      <c r="F84" s="308">
        <v>-2</v>
      </c>
      <c r="G84" s="309">
        <v>-533.34</v>
      </c>
      <c r="H84" s="308" t="s">
        <v>559</v>
      </c>
      <c r="I84" s="309" t="s">
        <v>559</v>
      </c>
      <c r="J84" s="308" t="s">
        <v>559</v>
      </c>
      <c r="K84" s="309" t="s">
        <v>559</v>
      </c>
      <c r="L84" s="308" t="s">
        <v>559</v>
      </c>
      <c r="M84" s="309" t="s">
        <v>559</v>
      </c>
      <c r="N84" s="308">
        <v>-2</v>
      </c>
      <c r="O84" s="309">
        <v>-533.34</v>
      </c>
      <c r="P84" s="302"/>
      <c r="V84" s="304"/>
      <c r="W84" s="304"/>
      <c r="AD84" s="304"/>
      <c r="AE84" s="304"/>
      <c r="AR84" s="304"/>
      <c r="AS84" s="304"/>
      <c r="AT84" s="304"/>
      <c r="AU84" s="304"/>
      <c r="AV84" s="304"/>
      <c r="AW84" s="304"/>
      <c r="AX84" s="304"/>
      <c r="AY84" s="304"/>
      <c r="AZ84" s="304"/>
      <c r="BA84" s="304"/>
      <c r="BB84" s="304"/>
      <c r="BC84" s="304"/>
      <c r="BK84" s="305"/>
      <c r="BL84" s="305"/>
      <c r="BM84" s="305"/>
      <c r="BN84" s="305"/>
      <c r="BO84" s="305"/>
      <c r="BP84" s="305"/>
      <c r="BQ84" s="305"/>
      <c r="BR84" s="305"/>
      <c r="BS84" s="305"/>
      <c r="BT84" s="305"/>
      <c r="BU84" s="305"/>
      <c r="BV84" s="305"/>
      <c r="BX84" s="319"/>
    </row>
    <row r="85" spans="1:76" s="303" customFormat="1" ht="33.75" x14ac:dyDescent="0.25">
      <c r="A85" s="306" t="s">
        <v>319</v>
      </c>
      <c r="B85" s="306" t="s">
        <v>345</v>
      </c>
      <c r="C85" s="307" t="s">
        <v>264</v>
      </c>
      <c r="D85" s="307" t="s">
        <v>263</v>
      </c>
      <c r="E85" s="306" t="s">
        <v>115</v>
      </c>
      <c r="F85" s="308">
        <v>2</v>
      </c>
      <c r="G85" s="309">
        <v>9234.43</v>
      </c>
      <c r="H85" s="308" t="s">
        <v>559</v>
      </c>
      <c r="I85" s="309" t="s">
        <v>559</v>
      </c>
      <c r="J85" s="308" t="s">
        <v>559</v>
      </c>
      <c r="K85" s="309" t="s">
        <v>559</v>
      </c>
      <c r="L85" s="308" t="s">
        <v>559</v>
      </c>
      <c r="M85" s="309" t="s">
        <v>559</v>
      </c>
      <c r="N85" s="308">
        <v>2</v>
      </c>
      <c r="O85" s="309">
        <v>9234.43</v>
      </c>
      <c r="P85" s="302"/>
      <c r="V85" s="304"/>
      <c r="W85" s="304"/>
      <c r="AD85" s="304"/>
      <c r="AE85" s="304"/>
      <c r="AR85" s="304"/>
      <c r="AS85" s="304"/>
      <c r="AT85" s="304"/>
      <c r="AU85" s="304"/>
      <c r="AV85" s="304"/>
      <c r="AW85" s="304"/>
      <c r="AX85" s="304"/>
      <c r="AY85" s="304"/>
      <c r="AZ85" s="304"/>
      <c r="BA85" s="304"/>
      <c r="BB85" s="304"/>
      <c r="BC85" s="304"/>
      <c r="BK85" s="305"/>
      <c r="BL85" s="305"/>
      <c r="BM85" s="305"/>
      <c r="BN85" s="305"/>
      <c r="BO85" s="305"/>
      <c r="BP85" s="305"/>
      <c r="BQ85" s="305"/>
      <c r="BR85" s="305"/>
      <c r="BS85" s="305"/>
      <c r="BT85" s="305"/>
      <c r="BU85" s="305"/>
      <c r="BV85" s="305"/>
      <c r="BX85" s="319"/>
    </row>
    <row r="86" spans="1:76" s="303" customFormat="1" ht="33.75" x14ac:dyDescent="0.25">
      <c r="A86" s="306" t="s">
        <v>320</v>
      </c>
      <c r="B86" s="306" t="s">
        <v>346</v>
      </c>
      <c r="C86" s="307" t="s">
        <v>268</v>
      </c>
      <c r="D86" s="307" t="s">
        <v>267</v>
      </c>
      <c r="E86" s="306" t="s">
        <v>115</v>
      </c>
      <c r="F86" s="308">
        <v>1</v>
      </c>
      <c r="G86" s="309">
        <v>16503.3</v>
      </c>
      <c r="H86" s="308" t="s">
        <v>559</v>
      </c>
      <c r="I86" s="309" t="s">
        <v>559</v>
      </c>
      <c r="J86" s="308" t="s">
        <v>559</v>
      </c>
      <c r="K86" s="309" t="s">
        <v>559</v>
      </c>
      <c r="L86" s="308" t="s">
        <v>559</v>
      </c>
      <c r="M86" s="309" t="s">
        <v>559</v>
      </c>
      <c r="N86" s="308">
        <v>1</v>
      </c>
      <c r="O86" s="309">
        <v>16503.3</v>
      </c>
      <c r="P86" s="302"/>
      <c r="V86" s="304"/>
      <c r="W86" s="304"/>
      <c r="AD86" s="304"/>
      <c r="AE86" s="304"/>
      <c r="AR86" s="304"/>
      <c r="AS86" s="304"/>
      <c r="AT86" s="304"/>
      <c r="AU86" s="304"/>
      <c r="AV86" s="304"/>
      <c r="AW86" s="304"/>
      <c r="AX86" s="304"/>
      <c r="AY86" s="304"/>
      <c r="AZ86" s="304"/>
      <c r="BA86" s="304"/>
      <c r="BB86" s="304"/>
      <c r="BC86" s="304"/>
      <c r="BK86" s="305"/>
      <c r="BL86" s="305"/>
      <c r="BM86" s="305"/>
      <c r="BN86" s="305"/>
      <c r="BO86" s="305"/>
      <c r="BP86" s="305"/>
      <c r="BQ86" s="305"/>
      <c r="BR86" s="305"/>
      <c r="BS86" s="305"/>
      <c r="BT86" s="305"/>
      <c r="BU86" s="305"/>
      <c r="BV86" s="305"/>
      <c r="BX86" s="319"/>
    </row>
    <row r="87" spans="1:76" s="303" customFormat="1" ht="33.75" x14ac:dyDescent="0.25">
      <c r="A87" s="306" t="s">
        <v>321</v>
      </c>
      <c r="B87" s="306" t="s">
        <v>347</v>
      </c>
      <c r="C87" s="307" t="s">
        <v>271</v>
      </c>
      <c r="D87" s="307" t="s">
        <v>120</v>
      </c>
      <c r="E87" s="306" t="s">
        <v>115</v>
      </c>
      <c r="F87" s="308">
        <v>1</v>
      </c>
      <c r="G87" s="309">
        <v>439.8</v>
      </c>
      <c r="H87" s="308" t="s">
        <v>559</v>
      </c>
      <c r="I87" s="309" t="s">
        <v>559</v>
      </c>
      <c r="J87" s="308" t="s">
        <v>559</v>
      </c>
      <c r="K87" s="309" t="s">
        <v>559</v>
      </c>
      <c r="L87" s="308" t="s">
        <v>559</v>
      </c>
      <c r="M87" s="309" t="s">
        <v>559</v>
      </c>
      <c r="N87" s="308">
        <v>1</v>
      </c>
      <c r="O87" s="309">
        <v>439.8</v>
      </c>
      <c r="P87" s="302"/>
      <c r="V87" s="304"/>
      <c r="W87" s="304"/>
      <c r="AD87" s="304"/>
      <c r="AE87" s="304"/>
      <c r="AR87" s="304"/>
      <c r="AS87" s="304"/>
      <c r="AT87" s="304"/>
      <c r="AU87" s="304"/>
      <c r="AV87" s="304"/>
      <c r="AW87" s="304"/>
      <c r="AX87" s="304"/>
      <c r="AY87" s="304"/>
      <c r="AZ87" s="304"/>
      <c r="BA87" s="304"/>
      <c r="BB87" s="304"/>
      <c r="BC87" s="304"/>
      <c r="BK87" s="305"/>
      <c r="BL87" s="305"/>
      <c r="BM87" s="305"/>
      <c r="BN87" s="305"/>
      <c r="BO87" s="305"/>
      <c r="BP87" s="305"/>
      <c r="BQ87" s="305"/>
      <c r="BR87" s="305"/>
      <c r="BS87" s="305"/>
      <c r="BT87" s="305"/>
      <c r="BU87" s="305"/>
      <c r="BV87" s="305"/>
      <c r="BX87" s="319"/>
    </row>
    <row r="88" spans="1:76" s="303" customFormat="1" ht="22.5" x14ac:dyDescent="0.25">
      <c r="A88" s="306" t="s">
        <v>322</v>
      </c>
      <c r="B88" s="306" t="s">
        <v>348</v>
      </c>
      <c r="C88" s="307" t="s">
        <v>275</v>
      </c>
      <c r="D88" s="307" t="s">
        <v>274</v>
      </c>
      <c r="E88" s="306" t="s">
        <v>276</v>
      </c>
      <c r="F88" s="308">
        <v>0.06</v>
      </c>
      <c r="G88" s="309">
        <v>763.83</v>
      </c>
      <c r="H88" s="308" t="s">
        <v>559</v>
      </c>
      <c r="I88" s="309" t="s">
        <v>559</v>
      </c>
      <c r="J88" s="308" t="s">
        <v>559</v>
      </c>
      <c r="K88" s="309" t="s">
        <v>559</v>
      </c>
      <c r="L88" s="308" t="s">
        <v>559</v>
      </c>
      <c r="M88" s="309" t="s">
        <v>559</v>
      </c>
      <c r="N88" s="308">
        <v>0.06</v>
      </c>
      <c r="O88" s="309">
        <v>763.83</v>
      </c>
      <c r="P88" s="302"/>
      <c r="V88" s="304"/>
      <c r="W88" s="304"/>
      <c r="AD88" s="304"/>
      <c r="AE88" s="304"/>
      <c r="AR88" s="304"/>
      <c r="AS88" s="304"/>
      <c r="AT88" s="304"/>
      <c r="AU88" s="304"/>
      <c r="AV88" s="304"/>
      <c r="AW88" s="304"/>
      <c r="AX88" s="304"/>
      <c r="AY88" s="304"/>
      <c r="AZ88" s="304"/>
      <c r="BA88" s="304"/>
      <c r="BB88" s="304"/>
      <c r="BC88" s="304"/>
      <c r="BK88" s="305"/>
      <c r="BL88" s="305"/>
      <c r="BM88" s="305"/>
      <c r="BN88" s="305"/>
      <c r="BO88" s="305"/>
      <c r="BP88" s="305"/>
      <c r="BQ88" s="305"/>
      <c r="BR88" s="305"/>
      <c r="BS88" s="305"/>
      <c r="BT88" s="305"/>
      <c r="BU88" s="305"/>
      <c r="BV88" s="305"/>
      <c r="BX88" s="319"/>
    </row>
    <row r="89" spans="1:76" s="303" customFormat="1" ht="22.5" x14ac:dyDescent="0.25">
      <c r="A89" s="306" t="s">
        <v>323</v>
      </c>
      <c r="B89" s="306" t="s">
        <v>349</v>
      </c>
      <c r="C89" s="307" t="s">
        <v>283</v>
      </c>
      <c r="D89" s="307" t="s">
        <v>282</v>
      </c>
      <c r="E89" s="306" t="s">
        <v>127</v>
      </c>
      <c r="F89" s="308">
        <v>-2.9000000000000001E-2</v>
      </c>
      <c r="G89" s="309">
        <v>-282.08999999999997</v>
      </c>
      <c r="H89" s="308" t="s">
        <v>559</v>
      </c>
      <c r="I89" s="309" t="s">
        <v>559</v>
      </c>
      <c r="J89" s="308" t="s">
        <v>559</v>
      </c>
      <c r="K89" s="309" t="s">
        <v>559</v>
      </c>
      <c r="L89" s="308" t="s">
        <v>559</v>
      </c>
      <c r="M89" s="309" t="s">
        <v>559</v>
      </c>
      <c r="N89" s="308">
        <v>-2.9000000000000001E-2</v>
      </c>
      <c r="O89" s="309">
        <v>-282.08999999999997</v>
      </c>
      <c r="P89" s="302"/>
      <c r="V89" s="304"/>
      <c r="W89" s="304"/>
      <c r="AD89" s="304"/>
      <c r="AE89" s="304"/>
      <c r="AR89" s="304"/>
      <c r="AS89" s="304"/>
      <c r="AT89" s="304"/>
      <c r="AU89" s="304"/>
      <c r="AV89" s="304"/>
      <c r="AW89" s="304"/>
      <c r="AX89" s="304"/>
      <c r="AY89" s="304"/>
      <c r="AZ89" s="304"/>
      <c r="BA89" s="304"/>
      <c r="BB89" s="304"/>
      <c r="BC89" s="304"/>
      <c r="BK89" s="305"/>
      <c r="BL89" s="305"/>
      <c r="BM89" s="305"/>
      <c r="BN89" s="305"/>
      <c r="BO89" s="305"/>
      <c r="BP89" s="305"/>
      <c r="BQ89" s="305"/>
      <c r="BR89" s="305"/>
      <c r="BS89" s="305"/>
      <c r="BT89" s="305"/>
      <c r="BU89" s="305"/>
      <c r="BV89" s="305"/>
      <c r="BX89" s="319"/>
    </row>
    <row r="90" spans="1:76" s="303" customFormat="1" ht="33.75" x14ac:dyDescent="0.25">
      <c r="A90" s="306" t="s">
        <v>324</v>
      </c>
      <c r="B90" s="306" t="s">
        <v>350</v>
      </c>
      <c r="C90" s="307" t="s">
        <v>285</v>
      </c>
      <c r="D90" s="307" t="s">
        <v>120</v>
      </c>
      <c r="E90" s="306" t="s">
        <v>130</v>
      </c>
      <c r="F90" s="308">
        <v>0.36</v>
      </c>
      <c r="G90" s="309">
        <v>14126.77</v>
      </c>
      <c r="H90" s="308" t="s">
        <v>559</v>
      </c>
      <c r="I90" s="309" t="s">
        <v>559</v>
      </c>
      <c r="J90" s="308" t="s">
        <v>559</v>
      </c>
      <c r="K90" s="309" t="s">
        <v>559</v>
      </c>
      <c r="L90" s="308" t="s">
        <v>559</v>
      </c>
      <c r="M90" s="309" t="s">
        <v>559</v>
      </c>
      <c r="N90" s="308">
        <v>0.36</v>
      </c>
      <c r="O90" s="309">
        <v>14126.77</v>
      </c>
      <c r="P90" s="302"/>
      <c r="V90" s="304"/>
      <c r="W90" s="304"/>
      <c r="AD90" s="304"/>
      <c r="AE90" s="304"/>
      <c r="AR90" s="304"/>
      <c r="AS90" s="304"/>
      <c r="AT90" s="304"/>
      <c r="AU90" s="304"/>
      <c r="AV90" s="304"/>
      <c r="AW90" s="304"/>
      <c r="AX90" s="304"/>
      <c r="AY90" s="304"/>
      <c r="AZ90" s="304"/>
      <c r="BA90" s="304"/>
      <c r="BB90" s="304"/>
      <c r="BC90" s="304"/>
      <c r="BK90" s="305"/>
      <c r="BL90" s="305"/>
      <c r="BM90" s="305"/>
      <c r="BN90" s="305"/>
      <c r="BO90" s="305"/>
      <c r="BP90" s="305"/>
      <c r="BQ90" s="305"/>
      <c r="BR90" s="305"/>
      <c r="BS90" s="305"/>
      <c r="BT90" s="305"/>
      <c r="BU90" s="305"/>
      <c r="BV90" s="305"/>
      <c r="BX90" s="319"/>
    </row>
    <row r="91" spans="1:76" s="303" customFormat="1" ht="33.75" x14ac:dyDescent="0.25">
      <c r="A91" s="306" t="s">
        <v>325</v>
      </c>
      <c r="B91" s="306" t="s">
        <v>351</v>
      </c>
      <c r="C91" s="307" t="s">
        <v>129</v>
      </c>
      <c r="D91" s="307" t="s">
        <v>120</v>
      </c>
      <c r="E91" s="306" t="s">
        <v>130</v>
      </c>
      <c r="F91" s="308">
        <v>2.9000000000000001E-2</v>
      </c>
      <c r="G91" s="309">
        <v>843.21</v>
      </c>
      <c r="H91" s="308" t="s">
        <v>559</v>
      </c>
      <c r="I91" s="309" t="s">
        <v>559</v>
      </c>
      <c r="J91" s="308" t="s">
        <v>559</v>
      </c>
      <c r="K91" s="309" t="s">
        <v>559</v>
      </c>
      <c r="L91" s="308" t="s">
        <v>559</v>
      </c>
      <c r="M91" s="309" t="s">
        <v>559</v>
      </c>
      <c r="N91" s="308">
        <v>2.9000000000000001E-2</v>
      </c>
      <c r="O91" s="309">
        <v>843.21</v>
      </c>
      <c r="P91" s="302"/>
      <c r="V91" s="304"/>
      <c r="W91" s="304"/>
      <c r="AD91" s="304"/>
      <c r="AE91" s="304"/>
      <c r="AR91" s="304"/>
      <c r="AS91" s="304"/>
      <c r="AT91" s="304"/>
      <c r="AU91" s="304"/>
      <c r="AV91" s="304"/>
      <c r="AW91" s="304"/>
      <c r="AX91" s="304"/>
      <c r="AY91" s="304"/>
      <c r="AZ91" s="304"/>
      <c r="BA91" s="304"/>
      <c r="BB91" s="304"/>
      <c r="BC91" s="304"/>
      <c r="BK91" s="305"/>
      <c r="BL91" s="305"/>
      <c r="BM91" s="305"/>
      <c r="BN91" s="305"/>
      <c r="BO91" s="305"/>
      <c r="BP91" s="305"/>
      <c r="BQ91" s="305"/>
      <c r="BR91" s="305"/>
      <c r="BS91" s="305"/>
      <c r="BT91" s="305"/>
      <c r="BU91" s="305"/>
      <c r="BV91" s="305"/>
      <c r="BX91" s="319"/>
    </row>
    <row r="92" spans="1:76" s="303" customFormat="1" ht="22.5" x14ac:dyDescent="0.25">
      <c r="A92" s="306" t="s">
        <v>326</v>
      </c>
      <c r="B92" s="306" t="s">
        <v>352</v>
      </c>
      <c r="C92" s="307" t="s">
        <v>289</v>
      </c>
      <c r="D92" s="307" t="s">
        <v>288</v>
      </c>
      <c r="E92" s="306" t="s">
        <v>160</v>
      </c>
      <c r="F92" s="308">
        <v>1.3299999999999999E-2</v>
      </c>
      <c r="G92" s="309">
        <v>3286.13</v>
      </c>
      <c r="H92" s="308" t="s">
        <v>559</v>
      </c>
      <c r="I92" s="309" t="s">
        <v>559</v>
      </c>
      <c r="J92" s="308" t="s">
        <v>559</v>
      </c>
      <c r="K92" s="309" t="s">
        <v>559</v>
      </c>
      <c r="L92" s="308" t="s">
        <v>559</v>
      </c>
      <c r="M92" s="309" t="s">
        <v>559</v>
      </c>
      <c r="N92" s="308">
        <v>1.3299999999999999E-2</v>
      </c>
      <c r="O92" s="309">
        <v>3286.13</v>
      </c>
      <c r="P92" s="302"/>
      <c r="V92" s="304"/>
      <c r="W92" s="304"/>
      <c r="AD92" s="304"/>
      <c r="AE92" s="304"/>
      <c r="AR92" s="304"/>
      <c r="AS92" s="304"/>
      <c r="AT92" s="304"/>
      <c r="AU92" s="304"/>
      <c r="AV92" s="304"/>
      <c r="AW92" s="304"/>
      <c r="AX92" s="304"/>
      <c r="AY92" s="304"/>
      <c r="AZ92" s="304"/>
      <c r="BA92" s="304"/>
      <c r="BB92" s="304"/>
      <c r="BC92" s="304"/>
      <c r="BK92" s="305"/>
      <c r="BL92" s="305"/>
      <c r="BM92" s="305"/>
      <c r="BN92" s="305"/>
      <c r="BO92" s="305"/>
      <c r="BP92" s="305"/>
      <c r="BQ92" s="305"/>
      <c r="BR92" s="305"/>
      <c r="BS92" s="305"/>
      <c r="BT92" s="305"/>
      <c r="BU92" s="305"/>
      <c r="BV92" s="305"/>
      <c r="BX92" s="319"/>
    </row>
    <row r="93" spans="1:76" s="303" customFormat="1" ht="33.75" x14ac:dyDescent="0.25">
      <c r="A93" s="306" t="s">
        <v>327</v>
      </c>
      <c r="B93" s="306" t="s">
        <v>353</v>
      </c>
      <c r="C93" s="307" t="s">
        <v>164</v>
      </c>
      <c r="D93" s="307" t="s">
        <v>163</v>
      </c>
      <c r="E93" s="306" t="s">
        <v>165</v>
      </c>
      <c r="F93" s="308">
        <v>45.2</v>
      </c>
      <c r="G93" s="309">
        <v>148.26</v>
      </c>
      <c r="H93" s="308" t="s">
        <v>559</v>
      </c>
      <c r="I93" s="309" t="s">
        <v>559</v>
      </c>
      <c r="J93" s="308" t="s">
        <v>559</v>
      </c>
      <c r="K93" s="309" t="s">
        <v>559</v>
      </c>
      <c r="L93" s="308" t="s">
        <v>559</v>
      </c>
      <c r="M93" s="309" t="s">
        <v>559</v>
      </c>
      <c r="N93" s="308">
        <v>45.2</v>
      </c>
      <c r="O93" s="309">
        <v>148.26</v>
      </c>
      <c r="P93" s="302"/>
      <c r="V93" s="304"/>
      <c r="W93" s="304"/>
      <c r="AD93" s="304"/>
      <c r="AE93" s="304"/>
      <c r="AR93" s="304"/>
      <c r="AS93" s="304"/>
      <c r="AT93" s="304"/>
      <c r="AU93" s="304"/>
      <c r="AV93" s="304"/>
      <c r="AW93" s="304"/>
      <c r="AX93" s="304"/>
      <c r="AY93" s="304"/>
      <c r="AZ93" s="304"/>
      <c r="BA93" s="304"/>
      <c r="BB93" s="304"/>
      <c r="BC93" s="304"/>
      <c r="BK93" s="305"/>
      <c r="BL93" s="305"/>
      <c r="BM93" s="305"/>
      <c r="BN93" s="305"/>
      <c r="BO93" s="305"/>
      <c r="BP93" s="305"/>
      <c r="BQ93" s="305"/>
      <c r="BR93" s="305"/>
      <c r="BS93" s="305"/>
      <c r="BT93" s="305"/>
      <c r="BU93" s="305"/>
      <c r="BV93" s="305"/>
      <c r="BX93" s="319"/>
    </row>
    <row r="94" spans="1:76" s="303" customFormat="1" ht="45" x14ac:dyDescent="0.25">
      <c r="A94" s="306" t="s">
        <v>328</v>
      </c>
      <c r="B94" s="306" t="s">
        <v>354</v>
      </c>
      <c r="C94" s="307" t="s">
        <v>292</v>
      </c>
      <c r="D94" s="307" t="s">
        <v>167</v>
      </c>
      <c r="E94" s="306" t="s">
        <v>165</v>
      </c>
      <c r="F94" s="308">
        <v>9.9</v>
      </c>
      <c r="G94" s="309">
        <v>83.06</v>
      </c>
      <c r="H94" s="308" t="s">
        <v>559</v>
      </c>
      <c r="I94" s="309" t="s">
        <v>559</v>
      </c>
      <c r="J94" s="308" t="s">
        <v>559</v>
      </c>
      <c r="K94" s="309" t="s">
        <v>559</v>
      </c>
      <c r="L94" s="308" t="s">
        <v>559</v>
      </c>
      <c r="M94" s="309" t="s">
        <v>559</v>
      </c>
      <c r="N94" s="308">
        <v>9.9</v>
      </c>
      <c r="O94" s="309">
        <v>83.06</v>
      </c>
      <c r="P94" s="302"/>
      <c r="V94" s="304"/>
      <c r="W94" s="304"/>
      <c r="AD94" s="304"/>
      <c r="AE94" s="304"/>
      <c r="AR94" s="304"/>
      <c r="AS94" s="304"/>
      <c r="AT94" s="304"/>
      <c r="AU94" s="304"/>
      <c r="AV94" s="304"/>
      <c r="AW94" s="304"/>
      <c r="AX94" s="304"/>
      <c r="AY94" s="304"/>
      <c r="AZ94" s="304"/>
      <c r="BA94" s="304"/>
      <c r="BB94" s="304"/>
      <c r="BC94" s="304"/>
      <c r="BK94" s="305"/>
      <c r="BL94" s="305"/>
      <c r="BM94" s="305"/>
      <c r="BN94" s="305"/>
      <c r="BO94" s="305"/>
      <c r="BP94" s="305"/>
      <c r="BQ94" s="305"/>
      <c r="BR94" s="305"/>
      <c r="BS94" s="305"/>
      <c r="BT94" s="305"/>
      <c r="BU94" s="305"/>
      <c r="BV94" s="305"/>
      <c r="BX94" s="319"/>
    </row>
    <row r="95" spans="1:76" s="303" customFormat="1" ht="33.75" x14ac:dyDescent="0.25">
      <c r="A95" s="306" t="s">
        <v>329</v>
      </c>
      <c r="B95" s="306" t="s">
        <v>355</v>
      </c>
      <c r="C95" s="307" t="s">
        <v>294</v>
      </c>
      <c r="D95" s="307" t="s">
        <v>170</v>
      </c>
      <c r="E95" s="306" t="s">
        <v>165</v>
      </c>
      <c r="F95" s="308">
        <v>5</v>
      </c>
      <c r="G95" s="309">
        <v>54.4</v>
      </c>
      <c r="H95" s="308" t="s">
        <v>559</v>
      </c>
      <c r="I95" s="309" t="s">
        <v>559</v>
      </c>
      <c r="J95" s="308" t="s">
        <v>559</v>
      </c>
      <c r="K95" s="309" t="s">
        <v>559</v>
      </c>
      <c r="L95" s="308" t="s">
        <v>559</v>
      </c>
      <c r="M95" s="309" t="s">
        <v>559</v>
      </c>
      <c r="N95" s="308">
        <v>5</v>
      </c>
      <c r="O95" s="309">
        <v>54.4</v>
      </c>
      <c r="P95" s="302"/>
      <c r="V95" s="304"/>
      <c r="W95" s="304"/>
      <c r="AD95" s="304"/>
      <c r="AE95" s="304"/>
      <c r="AR95" s="304"/>
      <c r="AS95" s="304"/>
      <c r="AT95" s="304"/>
      <c r="AU95" s="304"/>
      <c r="AV95" s="304"/>
      <c r="AW95" s="304"/>
      <c r="AX95" s="304"/>
      <c r="AY95" s="304"/>
      <c r="AZ95" s="304"/>
      <c r="BA95" s="304"/>
      <c r="BB95" s="304"/>
      <c r="BC95" s="304"/>
      <c r="BK95" s="305"/>
      <c r="BL95" s="305"/>
      <c r="BM95" s="305"/>
      <c r="BN95" s="305"/>
      <c r="BO95" s="305"/>
      <c r="BP95" s="305"/>
      <c r="BQ95" s="305"/>
      <c r="BR95" s="305"/>
      <c r="BS95" s="305"/>
      <c r="BT95" s="305"/>
      <c r="BU95" s="305"/>
      <c r="BV95" s="305"/>
      <c r="BX95" s="319"/>
    </row>
    <row r="96" spans="1:76" s="303" customFormat="1" ht="33.75" x14ac:dyDescent="0.25">
      <c r="A96" s="306" t="s">
        <v>335</v>
      </c>
      <c r="B96" s="306" t="s">
        <v>356</v>
      </c>
      <c r="C96" s="307" t="s">
        <v>174</v>
      </c>
      <c r="D96" s="307" t="s">
        <v>173</v>
      </c>
      <c r="E96" s="306" t="s">
        <v>165</v>
      </c>
      <c r="F96" s="308">
        <v>60.1</v>
      </c>
      <c r="G96" s="309">
        <v>231.99</v>
      </c>
      <c r="H96" s="308" t="s">
        <v>559</v>
      </c>
      <c r="I96" s="309" t="s">
        <v>559</v>
      </c>
      <c r="J96" s="308" t="s">
        <v>559</v>
      </c>
      <c r="K96" s="309" t="s">
        <v>559</v>
      </c>
      <c r="L96" s="308" t="s">
        <v>559</v>
      </c>
      <c r="M96" s="309" t="s">
        <v>559</v>
      </c>
      <c r="N96" s="308">
        <v>60.1</v>
      </c>
      <c r="O96" s="309">
        <v>231.99</v>
      </c>
      <c r="P96" s="302"/>
      <c r="V96" s="304"/>
      <c r="W96" s="304"/>
      <c r="AD96" s="304"/>
      <c r="AE96" s="304"/>
      <c r="AR96" s="304"/>
      <c r="AS96" s="304"/>
      <c r="AT96" s="304"/>
      <c r="AU96" s="304"/>
      <c r="AV96" s="304"/>
      <c r="AW96" s="304"/>
      <c r="AX96" s="304"/>
      <c r="AY96" s="304"/>
      <c r="AZ96" s="304"/>
      <c r="BA96" s="304"/>
      <c r="BB96" s="304"/>
      <c r="BC96" s="304"/>
      <c r="BK96" s="305"/>
      <c r="BL96" s="305"/>
      <c r="BM96" s="305"/>
      <c r="BN96" s="305"/>
      <c r="BO96" s="305"/>
      <c r="BP96" s="305"/>
      <c r="BQ96" s="305"/>
      <c r="BR96" s="305"/>
      <c r="BS96" s="305"/>
      <c r="BT96" s="305"/>
      <c r="BU96" s="305"/>
      <c r="BV96" s="305"/>
      <c r="BX96" s="319"/>
    </row>
    <row r="97" spans="1:76" s="303" customFormat="1" x14ac:dyDescent="0.25">
      <c r="A97" s="339" t="s">
        <v>361</v>
      </c>
      <c r="B97" s="340"/>
      <c r="C97" s="340"/>
      <c r="D97" s="340"/>
      <c r="E97" s="340"/>
      <c r="F97" s="340"/>
      <c r="G97" s="340"/>
      <c r="H97" s="340"/>
      <c r="I97" s="340"/>
      <c r="J97" s="340"/>
      <c r="K97" s="340"/>
      <c r="L97" s="340"/>
      <c r="M97" s="340"/>
      <c r="N97" s="340"/>
      <c r="O97" s="340"/>
      <c r="P97" s="302"/>
      <c r="V97" s="304"/>
      <c r="W97" s="304"/>
      <c r="AD97" s="304"/>
      <c r="AE97" s="304"/>
      <c r="AR97" s="304"/>
      <c r="AS97" s="304"/>
      <c r="AT97" s="304"/>
      <c r="AU97" s="304"/>
      <c r="AV97" s="304"/>
      <c r="AW97" s="304"/>
      <c r="AX97" s="304"/>
      <c r="AY97" s="304"/>
      <c r="AZ97" s="304"/>
      <c r="BA97" s="304"/>
      <c r="BB97" s="304"/>
      <c r="BC97" s="304"/>
      <c r="BK97" s="305"/>
      <c r="BL97" s="305"/>
      <c r="BM97" s="305"/>
      <c r="BN97" s="305"/>
      <c r="BO97" s="305"/>
      <c r="BP97" s="305"/>
      <c r="BQ97" s="305"/>
      <c r="BR97" s="305"/>
      <c r="BS97" s="305"/>
      <c r="BT97" s="305"/>
      <c r="BU97" s="305"/>
      <c r="BV97" s="305"/>
      <c r="BX97" s="319"/>
    </row>
    <row r="98" spans="1:76" s="303" customFormat="1" ht="33.75" x14ac:dyDescent="0.25">
      <c r="A98" s="306" t="s">
        <v>336</v>
      </c>
      <c r="B98" s="306" t="s">
        <v>363</v>
      </c>
      <c r="C98" s="307" t="s">
        <v>83</v>
      </c>
      <c r="D98" s="307" t="s">
        <v>82</v>
      </c>
      <c r="E98" s="306" t="s">
        <v>58</v>
      </c>
      <c r="F98" s="308">
        <v>0.01</v>
      </c>
      <c r="G98" s="309">
        <v>5.83</v>
      </c>
      <c r="H98" s="308" t="s">
        <v>559</v>
      </c>
      <c r="I98" s="309" t="s">
        <v>559</v>
      </c>
      <c r="J98" s="308" t="s">
        <v>559</v>
      </c>
      <c r="K98" s="309" t="s">
        <v>559</v>
      </c>
      <c r="L98" s="308" t="s">
        <v>559</v>
      </c>
      <c r="M98" s="309" t="s">
        <v>559</v>
      </c>
      <c r="N98" s="308">
        <v>0.01</v>
      </c>
      <c r="O98" s="309">
        <v>5.83</v>
      </c>
      <c r="P98" s="302"/>
      <c r="V98" s="304"/>
      <c r="W98" s="304"/>
      <c r="AD98" s="304"/>
      <c r="AE98" s="304"/>
      <c r="AR98" s="304"/>
      <c r="AS98" s="304"/>
      <c r="AT98" s="304"/>
      <c r="AU98" s="304"/>
      <c r="AV98" s="304"/>
      <c r="AW98" s="304"/>
      <c r="AX98" s="304"/>
      <c r="AY98" s="304"/>
      <c r="AZ98" s="304"/>
      <c r="BA98" s="304"/>
      <c r="BB98" s="304"/>
      <c r="BC98" s="304"/>
      <c r="BK98" s="305"/>
      <c r="BL98" s="305"/>
      <c r="BM98" s="305"/>
      <c r="BN98" s="305"/>
      <c r="BO98" s="305"/>
      <c r="BP98" s="305"/>
      <c r="BQ98" s="305"/>
      <c r="BR98" s="305"/>
      <c r="BS98" s="305"/>
      <c r="BT98" s="305"/>
      <c r="BU98" s="305"/>
      <c r="BV98" s="305"/>
      <c r="BX98" s="319"/>
    </row>
    <row r="99" spans="1:76" s="303" customFormat="1" ht="22.5" x14ac:dyDescent="0.25">
      <c r="A99" s="306" t="s">
        <v>337</v>
      </c>
      <c r="B99" s="306" t="s">
        <v>364</v>
      </c>
      <c r="C99" s="307" t="s">
        <v>90</v>
      </c>
      <c r="D99" s="307" t="s">
        <v>89</v>
      </c>
      <c r="E99" s="306" t="s">
        <v>58</v>
      </c>
      <c r="F99" s="308">
        <v>4.5999999999999999E-3</v>
      </c>
      <c r="G99" s="309">
        <v>2.4</v>
      </c>
      <c r="H99" s="308" t="s">
        <v>559</v>
      </c>
      <c r="I99" s="309" t="s">
        <v>559</v>
      </c>
      <c r="J99" s="308" t="s">
        <v>559</v>
      </c>
      <c r="K99" s="309" t="s">
        <v>559</v>
      </c>
      <c r="L99" s="308" t="s">
        <v>559</v>
      </c>
      <c r="M99" s="309" t="s">
        <v>559</v>
      </c>
      <c r="N99" s="308">
        <v>4.5999999999999999E-3</v>
      </c>
      <c r="O99" s="309">
        <v>2.4</v>
      </c>
      <c r="P99" s="302"/>
      <c r="V99" s="304"/>
      <c r="W99" s="304"/>
      <c r="AD99" s="304"/>
      <c r="AE99" s="304"/>
      <c r="AR99" s="304"/>
      <c r="AS99" s="304"/>
      <c r="AT99" s="304"/>
      <c r="AU99" s="304"/>
      <c r="AV99" s="304"/>
      <c r="AW99" s="304"/>
      <c r="AX99" s="304"/>
      <c r="AY99" s="304"/>
      <c r="AZ99" s="304"/>
      <c r="BA99" s="304"/>
      <c r="BB99" s="304"/>
      <c r="BC99" s="304"/>
      <c r="BK99" s="305"/>
      <c r="BL99" s="305"/>
      <c r="BM99" s="305"/>
      <c r="BN99" s="305"/>
      <c r="BO99" s="305"/>
      <c r="BP99" s="305"/>
      <c r="BQ99" s="305"/>
      <c r="BR99" s="305"/>
      <c r="BS99" s="305"/>
      <c r="BT99" s="305"/>
      <c r="BU99" s="305"/>
      <c r="BV99" s="305"/>
      <c r="BX99" s="319"/>
    </row>
    <row r="100" spans="1:76" s="303" customFormat="1" ht="22.5" x14ac:dyDescent="0.25">
      <c r="A100" s="306" t="s">
        <v>338</v>
      </c>
      <c r="B100" s="306" t="s">
        <v>365</v>
      </c>
      <c r="C100" s="307" t="s">
        <v>97</v>
      </c>
      <c r="D100" s="307" t="s">
        <v>96</v>
      </c>
      <c r="E100" s="306" t="s">
        <v>58</v>
      </c>
      <c r="F100" s="308">
        <v>4.4000000000000003E-3</v>
      </c>
      <c r="G100" s="309">
        <v>29.08</v>
      </c>
      <c r="H100" s="308" t="s">
        <v>559</v>
      </c>
      <c r="I100" s="309" t="s">
        <v>559</v>
      </c>
      <c r="J100" s="308" t="s">
        <v>559</v>
      </c>
      <c r="K100" s="309" t="s">
        <v>559</v>
      </c>
      <c r="L100" s="308" t="s">
        <v>559</v>
      </c>
      <c r="M100" s="309" t="s">
        <v>559</v>
      </c>
      <c r="N100" s="308">
        <v>4.4000000000000003E-3</v>
      </c>
      <c r="O100" s="309">
        <v>29.08</v>
      </c>
      <c r="P100" s="302"/>
      <c r="V100" s="304"/>
      <c r="W100" s="304"/>
      <c r="AD100" s="304"/>
      <c r="AE100" s="304"/>
      <c r="AR100" s="304"/>
      <c r="AS100" s="304"/>
      <c r="AT100" s="304"/>
      <c r="AU100" s="304"/>
      <c r="AV100" s="304"/>
      <c r="AW100" s="304"/>
      <c r="AX100" s="304"/>
      <c r="AY100" s="304"/>
      <c r="AZ100" s="304"/>
      <c r="BA100" s="304"/>
      <c r="BB100" s="304"/>
      <c r="BC100" s="304"/>
      <c r="BK100" s="305"/>
      <c r="BL100" s="305"/>
      <c r="BM100" s="305"/>
      <c r="BN100" s="305"/>
      <c r="BO100" s="305"/>
      <c r="BP100" s="305"/>
      <c r="BQ100" s="305"/>
      <c r="BR100" s="305"/>
      <c r="BS100" s="305"/>
      <c r="BT100" s="305"/>
      <c r="BU100" s="305"/>
      <c r="BV100" s="305"/>
      <c r="BX100" s="319"/>
    </row>
    <row r="101" spans="1:76" s="303" customFormat="1" ht="33.75" x14ac:dyDescent="0.25">
      <c r="A101" s="306" t="s">
        <v>339</v>
      </c>
      <c r="B101" s="306" t="s">
        <v>366</v>
      </c>
      <c r="C101" s="307" t="s">
        <v>105</v>
      </c>
      <c r="D101" s="307" t="s">
        <v>104</v>
      </c>
      <c r="E101" s="306" t="s">
        <v>106</v>
      </c>
      <c r="F101" s="308">
        <v>2.57</v>
      </c>
      <c r="G101" s="309">
        <v>1680.97</v>
      </c>
      <c r="H101" s="308" t="s">
        <v>559</v>
      </c>
      <c r="I101" s="309" t="s">
        <v>559</v>
      </c>
      <c r="J101" s="308" t="s">
        <v>559</v>
      </c>
      <c r="K101" s="309" t="s">
        <v>559</v>
      </c>
      <c r="L101" s="308" t="s">
        <v>559</v>
      </c>
      <c r="M101" s="309" t="s">
        <v>559</v>
      </c>
      <c r="N101" s="308">
        <v>2.57</v>
      </c>
      <c r="O101" s="309">
        <v>1680.97</v>
      </c>
      <c r="P101" s="302"/>
      <c r="V101" s="304"/>
      <c r="W101" s="304"/>
      <c r="AD101" s="304"/>
      <c r="AE101" s="304"/>
      <c r="AR101" s="304"/>
      <c r="AS101" s="304"/>
      <c r="AT101" s="304"/>
      <c r="AU101" s="304"/>
      <c r="AV101" s="304"/>
      <c r="AW101" s="304"/>
      <c r="AX101" s="304"/>
      <c r="AY101" s="304"/>
      <c r="AZ101" s="304"/>
      <c r="BA101" s="304"/>
      <c r="BB101" s="304"/>
      <c r="BC101" s="304"/>
      <c r="BK101" s="305"/>
      <c r="BL101" s="305"/>
      <c r="BM101" s="305"/>
      <c r="BN101" s="305"/>
      <c r="BO101" s="305"/>
      <c r="BP101" s="305"/>
      <c r="BQ101" s="305"/>
      <c r="BR101" s="305"/>
      <c r="BS101" s="305"/>
      <c r="BT101" s="305"/>
      <c r="BU101" s="305"/>
      <c r="BV101" s="305"/>
      <c r="BX101" s="319"/>
    </row>
    <row r="102" spans="1:76" s="303" customFormat="1" ht="22.5" x14ac:dyDescent="0.25">
      <c r="A102" s="306" t="s">
        <v>340</v>
      </c>
      <c r="B102" s="306" t="s">
        <v>375</v>
      </c>
      <c r="C102" s="307" t="s">
        <v>275</v>
      </c>
      <c r="D102" s="307" t="s">
        <v>274</v>
      </c>
      <c r="E102" s="306" t="s">
        <v>276</v>
      </c>
      <c r="F102" s="308">
        <v>0.06</v>
      </c>
      <c r="G102" s="309">
        <v>763.83</v>
      </c>
      <c r="H102" s="308" t="s">
        <v>559</v>
      </c>
      <c r="I102" s="309" t="s">
        <v>559</v>
      </c>
      <c r="J102" s="308" t="s">
        <v>559</v>
      </c>
      <c r="K102" s="309" t="s">
        <v>559</v>
      </c>
      <c r="L102" s="308" t="s">
        <v>559</v>
      </c>
      <c r="M102" s="309" t="s">
        <v>559</v>
      </c>
      <c r="N102" s="308">
        <v>0.06</v>
      </c>
      <c r="O102" s="309">
        <v>763.83</v>
      </c>
      <c r="P102" s="302"/>
      <c r="V102" s="304"/>
      <c r="W102" s="304"/>
      <c r="AD102" s="304"/>
      <c r="AE102" s="304"/>
      <c r="AR102" s="304"/>
      <c r="AS102" s="304"/>
      <c r="AT102" s="304"/>
      <c r="AU102" s="304"/>
      <c r="AV102" s="304"/>
      <c r="AW102" s="304"/>
      <c r="AX102" s="304"/>
      <c r="AY102" s="304"/>
      <c r="AZ102" s="304"/>
      <c r="BA102" s="304"/>
      <c r="BB102" s="304"/>
      <c r="BC102" s="304"/>
      <c r="BK102" s="305"/>
      <c r="BL102" s="305"/>
      <c r="BM102" s="305"/>
      <c r="BN102" s="305"/>
      <c r="BO102" s="305"/>
      <c r="BP102" s="305"/>
      <c r="BQ102" s="305"/>
      <c r="BR102" s="305"/>
      <c r="BS102" s="305"/>
      <c r="BT102" s="305"/>
      <c r="BU102" s="305"/>
      <c r="BV102" s="305"/>
      <c r="BX102" s="319"/>
    </row>
    <row r="103" spans="1:76" s="303" customFormat="1" ht="22.5" x14ac:dyDescent="0.25">
      <c r="A103" s="306" t="s">
        <v>341</v>
      </c>
      <c r="B103" s="306" t="s">
        <v>376</v>
      </c>
      <c r="C103" s="307" t="s">
        <v>283</v>
      </c>
      <c r="D103" s="307" t="s">
        <v>282</v>
      </c>
      <c r="E103" s="306" t="s">
        <v>127</v>
      </c>
      <c r="F103" s="308">
        <v>-2.9000000000000001E-2</v>
      </c>
      <c r="G103" s="309">
        <v>-282.08999999999997</v>
      </c>
      <c r="H103" s="308" t="s">
        <v>559</v>
      </c>
      <c r="I103" s="309" t="s">
        <v>559</v>
      </c>
      <c r="J103" s="308" t="s">
        <v>559</v>
      </c>
      <c r="K103" s="309" t="s">
        <v>559</v>
      </c>
      <c r="L103" s="308" t="s">
        <v>559</v>
      </c>
      <c r="M103" s="309" t="s">
        <v>559</v>
      </c>
      <c r="N103" s="308">
        <v>-2.9000000000000001E-2</v>
      </c>
      <c r="O103" s="309">
        <v>-282.08999999999997</v>
      </c>
      <c r="P103" s="302"/>
      <c r="V103" s="304"/>
      <c r="W103" s="304"/>
      <c r="AD103" s="304"/>
      <c r="AE103" s="304"/>
      <c r="AR103" s="304"/>
      <c r="AS103" s="304"/>
      <c r="AT103" s="304"/>
      <c r="AU103" s="304"/>
      <c r="AV103" s="304"/>
      <c r="AW103" s="304"/>
      <c r="AX103" s="304"/>
      <c r="AY103" s="304"/>
      <c r="AZ103" s="304"/>
      <c r="BA103" s="304"/>
      <c r="BB103" s="304"/>
      <c r="BC103" s="304"/>
      <c r="BK103" s="305"/>
      <c r="BL103" s="305"/>
      <c r="BM103" s="305"/>
      <c r="BN103" s="305"/>
      <c r="BO103" s="305"/>
      <c r="BP103" s="305"/>
      <c r="BQ103" s="305"/>
      <c r="BR103" s="305"/>
      <c r="BS103" s="305"/>
      <c r="BT103" s="305"/>
      <c r="BU103" s="305"/>
      <c r="BV103" s="305"/>
      <c r="BX103" s="319"/>
    </row>
    <row r="104" spans="1:76" s="303" customFormat="1" ht="33.75" x14ac:dyDescent="0.25">
      <c r="A104" s="306" t="s">
        <v>342</v>
      </c>
      <c r="B104" s="306" t="s">
        <v>377</v>
      </c>
      <c r="C104" s="307" t="s">
        <v>285</v>
      </c>
      <c r="D104" s="307" t="s">
        <v>120</v>
      </c>
      <c r="E104" s="306" t="s">
        <v>130</v>
      </c>
      <c r="F104" s="308">
        <v>0.36</v>
      </c>
      <c r="G104" s="309">
        <v>14126.77</v>
      </c>
      <c r="H104" s="308" t="s">
        <v>559</v>
      </c>
      <c r="I104" s="309" t="s">
        <v>559</v>
      </c>
      <c r="J104" s="308" t="s">
        <v>559</v>
      </c>
      <c r="K104" s="309" t="s">
        <v>559</v>
      </c>
      <c r="L104" s="308" t="s">
        <v>559</v>
      </c>
      <c r="M104" s="309" t="s">
        <v>559</v>
      </c>
      <c r="N104" s="308">
        <v>0.36</v>
      </c>
      <c r="O104" s="309">
        <v>14126.77</v>
      </c>
      <c r="P104" s="302"/>
      <c r="V104" s="304"/>
      <c r="W104" s="304"/>
      <c r="AD104" s="304"/>
      <c r="AE104" s="304"/>
      <c r="AR104" s="304"/>
      <c r="AS104" s="304"/>
      <c r="AT104" s="304"/>
      <c r="AU104" s="304"/>
      <c r="AV104" s="304"/>
      <c r="AW104" s="304"/>
      <c r="AX104" s="304"/>
      <c r="AY104" s="304"/>
      <c r="AZ104" s="304"/>
      <c r="BA104" s="304"/>
      <c r="BB104" s="304"/>
      <c r="BC104" s="304"/>
      <c r="BK104" s="305"/>
      <c r="BL104" s="305"/>
      <c r="BM104" s="305"/>
      <c r="BN104" s="305"/>
      <c r="BO104" s="305"/>
      <c r="BP104" s="305"/>
      <c r="BQ104" s="305"/>
      <c r="BR104" s="305"/>
      <c r="BS104" s="305"/>
      <c r="BT104" s="305"/>
      <c r="BU104" s="305"/>
      <c r="BV104" s="305"/>
      <c r="BX104" s="319"/>
    </row>
    <row r="105" spans="1:76" s="303" customFormat="1" ht="33.75" x14ac:dyDescent="0.25">
      <c r="A105" s="306" t="s">
        <v>343</v>
      </c>
      <c r="B105" s="306" t="s">
        <v>378</v>
      </c>
      <c r="C105" s="307" t="s">
        <v>129</v>
      </c>
      <c r="D105" s="307" t="s">
        <v>120</v>
      </c>
      <c r="E105" s="306" t="s">
        <v>130</v>
      </c>
      <c r="F105" s="308">
        <v>2.9000000000000001E-2</v>
      </c>
      <c r="G105" s="309">
        <v>843.21</v>
      </c>
      <c r="H105" s="308" t="s">
        <v>559</v>
      </c>
      <c r="I105" s="309" t="s">
        <v>559</v>
      </c>
      <c r="J105" s="308" t="s">
        <v>559</v>
      </c>
      <c r="K105" s="309" t="s">
        <v>559</v>
      </c>
      <c r="L105" s="308" t="s">
        <v>559</v>
      </c>
      <c r="M105" s="309" t="s">
        <v>559</v>
      </c>
      <c r="N105" s="308">
        <v>2.9000000000000001E-2</v>
      </c>
      <c r="O105" s="309">
        <v>843.21</v>
      </c>
      <c r="P105" s="302"/>
      <c r="V105" s="304"/>
      <c r="W105" s="304"/>
      <c r="AD105" s="304"/>
      <c r="AE105" s="304"/>
      <c r="AR105" s="304"/>
      <c r="AS105" s="304"/>
      <c r="AT105" s="304"/>
      <c r="AU105" s="304"/>
      <c r="AV105" s="304"/>
      <c r="AW105" s="304"/>
      <c r="AX105" s="304"/>
      <c r="AY105" s="304"/>
      <c r="AZ105" s="304"/>
      <c r="BA105" s="304"/>
      <c r="BB105" s="304"/>
      <c r="BC105" s="304"/>
      <c r="BK105" s="305"/>
      <c r="BL105" s="305"/>
      <c r="BM105" s="305"/>
      <c r="BN105" s="305"/>
      <c r="BO105" s="305"/>
      <c r="BP105" s="305"/>
      <c r="BQ105" s="305"/>
      <c r="BR105" s="305"/>
      <c r="BS105" s="305"/>
      <c r="BT105" s="305"/>
      <c r="BU105" s="305"/>
      <c r="BV105" s="305"/>
      <c r="BX105" s="319"/>
    </row>
    <row r="106" spans="1:76" s="303" customFormat="1" ht="33.75" x14ac:dyDescent="0.25">
      <c r="A106" s="306" t="s">
        <v>344</v>
      </c>
      <c r="B106" s="306" t="s">
        <v>380</v>
      </c>
      <c r="C106" s="307" t="s">
        <v>164</v>
      </c>
      <c r="D106" s="307" t="s">
        <v>163</v>
      </c>
      <c r="E106" s="306" t="s">
        <v>165</v>
      </c>
      <c r="F106" s="308">
        <v>1.7</v>
      </c>
      <c r="G106" s="309">
        <v>5.58</v>
      </c>
      <c r="H106" s="308" t="s">
        <v>559</v>
      </c>
      <c r="I106" s="309" t="s">
        <v>559</v>
      </c>
      <c r="J106" s="308" t="s">
        <v>559</v>
      </c>
      <c r="K106" s="309" t="s">
        <v>559</v>
      </c>
      <c r="L106" s="308" t="s">
        <v>559</v>
      </c>
      <c r="M106" s="309" t="s">
        <v>559</v>
      </c>
      <c r="N106" s="308">
        <v>1.7</v>
      </c>
      <c r="O106" s="309">
        <v>5.58</v>
      </c>
      <c r="P106" s="302"/>
      <c r="V106" s="304"/>
      <c r="W106" s="304"/>
      <c r="AD106" s="304"/>
      <c r="AE106" s="304"/>
      <c r="AR106" s="304"/>
      <c r="AS106" s="304"/>
      <c r="AT106" s="304"/>
      <c r="AU106" s="304"/>
      <c r="AV106" s="304"/>
      <c r="AW106" s="304"/>
      <c r="AX106" s="304"/>
      <c r="AY106" s="304"/>
      <c r="AZ106" s="304"/>
      <c r="BA106" s="304"/>
      <c r="BB106" s="304"/>
      <c r="BC106" s="304"/>
      <c r="BK106" s="305"/>
      <c r="BL106" s="305"/>
      <c r="BM106" s="305"/>
      <c r="BN106" s="305"/>
      <c r="BO106" s="305"/>
      <c r="BP106" s="305"/>
      <c r="BQ106" s="305"/>
      <c r="BR106" s="305"/>
      <c r="BS106" s="305"/>
      <c r="BT106" s="305"/>
      <c r="BU106" s="305"/>
      <c r="BV106" s="305"/>
      <c r="BX106" s="319"/>
    </row>
    <row r="107" spans="1:76" s="303" customFormat="1" ht="45" x14ac:dyDescent="0.25">
      <c r="A107" s="306" t="s">
        <v>345</v>
      </c>
      <c r="B107" s="306" t="s">
        <v>381</v>
      </c>
      <c r="C107" s="307" t="s">
        <v>292</v>
      </c>
      <c r="D107" s="307" t="s">
        <v>167</v>
      </c>
      <c r="E107" s="306" t="s">
        <v>165</v>
      </c>
      <c r="F107" s="308">
        <v>1.05</v>
      </c>
      <c r="G107" s="309">
        <v>8.81</v>
      </c>
      <c r="H107" s="308" t="s">
        <v>559</v>
      </c>
      <c r="I107" s="309" t="s">
        <v>559</v>
      </c>
      <c r="J107" s="308" t="s">
        <v>559</v>
      </c>
      <c r="K107" s="309" t="s">
        <v>559</v>
      </c>
      <c r="L107" s="308" t="s">
        <v>559</v>
      </c>
      <c r="M107" s="309" t="s">
        <v>559</v>
      </c>
      <c r="N107" s="308">
        <v>1.05</v>
      </c>
      <c r="O107" s="309">
        <v>8.81</v>
      </c>
      <c r="P107" s="302"/>
      <c r="V107" s="304"/>
      <c r="W107" s="304"/>
      <c r="AD107" s="304"/>
      <c r="AE107" s="304"/>
      <c r="AR107" s="304"/>
      <c r="AS107" s="304"/>
      <c r="AT107" s="304"/>
      <c r="AU107" s="304"/>
      <c r="AV107" s="304"/>
      <c r="AW107" s="304"/>
      <c r="AX107" s="304"/>
      <c r="AY107" s="304"/>
      <c r="AZ107" s="304"/>
      <c r="BA107" s="304"/>
      <c r="BB107" s="304"/>
      <c r="BC107" s="304"/>
      <c r="BK107" s="305"/>
      <c r="BL107" s="305"/>
      <c r="BM107" s="305"/>
      <c r="BN107" s="305"/>
      <c r="BO107" s="305"/>
      <c r="BP107" s="305"/>
      <c r="BQ107" s="305"/>
      <c r="BR107" s="305"/>
      <c r="BS107" s="305"/>
      <c r="BT107" s="305"/>
      <c r="BU107" s="305"/>
      <c r="BV107" s="305"/>
      <c r="BX107" s="319"/>
    </row>
    <row r="108" spans="1:76" s="303" customFormat="1" ht="33.75" x14ac:dyDescent="0.25">
      <c r="A108" s="306" t="s">
        <v>346</v>
      </c>
      <c r="B108" s="306" t="s">
        <v>383</v>
      </c>
      <c r="C108" s="307" t="s">
        <v>174</v>
      </c>
      <c r="D108" s="307" t="s">
        <v>173</v>
      </c>
      <c r="E108" s="306" t="s">
        <v>165</v>
      </c>
      <c r="F108" s="308">
        <v>2.75</v>
      </c>
      <c r="G108" s="309">
        <v>10.62</v>
      </c>
      <c r="H108" s="308" t="s">
        <v>559</v>
      </c>
      <c r="I108" s="309" t="s">
        <v>559</v>
      </c>
      <c r="J108" s="308" t="s">
        <v>559</v>
      </c>
      <c r="K108" s="309" t="s">
        <v>559</v>
      </c>
      <c r="L108" s="308" t="s">
        <v>559</v>
      </c>
      <c r="M108" s="309" t="s">
        <v>559</v>
      </c>
      <c r="N108" s="308">
        <v>2.75</v>
      </c>
      <c r="O108" s="309">
        <v>10.62</v>
      </c>
      <c r="P108" s="302"/>
      <c r="V108" s="304"/>
      <c r="W108" s="304"/>
      <c r="AD108" s="304"/>
      <c r="AE108" s="304"/>
      <c r="AR108" s="304"/>
      <c r="AS108" s="304"/>
      <c r="AT108" s="304"/>
      <c r="AU108" s="304"/>
      <c r="AV108" s="304"/>
      <c r="AW108" s="304"/>
      <c r="AX108" s="304"/>
      <c r="AY108" s="304"/>
      <c r="AZ108" s="304"/>
      <c r="BA108" s="304"/>
      <c r="BB108" s="304"/>
      <c r="BC108" s="304"/>
      <c r="BK108" s="305"/>
      <c r="BL108" s="305"/>
      <c r="BM108" s="305"/>
      <c r="BN108" s="305"/>
      <c r="BO108" s="305"/>
      <c r="BP108" s="305"/>
      <c r="BQ108" s="305"/>
      <c r="BR108" s="305"/>
      <c r="BS108" s="305"/>
      <c r="BT108" s="305"/>
      <c r="BU108" s="305"/>
      <c r="BV108" s="305"/>
      <c r="BX108" s="319"/>
    </row>
    <row r="109" spans="1:76" s="303" customFormat="1" x14ac:dyDescent="0.25">
      <c r="A109" s="339" t="s">
        <v>388</v>
      </c>
      <c r="B109" s="340"/>
      <c r="C109" s="340"/>
      <c r="D109" s="340"/>
      <c r="E109" s="340"/>
      <c r="F109" s="340"/>
      <c r="G109" s="340"/>
      <c r="H109" s="340"/>
      <c r="I109" s="340"/>
      <c r="J109" s="340"/>
      <c r="K109" s="340"/>
      <c r="L109" s="340"/>
      <c r="M109" s="340"/>
      <c r="N109" s="340"/>
      <c r="O109" s="340"/>
      <c r="P109" s="302"/>
      <c r="V109" s="304"/>
      <c r="W109" s="304"/>
      <c r="AD109" s="304"/>
      <c r="AE109" s="304"/>
      <c r="AR109" s="304"/>
      <c r="AS109" s="304"/>
      <c r="AT109" s="304"/>
      <c r="AU109" s="304"/>
      <c r="AV109" s="304"/>
      <c r="AW109" s="304"/>
      <c r="AX109" s="304"/>
      <c r="AY109" s="304"/>
      <c r="AZ109" s="304"/>
      <c r="BA109" s="304"/>
      <c r="BB109" s="304"/>
      <c r="BC109" s="304"/>
      <c r="BK109" s="305"/>
      <c r="BL109" s="305"/>
      <c r="BM109" s="305"/>
      <c r="BN109" s="305"/>
      <c r="BO109" s="305"/>
      <c r="BP109" s="305"/>
      <c r="BQ109" s="305"/>
      <c r="BR109" s="305"/>
      <c r="BS109" s="305"/>
      <c r="BT109" s="305"/>
      <c r="BU109" s="305"/>
      <c r="BV109" s="305"/>
      <c r="BX109" s="319"/>
    </row>
    <row r="110" spans="1:76" s="303" customFormat="1" ht="33.75" x14ac:dyDescent="0.25">
      <c r="A110" s="306" t="s">
        <v>347</v>
      </c>
      <c r="B110" s="306" t="s">
        <v>390</v>
      </c>
      <c r="C110" s="307" t="s">
        <v>83</v>
      </c>
      <c r="D110" s="307" t="s">
        <v>82</v>
      </c>
      <c r="E110" s="306" t="s">
        <v>58</v>
      </c>
      <c r="F110" s="308">
        <v>7.4499999999999997E-2</v>
      </c>
      <c r="G110" s="309">
        <v>43.36</v>
      </c>
      <c r="H110" s="308" t="s">
        <v>559</v>
      </c>
      <c r="I110" s="309" t="s">
        <v>559</v>
      </c>
      <c r="J110" s="308" t="s">
        <v>559</v>
      </c>
      <c r="K110" s="309" t="s">
        <v>559</v>
      </c>
      <c r="L110" s="308" t="s">
        <v>559</v>
      </c>
      <c r="M110" s="309" t="s">
        <v>559</v>
      </c>
      <c r="N110" s="308">
        <v>7.4499999999999997E-2</v>
      </c>
      <c r="O110" s="309">
        <v>43.36</v>
      </c>
      <c r="P110" s="302"/>
      <c r="V110" s="304"/>
      <c r="W110" s="304"/>
      <c r="AD110" s="304"/>
      <c r="AE110" s="304"/>
      <c r="AR110" s="304"/>
      <c r="AS110" s="304"/>
      <c r="AT110" s="304"/>
      <c r="AU110" s="304"/>
      <c r="AV110" s="304"/>
      <c r="AW110" s="304"/>
      <c r="AX110" s="304"/>
      <c r="AY110" s="304"/>
      <c r="AZ110" s="304"/>
      <c r="BA110" s="304"/>
      <c r="BB110" s="304"/>
      <c r="BC110" s="304"/>
      <c r="BK110" s="305"/>
      <c r="BL110" s="305"/>
      <c r="BM110" s="305"/>
      <c r="BN110" s="305"/>
      <c r="BO110" s="305"/>
      <c r="BP110" s="305"/>
      <c r="BQ110" s="305"/>
      <c r="BR110" s="305"/>
      <c r="BS110" s="305"/>
      <c r="BT110" s="305"/>
      <c r="BU110" s="305"/>
      <c r="BV110" s="305"/>
      <c r="BX110" s="319"/>
    </row>
    <row r="111" spans="1:76" s="303" customFormat="1" ht="22.5" x14ac:dyDescent="0.25">
      <c r="A111" s="306" t="s">
        <v>348</v>
      </c>
      <c r="B111" s="306" t="s">
        <v>391</v>
      </c>
      <c r="C111" s="307" t="s">
        <v>90</v>
      </c>
      <c r="D111" s="307" t="s">
        <v>89</v>
      </c>
      <c r="E111" s="306" t="s">
        <v>58</v>
      </c>
      <c r="F111" s="308">
        <v>3.5799999999999998E-2</v>
      </c>
      <c r="G111" s="309">
        <v>18.739999999999998</v>
      </c>
      <c r="H111" s="308" t="s">
        <v>559</v>
      </c>
      <c r="I111" s="309" t="s">
        <v>559</v>
      </c>
      <c r="J111" s="308" t="s">
        <v>559</v>
      </c>
      <c r="K111" s="309" t="s">
        <v>559</v>
      </c>
      <c r="L111" s="308" t="s">
        <v>559</v>
      </c>
      <c r="M111" s="309" t="s">
        <v>559</v>
      </c>
      <c r="N111" s="308">
        <v>3.5799999999999998E-2</v>
      </c>
      <c r="O111" s="309">
        <v>18.739999999999998</v>
      </c>
      <c r="P111" s="302"/>
      <c r="V111" s="304"/>
      <c r="W111" s="304"/>
      <c r="AD111" s="304"/>
      <c r="AE111" s="304"/>
      <c r="AR111" s="304"/>
      <c r="AS111" s="304"/>
      <c r="AT111" s="304"/>
      <c r="AU111" s="304"/>
      <c r="AV111" s="304"/>
      <c r="AW111" s="304"/>
      <c r="AX111" s="304"/>
      <c r="AY111" s="304"/>
      <c r="AZ111" s="304"/>
      <c r="BA111" s="304"/>
      <c r="BB111" s="304"/>
      <c r="BC111" s="304"/>
      <c r="BK111" s="305"/>
      <c r="BL111" s="305"/>
      <c r="BM111" s="305"/>
      <c r="BN111" s="305"/>
      <c r="BO111" s="305"/>
      <c r="BP111" s="305"/>
      <c r="BQ111" s="305"/>
      <c r="BR111" s="305"/>
      <c r="BS111" s="305"/>
      <c r="BT111" s="305"/>
      <c r="BU111" s="305"/>
      <c r="BV111" s="305"/>
      <c r="BX111" s="319"/>
    </row>
    <row r="112" spans="1:76" s="303" customFormat="1" ht="22.5" x14ac:dyDescent="0.25">
      <c r="A112" s="306" t="s">
        <v>349</v>
      </c>
      <c r="B112" s="306" t="s">
        <v>392</v>
      </c>
      <c r="C112" s="307" t="s">
        <v>97</v>
      </c>
      <c r="D112" s="307" t="s">
        <v>96</v>
      </c>
      <c r="E112" s="306" t="s">
        <v>58</v>
      </c>
      <c r="F112" s="308">
        <v>3.6299999999999999E-2</v>
      </c>
      <c r="G112" s="309">
        <v>239.94</v>
      </c>
      <c r="H112" s="308" t="s">
        <v>559</v>
      </c>
      <c r="I112" s="309" t="s">
        <v>559</v>
      </c>
      <c r="J112" s="308" t="s">
        <v>559</v>
      </c>
      <c r="K112" s="309" t="s">
        <v>559</v>
      </c>
      <c r="L112" s="308" t="s">
        <v>559</v>
      </c>
      <c r="M112" s="309" t="s">
        <v>559</v>
      </c>
      <c r="N112" s="308">
        <v>3.6299999999999999E-2</v>
      </c>
      <c r="O112" s="309">
        <v>239.94</v>
      </c>
      <c r="P112" s="302"/>
      <c r="V112" s="304"/>
      <c r="W112" s="304"/>
      <c r="AD112" s="304"/>
      <c r="AE112" s="304"/>
      <c r="AR112" s="304"/>
      <c r="AS112" s="304"/>
      <c r="AT112" s="304"/>
      <c r="AU112" s="304"/>
      <c r="AV112" s="304"/>
      <c r="AW112" s="304"/>
      <c r="AX112" s="304"/>
      <c r="AY112" s="304"/>
      <c r="AZ112" s="304"/>
      <c r="BA112" s="304"/>
      <c r="BB112" s="304"/>
      <c r="BC112" s="304"/>
      <c r="BK112" s="305"/>
      <c r="BL112" s="305"/>
      <c r="BM112" s="305"/>
      <c r="BN112" s="305"/>
      <c r="BO112" s="305"/>
      <c r="BP112" s="305"/>
      <c r="BQ112" s="305"/>
      <c r="BR112" s="305"/>
      <c r="BS112" s="305"/>
      <c r="BT112" s="305"/>
      <c r="BU112" s="305"/>
      <c r="BV112" s="305"/>
      <c r="BX112" s="319"/>
    </row>
    <row r="113" spans="1:76" s="303" customFormat="1" ht="33.75" x14ac:dyDescent="0.25">
      <c r="A113" s="306" t="s">
        <v>350</v>
      </c>
      <c r="B113" s="306" t="s">
        <v>393</v>
      </c>
      <c r="C113" s="307" t="s">
        <v>105</v>
      </c>
      <c r="D113" s="307" t="s">
        <v>104</v>
      </c>
      <c r="E113" s="306" t="s">
        <v>106</v>
      </c>
      <c r="F113" s="308">
        <v>4.5739999999999998</v>
      </c>
      <c r="G113" s="309">
        <v>2991.74</v>
      </c>
      <c r="H113" s="308" t="s">
        <v>559</v>
      </c>
      <c r="I113" s="309" t="s">
        <v>559</v>
      </c>
      <c r="J113" s="308" t="s">
        <v>559</v>
      </c>
      <c r="K113" s="309" t="s">
        <v>559</v>
      </c>
      <c r="L113" s="308" t="s">
        <v>559</v>
      </c>
      <c r="M113" s="309" t="s">
        <v>559</v>
      </c>
      <c r="N113" s="308">
        <v>4.5739999999999998</v>
      </c>
      <c r="O113" s="309">
        <v>2991.74</v>
      </c>
      <c r="P113" s="302"/>
      <c r="V113" s="304"/>
      <c r="W113" s="304"/>
      <c r="AD113" s="304"/>
      <c r="AE113" s="304"/>
      <c r="AR113" s="304"/>
      <c r="AS113" s="304"/>
      <c r="AT113" s="304"/>
      <c r="AU113" s="304"/>
      <c r="AV113" s="304"/>
      <c r="AW113" s="304"/>
      <c r="AX113" s="304"/>
      <c r="AY113" s="304"/>
      <c r="AZ113" s="304"/>
      <c r="BA113" s="304"/>
      <c r="BB113" s="304"/>
      <c r="BC113" s="304"/>
      <c r="BK113" s="305"/>
      <c r="BL113" s="305"/>
      <c r="BM113" s="305"/>
      <c r="BN113" s="305"/>
      <c r="BO113" s="305"/>
      <c r="BP113" s="305"/>
      <c r="BQ113" s="305"/>
      <c r="BR113" s="305"/>
      <c r="BS113" s="305"/>
      <c r="BT113" s="305"/>
      <c r="BU113" s="305"/>
      <c r="BV113" s="305"/>
      <c r="BX113" s="319"/>
    </row>
    <row r="114" spans="1:76" s="303" customFormat="1" ht="22.5" x14ac:dyDescent="0.25">
      <c r="A114" s="306" t="s">
        <v>351</v>
      </c>
      <c r="B114" s="306" t="s">
        <v>402</v>
      </c>
      <c r="C114" s="307" t="s">
        <v>275</v>
      </c>
      <c r="D114" s="307" t="s">
        <v>274</v>
      </c>
      <c r="E114" s="306" t="s">
        <v>276</v>
      </c>
      <c r="F114" s="308">
        <v>0.06</v>
      </c>
      <c r="G114" s="309">
        <v>763.83</v>
      </c>
      <c r="H114" s="308" t="s">
        <v>559</v>
      </c>
      <c r="I114" s="309" t="s">
        <v>559</v>
      </c>
      <c r="J114" s="308" t="s">
        <v>559</v>
      </c>
      <c r="K114" s="309" t="s">
        <v>559</v>
      </c>
      <c r="L114" s="308" t="s">
        <v>559</v>
      </c>
      <c r="M114" s="309" t="s">
        <v>559</v>
      </c>
      <c r="N114" s="308">
        <v>0.06</v>
      </c>
      <c r="O114" s="309">
        <v>763.83</v>
      </c>
      <c r="P114" s="302"/>
      <c r="V114" s="304"/>
      <c r="W114" s="304"/>
      <c r="AD114" s="304"/>
      <c r="AE114" s="304"/>
      <c r="AR114" s="304"/>
      <c r="AS114" s="304"/>
      <c r="AT114" s="304"/>
      <c r="AU114" s="304"/>
      <c r="AV114" s="304"/>
      <c r="AW114" s="304"/>
      <c r="AX114" s="304"/>
      <c r="AY114" s="304"/>
      <c r="AZ114" s="304"/>
      <c r="BA114" s="304"/>
      <c r="BB114" s="304"/>
      <c r="BC114" s="304"/>
      <c r="BK114" s="305"/>
      <c r="BL114" s="305"/>
      <c r="BM114" s="305"/>
      <c r="BN114" s="305"/>
      <c r="BO114" s="305"/>
      <c r="BP114" s="305"/>
      <c r="BQ114" s="305"/>
      <c r="BR114" s="305"/>
      <c r="BS114" s="305"/>
      <c r="BT114" s="305"/>
      <c r="BU114" s="305"/>
      <c r="BV114" s="305"/>
      <c r="BX114" s="319"/>
    </row>
    <row r="115" spans="1:76" s="303" customFormat="1" ht="22.5" x14ac:dyDescent="0.25">
      <c r="A115" s="306" t="s">
        <v>352</v>
      </c>
      <c r="B115" s="306" t="s">
        <v>403</v>
      </c>
      <c r="C115" s="307" t="s">
        <v>283</v>
      </c>
      <c r="D115" s="307" t="s">
        <v>282</v>
      </c>
      <c r="E115" s="306" t="s">
        <v>127</v>
      </c>
      <c r="F115" s="308">
        <v>-2.9000000000000001E-2</v>
      </c>
      <c r="G115" s="309">
        <v>-282.08999999999997</v>
      </c>
      <c r="H115" s="308" t="s">
        <v>559</v>
      </c>
      <c r="I115" s="309" t="s">
        <v>559</v>
      </c>
      <c r="J115" s="308" t="s">
        <v>559</v>
      </c>
      <c r="K115" s="309" t="s">
        <v>559</v>
      </c>
      <c r="L115" s="308" t="s">
        <v>559</v>
      </c>
      <c r="M115" s="309" t="s">
        <v>559</v>
      </c>
      <c r="N115" s="308">
        <v>-2.9000000000000001E-2</v>
      </c>
      <c r="O115" s="309">
        <v>-282.08999999999997</v>
      </c>
      <c r="P115" s="302"/>
      <c r="V115" s="304"/>
      <c r="W115" s="304"/>
      <c r="AD115" s="304"/>
      <c r="AE115" s="304"/>
      <c r="AR115" s="304"/>
      <c r="AS115" s="304"/>
      <c r="AT115" s="304"/>
      <c r="AU115" s="304"/>
      <c r="AV115" s="304"/>
      <c r="AW115" s="304"/>
      <c r="AX115" s="304"/>
      <c r="AY115" s="304"/>
      <c r="AZ115" s="304"/>
      <c r="BA115" s="304"/>
      <c r="BB115" s="304"/>
      <c r="BC115" s="304"/>
      <c r="BK115" s="305"/>
      <c r="BL115" s="305"/>
      <c r="BM115" s="305"/>
      <c r="BN115" s="305"/>
      <c r="BO115" s="305"/>
      <c r="BP115" s="305"/>
      <c r="BQ115" s="305"/>
      <c r="BR115" s="305"/>
      <c r="BS115" s="305"/>
      <c r="BT115" s="305"/>
      <c r="BU115" s="305"/>
      <c r="BV115" s="305"/>
      <c r="BX115" s="319"/>
    </row>
    <row r="116" spans="1:76" s="303" customFormat="1" ht="33.75" x14ac:dyDescent="0.25">
      <c r="A116" s="306" t="s">
        <v>353</v>
      </c>
      <c r="B116" s="306" t="s">
        <v>404</v>
      </c>
      <c r="C116" s="307" t="s">
        <v>285</v>
      </c>
      <c r="D116" s="307" t="s">
        <v>120</v>
      </c>
      <c r="E116" s="306" t="s">
        <v>130</v>
      </c>
      <c r="F116" s="308">
        <v>0.36</v>
      </c>
      <c r="G116" s="309">
        <v>14126.77</v>
      </c>
      <c r="H116" s="308" t="s">
        <v>559</v>
      </c>
      <c r="I116" s="309" t="s">
        <v>559</v>
      </c>
      <c r="J116" s="308" t="s">
        <v>559</v>
      </c>
      <c r="K116" s="309" t="s">
        <v>559</v>
      </c>
      <c r="L116" s="308" t="s">
        <v>559</v>
      </c>
      <c r="M116" s="309" t="s">
        <v>559</v>
      </c>
      <c r="N116" s="308">
        <v>0.36</v>
      </c>
      <c r="O116" s="309">
        <v>14126.77</v>
      </c>
      <c r="P116" s="302"/>
      <c r="V116" s="304"/>
      <c r="W116" s="304"/>
      <c r="AD116" s="304"/>
      <c r="AE116" s="304"/>
      <c r="AR116" s="304"/>
      <c r="AS116" s="304"/>
      <c r="AT116" s="304"/>
      <c r="AU116" s="304"/>
      <c r="AV116" s="304"/>
      <c r="AW116" s="304"/>
      <c r="AX116" s="304"/>
      <c r="AY116" s="304"/>
      <c r="AZ116" s="304"/>
      <c r="BA116" s="304"/>
      <c r="BB116" s="304"/>
      <c r="BC116" s="304"/>
      <c r="BK116" s="305"/>
      <c r="BL116" s="305"/>
      <c r="BM116" s="305"/>
      <c r="BN116" s="305"/>
      <c r="BO116" s="305"/>
      <c r="BP116" s="305"/>
      <c r="BQ116" s="305"/>
      <c r="BR116" s="305"/>
      <c r="BS116" s="305"/>
      <c r="BT116" s="305"/>
      <c r="BU116" s="305"/>
      <c r="BV116" s="305"/>
      <c r="BX116" s="319"/>
    </row>
    <row r="117" spans="1:76" s="303" customFormat="1" ht="33.75" x14ac:dyDescent="0.25">
      <c r="A117" s="306" t="s">
        <v>354</v>
      </c>
      <c r="B117" s="306" t="s">
        <v>405</v>
      </c>
      <c r="C117" s="307" t="s">
        <v>129</v>
      </c>
      <c r="D117" s="307" t="s">
        <v>120</v>
      </c>
      <c r="E117" s="306" t="s">
        <v>130</v>
      </c>
      <c r="F117" s="308">
        <v>2.9000000000000001E-2</v>
      </c>
      <c r="G117" s="309">
        <v>843.21</v>
      </c>
      <c r="H117" s="308" t="s">
        <v>559</v>
      </c>
      <c r="I117" s="309" t="s">
        <v>559</v>
      </c>
      <c r="J117" s="308" t="s">
        <v>559</v>
      </c>
      <c r="K117" s="309" t="s">
        <v>559</v>
      </c>
      <c r="L117" s="308" t="s">
        <v>559</v>
      </c>
      <c r="M117" s="309" t="s">
        <v>559</v>
      </c>
      <c r="N117" s="308">
        <v>2.9000000000000001E-2</v>
      </c>
      <c r="O117" s="309">
        <v>843.21</v>
      </c>
      <c r="P117" s="302"/>
      <c r="V117" s="304"/>
      <c r="W117" s="304"/>
      <c r="AD117" s="304"/>
      <c r="AE117" s="304"/>
      <c r="AR117" s="304"/>
      <c r="AS117" s="304"/>
      <c r="AT117" s="304"/>
      <c r="AU117" s="304"/>
      <c r="AV117" s="304"/>
      <c r="AW117" s="304"/>
      <c r="AX117" s="304"/>
      <c r="AY117" s="304"/>
      <c r="AZ117" s="304"/>
      <c r="BA117" s="304"/>
      <c r="BB117" s="304"/>
      <c r="BC117" s="304"/>
      <c r="BK117" s="305"/>
      <c r="BL117" s="305"/>
      <c r="BM117" s="305"/>
      <c r="BN117" s="305"/>
      <c r="BO117" s="305"/>
      <c r="BP117" s="305"/>
      <c r="BQ117" s="305"/>
      <c r="BR117" s="305"/>
      <c r="BS117" s="305"/>
      <c r="BT117" s="305"/>
      <c r="BU117" s="305"/>
      <c r="BV117" s="305"/>
      <c r="BX117" s="319"/>
    </row>
    <row r="118" spans="1:76" s="303" customFormat="1" ht="33.75" x14ac:dyDescent="0.25">
      <c r="A118" s="306" t="s">
        <v>355</v>
      </c>
      <c r="B118" s="306" t="s">
        <v>407</v>
      </c>
      <c r="C118" s="307" t="s">
        <v>164</v>
      </c>
      <c r="D118" s="307" t="s">
        <v>163</v>
      </c>
      <c r="E118" s="306" t="s">
        <v>165</v>
      </c>
      <c r="F118" s="308">
        <v>13.01</v>
      </c>
      <c r="G118" s="309">
        <v>42.67</v>
      </c>
      <c r="H118" s="308" t="s">
        <v>559</v>
      </c>
      <c r="I118" s="309" t="s">
        <v>559</v>
      </c>
      <c r="J118" s="308" t="s">
        <v>559</v>
      </c>
      <c r="K118" s="309" t="s">
        <v>559</v>
      </c>
      <c r="L118" s="308" t="s">
        <v>559</v>
      </c>
      <c r="M118" s="309" t="s">
        <v>559</v>
      </c>
      <c r="N118" s="308">
        <v>13.01</v>
      </c>
      <c r="O118" s="309">
        <v>42.67</v>
      </c>
      <c r="P118" s="302"/>
      <c r="V118" s="304"/>
      <c r="W118" s="304"/>
      <c r="AD118" s="304"/>
      <c r="AE118" s="304"/>
      <c r="AR118" s="304"/>
      <c r="AS118" s="304"/>
      <c r="AT118" s="304"/>
      <c r="AU118" s="304"/>
      <c r="AV118" s="304"/>
      <c r="AW118" s="304"/>
      <c r="AX118" s="304"/>
      <c r="AY118" s="304"/>
      <c r="AZ118" s="304"/>
      <c r="BA118" s="304"/>
      <c r="BB118" s="304"/>
      <c r="BC118" s="304"/>
      <c r="BK118" s="305"/>
      <c r="BL118" s="305"/>
      <c r="BM118" s="305"/>
      <c r="BN118" s="305"/>
      <c r="BO118" s="305"/>
      <c r="BP118" s="305"/>
      <c r="BQ118" s="305"/>
      <c r="BR118" s="305"/>
      <c r="BS118" s="305"/>
      <c r="BT118" s="305"/>
      <c r="BU118" s="305"/>
      <c r="BV118" s="305"/>
      <c r="BX118" s="319"/>
    </row>
    <row r="119" spans="1:76" s="303" customFormat="1" ht="45" x14ac:dyDescent="0.25">
      <c r="A119" s="306" t="s">
        <v>356</v>
      </c>
      <c r="B119" s="306" t="s">
        <v>408</v>
      </c>
      <c r="C119" s="307" t="s">
        <v>292</v>
      </c>
      <c r="D119" s="307" t="s">
        <v>167</v>
      </c>
      <c r="E119" s="306" t="s">
        <v>165</v>
      </c>
      <c r="F119" s="308">
        <v>2.34</v>
      </c>
      <c r="G119" s="309">
        <v>19.63</v>
      </c>
      <c r="H119" s="308" t="s">
        <v>559</v>
      </c>
      <c r="I119" s="309" t="s">
        <v>559</v>
      </c>
      <c r="J119" s="308" t="s">
        <v>559</v>
      </c>
      <c r="K119" s="309" t="s">
        <v>559</v>
      </c>
      <c r="L119" s="308" t="s">
        <v>559</v>
      </c>
      <c r="M119" s="309" t="s">
        <v>559</v>
      </c>
      <c r="N119" s="308">
        <v>2.34</v>
      </c>
      <c r="O119" s="309">
        <v>19.63</v>
      </c>
      <c r="P119" s="302"/>
      <c r="V119" s="304"/>
      <c r="W119" s="304"/>
      <c r="AD119" s="304"/>
      <c r="AE119" s="304"/>
      <c r="AR119" s="304"/>
      <c r="AS119" s="304"/>
      <c r="AT119" s="304"/>
      <c r="AU119" s="304"/>
      <c r="AV119" s="304"/>
      <c r="AW119" s="304"/>
      <c r="AX119" s="304"/>
      <c r="AY119" s="304"/>
      <c r="AZ119" s="304"/>
      <c r="BA119" s="304"/>
      <c r="BB119" s="304"/>
      <c r="BC119" s="304"/>
      <c r="BK119" s="305"/>
      <c r="BL119" s="305"/>
      <c r="BM119" s="305"/>
      <c r="BN119" s="305"/>
      <c r="BO119" s="305"/>
      <c r="BP119" s="305"/>
      <c r="BQ119" s="305"/>
      <c r="BR119" s="305"/>
      <c r="BS119" s="305"/>
      <c r="BT119" s="305"/>
      <c r="BU119" s="305"/>
      <c r="BV119" s="305"/>
      <c r="BX119" s="319"/>
    </row>
    <row r="120" spans="1:76" s="303" customFormat="1" ht="33.75" x14ac:dyDescent="0.25">
      <c r="A120" s="306" t="s">
        <v>362</v>
      </c>
      <c r="B120" s="306" t="s">
        <v>409</v>
      </c>
      <c r="C120" s="307" t="s">
        <v>294</v>
      </c>
      <c r="D120" s="307" t="s">
        <v>170</v>
      </c>
      <c r="E120" s="306" t="s">
        <v>165</v>
      </c>
      <c r="F120" s="308">
        <v>0.76</v>
      </c>
      <c r="G120" s="309">
        <v>8.27</v>
      </c>
      <c r="H120" s="308" t="s">
        <v>559</v>
      </c>
      <c r="I120" s="309" t="s">
        <v>559</v>
      </c>
      <c r="J120" s="308" t="s">
        <v>559</v>
      </c>
      <c r="K120" s="309" t="s">
        <v>559</v>
      </c>
      <c r="L120" s="308" t="s">
        <v>559</v>
      </c>
      <c r="M120" s="309" t="s">
        <v>559</v>
      </c>
      <c r="N120" s="308">
        <v>0.76</v>
      </c>
      <c r="O120" s="309">
        <v>8.27</v>
      </c>
      <c r="P120" s="302"/>
      <c r="V120" s="304"/>
      <c r="W120" s="304"/>
      <c r="AD120" s="304"/>
      <c r="AE120" s="304"/>
      <c r="AR120" s="304"/>
      <c r="AS120" s="304"/>
      <c r="AT120" s="304"/>
      <c r="AU120" s="304"/>
      <c r="AV120" s="304"/>
      <c r="AW120" s="304"/>
      <c r="AX120" s="304"/>
      <c r="AY120" s="304"/>
      <c r="AZ120" s="304"/>
      <c r="BA120" s="304"/>
      <c r="BB120" s="304"/>
      <c r="BC120" s="304"/>
      <c r="BK120" s="305"/>
      <c r="BL120" s="305"/>
      <c r="BM120" s="305"/>
      <c r="BN120" s="305"/>
      <c r="BO120" s="305"/>
      <c r="BP120" s="305"/>
      <c r="BQ120" s="305"/>
      <c r="BR120" s="305"/>
      <c r="BS120" s="305"/>
      <c r="BT120" s="305"/>
      <c r="BU120" s="305"/>
      <c r="BV120" s="305"/>
      <c r="BX120" s="319"/>
    </row>
    <row r="121" spans="1:76" s="303" customFormat="1" ht="33.75" x14ac:dyDescent="0.25">
      <c r="A121" s="306" t="s">
        <v>363</v>
      </c>
      <c r="B121" s="306" t="s">
        <v>410</v>
      </c>
      <c r="C121" s="307" t="s">
        <v>174</v>
      </c>
      <c r="D121" s="307" t="s">
        <v>173</v>
      </c>
      <c r="E121" s="306" t="s">
        <v>165</v>
      </c>
      <c r="F121" s="308">
        <v>16.11</v>
      </c>
      <c r="G121" s="309">
        <v>62.18</v>
      </c>
      <c r="H121" s="308" t="s">
        <v>559</v>
      </c>
      <c r="I121" s="309" t="s">
        <v>559</v>
      </c>
      <c r="J121" s="308" t="s">
        <v>559</v>
      </c>
      <c r="K121" s="309" t="s">
        <v>559</v>
      </c>
      <c r="L121" s="308" t="s">
        <v>559</v>
      </c>
      <c r="M121" s="309" t="s">
        <v>559</v>
      </c>
      <c r="N121" s="308">
        <v>16.11</v>
      </c>
      <c r="O121" s="309">
        <v>62.18</v>
      </c>
      <c r="P121" s="302"/>
      <c r="V121" s="304"/>
      <c r="W121" s="304"/>
      <c r="AD121" s="304"/>
      <c r="AE121" s="304"/>
      <c r="AR121" s="304"/>
      <c r="AS121" s="304"/>
      <c r="AT121" s="304"/>
      <c r="AU121" s="304"/>
      <c r="AV121" s="304"/>
      <c r="AW121" s="304"/>
      <c r="AX121" s="304"/>
      <c r="AY121" s="304"/>
      <c r="AZ121" s="304"/>
      <c r="BA121" s="304"/>
      <c r="BB121" s="304"/>
      <c r="BC121" s="304"/>
      <c r="BK121" s="305"/>
      <c r="BL121" s="305"/>
      <c r="BM121" s="305"/>
      <c r="BN121" s="305"/>
      <c r="BO121" s="305"/>
      <c r="BP121" s="305"/>
      <c r="BQ121" s="305"/>
      <c r="BR121" s="305"/>
      <c r="BS121" s="305"/>
      <c r="BT121" s="305"/>
      <c r="BU121" s="305"/>
      <c r="BV121" s="305"/>
      <c r="BX121" s="319"/>
    </row>
    <row r="122" spans="1:76" s="303" customFormat="1" x14ac:dyDescent="0.25">
      <c r="A122" s="339" t="s">
        <v>415</v>
      </c>
      <c r="B122" s="340"/>
      <c r="C122" s="340"/>
      <c r="D122" s="340"/>
      <c r="E122" s="340"/>
      <c r="F122" s="340"/>
      <c r="G122" s="340"/>
      <c r="H122" s="340"/>
      <c r="I122" s="340"/>
      <c r="J122" s="340"/>
      <c r="K122" s="340"/>
      <c r="L122" s="340"/>
      <c r="M122" s="340"/>
      <c r="N122" s="340"/>
      <c r="O122" s="340"/>
      <c r="P122" s="302"/>
      <c r="V122" s="304"/>
      <c r="W122" s="304"/>
      <c r="AD122" s="304"/>
      <c r="AE122" s="304"/>
      <c r="AR122" s="304"/>
      <c r="AS122" s="304"/>
      <c r="AT122" s="304"/>
      <c r="AU122" s="304"/>
      <c r="AV122" s="304"/>
      <c r="AW122" s="304"/>
      <c r="AX122" s="304"/>
      <c r="AY122" s="304"/>
      <c r="AZ122" s="304"/>
      <c r="BA122" s="304"/>
      <c r="BB122" s="304"/>
      <c r="BC122" s="304"/>
      <c r="BK122" s="305"/>
      <c r="BL122" s="305"/>
      <c r="BM122" s="305"/>
      <c r="BN122" s="305"/>
      <c r="BO122" s="305"/>
      <c r="BP122" s="305"/>
      <c r="BQ122" s="305"/>
      <c r="BR122" s="305"/>
      <c r="BS122" s="305"/>
      <c r="BT122" s="305"/>
      <c r="BU122" s="305"/>
      <c r="BV122" s="305"/>
      <c r="BX122" s="319"/>
    </row>
    <row r="123" spans="1:76" s="303" customFormat="1" ht="22.5" x14ac:dyDescent="0.25">
      <c r="A123" s="306" t="s">
        <v>364</v>
      </c>
      <c r="B123" s="306" t="s">
        <v>416</v>
      </c>
      <c r="C123" s="307" t="s">
        <v>209</v>
      </c>
      <c r="D123" s="307" t="s">
        <v>208</v>
      </c>
      <c r="E123" s="306" t="s">
        <v>210</v>
      </c>
      <c r="F123" s="308">
        <v>1</v>
      </c>
      <c r="G123" s="309">
        <v>949.76</v>
      </c>
      <c r="H123" s="308" t="s">
        <v>559</v>
      </c>
      <c r="I123" s="309" t="s">
        <v>559</v>
      </c>
      <c r="J123" s="308" t="s">
        <v>559</v>
      </c>
      <c r="K123" s="309" t="s">
        <v>559</v>
      </c>
      <c r="L123" s="308" t="s">
        <v>559</v>
      </c>
      <c r="M123" s="309" t="s">
        <v>559</v>
      </c>
      <c r="N123" s="308">
        <v>1</v>
      </c>
      <c r="O123" s="309">
        <v>949.76</v>
      </c>
      <c r="P123" s="302"/>
      <c r="V123" s="304"/>
      <c r="W123" s="304"/>
      <c r="AD123" s="304"/>
      <c r="AE123" s="304"/>
      <c r="AR123" s="304"/>
      <c r="AS123" s="304"/>
      <c r="AT123" s="304"/>
      <c r="AU123" s="304"/>
      <c r="AV123" s="304"/>
      <c r="AW123" s="304"/>
      <c r="AX123" s="304"/>
      <c r="AY123" s="304"/>
      <c r="AZ123" s="304"/>
      <c r="BA123" s="304"/>
      <c r="BB123" s="304"/>
      <c r="BC123" s="304"/>
      <c r="BK123" s="305"/>
      <c r="BL123" s="305"/>
      <c r="BM123" s="305"/>
      <c r="BN123" s="305"/>
      <c r="BO123" s="305"/>
      <c r="BP123" s="305"/>
      <c r="BQ123" s="305"/>
      <c r="BR123" s="305"/>
      <c r="BS123" s="305"/>
      <c r="BT123" s="305"/>
      <c r="BU123" s="305"/>
      <c r="BV123" s="305"/>
      <c r="BX123" s="319"/>
    </row>
    <row r="124" spans="1:76" s="303" customFormat="1" ht="33.75" x14ac:dyDescent="0.25">
      <c r="A124" s="306" t="s">
        <v>365</v>
      </c>
      <c r="B124" s="306" t="s">
        <v>417</v>
      </c>
      <c r="C124" s="307" t="s">
        <v>83</v>
      </c>
      <c r="D124" s="307" t="s">
        <v>82</v>
      </c>
      <c r="E124" s="306" t="s">
        <v>58</v>
      </c>
      <c r="F124" s="308">
        <v>0.23699999999999999</v>
      </c>
      <c r="G124" s="309">
        <v>137.9</v>
      </c>
      <c r="H124" s="308" t="s">
        <v>559</v>
      </c>
      <c r="I124" s="309" t="s">
        <v>559</v>
      </c>
      <c r="J124" s="308" t="s">
        <v>559</v>
      </c>
      <c r="K124" s="309" t="s">
        <v>559</v>
      </c>
      <c r="L124" s="308" t="s">
        <v>559</v>
      </c>
      <c r="M124" s="309" t="s">
        <v>559</v>
      </c>
      <c r="N124" s="308">
        <v>0.23699999999999999</v>
      </c>
      <c r="O124" s="309">
        <v>137.9</v>
      </c>
      <c r="P124" s="302"/>
      <c r="V124" s="304"/>
      <c r="W124" s="304"/>
      <c r="AD124" s="304"/>
      <c r="AE124" s="304"/>
      <c r="AR124" s="304"/>
      <c r="AS124" s="304"/>
      <c r="AT124" s="304"/>
      <c r="AU124" s="304"/>
      <c r="AV124" s="304"/>
      <c r="AW124" s="304"/>
      <c r="AX124" s="304"/>
      <c r="AY124" s="304"/>
      <c r="AZ124" s="304"/>
      <c r="BA124" s="304"/>
      <c r="BB124" s="304"/>
      <c r="BC124" s="304"/>
      <c r="BK124" s="305"/>
      <c r="BL124" s="305"/>
      <c r="BM124" s="305"/>
      <c r="BN124" s="305"/>
      <c r="BO124" s="305"/>
      <c r="BP124" s="305"/>
      <c r="BQ124" s="305"/>
      <c r="BR124" s="305"/>
      <c r="BS124" s="305"/>
      <c r="BT124" s="305"/>
      <c r="BU124" s="305"/>
      <c r="BV124" s="305"/>
      <c r="BX124" s="319"/>
    </row>
    <row r="125" spans="1:76" s="303" customFormat="1" ht="22.5" x14ac:dyDescent="0.25">
      <c r="A125" s="306" t="s">
        <v>366</v>
      </c>
      <c r="B125" s="306" t="s">
        <v>418</v>
      </c>
      <c r="C125" s="307" t="s">
        <v>90</v>
      </c>
      <c r="D125" s="307" t="s">
        <v>89</v>
      </c>
      <c r="E125" s="306" t="s">
        <v>58</v>
      </c>
      <c r="F125" s="308">
        <v>0.11559999999999999</v>
      </c>
      <c r="G125" s="309">
        <v>60.5</v>
      </c>
      <c r="H125" s="308" t="s">
        <v>559</v>
      </c>
      <c r="I125" s="309" t="s">
        <v>559</v>
      </c>
      <c r="J125" s="308" t="s">
        <v>559</v>
      </c>
      <c r="K125" s="309" t="s">
        <v>559</v>
      </c>
      <c r="L125" s="308" t="s">
        <v>559</v>
      </c>
      <c r="M125" s="309" t="s">
        <v>559</v>
      </c>
      <c r="N125" s="308">
        <v>0.11559999999999999</v>
      </c>
      <c r="O125" s="309">
        <v>60.5</v>
      </c>
      <c r="P125" s="302"/>
      <c r="V125" s="304"/>
      <c r="W125" s="304"/>
      <c r="AD125" s="304"/>
      <c r="AE125" s="304"/>
      <c r="AR125" s="304"/>
      <c r="AS125" s="304"/>
      <c r="AT125" s="304"/>
      <c r="AU125" s="304"/>
      <c r="AV125" s="304"/>
      <c r="AW125" s="304"/>
      <c r="AX125" s="304"/>
      <c r="AY125" s="304"/>
      <c r="AZ125" s="304"/>
      <c r="BA125" s="304"/>
      <c r="BB125" s="304"/>
      <c r="BC125" s="304"/>
      <c r="BK125" s="305"/>
      <c r="BL125" s="305"/>
      <c r="BM125" s="305"/>
      <c r="BN125" s="305"/>
      <c r="BO125" s="305"/>
      <c r="BP125" s="305"/>
      <c r="BQ125" s="305"/>
      <c r="BR125" s="305"/>
      <c r="BS125" s="305"/>
      <c r="BT125" s="305"/>
      <c r="BU125" s="305"/>
      <c r="BV125" s="305"/>
      <c r="BX125" s="319"/>
    </row>
    <row r="126" spans="1:76" s="303" customFormat="1" ht="22.5" x14ac:dyDescent="0.25">
      <c r="A126" s="306" t="s">
        <v>367</v>
      </c>
      <c r="B126" s="306" t="s">
        <v>419</v>
      </c>
      <c r="C126" s="307" t="s">
        <v>97</v>
      </c>
      <c r="D126" s="307" t="s">
        <v>96</v>
      </c>
      <c r="E126" s="306" t="s">
        <v>58</v>
      </c>
      <c r="F126" s="308">
        <v>0.11600000000000001</v>
      </c>
      <c r="G126" s="309">
        <v>766.68</v>
      </c>
      <c r="H126" s="308" t="s">
        <v>559</v>
      </c>
      <c r="I126" s="309" t="s">
        <v>559</v>
      </c>
      <c r="J126" s="308" t="s">
        <v>559</v>
      </c>
      <c r="K126" s="309" t="s">
        <v>559</v>
      </c>
      <c r="L126" s="308" t="s">
        <v>559</v>
      </c>
      <c r="M126" s="309" t="s">
        <v>559</v>
      </c>
      <c r="N126" s="308">
        <v>0.11600000000000001</v>
      </c>
      <c r="O126" s="309">
        <v>766.68</v>
      </c>
      <c r="P126" s="302"/>
      <c r="V126" s="304"/>
      <c r="W126" s="304"/>
      <c r="AD126" s="304"/>
      <c r="AE126" s="304"/>
      <c r="AR126" s="304"/>
      <c r="AS126" s="304"/>
      <c r="AT126" s="304"/>
      <c r="AU126" s="304"/>
      <c r="AV126" s="304"/>
      <c r="AW126" s="304"/>
      <c r="AX126" s="304"/>
      <c r="AY126" s="304"/>
      <c r="AZ126" s="304"/>
      <c r="BA126" s="304"/>
      <c r="BB126" s="304"/>
      <c r="BC126" s="304"/>
      <c r="BK126" s="305"/>
      <c r="BL126" s="305"/>
      <c r="BM126" s="305"/>
      <c r="BN126" s="305"/>
      <c r="BO126" s="305"/>
      <c r="BP126" s="305"/>
      <c r="BQ126" s="305"/>
      <c r="BR126" s="305"/>
      <c r="BS126" s="305"/>
      <c r="BT126" s="305"/>
      <c r="BU126" s="305"/>
      <c r="BV126" s="305"/>
      <c r="BX126" s="319"/>
    </row>
    <row r="127" spans="1:76" s="303" customFormat="1" ht="33.75" x14ac:dyDescent="0.25">
      <c r="A127" s="306" t="s">
        <v>368</v>
      </c>
      <c r="B127" s="306" t="s">
        <v>420</v>
      </c>
      <c r="C127" s="307" t="s">
        <v>105</v>
      </c>
      <c r="D127" s="307" t="s">
        <v>104</v>
      </c>
      <c r="E127" s="306" t="s">
        <v>106</v>
      </c>
      <c r="F127" s="308">
        <v>14.62</v>
      </c>
      <c r="G127" s="309">
        <v>9562.59</v>
      </c>
      <c r="H127" s="308" t="s">
        <v>559</v>
      </c>
      <c r="I127" s="309" t="s">
        <v>559</v>
      </c>
      <c r="J127" s="308" t="s">
        <v>559</v>
      </c>
      <c r="K127" s="309" t="s">
        <v>559</v>
      </c>
      <c r="L127" s="308" t="s">
        <v>559</v>
      </c>
      <c r="M127" s="309" t="s">
        <v>559</v>
      </c>
      <c r="N127" s="308">
        <v>14.62</v>
      </c>
      <c r="O127" s="309">
        <v>9562.59</v>
      </c>
      <c r="P127" s="302"/>
      <c r="V127" s="304"/>
      <c r="W127" s="304"/>
      <c r="AD127" s="304"/>
      <c r="AE127" s="304"/>
      <c r="AR127" s="304"/>
      <c r="AS127" s="304"/>
      <c r="AT127" s="304"/>
      <c r="AU127" s="304"/>
      <c r="AV127" s="304"/>
      <c r="AW127" s="304"/>
      <c r="AX127" s="304"/>
      <c r="AY127" s="304"/>
      <c r="AZ127" s="304"/>
      <c r="BA127" s="304"/>
      <c r="BB127" s="304"/>
      <c r="BC127" s="304"/>
      <c r="BK127" s="305"/>
      <c r="BL127" s="305"/>
      <c r="BM127" s="305"/>
      <c r="BN127" s="305"/>
      <c r="BO127" s="305"/>
      <c r="BP127" s="305"/>
      <c r="BQ127" s="305"/>
      <c r="BR127" s="305"/>
      <c r="BS127" s="305"/>
      <c r="BT127" s="305"/>
      <c r="BU127" s="305"/>
      <c r="BV127" s="305"/>
      <c r="BX127" s="319"/>
    </row>
    <row r="128" spans="1:76" s="303" customFormat="1" ht="33.75" x14ac:dyDescent="0.25">
      <c r="A128" s="306" t="s">
        <v>369</v>
      </c>
      <c r="B128" s="306" t="s">
        <v>421</v>
      </c>
      <c r="C128" s="307" t="s">
        <v>242</v>
      </c>
      <c r="D128" s="307" t="s">
        <v>241</v>
      </c>
      <c r="E128" s="306" t="s">
        <v>210</v>
      </c>
      <c r="F128" s="308">
        <v>1</v>
      </c>
      <c r="G128" s="309">
        <v>9978.5400000000009</v>
      </c>
      <c r="H128" s="308" t="s">
        <v>559</v>
      </c>
      <c r="I128" s="309" t="s">
        <v>559</v>
      </c>
      <c r="J128" s="308" t="s">
        <v>559</v>
      </c>
      <c r="K128" s="309" t="s">
        <v>559</v>
      </c>
      <c r="L128" s="308" t="s">
        <v>559</v>
      </c>
      <c r="M128" s="309" t="s">
        <v>559</v>
      </c>
      <c r="N128" s="308">
        <v>1</v>
      </c>
      <c r="O128" s="309">
        <v>9978.5400000000009</v>
      </c>
      <c r="P128" s="302"/>
      <c r="V128" s="304"/>
      <c r="W128" s="304"/>
      <c r="AD128" s="304"/>
      <c r="AE128" s="304"/>
      <c r="AR128" s="304"/>
      <c r="AS128" s="304"/>
      <c r="AT128" s="304"/>
      <c r="AU128" s="304"/>
      <c r="AV128" s="304"/>
      <c r="AW128" s="304"/>
      <c r="AX128" s="304"/>
      <c r="AY128" s="304"/>
      <c r="AZ128" s="304"/>
      <c r="BA128" s="304"/>
      <c r="BB128" s="304"/>
      <c r="BC128" s="304"/>
      <c r="BK128" s="305"/>
      <c r="BL128" s="305"/>
      <c r="BM128" s="305"/>
      <c r="BN128" s="305"/>
      <c r="BO128" s="305"/>
      <c r="BP128" s="305"/>
      <c r="BQ128" s="305"/>
      <c r="BR128" s="305"/>
      <c r="BS128" s="305"/>
      <c r="BT128" s="305"/>
      <c r="BU128" s="305"/>
      <c r="BV128" s="305"/>
      <c r="BX128" s="319"/>
    </row>
    <row r="129" spans="1:76" s="303" customFormat="1" ht="33.75" x14ac:dyDescent="0.25">
      <c r="A129" s="306" t="s">
        <v>370</v>
      </c>
      <c r="B129" s="306" t="s">
        <v>422</v>
      </c>
      <c r="C129" s="307" t="s">
        <v>245</v>
      </c>
      <c r="D129" s="307" t="s">
        <v>244</v>
      </c>
      <c r="E129" s="306" t="s">
        <v>246</v>
      </c>
      <c r="F129" s="308">
        <v>1</v>
      </c>
      <c r="G129" s="309">
        <v>175555.37</v>
      </c>
      <c r="H129" s="308" t="s">
        <v>559</v>
      </c>
      <c r="I129" s="309" t="s">
        <v>559</v>
      </c>
      <c r="J129" s="308" t="s">
        <v>559</v>
      </c>
      <c r="K129" s="309" t="s">
        <v>559</v>
      </c>
      <c r="L129" s="308" t="s">
        <v>559</v>
      </c>
      <c r="M129" s="309" t="s">
        <v>559</v>
      </c>
      <c r="N129" s="308">
        <v>1</v>
      </c>
      <c r="O129" s="309">
        <v>175555.37</v>
      </c>
      <c r="P129" s="302"/>
      <c r="V129" s="304"/>
      <c r="W129" s="304"/>
      <c r="AD129" s="304"/>
      <c r="AE129" s="304"/>
      <c r="AR129" s="304"/>
      <c r="AS129" s="304"/>
      <c r="AT129" s="304"/>
      <c r="AU129" s="304"/>
      <c r="AV129" s="304"/>
      <c r="AW129" s="304"/>
      <c r="AX129" s="304"/>
      <c r="AY129" s="304"/>
      <c r="AZ129" s="304"/>
      <c r="BA129" s="304"/>
      <c r="BB129" s="304"/>
      <c r="BC129" s="304"/>
      <c r="BK129" s="305"/>
      <c r="BL129" s="305"/>
      <c r="BM129" s="305"/>
      <c r="BN129" s="305"/>
      <c r="BO129" s="305"/>
      <c r="BP129" s="305"/>
      <c r="BQ129" s="305"/>
      <c r="BR129" s="305"/>
      <c r="BS129" s="305"/>
      <c r="BT129" s="305"/>
      <c r="BU129" s="305"/>
      <c r="BV129" s="305"/>
      <c r="BX129" s="319"/>
    </row>
    <row r="130" spans="1:76" s="303" customFormat="1" ht="33.75" x14ac:dyDescent="0.25">
      <c r="A130" s="306" t="s">
        <v>371</v>
      </c>
      <c r="B130" s="306" t="s">
        <v>423</v>
      </c>
      <c r="C130" s="307" t="s">
        <v>250</v>
      </c>
      <c r="D130" s="307" t="s">
        <v>249</v>
      </c>
      <c r="E130" s="306" t="s">
        <v>246</v>
      </c>
      <c r="F130" s="308">
        <v>1</v>
      </c>
      <c r="G130" s="309">
        <v>378541.26</v>
      </c>
      <c r="H130" s="308" t="s">
        <v>559</v>
      </c>
      <c r="I130" s="309" t="s">
        <v>559</v>
      </c>
      <c r="J130" s="308" t="s">
        <v>559</v>
      </c>
      <c r="K130" s="309" t="s">
        <v>559</v>
      </c>
      <c r="L130" s="308" t="s">
        <v>559</v>
      </c>
      <c r="M130" s="309" t="s">
        <v>559</v>
      </c>
      <c r="N130" s="308">
        <v>1</v>
      </c>
      <c r="O130" s="309">
        <v>378541.26</v>
      </c>
      <c r="P130" s="302"/>
      <c r="V130" s="304"/>
      <c r="W130" s="304"/>
      <c r="AD130" s="304"/>
      <c r="AE130" s="304"/>
      <c r="AR130" s="304"/>
      <c r="AS130" s="304"/>
      <c r="AT130" s="304"/>
      <c r="AU130" s="304"/>
      <c r="AV130" s="304"/>
      <c r="AW130" s="304"/>
      <c r="AX130" s="304"/>
      <c r="AY130" s="304"/>
      <c r="AZ130" s="304"/>
      <c r="BA130" s="304"/>
      <c r="BB130" s="304"/>
      <c r="BC130" s="304"/>
      <c r="BK130" s="305"/>
      <c r="BL130" s="305"/>
      <c r="BM130" s="305"/>
      <c r="BN130" s="305"/>
      <c r="BO130" s="305"/>
      <c r="BP130" s="305"/>
      <c r="BQ130" s="305"/>
      <c r="BR130" s="305"/>
      <c r="BS130" s="305"/>
      <c r="BT130" s="305"/>
      <c r="BU130" s="305"/>
      <c r="BV130" s="305"/>
      <c r="BX130" s="319"/>
    </row>
    <row r="131" spans="1:76" s="303" customFormat="1" ht="33.75" x14ac:dyDescent="0.25">
      <c r="A131" s="306" t="s">
        <v>372</v>
      </c>
      <c r="B131" s="306" t="s">
        <v>424</v>
      </c>
      <c r="C131" s="307" t="s">
        <v>254</v>
      </c>
      <c r="D131" s="307" t="s">
        <v>253</v>
      </c>
      <c r="E131" s="306" t="s">
        <v>115</v>
      </c>
      <c r="F131" s="308">
        <v>1</v>
      </c>
      <c r="G131" s="309">
        <v>1556.89</v>
      </c>
      <c r="H131" s="308" t="s">
        <v>559</v>
      </c>
      <c r="I131" s="309" t="s">
        <v>559</v>
      </c>
      <c r="J131" s="308" t="s">
        <v>559</v>
      </c>
      <c r="K131" s="309" t="s">
        <v>559</v>
      </c>
      <c r="L131" s="308" t="s">
        <v>559</v>
      </c>
      <c r="M131" s="309" t="s">
        <v>559</v>
      </c>
      <c r="N131" s="308">
        <v>1</v>
      </c>
      <c r="O131" s="309">
        <v>1556.89</v>
      </c>
      <c r="P131" s="302"/>
      <c r="V131" s="304"/>
      <c r="W131" s="304"/>
      <c r="AD131" s="304"/>
      <c r="AE131" s="304"/>
      <c r="AR131" s="304"/>
      <c r="AS131" s="304"/>
      <c r="AT131" s="304"/>
      <c r="AU131" s="304"/>
      <c r="AV131" s="304"/>
      <c r="AW131" s="304"/>
      <c r="AX131" s="304"/>
      <c r="AY131" s="304"/>
      <c r="AZ131" s="304"/>
      <c r="BA131" s="304"/>
      <c r="BB131" s="304"/>
      <c r="BC131" s="304"/>
      <c r="BK131" s="305"/>
      <c r="BL131" s="305"/>
      <c r="BM131" s="305"/>
      <c r="BN131" s="305"/>
      <c r="BO131" s="305"/>
      <c r="BP131" s="305"/>
      <c r="BQ131" s="305"/>
      <c r="BR131" s="305"/>
      <c r="BS131" s="305"/>
      <c r="BT131" s="305"/>
      <c r="BU131" s="305"/>
      <c r="BV131" s="305"/>
      <c r="BX131" s="319"/>
    </row>
    <row r="132" spans="1:76" s="303" customFormat="1" ht="22.5" x14ac:dyDescent="0.25">
      <c r="A132" s="306" t="s">
        <v>373</v>
      </c>
      <c r="B132" s="306" t="s">
        <v>425</v>
      </c>
      <c r="C132" s="307" t="s">
        <v>261</v>
      </c>
      <c r="D132" s="307" t="s">
        <v>260</v>
      </c>
      <c r="E132" s="306" t="s">
        <v>115</v>
      </c>
      <c r="F132" s="308">
        <v>-2</v>
      </c>
      <c r="G132" s="309">
        <v>-533.34</v>
      </c>
      <c r="H132" s="308" t="s">
        <v>559</v>
      </c>
      <c r="I132" s="309" t="s">
        <v>559</v>
      </c>
      <c r="J132" s="308" t="s">
        <v>559</v>
      </c>
      <c r="K132" s="309" t="s">
        <v>559</v>
      </c>
      <c r="L132" s="308" t="s">
        <v>559</v>
      </c>
      <c r="M132" s="309" t="s">
        <v>559</v>
      </c>
      <c r="N132" s="308">
        <v>-2</v>
      </c>
      <c r="O132" s="309">
        <v>-533.34</v>
      </c>
      <c r="P132" s="302"/>
      <c r="V132" s="304"/>
      <c r="W132" s="304"/>
      <c r="AD132" s="304"/>
      <c r="AE132" s="304"/>
      <c r="AR132" s="304"/>
      <c r="AS132" s="304"/>
      <c r="AT132" s="304"/>
      <c r="AU132" s="304"/>
      <c r="AV132" s="304"/>
      <c r="AW132" s="304"/>
      <c r="AX132" s="304"/>
      <c r="AY132" s="304"/>
      <c r="AZ132" s="304"/>
      <c r="BA132" s="304"/>
      <c r="BB132" s="304"/>
      <c r="BC132" s="304"/>
      <c r="BK132" s="305"/>
      <c r="BL132" s="305"/>
      <c r="BM132" s="305"/>
      <c r="BN132" s="305"/>
      <c r="BO132" s="305"/>
      <c r="BP132" s="305"/>
      <c r="BQ132" s="305"/>
      <c r="BR132" s="305"/>
      <c r="BS132" s="305"/>
      <c r="BT132" s="305"/>
      <c r="BU132" s="305"/>
      <c r="BV132" s="305"/>
      <c r="BX132" s="319"/>
    </row>
    <row r="133" spans="1:76" s="303" customFormat="1" ht="33.75" x14ac:dyDescent="0.25">
      <c r="A133" s="306" t="s">
        <v>374</v>
      </c>
      <c r="B133" s="306" t="s">
        <v>426</v>
      </c>
      <c r="C133" s="307" t="s">
        <v>264</v>
      </c>
      <c r="D133" s="307" t="s">
        <v>263</v>
      </c>
      <c r="E133" s="306" t="s">
        <v>115</v>
      </c>
      <c r="F133" s="308">
        <v>2</v>
      </c>
      <c r="G133" s="309">
        <v>9234.43</v>
      </c>
      <c r="H133" s="308" t="s">
        <v>559</v>
      </c>
      <c r="I133" s="309" t="s">
        <v>559</v>
      </c>
      <c r="J133" s="308" t="s">
        <v>559</v>
      </c>
      <c r="K133" s="309" t="s">
        <v>559</v>
      </c>
      <c r="L133" s="308" t="s">
        <v>559</v>
      </c>
      <c r="M133" s="309" t="s">
        <v>559</v>
      </c>
      <c r="N133" s="308">
        <v>2</v>
      </c>
      <c r="O133" s="309">
        <v>9234.43</v>
      </c>
      <c r="P133" s="302"/>
      <c r="V133" s="304"/>
      <c r="W133" s="304"/>
      <c r="AD133" s="304"/>
      <c r="AE133" s="304"/>
      <c r="AR133" s="304"/>
      <c r="AS133" s="304"/>
      <c r="AT133" s="304"/>
      <c r="AU133" s="304"/>
      <c r="AV133" s="304"/>
      <c r="AW133" s="304"/>
      <c r="AX133" s="304"/>
      <c r="AY133" s="304"/>
      <c r="AZ133" s="304"/>
      <c r="BA133" s="304"/>
      <c r="BB133" s="304"/>
      <c r="BC133" s="304"/>
      <c r="BK133" s="305"/>
      <c r="BL133" s="305"/>
      <c r="BM133" s="305"/>
      <c r="BN133" s="305"/>
      <c r="BO133" s="305"/>
      <c r="BP133" s="305"/>
      <c r="BQ133" s="305"/>
      <c r="BR133" s="305"/>
      <c r="BS133" s="305"/>
      <c r="BT133" s="305"/>
      <c r="BU133" s="305"/>
      <c r="BV133" s="305"/>
      <c r="BX133" s="319"/>
    </row>
    <row r="134" spans="1:76" s="303" customFormat="1" ht="33.75" x14ac:dyDescent="0.25">
      <c r="A134" s="306" t="s">
        <v>375</v>
      </c>
      <c r="B134" s="306" t="s">
        <v>427</v>
      </c>
      <c r="C134" s="307" t="s">
        <v>268</v>
      </c>
      <c r="D134" s="307" t="s">
        <v>267</v>
      </c>
      <c r="E134" s="306" t="s">
        <v>115</v>
      </c>
      <c r="F134" s="308">
        <v>1</v>
      </c>
      <c r="G134" s="309">
        <v>16503.3</v>
      </c>
      <c r="H134" s="308" t="s">
        <v>559</v>
      </c>
      <c r="I134" s="309" t="s">
        <v>559</v>
      </c>
      <c r="J134" s="308" t="s">
        <v>559</v>
      </c>
      <c r="K134" s="309" t="s">
        <v>559</v>
      </c>
      <c r="L134" s="308" t="s">
        <v>559</v>
      </c>
      <c r="M134" s="309" t="s">
        <v>559</v>
      </c>
      <c r="N134" s="308">
        <v>1</v>
      </c>
      <c r="O134" s="309">
        <v>16503.3</v>
      </c>
      <c r="P134" s="302"/>
      <c r="V134" s="304"/>
      <c r="W134" s="304"/>
      <c r="AD134" s="304"/>
      <c r="AE134" s="304"/>
      <c r="AR134" s="304"/>
      <c r="AS134" s="304"/>
      <c r="AT134" s="304"/>
      <c r="AU134" s="304"/>
      <c r="AV134" s="304"/>
      <c r="AW134" s="304"/>
      <c r="AX134" s="304"/>
      <c r="AY134" s="304"/>
      <c r="AZ134" s="304"/>
      <c r="BA134" s="304"/>
      <c r="BB134" s="304"/>
      <c r="BC134" s="304"/>
      <c r="BK134" s="305"/>
      <c r="BL134" s="305"/>
      <c r="BM134" s="305"/>
      <c r="BN134" s="305"/>
      <c r="BO134" s="305"/>
      <c r="BP134" s="305"/>
      <c r="BQ134" s="305"/>
      <c r="BR134" s="305"/>
      <c r="BS134" s="305"/>
      <c r="BT134" s="305"/>
      <c r="BU134" s="305"/>
      <c r="BV134" s="305"/>
      <c r="BX134" s="319"/>
    </row>
    <row r="135" spans="1:76" s="303" customFormat="1" ht="33.75" x14ac:dyDescent="0.25">
      <c r="A135" s="306" t="s">
        <v>376</v>
      </c>
      <c r="B135" s="306" t="s">
        <v>428</v>
      </c>
      <c r="C135" s="307" t="s">
        <v>271</v>
      </c>
      <c r="D135" s="307" t="s">
        <v>120</v>
      </c>
      <c r="E135" s="306" t="s">
        <v>115</v>
      </c>
      <c r="F135" s="308">
        <v>1</v>
      </c>
      <c r="G135" s="309">
        <v>439.8</v>
      </c>
      <c r="H135" s="308" t="s">
        <v>559</v>
      </c>
      <c r="I135" s="309" t="s">
        <v>559</v>
      </c>
      <c r="J135" s="308" t="s">
        <v>559</v>
      </c>
      <c r="K135" s="309" t="s">
        <v>559</v>
      </c>
      <c r="L135" s="308" t="s">
        <v>559</v>
      </c>
      <c r="M135" s="309" t="s">
        <v>559</v>
      </c>
      <c r="N135" s="308">
        <v>1</v>
      </c>
      <c r="O135" s="309">
        <v>439.8</v>
      </c>
      <c r="P135" s="302"/>
      <c r="V135" s="304"/>
      <c r="W135" s="304"/>
      <c r="AD135" s="304"/>
      <c r="AE135" s="304"/>
      <c r="AR135" s="304"/>
      <c r="AS135" s="304"/>
      <c r="AT135" s="304"/>
      <c r="AU135" s="304"/>
      <c r="AV135" s="304"/>
      <c r="AW135" s="304"/>
      <c r="AX135" s="304"/>
      <c r="AY135" s="304"/>
      <c r="AZ135" s="304"/>
      <c r="BA135" s="304"/>
      <c r="BB135" s="304"/>
      <c r="BC135" s="304"/>
      <c r="BK135" s="305"/>
      <c r="BL135" s="305"/>
      <c r="BM135" s="305"/>
      <c r="BN135" s="305"/>
      <c r="BO135" s="305"/>
      <c r="BP135" s="305"/>
      <c r="BQ135" s="305"/>
      <c r="BR135" s="305"/>
      <c r="BS135" s="305"/>
      <c r="BT135" s="305"/>
      <c r="BU135" s="305"/>
      <c r="BV135" s="305"/>
      <c r="BX135" s="319"/>
    </row>
    <row r="136" spans="1:76" s="303" customFormat="1" ht="22.5" x14ac:dyDescent="0.25">
      <c r="A136" s="306" t="s">
        <v>377</v>
      </c>
      <c r="B136" s="306" t="s">
        <v>429</v>
      </c>
      <c r="C136" s="307" t="s">
        <v>275</v>
      </c>
      <c r="D136" s="307" t="s">
        <v>274</v>
      </c>
      <c r="E136" s="306" t="s">
        <v>276</v>
      </c>
      <c r="F136" s="308">
        <v>0.06</v>
      </c>
      <c r="G136" s="309">
        <v>763.83</v>
      </c>
      <c r="H136" s="308" t="s">
        <v>559</v>
      </c>
      <c r="I136" s="309" t="s">
        <v>559</v>
      </c>
      <c r="J136" s="308" t="s">
        <v>559</v>
      </c>
      <c r="K136" s="309" t="s">
        <v>559</v>
      </c>
      <c r="L136" s="308" t="s">
        <v>559</v>
      </c>
      <c r="M136" s="309" t="s">
        <v>559</v>
      </c>
      <c r="N136" s="308">
        <v>0.06</v>
      </c>
      <c r="O136" s="309">
        <v>763.83</v>
      </c>
      <c r="P136" s="302"/>
      <c r="V136" s="304"/>
      <c r="W136" s="304"/>
      <c r="AD136" s="304"/>
      <c r="AE136" s="304"/>
      <c r="AR136" s="304"/>
      <c r="AS136" s="304"/>
      <c r="AT136" s="304"/>
      <c r="AU136" s="304"/>
      <c r="AV136" s="304"/>
      <c r="AW136" s="304"/>
      <c r="AX136" s="304"/>
      <c r="AY136" s="304"/>
      <c r="AZ136" s="304"/>
      <c r="BA136" s="304"/>
      <c r="BB136" s="304"/>
      <c r="BC136" s="304"/>
      <c r="BK136" s="305"/>
      <c r="BL136" s="305"/>
      <c r="BM136" s="305"/>
      <c r="BN136" s="305"/>
      <c r="BO136" s="305"/>
      <c r="BP136" s="305"/>
      <c r="BQ136" s="305"/>
      <c r="BR136" s="305"/>
      <c r="BS136" s="305"/>
      <c r="BT136" s="305"/>
      <c r="BU136" s="305"/>
      <c r="BV136" s="305"/>
      <c r="BX136" s="319"/>
    </row>
    <row r="137" spans="1:76" s="303" customFormat="1" ht="22.5" x14ac:dyDescent="0.25">
      <c r="A137" s="306" t="s">
        <v>378</v>
      </c>
      <c r="B137" s="306" t="s">
        <v>430</v>
      </c>
      <c r="C137" s="307" t="s">
        <v>283</v>
      </c>
      <c r="D137" s="307" t="s">
        <v>282</v>
      </c>
      <c r="E137" s="306" t="s">
        <v>127</v>
      </c>
      <c r="F137" s="308">
        <v>-2.9000000000000001E-2</v>
      </c>
      <c r="G137" s="309">
        <v>-282.08999999999997</v>
      </c>
      <c r="H137" s="308" t="s">
        <v>559</v>
      </c>
      <c r="I137" s="309" t="s">
        <v>559</v>
      </c>
      <c r="J137" s="308" t="s">
        <v>559</v>
      </c>
      <c r="K137" s="309" t="s">
        <v>559</v>
      </c>
      <c r="L137" s="308" t="s">
        <v>559</v>
      </c>
      <c r="M137" s="309" t="s">
        <v>559</v>
      </c>
      <c r="N137" s="308">
        <v>-2.9000000000000001E-2</v>
      </c>
      <c r="O137" s="309">
        <v>-282.08999999999997</v>
      </c>
      <c r="P137" s="302"/>
      <c r="V137" s="304"/>
      <c r="W137" s="304"/>
      <c r="AD137" s="304"/>
      <c r="AE137" s="304"/>
      <c r="AR137" s="304"/>
      <c r="AS137" s="304"/>
      <c r="AT137" s="304"/>
      <c r="AU137" s="304"/>
      <c r="AV137" s="304"/>
      <c r="AW137" s="304"/>
      <c r="AX137" s="304"/>
      <c r="AY137" s="304"/>
      <c r="AZ137" s="304"/>
      <c r="BA137" s="304"/>
      <c r="BB137" s="304"/>
      <c r="BC137" s="304"/>
      <c r="BK137" s="305"/>
      <c r="BL137" s="305"/>
      <c r="BM137" s="305"/>
      <c r="BN137" s="305"/>
      <c r="BO137" s="305"/>
      <c r="BP137" s="305"/>
      <c r="BQ137" s="305"/>
      <c r="BR137" s="305"/>
      <c r="BS137" s="305"/>
      <c r="BT137" s="305"/>
      <c r="BU137" s="305"/>
      <c r="BV137" s="305"/>
      <c r="BX137" s="319"/>
    </row>
    <row r="138" spans="1:76" s="303" customFormat="1" ht="33.75" x14ac:dyDescent="0.25">
      <c r="A138" s="306" t="s">
        <v>379</v>
      </c>
      <c r="B138" s="306" t="s">
        <v>431</v>
      </c>
      <c r="C138" s="307" t="s">
        <v>285</v>
      </c>
      <c r="D138" s="307" t="s">
        <v>120</v>
      </c>
      <c r="E138" s="306" t="s">
        <v>130</v>
      </c>
      <c r="F138" s="308">
        <v>0.36</v>
      </c>
      <c r="G138" s="309">
        <v>14126.77</v>
      </c>
      <c r="H138" s="308" t="s">
        <v>559</v>
      </c>
      <c r="I138" s="309" t="s">
        <v>559</v>
      </c>
      <c r="J138" s="308" t="s">
        <v>559</v>
      </c>
      <c r="K138" s="309" t="s">
        <v>559</v>
      </c>
      <c r="L138" s="308" t="s">
        <v>559</v>
      </c>
      <c r="M138" s="309" t="s">
        <v>559</v>
      </c>
      <c r="N138" s="308">
        <v>0.36</v>
      </c>
      <c r="O138" s="309">
        <v>14126.77</v>
      </c>
      <c r="P138" s="302"/>
      <c r="V138" s="304"/>
      <c r="W138" s="304"/>
      <c r="AD138" s="304"/>
      <c r="AE138" s="304"/>
      <c r="AR138" s="304"/>
      <c r="AS138" s="304"/>
      <c r="AT138" s="304"/>
      <c r="AU138" s="304"/>
      <c r="AV138" s="304"/>
      <c r="AW138" s="304"/>
      <c r="AX138" s="304"/>
      <c r="AY138" s="304"/>
      <c r="AZ138" s="304"/>
      <c r="BA138" s="304"/>
      <c r="BB138" s="304"/>
      <c r="BC138" s="304"/>
      <c r="BK138" s="305"/>
      <c r="BL138" s="305"/>
      <c r="BM138" s="305"/>
      <c r="BN138" s="305"/>
      <c r="BO138" s="305"/>
      <c r="BP138" s="305"/>
      <c r="BQ138" s="305"/>
      <c r="BR138" s="305"/>
      <c r="BS138" s="305"/>
      <c r="BT138" s="305"/>
      <c r="BU138" s="305"/>
      <c r="BV138" s="305"/>
      <c r="BX138" s="319"/>
    </row>
    <row r="139" spans="1:76" s="303" customFormat="1" ht="33.75" x14ac:dyDescent="0.25">
      <c r="A139" s="306" t="s">
        <v>380</v>
      </c>
      <c r="B139" s="306" t="s">
        <v>432</v>
      </c>
      <c r="C139" s="307" t="s">
        <v>129</v>
      </c>
      <c r="D139" s="307" t="s">
        <v>120</v>
      </c>
      <c r="E139" s="306" t="s">
        <v>130</v>
      </c>
      <c r="F139" s="308">
        <v>2.9000000000000001E-2</v>
      </c>
      <c r="G139" s="309">
        <v>843.21</v>
      </c>
      <c r="H139" s="308" t="s">
        <v>559</v>
      </c>
      <c r="I139" s="309" t="s">
        <v>559</v>
      </c>
      <c r="J139" s="308" t="s">
        <v>559</v>
      </c>
      <c r="K139" s="309" t="s">
        <v>559</v>
      </c>
      <c r="L139" s="308" t="s">
        <v>559</v>
      </c>
      <c r="M139" s="309" t="s">
        <v>559</v>
      </c>
      <c r="N139" s="308">
        <v>2.9000000000000001E-2</v>
      </c>
      <c r="O139" s="309">
        <v>843.21</v>
      </c>
      <c r="P139" s="302"/>
      <c r="V139" s="304"/>
      <c r="W139" s="304"/>
      <c r="AD139" s="304"/>
      <c r="AE139" s="304"/>
      <c r="AR139" s="304"/>
      <c r="AS139" s="304"/>
      <c r="AT139" s="304"/>
      <c r="AU139" s="304"/>
      <c r="AV139" s="304"/>
      <c r="AW139" s="304"/>
      <c r="AX139" s="304"/>
      <c r="AY139" s="304"/>
      <c r="AZ139" s="304"/>
      <c r="BA139" s="304"/>
      <c r="BB139" s="304"/>
      <c r="BC139" s="304"/>
      <c r="BK139" s="305"/>
      <c r="BL139" s="305"/>
      <c r="BM139" s="305"/>
      <c r="BN139" s="305"/>
      <c r="BO139" s="305"/>
      <c r="BP139" s="305"/>
      <c r="BQ139" s="305"/>
      <c r="BR139" s="305"/>
      <c r="BS139" s="305"/>
      <c r="BT139" s="305"/>
      <c r="BU139" s="305"/>
      <c r="BV139" s="305"/>
      <c r="BX139" s="319"/>
    </row>
    <row r="140" spans="1:76" s="303" customFormat="1" ht="22.5" x14ac:dyDescent="0.25">
      <c r="A140" s="306" t="s">
        <v>381</v>
      </c>
      <c r="B140" s="306" t="s">
        <v>433</v>
      </c>
      <c r="C140" s="307" t="s">
        <v>289</v>
      </c>
      <c r="D140" s="307" t="s">
        <v>288</v>
      </c>
      <c r="E140" s="306" t="s">
        <v>160</v>
      </c>
      <c r="F140" s="308">
        <v>1.3299999999999999E-2</v>
      </c>
      <c r="G140" s="309">
        <v>3286.13</v>
      </c>
      <c r="H140" s="308" t="s">
        <v>559</v>
      </c>
      <c r="I140" s="309" t="s">
        <v>559</v>
      </c>
      <c r="J140" s="308" t="s">
        <v>559</v>
      </c>
      <c r="K140" s="309" t="s">
        <v>559</v>
      </c>
      <c r="L140" s="308" t="s">
        <v>559</v>
      </c>
      <c r="M140" s="309" t="s">
        <v>559</v>
      </c>
      <c r="N140" s="308">
        <v>1.3299999999999999E-2</v>
      </c>
      <c r="O140" s="309">
        <v>3286.13</v>
      </c>
      <c r="P140" s="302"/>
      <c r="V140" s="304"/>
      <c r="W140" s="304"/>
      <c r="AD140" s="304"/>
      <c r="AE140" s="304"/>
      <c r="AR140" s="304"/>
      <c r="AS140" s="304"/>
      <c r="AT140" s="304"/>
      <c r="AU140" s="304"/>
      <c r="AV140" s="304"/>
      <c r="AW140" s="304"/>
      <c r="AX140" s="304"/>
      <c r="AY140" s="304"/>
      <c r="AZ140" s="304"/>
      <c r="BA140" s="304"/>
      <c r="BB140" s="304"/>
      <c r="BC140" s="304"/>
      <c r="BK140" s="305"/>
      <c r="BL140" s="305"/>
      <c r="BM140" s="305"/>
      <c r="BN140" s="305"/>
      <c r="BO140" s="305"/>
      <c r="BP140" s="305"/>
      <c r="BQ140" s="305"/>
      <c r="BR140" s="305"/>
      <c r="BS140" s="305"/>
      <c r="BT140" s="305"/>
      <c r="BU140" s="305"/>
      <c r="BV140" s="305"/>
      <c r="BX140" s="319"/>
    </row>
    <row r="141" spans="1:76" s="303" customFormat="1" ht="33.75" x14ac:dyDescent="0.25">
      <c r="A141" s="306" t="s">
        <v>382</v>
      </c>
      <c r="B141" s="306" t="s">
        <v>434</v>
      </c>
      <c r="C141" s="307" t="s">
        <v>164</v>
      </c>
      <c r="D141" s="307" t="s">
        <v>163</v>
      </c>
      <c r="E141" s="306" t="s">
        <v>165</v>
      </c>
      <c r="F141" s="308">
        <v>41.5</v>
      </c>
      <c r="G141" s="309">
        <v>136.12</v>
      </c>
      <c r="H141" s="308" t="s">
        <v>559</v>
      </c>
      <c r="I141" s="309" t="s">
        <v>559</v>
      </c>
      <c r="J141" s="308" t="s">
        <v>559</v>
      </c>
      <c r="K141" s="309" t="s">
        <v>559</v>
      </c>
      <c r="L141" s="308" t="s">
        <v>559</v>
      </c>
      <c r="M141" s="309" t="s">
        <v>559</v>
      </c>
      <c r="N141" s="308">
        <v>41.5</v>
      </c>
      <c r="O141" s="309">
        <v>136.12</v>
      </c>
      <c r="P141" s="302"/>
      <c r="V141" s="304"/>
      <c r="W141" s="304"/>
      <c r="AD141" s="304"/>
      <c r="AE141" s="304"/>
      <c r="AR141" s="304"/>
      <c r="AS141" s="304"/>
      <c r="AT141" s="304"/>
      <c r="AU141" s="304"/>
      <c r="AV141" s="304"/>
      <c r="AW141" s="304"/>
      <c r="AX141" s="304"/>
      <c r="AY141" s="304"/>
      <c r="AZ141" s="304"/>
      <c r="BA141" s="304"/>
      <c r="BB141" s="304"/>
      <c r="BC141" s="304"/>
      <c r="BK141" s="305"/>
      <c r="BL141" s="305"/>
      <c r="BM141" s="305"/>
      <c r="BN141" s="305"/>
      <c r="BO141" s="305"/>
      <c r="BP141" s="305"/>
      <c r="BQ141" s="305"/>
      <c r="BR141" s="305"/>
      <c r="BS141" s="305"/>
      <c r="BT141" s="305"/>
      <c r="BU141" s="305"/>
      <c r="BV141" s="305"/>
      <c r="BX141" s="319"/>
    </row>
    <row r="142" spans="1:76" s="303" customFormat="1" ht="45" x14ac:dyDescent="0.25">
      <c r="A142" s="306" t="s">
        <v>383</v>
      </c>
      <c r="B142" s="306" t="s">
        <v>435</v>
      </c>
      <c r="C142" s="307" t="s">
        <v>292</v>
      </c>
      <c r="D142" s="307" t="s">
        <v>167</v>
      </c>
      <c r="E142" s="306" t="s">
        <v>165</v>
      </c>
      <c r="F142" s="308">
        <v>9.9</v>
      </c>
      <c r="G142" s="309">
        <v>83.06</v>
      </c>
      <c r="H142" s="308" t="s">
        <v>559</v>
      </c>
      <c r="I142" s="309" t="s">
        <v>559</v>
      </c>
      <c r="J142" s="308" t="s">
        <v>559</v>
      </c>
      <c r="K142" s="309" t="s">
        <v>559</v>
      </c>
      <c r="L142" s="308" t="s">
        <v>559</v>
      </c>
      <c r="M142" s="309" t="s">
        <v>559</v>
      </c>
      <c r="N142" s="308">
        <v>9.9</v>
      </c>
      <c r="O142" s="309">
        <v>83.06</v>
      </c>
      <c r="P142" s="302"/>
      <c r="V142" s="304"/>
      <c r="W142" s="304"/>
      <c r="AD142" s="304"/>
      <c r="AE142" s="304"/>
      <c r="AR142" s="304"/>
      <c r="AS142" s="304"/>
      <c r="AT142" s="304"/>
      <c r="AU142" s="304"/>
      <c r="AV142" s="304"/>
      <c r="AW142" s="304"/>
      <c r="AX142" s="304"/>
      <c r="AY142" s="304"/>
      <c r="AZ142" s="304"/>
      <c r="BA142" s="304"/>
      <c r="BB142" s="304"/>
      <c r="BC142" s="304"/>
      <c r="BK142" s="305"/>
      <c r="BL142" s="305"/>
      <c r="BM142" s="305"/>
      <c r="BN142" s="305"/>
      <c r="BO142" s="305"/>
      <c r="BP142" s="305"/>
      <c r="BQ142" s="305"/>
      <c r="BR142" s="305"/>
      <c r="BS142" s="305"/>
      <c r="BT142" s="305"/>
      <c r="BU142" s="305"/>
      <c r="BV142" s="305"/>
      <c r="BX142" s="319"/>
    </row>
    <row r="143" spans="1:76" s="303" customFormat="1" ht="33.75" x14ac:dyDescent="0.25">
      <c r="A143" s="306" t="s">
        <v>389</v>
      </c>
      <c r="B143" s="306" t="s">
        <v>436</v>
      </c>
      <c r="C143" s="307" t="s">
        <v>294</v>
      </c>
      <c r="D143" s="307" t="s">
        <v>170</v>
      </c>
      <c r="E143" s="306" t="s">
        <v>165</v>
      </c>
      <c r="F143" s="308">
        <v>5</v>
      </c>
      <c r="G143" s="309">
        <v>54.4</v>
      </c>
      <c r="H143" s="308" t="s">
        <v>559</v>
      </c>
      <c r="I143" s="309" t="s">
        <v>559</v>
      </c>
      <c r="J143" s="308" t="s">
        <v>559</v>
      </c>
      <c r="K143" s="309" t="s">
        <v>559</v>
      </c>
      <c r="L143" s="308" t="s">
        <v>559</v>
      </c>
      <c r="M143" s="309" t="s">
        <v>559</v>
      </c>
      <c r="N143" s="308">
        <v>5</v>
      </c>
      <c r="O143" s="309">
        <v>54.4</v>
      </c>
      <c r="P143" s="302"/>
      <c r="V143" s="304"/>
      <c r="W143" s="304"/>
      <c r="AD143" s="304"/>
      <c r="AE143" s="304"/>
      <c r="AR143" s="304"/>
      <c r="AS143" s="304"/>
      <c r="AT143" s="304"/>
      <c r="AU143" s="304"/>
      <c r="AV143" s="304"/>
      <c r="AW143" s="304"/>
      <c r="AX143" s="304"/>
      <c r="AY143" s="304"/>
      <c r="AZ143" s="304"/>
      <c r="BA143" s="304"/>
      <c r="BB143" s="304"/>
      <c r="BC143" s="304"/>
      <c r="BK143" s="305"/>
      <c r="BL143" s="305"/>
      <c r="BM143" s="305"/>
      <c r="BN143" s="305"/>
      <c r="BO143" s="305"/>
      <c r="BP143" s="305"/>
      <c r="BQ143" s="305"/>
      <c r="BR143" s="305"/>
      <c r="BS143" s="305"/>
      <c r="BT143" s="305"/>
      <c r="BU143" s="305"/>
      <c r="BV143" s="305"/>
      <c r="BX143" s="319"/>
    </row>
    <row r="144" spans="1:76" s="303" customFormat="1" ht="33.75" x14ac:dyDescent="0.25">
      <c r="A144" s="306" t="s">
        <v>390</v>
      </c>
      <c r="B144" s="306" t="s">
        <v>437</v>
      </c>
      <c r="C144" s="307" t="s">
        <v>174</v>
      </c>
      <c r="D144" s="307" t="s">
        <v>173</v>
      </c>
      <c r="E144" s="306" t="s">
        <v>165</v>
      </c>
      <c r="F144" s="308">
        <v>56.4</v>
      </c>
      <c r="G144" s="309">
        <v>217.7</v>
      </c>
      <c r="H144" s="308" t="s">
        <v>559</v>
      </c>
      <c r="I144" s="309" t="s">
        <v>559</v>
      </c>
      <c r="J144" s="308" t="s">
        <v>559</v>
      </c>
      <c r="K144" s="309" t="s">
        <v>559</v>
      </c>
      <c r="L144" s="308" t="s">
        <v>559</v>
      </c>
      <c r="M144" s="309" t="s">
        <v>559</v>
      </c>
      <c r="N144" s="308">
        <v>56.4</v>
      </c>
      <c r="O144" s="309">
        <v>217.7</v>
      </c>
      <c r="P144" s="302"/>
      <c r="V144" s="304"/>
      <c r="W144" s="304"/>
      <c r="AD144" s="304"/>
      <c r="AE144" s="304"/>
      <c r="AR144" s="304"/>
      <c r="AS144" s="304"/>
      <c r="AT144" s="304"/>
      <c r="AU144" s="304"/>
      <c r="AV144" s="304"/>
      <c r="AW144" s="304"/>
      <c r="AX144" s="304"/>
      <c r="AY144" s="304"/>
      <c r="AZ144" s="304"/>
      <c r="BA144" s="304"/>
      <c r="BB144" s="304"/>
      <c r="BC144" s="304"/>
      <c r="BK144" s="305"/>
      <c r="BL144" s="305"/>
      <c r="BM144" s="305"/>
      <c r="BN144" s="305"/>
      <c r="BO144" s="305"/>
      <c r="BP144" s="305"/>
      <c r="BQ144" s="305"/>
      <c r="BR144" s="305"/>
      <c r="BS144" s="305"/>
      <c r="BT144" s="305"/>
      <c r="BU144" s="305"/>
      <c r="BV144" s="305"/>
      <c r="BX144" s="319"/>
    </row>
    <row r="145" spans="1:76" s="303" customFormat="1" x14ac:dyDescent="0.25">
      <c r="A145" s="339" t="s">
        <v>442</v>
      </c>
      <c r="B145" s="340"/>
      <c r="C145" s="340"/>
      <c r="D145" s="340"/>
      <c r="E145" s="340"/>
      <c r="F145" s="340"/>
      <c r="G145" s="340"/>
      <c r="H145" s="340"/>
      <c r="I145" s="340"/>
      <c r="J145" s="340"/>
      <c r="K145" s="340"/>
      <c r="L145" s="340"/>
      <c r="M145" s="340"/>
      <c r="N145" s="340"/>
      <c r="O145" s="340"/>
      <c r="P145" s="302"/>
      <c r="V145" s="304"/>
      <c r="W145" s="304"/>
      <c r="AD145" s="304"/>
      <c r="AE145" s="304"/>
      <c r="AR145" s="304"/>
      <c r="AS145" s="304"/>
      <c r="AT145" s="304"/>
      <c r="AU145" s="304"/>
      <c r="AV145" s="304"/>
      <c r="AW145" s="304"/>
      <c r="AX145" s="304"/>
      <c r="AY145" s="304"/>
      <c r="AZ145" s="304"/>
      <c r="BA145" s="304"/>
      <c r="BB145" s="304"/>
      <c r="BC145" s="304"/>
      <c r="BK145" s="305"/>
      <c r="BL145" s="305"/>
      <c r="BM145" s="305"/>
      <c r="BN145" s="305"/>
      <c r="BO145" s="305"/>
      <c r="BP145" s="305"/>
      <c r="BQ145" s="305"/>
      <c r="BR145" s="305"/>
      <c r="BS145" s="305"/>
      <c r="BT145" s="305"/>
      <c r="BU145" s="305"/>
      <c r="BV145" s="305"/>
      <c r="BX145" s="319"/>
    </row>
    <row r="146" spans="1:76" s="303" customFormat="1" ht="22.5" x14ac:dyDescent="0.25">
      <c r="A146" s="306" t="s">
        <v>391</v>
      </c>
      <c r="B146" s="306" t="s">
        <v>443</v>
      </c>
      <c r="C146" s="307" t="s">
        <v>209</v>
      </c>
      <c r="D146" s="307" t="s">
        <v>208</v>
      </c>
      <c r="E146" s="306" t="s">
        <v>210</v>
      </c>
      <c r="F146" s="308">
        <v>1</v>
      </c>
      <c r="G146" s="309">
        <v>949.76</v>
      </c>
      <c r="H146" s="308" t="s">
        <v>559</v>
      </c>
      <c r="I146" s="309" t="s">
        <v>559</v>
      </c>
      <c r="J146" s="308" t="s">
        <v>559</v>
      </c>
      <c r="K146" s="309" t="s">
        <v>559</v>
      </c>
      <c r="L146" s="308" t="s">
        <v>559</v>
      </c>
      <c r="M146" s="309" t="s">
        <v>559</v>
      </c>
      <c r="N146" s="308">
        <v>1</v>
      </c>
      <c r="O146" s="309">
        <v>949.76</v>
      </c>
      <c r="P146" s="302"/>
      <c r="V146" s="304"/>
      <c r="W146" s="304"/>
      <c r="AD146" s="304"/>
      <c r="AE146" s="304"/>
      <c r="AR146" s="304"/>
      <c r="AS146" s="304"/>
      <c r="AT146" s="304"/>
      <c r="AU146" s="304"/>
      <c r="AV146" s="304"/>
      <c r="AW146" s="304"/>
      <c r="AX146" s="304"/>
      <c r="AY146" s="304"/>
      <c r="AZ146" s="304"/>
      <c r="BA146" s="304"/>
      <c r="BB146" s="304"/>
      <c r="BC146" s="304"/>
      <c r="BK146" s="305"/>
      <c r="BL146" s="305"/>
      <c r="BM146" s="305"/>
      <c r="BN146" s="305"/>
      <c r="BO146" s="305"/>
      <c r="BP146" s="305"/>
      <c r="BQ146" s="305"/>
      <c r="BR146" s="305"/>
      <c r="BS146" s="305"/>
      <c r="BT146" s="305"/>
      <c r="BU146" s="305"/>
      <c r="BV146" s="305"/>
      <c r="BX146" s="319"/>
    </row>
    <row r="147" spans="1:76" s="303" customFormat="1" ht="33.75" x14ac:dyDescent="0.25">
      <c r="A147" s="306" t="s">
        <v>392</v>
      </c>
      <c r="B147" s="306" t="s">
        <v>444</v>
      </c>
      <c r="C147" s="307" t="s">
        <v>83</v>
      </c>
      <c r="D147" s="307" t="s">
        <v>82</v>
      </c>
      <c r="E147" s="306" t="s">
        <v>58</v>
      </c>
      <c r="F147" s="308">
        <v>0.23599999999999999</v>
      </c>
      <c r="G147" s="309">
        <v>137.33000000000001</v>
      </c>
      <c r="H147" s="308" t="s">
        <v>559</v>
      </c>
      <c r="I147" s="309" t="s">
        <v>559</v>
      </c>
      <c r="J147" s="308" t="s">
        <v>559</v>
      </c>
      <c r="K147" s="309" t="s">
        <v>559</v>
      </c>
      <c r="L147" s="308" t="s">
        <v>559</v>
      </c>
      <c r="M147" s="309" t="s">
        <v>559</v>
      </c>
      <c r="N147" s="308">
        <v>0.23599999999999999</v>
      </c>
      <c r="O147" s="309">
        <v>137.33000000000001</v>
      </c>
      <c r="P147" s="302"/>
      <c r="V147" s="304"/>
      <c r="W147" s="304"/>
      <c r="AD147" s="304"/>
      <c r="AE147" s="304"/>
      <c r="AR147" s="304"/>
      <c r="AS147" s="304"/>
      <c r="AT147" s="304"/>
      <c r="AU147" s="304"/>
      <c r="AV147" s="304"/>
      <c r="AW147" s="304"/>
      <c r="AX147" s="304"/>
      <c r="AY147" s="304"/>
      <c r="AZ147" s="304"/>
      <c r="BA147" s="304"/>
      <c r="BB147" s="304"/>
      <c r="BC147" s="304"/>
      <c r="BK147" s="305"/>
      <c r="BL147" s="305"/>
      <c r="BM147" s="305"/>
      <c r="BN147" s="305"/>
      <c r="BO147" s="305"/>
      <c r="BP147" s="305"/>
      <c r="BQ147" s="305"/>
      <c r="BR147" s="305"/>
      <c r="BS147" s="305"/>
      <c r="BT147" s="305"/>
      <c r="BU147" s="305"/>
      <c r="BV147" s="305"/>
      <c r="BX147" s="319"/>
    </row>
    <row r="148" spans="1:76" s="303" customFormat="1" ht="22.5" x14ac:dyDescent="0.25">
      <c r="A148" s="306" t="s">
        <v>393</v>
      </c>
      <c r="B148" s="306" t="s">
        <v>445</v>
      </c>
      <c r="C148" s="307" t="s">
        <v>90</v>
      </c>
      <c r="D148" s="307" t="s">
        <v>89</v>
      </c>
      <c r="E148" s="306" t="s">
        <v>58</v>
      </c>
      <c r="F148" s="308">
        <v>0.1152</v>
      </c>
      <c r="G148" s="309">
        <v>60.26</v>
      </c>
      <c r="H148" s="308" t="s">
        <v>559</v>
      </c>
      <c r="I148" s="309" t="s">
        <v>559</v>
      </c>
      <c r="J148" s="308" t="s">
        <v>559</v>
      </c>
      <c r="K148" s="309" t="s">
        <v>559</v>
      </c>
      <c r="L148" s="308" t="s">
        <v>559</v>
      </c>
      <c r="M148" s="309" t="s">
        <v>559</v>
      </c>
      <c r="N148" s="308">
        <v>0.1152</v>
      </c>
      <c r="O148" s="309">
        <v>60.26</v>
      </c>
      <c r="P148" s="302"/>
      <c r="V148" s="304"/>
      <c r="W148" s="304"/>
      <c r="AD148" s="304"/>
      <c r="AE148" s="304"/>
      <c r="AR148" s="304"/>
      <c r="AS148" s="304"/>
      <c r="AT148" s="304"/>
      <c r="AU148" s="304"/>
      <c r="AV148" s="304"/>
      <c r="AW148" s="304"/>
      <c r="AX148" s="304"/>
      <c r="AY148" s="304"/>
      <c r="AZ148" s="304"/>
      <c r="BA148" s="304"/>
      <c r="BB148" s="304"/>
      <c r="BC148" s="304"/>
      <c r="BK148" s="305"/>
      <c r="BL148" s="305"/>
      <c r="BM148" s="305"/>
      <c r="BN148" s="305"/>
      <c r="BO148" s="305"/>
      <c r="BP148" s="305"/>
      <c r="BQ148" s="305"/>
      <c r="BR148" s="305"/>
      <c r="BS148" s="305"/>
      <c r="BT148" s="305"/>
      <c r="BU148" s="305"/>
      <c r="BV148" s="305"/>
      <c r="BX148" s="319"/>
    </row>
    <row r="149" spans="1:76" s="303" customFormat="1" ht="22.5" x14ac:dyDescent="0.25">
      <c r="A149" s="306" t="s">
        <v>394</v>
      </c>
      <c r="B149" s="306" t="s">
        <v>446</v>
      </c>
      <c r="C149" s="307" t="s">
        <v>97</v>
      </c>
      <c r="D149" s="307" t="s">
        <v>96</v>
      </c>
      <c r="E149" s="306" t="s">
        <v>58</v>
      </c>
      <c r="F149" s="308">
        <v>0.115</v>
      </c>
      <c r="G149" s="309">
        <v>760.07</v>
      </c>
      <c r="H149" s="308" t="s">
        <v>559</v>
      </c>
      <c r="I149" s="309" t="s">
        <v>559</v>
      </c>
      <c r="J149" s="308" t="s">
        <v>559</v>
      </c>
      <c r="K149" s="309" t="s">
        <v>559</v>
      </c>
      <c r="L149" s="308" t="s">
        <v>559</v>
      </c>
      <c r="M149" s="309" t="s">
        <v>559</v>
      </c>
      <c r="N149" s="308">
        <v>0.115</v>
      </c>
      <c r="O149" s="309">
        <v>760.07</v>
      </c>
      <c r="P149" s="302"/>
      <c r="V149" s="304"/>
      <c r="W149" s="304"/>
      <c r="AD149" s="304"/>
      <c r="AE149" s="304"/>
      <c r="AR149" s="304"/>
      <c r="AS149" s="304"/>
      <c r="AT149" s="304"/>
      <c r="AU149" s="304"/>
      <c r="AV149" s="304"/>
      <c r="AW149" s="304"/>
      <c r="AX149" s="304"/>
      <c r="AY149" s="304"/>
      <c r="AZ149" s="304"/>
      <c r="BA149" s="304"/>
      <c r="BB149" s="304"/>
      <c r="BC149" s="304"/>
      <c r="BK149" s="305"/>
      <c r="BL149" s="305"/>
      <c r="BM149" s="305"/>
      <c r="BN149" s="305"/>
      <c r="BO149" s="305"/>
      <c r="BP149" s="305"/>
      <c r="BQ149" s="305"/>
      <c r="BR149" s="305"/>
      <c r="BS149" s="305"/>
      <c r="BT149" s="305"/>
      <c r="BU149" s="305"/>
      <c r="BV149" s="305"/>
      <c r="BX149" s="319"/>
    </row>
    <row r="150" spans="1:76" s="303" customFormat="1" ht="33.75" x14ac:dyDescent="0.25">
      <c r="A150" s="306" t="s">
        <v>395</v>
      </c>
      <c r="B150" s="306" t="s">
        <v>447</v>
      </c>
      <c r="C150" s="307" t="s">
        <v>105</v>
      </c>
      <c r="D150" s="307" t="s">
        <v>104</v>
      </c>
      <c r="E150" s="306" t="s">
        <v>106</v>
      </c>
      <c r="F150" s="308">
        <v>14.49</v>
      </c>
      <c r="G150" s="309">
        <v>9477.56</v>
      </c>
      <c r="H150" s="308" t="s">
        <v>559</v>
      </c>
      <c r="I150" s="309" t="s">
        <v>559</v>
      </c>
      <c r="J150" s="308" t="s">
        <v>559</v>
      </c>
      <c r="K150" s="309" t="s">
        <v>559</v>
      </c>
      <c r="L150" s="308" t="s">
        <v>559</v>
      </c>
      <c r="M150" s="309" t="s">
        <v>559</v>
      </c>
      <c r="N150" s="308">
        <v>14.49</v>
      </c>
      <c r="O150" s="309">
        <v>9477.56</v>
      </c>
      <c r="P150" s="302"/>
      <c r="V150" s="304"/>
      <c r="W150" s="304"/>
      <c r="AD150" s="304"/>
      <c r="AE150" s="304"/>
      <c r="AR150" s="304"/>
      <c r="AS150" s="304"/>
      <c r="AT150" s="304"/>
      <c r="AU150" s="304"/>
      <c r="AV150" s="304"/>
      <c r="AW150" s="304"/>
      <c r="AX150" s="304"/>
      <c r="AY150" s="304"/>
      <c r="AZ150" s="304"/>
      <c r="BA150" s="304"/>
      <c r="BB150" s="304"/>
      <c r="BC150" s="304"/>
      <c r="BK150" s="305"/>
      <c r="BL150" s="305"/>
      <c r="BM150" s="305"/>
      <c r="BN150" s="305"/>
      <c r="BO150" s="305"/>
      <c r="BP150" s="305"/>
      <c r="BQ150" s="305"/>
      <c r="BR150" s="305"/>
      <c r="BS150" s="305"/>
      <c r="BT150" s="305"/>
      <c r="BU150" s="305"/>
      <c r="BV150" s="305"/>
      <c r="BX150" s="319"/>
    </row>
    <row r="151" spans="1:76" s="303" customFormat="1" ht="33.75" x14ac:dyDescent="0.25">
      <c r="A151" s="306" t="s">
        <v>396</v>
      </c>
      <c r="B151" s="306" t="s">
        <v>448</v>
      </c>
      <c r="C151" s="307" t="s">
        <v>242</v>
      </c>
      <c r="D151" s="307" t="s">
        <v>241</v>
      </c>
      <c r="E151" s="306" t="s">
        <v>210</v>
      </c>
      <c r="F151" s="308">
        <v>1</v>
      </c>
      <c r="G151" s="309">
        <v>9978.5400000000009</v>
      </c>
      <c r="H151" s="308" t="s">
        <v>559</v>
      </c>
      <c r="I151" s="309" t="s">
        <v>559</v>
      </c>
      <c r="J151" s="308" t="s">
        <v>559</v>
      </c>
      <c r="K151" s="309" t="s">
        <v>559</v>
      </c>
      <c r="L151" s="308" t="s">
        <v>559</v>
      </c>
      <c r="M151" s="309" t="s">
        <v>559</v>
      </c>
      <c r="N151" s="308">
        <v>1</v>
      </c>
      <c r="O151" s="309">
        <v>9978.5400000000009</v>
      </c>
      <c r="P151" s="302"/>
      <c r="V151" s="304"/>
      <c r="W151" s="304"/>
      <c r="AD151" s="304"/>
      <c r="AE151" s="304"/>
      <c r="AR151" s="304"/>
      <c r="AS151" s="304"/>
      <c r="AT151" s="304"/>
      <c r="AU151" s="304"/>
      <c r="AV151" s="304"/>
      <c r="AW151" s="304"/>
      <c r="AX151" s="304"/>
      <c r="AY151" s="304"/>
      <c r="AZ151" s="304"/>
      <c r="BA151" s="304"/>
      <c r="BB151" s="304"/>
      <c r="BC151" s="304"/>
      <c r="BK151" s="305"/>
      <c r="BL151" s="305"/>
      <c r="BM151" s="305"/>
      <c r="BN151" s="305"/>
      <c r="BO151" s="305"/>
      <c r="BP151" s="305"/>
      <c r="BQ151" s="305"/>
      <c r="BR151" s="305"/>
      <c r="BS151" s="305"/>
      <c r="BT151" s="305"/>
      <c r="BU151" s="305"/>
      <c r="BV151" s="305"/>
      <c r="BX151" s="319"/>
    </row>
    <row r="152" spans="1:76" s="303" customFormat="1" ht="33.75" x14ac:dyDescent="0.25">
      <c r="A152" s="306" t="s">
        <v>397</v>
      </c>
      <c r="B152" s="306" t="s">
        <v>449</v>
      </c>
      <c r="C152" s="307" t="s">
        <v>245</v>
      </c>
      <c r="D152" s="307" t="s">
        <v>244</v>
      </c>
      <c r="E152" s="306" t="s">
        <v>246</v>
      </c>
      <c r="F152" s="308">
        <v>1</v>
      </c>
      <c r="G152" s="309">
        <v>175555.37</v>
      </c>
      <c r="H152" s="308" t="s">
        <v>559</v>
      </c>
      <c r="I152" s="309" t="s">
        <v>559</v>
      </c>
      <c r="J152" s="308" t="s">
        <v>559</v>
      </c>
      <c r="K152" s="309" t="s">
        <v>559</v>
      </c>
      <c r="L152" s="308" t="s">
        <v>559</v>
      </c>
      <c r="M152" s="309" t="s">
        <v>559</v>
      </c>
      <c r="N152" s="308">
        <v>1</v>
      </c>
      <c r="O152" s="309">
        <v>175555.37</v>
      </c>
      <c r="P152" s="302"/>
      <c r="V152" s="304"/>
      <c r="W152" s="304"/>
      <c r="AD152" s="304"/>
      <c r="AE152" s="304"/>
      <c r="AR152" s="304"/>
      <c r="AS152" s="304"/>
      <c r="AT152" s="304"/>
      <c r="AU152" s="304"/>
      <c r="AV152" s="304"/>
      <c r="AW152" s="304"/>
      <c r="AX152" s="304"/>
      <c r="AY152" s="304"/>
      <c r="AZ152" s="304"/>
      <c r="BA152" s="304"/>
      <c r="BB152" s="304"/>
      <c r="BC152" s="304"/>
      <c r="BK152" s="305"/>
      <c r="BL152" s="305"/>
      <c r="BM152" s="305"/>
      <c r="BN152" s="305"/>
      <c r="BO152" s="305"/>
      <c r="BP152" s="305"/>
      <c r="BQ152" s="305"/>
      <c r="BR152" s="305"/>
      <c r="BS152" s="305"/>
      <c r="BT152" s="305"/>
      <c r="BU152" s="305"/>
      <c r="BV152" s="305"/>
      <c r="BX152" s="319"/>
    </row>
    <row r="153" spans="1:76" s="303" customFormat="1" ht="33.75" x14ac:dyDescent="0.25">
      <c r="A153" s="306" t="s">
        <v>398</v>
      </c>
      <c r="B153" s="306" t="s">
        <v>450</v>
      </c>
      <c r="C153" s="307" t="s">
        <v>451</v>
      </c>
      <c r="D153" s="307" t="s">
        <v>249</v>
      </c>
      <c r="E153" s="306" t="s">
        <v>246</v>
      </c>
      <c r="F153" s="308">
        <v>1</v>
      </c>
      <c r="G153" s="309">
        <v>378541.26</v>
      </c>
      <c r="H153" s="308" t="s">
        <v>559</v>
      </c>
      <c r="I153" s="309" t="s">
        <v>559</v>
      </c>
      <c r="J153" s="308" t="s">
        <v>559</v>
      </c>
      <c r="K153" s="309" t="s">
        <v>559</v>
      </c>
      <c r="L153" s="308" t="s">
        <v>559</v>
      </c>
      <c r="M153" s="309" t="s">
        <v>559</v>
      </c>
      <c r="N153" s="308">
        <v>1</v>
      </c>
      <c r="O153" s="309">
        <v>378541.26</v>
      </c>
      <c r="P153" s="302"/>
      <c r="V153" s="304"/>
      <c r="W153" s="304"/>
      <c r="AD153" s="304"/>
      <c r="AE153" s="304"/>
      <c r="AR153" s="304"/>
      <c r="AS153" s="304"/>
      <c r="AT153" s="304"/>
      <c r="AU153" s="304"/>
      <c r="AV153" s="304"/>
      <c r="AW153" s="304"/>
      <c r="AX153" s="304"/>
      <c r="AY153" s="304"/>
      <c r="AZ153" s="304"/>
      <c r="BA153" s="304"/>
      <c r="BB153" s="304"/>
      <c r="BC153" s="304"/>
      <c r="BK153" s="305"/>
      <c r="BL153" s="305"/>
      <c r="BM153" s="305"/>
      <c r="BN153" s="305"/>
      <c r="BO153" s="305"/>
      <c r="BP153" s="305"/>
      <c r="BQ153" s="305"/>
      <c r="BR153" s="305"/>
      <c r="BS153" s="305"/>
      <c r="BT153" s="305"/>
      <c r="BU153" s="305"/>
      <c r="BV153" s="305"/>
      <c r="BX153" s="319"/>
    </row>
    <row r="154" spans="1:76" s="303" customFormat="1" ht="33.75" x14ac:dyDescent="0.25">
      <c r="A154" s="306" t="s">
        <v>399</v>
      </c>
      <c r="B154" s="306" t="s">
        <v>452</v>
      </c>
      <c r="C154" s="307" t="s">
        <v>254</v>
      </c>
      <c r="D154" s="307" t="s">
        <v>253</v>
      </c>
      <c r="E154" s="306" t="s">
        <v>115</v>
      </c>
      <c r="F154" s="308">
        <v>1</v>
      </c>
      <c r="G154" s="309">
        <v>1556.89</v>
      </c>
      <c r="H154" s="308" t="s">
        <v>559</v>
      </c>
      <c r="I154" s="309" t="s">
        <v>559</v>
      </c>
      <c r="J154" s="308" t="s">
        <v>559</v>
      </c>
      <c r="K154" s="309" t="s">
        <v>559</v>
      </c>
      <c r="L154" s="308" t="s">
        <v>559</v>
      </c>
      <c r="M154" s="309" t="s">
        <v>559</v>
      </c>
      <c r="N154" s="308">
        <v>1</v>
      </c>
      <c r="O154" s="309">
        <v>1556.89</v>
      </c>
      <c r="P154" s="302"/>
      <c r="V154" s="304"/>
      <c r="W154" s="304"/>
      <c r="AD154" s="304"/>
      <c r="AE154" s="304"/>
      <c r="AR154" s="304"/>
      <c r="AS154" s="304"/>
      <c r="AT154" s="304"/>
      <c r="AU154" s="304"/>
      <c r="AV154" s="304"/>
      <c r="AW154" s="304"/>
      <c r="AX154" s="304"/>
      <c r="AY154" s="304"/>
      <c r="AZ154" s="304"/>
      <c r="BA154" s="304"/>
      <c r="BB154" s="304"/>
      <c r="BC154" s="304"/>
      <c r="BK154" s="305"/>
      <c r="BL154" s="305"/>
      <c r="BM154" s="305"/>
      <c r="BN154" s="305"/>
      <c r="BO154" s="305"/>
      <c r="BP154" s="305"/>
      <c r="BQ154" s="305"/>
      <c r="BR154" s="305"/>
      <c r="BS154" s="305"/>
      <c r="BT154" s="305"/>
      <c r="BU154" s="305"/>
      <c r="BV154" s="305"/>
      <c r="BX154" s="319"/>
    </row>
    <row r="155" spans="1:76" s="303" customFormat="1" ht="22.5" x14ac:dyDescent="0.25">
      <c r="A155" s="306" t="s">
        <v>400</v>
      </c>
      <c r="B155" s="306" t="s">
        <v>453</v>
      </c>
      <c r="C155" s="307" t="s">
        <v>261</v>
      </c>
      <c r="D155" s="307" t="s">
        <v>260</v>
      </c>
      <c r="E155" s="306" t="s">
        <v>115</v>
      </c>
      <c r="F155" s="308">
        <v>-2</v>
      </c>
      <c r="G155" s="309">
        <v>-533.34</v>
      </c>
      <c r="H155" s="308" t="s">
        <v>559</v>
      </c>
      <c r="I155" s="309" t="s">
        <v>559</v>
      </c>
      <c r="J155" s="308" t="s">
        <v>559</v>
      </c>
      <c r="K155" s="309" t="s">
        <v>559</v>
      </c>
      <c r="L155" s="308" t="s">
        <v>559</v>
      </c>
      <c r="M155" s="309" t="s">
        <v>559</v>
      </c>
      <c r="N155" s="308">
        <v>-2</v>
      </c>
      <c r="O155" s="309">
        <v>-533.34</v>
      </c>
      <c r="P155" s="302"/>
      <c r="V155" s="304"/>
      <c r="W155" s="304"/>
      <c r="AD155" s="304"/>
      <c r="AE155" s="304"/>
      <c r="AR155" s="304"/>
      <c r="AS155" s="304"/>
      <c r="AT155" s="304"/>
      <c r="AU155" s="304"/>
      <c r="AV155" s="304"/>
      <c r="AW155" s="304"/>
      <c r="AX155" s="304"/>
      <c r="AY155" s="304"/>
      <c r="AZ155" s="304"/>
      <c r="BA155" s="304"/>
      <c r="BB155" s="304"/>
      <c r="BC155" s="304"/>
      <c r="BK155" s="305"/>
      <c r="BL155" s="305"/>
      <c r="BM155" s="305"/>
      <c r="BN155" s="305"/>
      <c r="BO155" s="305"/>
      <c r="BP155" s="305"/>
      <c r="BQ155" s="305"/>
      <c r="BR155" s="305"/>
      <c r="BS155" s="305"/>
      <c r="BT155" s="305"/>
      <c r="BU155" s="305"/>
      <c r="BV155" s="305"/>
      <c r="BX155" s="319"/>
    </row>
    <row r="156" spans="1:76" s="303" customFormat="1" ht="33.75" x14ac:dyDescent="0.25">
      <c r="A156" s="306" t="s">
        <v>401</v>
      </c>
      <c r="B156" s="306" t="s">
        <v>454</v>
      </c>
      <c r="C156" s="307" t="s">
        <v>264</v>
      </c>
      <c r="D156" s="307" t="s">
        <v>263</v>
      </c>
      <c r="E156" s="306" t="s">
        <v>115</v>
      </c>
      <c r="F156" s="308">
        <v>2</v>
      </c>
      <c r="G156" s="309">
        <v>9234.43</v>
      </c>
      <c r="H156" s="308" t="s">
        <v>559</v>
      </c>
      <c r="I156" s="309" t="s">
        <v>559</v>
      </c>
      <c r="J156" s="308" t="s">
        <v>559</v>
      </c>
      <c r="K156" s="309" t="s">
        <v>559</v>
      </c>
      <c r="L156" s="308" t="s">
        <v>559</v>
      </c>
      <c r="M156" s="309" t="s">
        <v>559</v>
      </c>
      <c r="N156" s="308">
        <v>2</v>
      </c>
      <c r="O156" s="309">
        <v>9234.43</v>
      </c>
      <c r="P156" s="302"/>
      <c r="V156" s="304"/>
      <c r="W156" s="304"/>
      <c r="AD156" s="304"/>
      <c r="AE156" s="304"/>
      <c r="AR156" s="304"/>
      <c r="AS156" s="304"/>
      <c r="AT156" s="304"/>
      <c r="AU156" s="304"/>
      <c r="AV156" s="304"/>
      <c r="AW156" s="304"/>
      <c r="AX156" s="304"/>
      <c r="AY156" s="304"/>
      <c r="AZ156" s="304"/>
      <c r="BA156" s="304"/>
      <c r="BB156" s="304"/>
      <c r="BC156" s="304"/>
      <c r="BK156" s="305"/>
      <c r="BL156" s="305"/>
      <c r="BM156" s="305"/>
      <c r="BN156" s="305"/>
      <c r="BO156" s="305"/>
      <c r="BP156" s="305"/>
      <c r="BQ156" s="305"/>
      <c r="BR156" s="305"/>
      <c r="BS156" s="305"/>
      <c r="BT156" s="305"/>
      <c r="BU156" s="305"/>
      <c r="BV156" s="305"/>
      <c r="BX156" s="319"/>
    </row>
    <row r="157" spans="1:76" s="303" customFormat="1" ht="33.75" x14ac:dyDescent="0.25">
      <c r="A157" s="306" t="s">
        <v>402</v>
      </c>
      <c r="B157" s="306" t="s">
        <v>455</v>
      </c>
      <c r="C157" s="307" t="s">
        <v>268</v>
      </c>
      <c r="D157" s="307" t="s">
        <v>267</v>
      </c>
      <c r="E157" s="306" t="s">
        <v>115</v>
      </c>
      <c r="F157" s="308">
        <v>1</v>
      </c>
      <c r="G157" s="309">
        <v>16503.3</v>
      </c>
      <c r="H157" s="308" t="s">
        <v>559</v>
      </c>
      <c r="I157" s="309" t="s">
        <v>559</v>
      </c>
      <c r="J157" s="308" t="s">
        <v>559</v>
      </c>
      <c r="K157" s="309" t="s">
        <v>559</v>
      </c>
      <c r="L157" s="308" t="s">
        <v>559</v>
      </c>
      <c r="M157" s="309" t="s">
        <v>559</v>
      </c>
      <c r="N157" s="308">
        <v>1</v>
      </c>
      <c r="O157" s="309">
        <v>16503.3</v>
      </c>
      <c r="P157" s="302"/>
      <c r="V157" s="304"/>
      <c r="W157" s="304"/>
      <c r="AD157" s="304"/>
      <c r="AE157" s="304"/>
      <c r="AR157" s="304"/>
      <c r="AS157" s="304"/>
      <c r="AT157" s="304"/>
      <c r="AU157" s="304"/>
      <c r="AV157" s="304"/>
      <c r="AW157" s="304"/>
      <c r="AX157" s="304"/>
      <c r="AY157" s="304"/>
      <c r="AZ157" s="304"/>
      <c r="BA157" s="304"/>
      <c r="BB157" s="304"/>
      <c r="BC157" s="304"/>
      <c r="BK157" s="305"/>
      <c r="BL157" s="305"/>
      <c r="BM157" s="305"/>
      <c r="BN157" s="305"/>
      <c r="BO157" s="305"/>
      <c r="BP157" s="305"/>
      <c r="BQ157" s="305"/>
      <c r="BR157" s="305"/>
      <c r="BS157" s="305"/>
      <c r="BT157" s="305"/>
      <c r="BU157" s="305"/>
      <c r="BV157" s="305"/>
      <c r="BX157" s="319"/>
    </row>
    <row r="158" spans="1:76" s="303" customFormat="1" ht="33.75" x14ac:dyDescent="0.25">
      <c r="A158" s="306" t="s">
        <v>403</v>
      </c>
      <c r="B158" s="306" t="s">
        <v>456</v>
      </c>
      <c r="C158" s="307" t="s">
        <v>271</v>
      </c>
      <c r="D158" s="307" t="s">
        <v>120</v>
      </c>
      <c r="E158" s="306" t="s">
        <v>115</v>
      </c>
      <c r="F158" s="308">
        <v>1</v>
      </c>
      <c r="G158" s="309">
        <v>439.8</v>
      </c>
      <c r="H158" s="308" t="s">
        <v>559</v>
      </c>
      <c r="I158" s="309" t="s">
        <v>559</v>
      </c>
      <c r="J158" s="308" t="s">
        <v>559</v>
      </c>
      <c r="K158" s="309" t="s">
        <v>559</v>
      </c>
      <c r="L158" s="308" t="s">
        <v>559</v>
      </c>
      <c r="M158" s="309" t="s">
        <v>559</v>
      </c>
      <c r="N158" s="308">
        <v>1</v>
      </c>
      <c r="O158" s="309">
        <v>439.8</v>
      </c>
      <c r="P158" s="302"/>
      <c r="V158" s="304"/>
      <c r="W158" s="304"/>
      <c r="AD158" s="304"/>
      <c r="AE158" s="304"/>
      <c r="AR158" s="304"/>
      <c r="AS158" s="304"/>
      <c r="AT158" s="304"/>
      <c r="AU158" s="304"/>
      <c r="AV158" s="304"/>
      <c r="AW158" s="304"/>
      <c r="AX158" s="304"/>
      <c r="AY158" s="304"/>
      <c r="AZ158" s="304"/>
      <c r="BA158" s="304"/>
      <c r="BB158" s="304"/>
      <c r="BC158" s="304"/>
      <c r="BK158" s="305"/>
      <c r="BL158" s="305"/>
      <c r="BM158" s="305"/>
      <c r="BN158" s="305"/>
      <c r="BO158" s="305"/>
      <c r="BP158" s="305"/>
      <c r="BQ158" s="305"/>
      <c r="BR158" s="305"/>
      <c r="BS158" s="305"/>
      <c r="BT158" s="305"/>
      <c r="BU158" s="305"/>
      <c r="BV158" s="305"/>
      <c r="BX158" s="319"/>
    </row>
    <row r="159" spans="1:76" s="303" customFormat="1" ht="22.5" x14ac:dyDescent="0.25">
      <c r="A159" s="306" t="s">
        <v>404</v>
      </c>
      <c r="B159" s="306" t="s">
        <v>457</v>
      </c>
      <c r="C159" s="307" t="s">
        <v>275</v>
      </c>
      <c r="D159" s="307" t="s">
        <v>274</v>
      </c>
      <c r="E159" s="306" t="s">
        <v>276</v>
      </c>
      <c r="F159" s="308">
        <v>0.06</v>
      </c>
      <c r="G159" s="309">
        <v>761.77</v>
      </c>
      <c r="H159" s="308" t="s">
        <v>559</v>
      </c>
      <c r="I159" s="309" t="s">
        <v>559</v>
      </c>
      <c r="J159" s="308" t="s">
        <v>559</v>
      </c>
      <c r="K159" s="309" t="s">
        <v>559</v>
      </c>
      <c r="L159" s="308" t="s">
        <v>559</v>
      </c>
      <c r="M159" s="309" t="s">
        <v>559</v>
      </c>
      <c r="N159" s="308">
        <v>0.06</v>
      </c>
      <c r="O159" s="309">
        <v>761.77</v>
      </c>
      <c r="P159" s="302"/>
      <c r="V159" s="304"/>
      <c r="W159" s="304"/>
      <c r="AD159" s="304"/>
      <c r="AE159" s="304"/>
      <c r="AR159" s="304"/>
      <c r="AS159" s="304"/>
      <c r="AT159" s="304"/>
      <c r="AU159" s="304"/>
      <c r="AV159" s="304"/>
      <c r="AW159" s="304"/>
      <c r="AX159" s="304"/>
      <c r="AY159" s="304"/>
      <c r="AZ159" s="304"/>
      <c r="BA159" s="304"/>
      <c r="BB159" s="304"/>
      <c r="BC159" s="304"/>
      <c r="BK159" s="305"/>
      <c r="BL159" s="305"/>
      <c r="BM159" s="305"/>
      <c r="BN159" s="305"/>
      <c r="BO159" s="305"/>
      <c r="BP159" s="305"/>
      <c r="BQ159" s="305"/>
      <c r="BR159" s="305"/>
      <c r="BS159" s="305"/>
      <c r="BT159" s="305"/>
      <c r="BU159" s="305"/>
      <c r="BV159" s="305"/>
      <c r="BX159" s="319"/>
    </row>
    <row r="160" spans="1:76" s="303" customFormat="1" ht="22.5" x14ac:dyDescent="0.25">
      <c r="A160" s="306" t="s">
        <v>405</v>
      </c>
      <c r="B160" s="306" t="s">
        <v>458</v>
      </c>
      <c r="C160" s="307" t="s">
        <v>283</v>
      </c>
      <c r="D160" s="307" t="s">
        <v>282</v>
      </c>
      <c r="E160" s="306" t="s">
        <v>127</v>
      </c>
      <c r="F160" s="308">
        <v>-2.9000000000000001E-2</v>
      </c>
      <c r="G160" s="309">
        <v>-282.08999999999997</v>
      </c>
      <c r="H160" s="308" t="s">
        <v>559</v>
      </c>
      <c r="I160" s="309" t="s">
        <v>559</v>
      </c>
      <c r="J160" s="308" t="s">
        <v>559</v>
      </c>
      <c r="K160" s="309" t="s">
        <v>559</v>
      </c>
      <c r="L160" s="308" t="s">
        <v>559</v>
      </c>
      <c r="M160" s="309" t="s">
        <v>559</v>
      </c>
      <c r="N160" s="308">
        <v>-2.9000000000000001E-2</v>
      </c>
      <c r="O160" s="309">
        <v>-282.08999999999997</v>
      </c>
      <c r="P160" s="302"/>
      <c r="V160" s="304"/>
      <c r="W160" s="304"/>
      <c r="AD160" s="304"/>
      <c r="AE160" s="304"/>
      <c r="AR160" s="304"/>
      <c r="AS160" s="304"/>
      <c r="AT160" s="304"/>
      <c r="AU160" s="304"/>
      <c r="AV160" s="304"/>
      <c r="AW160" s="304"/>
      <c r="AX160" s="304"/>
      <c r="AY160" s="304"/>
      <c r="AZ160" s="304"/>
      <c r="BA160" s="304"/>
      <c r="BB160" s="304"/>
      <c r="BC160" s="304"/>
      <c r="BK160" s="305"/>
      <c r="BL160" s="305"/>
      <c r="BM160" s="305"/>
      <c r="BN160" s="305"/>
      <c r="BO160" s="305"/>
      <c r="BP160" s="305"/>
      <c r="BQ160" s="305"/>
      <c r="BR160" s="305"/>
      <c r="BS160" s="305"/>
      <c r="BT160" s="305"/>
      <c r="BU160" s="305"/>
      <c r="BV160" s="305"/>
      <c r="BX160" s="319"/>
    </row>
    <row r="161" spans="1:76" s="303" customFormat="1" ht="33.75" x14ac:dyDescent="0.25">
      <c r="A161" s="306" t="s">
        <v>406</v>
      </c>
      <c r="B161" s="306" t="s">
        <v>459</v>
      </c>
      <c r="C161" s="307" t="s">
        <v>285</v>
      </c>
      <c r="D161" s="307" t="s">
        <v>120</v>
      </c>
      <c r="E161" s="306" t="s">
        <v>130</v>
      </c>
      <c r="F161" s="308">
        <v>0.36</v>
      </c>
      <c r="G161" s="309">
        <v>14126.77</v>
      </c>
      <c r="H161" s="308" t="s">
        <v>559</v>
      </c>
      <c r="I161" s="309" t="s">
        <v>559</v>
      </c>
      <c r="J161" s="308" t="s">
        <v>559</v>
      </c>
      <c r="K161" s="309" t="s">
        <v>559</v>
      </c>
      <c r="L161" s="308" t="s">
        <v>559</v>
      </c>
      <c r="M161" s="309" t="s">
        <v>559</v>
      </c>
      <c r="N161" s="308">
        <v>0.36</v>
      </c>
      <c r="O161" s="309">
        <v>14126.77</v>
      </c>
      <c r="P161" s="302"/>
      <c r="V161" s="304"/>
      <c r="W161" s="304"/>
      <c r="AD161" s="304"/>
      <c r="AE161" s="304"/>
      <c r="AR161" s="304"/>
      <c r="AS161" s="304"/>
      <c r="AT161" s="304"/>
      <c r="AU161" s="304"/>
      <c r="AV161" s="304"/>
      <c r="AW161" s="304"/>
      <c r="AX161" s="304"/>
      <c r="AY161" s="304"/>
      <c r="AZ161" s="304"/>
      <c r="BA161" s="304"/>
      <c r="BB161" s="304"/>
      <c r="BC161" s="304"/>
      <c r="BK161" s="305"/>
      <c r="BL161" s="305"/>
      <c r="BM161" s="305"/>
      <c r="BN161" s="305"/>
      <c r="BO161" s="305"/>
      <c r="BP161" s="305"/>
      <c r="BQ161" s="305"/>
      <c r="BR161" s="305"/>
      <c r="BS161" s="305"/>
      <c r="BT161" s="305"/>
      <c r="BU161" s="305"/>
      <c r="BV161" s="305"/>
      <c r="BX161" s="319"/>
    </row>
    <row r="162" spans="1:76" s="303" customFormat="1" ht="33.75" x14ac:dyDescent="0.25">
      <c r="A162" s="306" t="s">
        <v>407</v>
      </c>
      <c r="B162" s="306" t="s">
        <v>460</v>
      </c>
      <c r="C162" s="307" t="s">
        <v>129</v>
      </c>
      <c r="D162" s="307" t="s">
        <v>120</v>
      </c>
      <c r="E162" s="306" t="s">
        <v>130</v>
      </c>
      <c r="F162" s="308">
        <v>2.9000000000000001E-2</v>
      </c>
      <c r="G162" s="309">
        <v>843.21</v>
      </c>
      <c r="H162" s="308" t="s">
        <v>559</v>
      </c>
      <c r="I162" s="309" t="s">
        <v>559</v>
      </c>
      <c r="J162" s="308" t="s">
        <v>559</v>
      </c>
      <c r="K162" s="309" t="s">
        <v>559</v>
      </c>
      <c r="L162" s="308" t="s">
        <v>559</v>
      </c>
      <c r="M162" s="309" t="s">
        <v>559</v>
      </c>
      <c r="N162" s="308">
        <v>2.9000000000000001E-2</v>
      </c>
      <c r="O162" s="309">
        <v>843.21</v>
      </c>
      <c r="P162" s="302"/>
      <c r="V162" s="304"/>
      <c r="W162" s="304"/>
      <c r="AD162" s="304"/>
      <c r="AE162" s="304"/>
      <c r="AR162" s="304"/>
      <c r="AS162" s="304"/>
      <c r="AT162" s="304"/>
      <c r="AU162" s="304"/>
      <c r="AV162" s="304"/>
      <c r="AW162" s="304"/>
      <c r="AX162" s="304"/>
      <c r="AY162" s="304"/>
      <c r="AZ162" s="304"/>
      <c r="BA162" s="304"/>
      <c r="BB162" s="304"/>
      <c r="BC162" s="304"/>
      <c r="BK162" s="305"/>
      <c r="BL162" s="305"/>
      <c r="BM162" s="305"/>
      <c r="BN162" s="305"/>
      <c r="BO162" s="305"/>
      <c r="BP162" s="305"/>
      <c r="BQ162" s="305"/>
      <c r="BR162" s="305"/>
      <c r="BS162" s="305"/>
      <c r="BT162" s="305"/>
      <c r="BU162" s="305"/>
      <c r="BV162" s="305"/>
      <c r="BX162" s="319"/>
    </row>
    <row r="163" spans="1:76" s="303" customFormat="1" ht="22.5" x14ac:dyDescent="0.25">
      <c r="A163" s="306" t="s">
        <v>408</v>
      </c>
      <c r="B163" s="306" t="s">
        <v>461</v>
      </c>
      <c r="C163" s="307" t="s">
        <v>289</v>
      </c>
      <c r="D163" s="307" t="s">
        <v>288</v>
      </c>
      <c r="E163" s="306" t="s">
        <v>160</v>
      </c>
      <c r="F163" s="308">
        <v>1.3299999999999999E-2</v>
      </c>
      <c r="G163" s="309">
        <v>3286.13</v>
      </c>
      <c r="H163" s="308" t="s">
        <v>559</v>
      </c>
      <c r="I163" s="309" t="s">
        <v>559</v>
      </c>
      <c r="J163" s="308" t="s">
        <v>559</v>
      </c>
      <c r="K163" s="309" t="s">
        <v>559</v>
      </c>
      <c r="L163" s="308" t="s">
        <v>559</v>
      </c>
      <c r="M163" s="309" t="s">
        <v>559</v>
      </c>
      <c r="N163" s="308">
        <v>1.3299999999999999E-2</v>
      </c>
      <c r="O163" s="309">
        <v>3286.13</v>
      </c>
      <c r="P163" s="302"/>
      <c r="V163" s="304"/>
      <c r="W163" s="304"/>
      <c r="AD163" s="304"/>
      <c r="AE163" s="304"/>
      <c r="AR163" s="304"/>
      <c r="AS163" s="304"/>
      <c r="AT163" s="304"/>
      <c r="AU163" s="304"/>
      <c r="AV163" s="304"/>
      <c r="AW163" s="304"/>
      <c r="AX163" s="304"/>
      <c r="AY163" s="304"/>
      <c r="AZ163" s="304"/>
      <c r="BA163" s="304"/>
      <c r="BB163" s="304"/>
      <c r="BC163" s="304"/>
      <c r="BK163" s="305"/>
      <c r="BL163" s="305"/>
      <c r="BM163" s="305"/>
      <c r="BN163" s="305"/>
      <c r="BO163" s="305"/>
      <c r="BP163" s="305"/>
      <c r="BQ163" s="305"/>
      <c r="BR163" s="305"/>
      <c r="BS163" s="305"/>
      <c r="BT163" s="305"/>
      <c r="BU163" s="305"/>
      <c r="BV163" s="305"/>
      <c r="BX163" s="319"/>
    </row>
    <row r="164" spans="1:76" s="303" customFormat="1" ht="33.75" x14ac:dyDescent="0.25">
      <c r="A164" s="306" t="s">
        <v>409</v>
      </c>
      <c r="B164" s="306" t="s">
        <v>462</v>
      </c>
      <c r="C164" s="307" t="s">
        <v>164</v>
      </c>
      <c r="D164" s="307" t="s">
        <v>163</v>
      </c>
      <c r="E164" s="306" t="s">
        <v>165</v>
      </c>
      <c r="F164" s="308">
        <v>41.3</v>
      </c>
      <c r="G164" s="309">
        <v>135.46</v>
      </c>
      <c r="H164" s="308" t="s">
        <v>559</v>
      </c>
      <c r="I164" s="309" t="s">
        <v>559</v>
      </c>
      <c r="J164" s="308" t="s">
        <v>559</v>
      </c>
      <c r="K164" s="309" t="s">
        <v>559</v>
      </c>
      <c r="L164" s="308" t="s">
        <v>559</v>
      </c>
      <c r="M164" s="309" t="s">
        <v>559</v>
      </c>
      <c r="N164" s="308">
        <v>41.3</v>
      </c>
      <c r="O164" s="309">
        <v>135.46</v>
      </c>
      <c r="P164" s="302"/>
      <c r="V164" s="304"/>
      <c r="W164" s="304"/>
      <c r="AD164" s="304"/>
      <c r="AE164" s="304"/>
      <c r="AR164" s="304"/>
      <c r="AS164" s="304"/>
      <c r="AT164" s="304"/>
      <c r="AU164" s="304"/>
      <c r="AV164" s="304"/>
      <c r="AW164" s="304"/>
      <c r="AX164" s="304"/>
      <c r="AY164" s="304"/>
      <c r="AZ164" s="304"/>
      <c r="BA164" s="304"/>
      <c r="BB164" s="304"/>
      <c r="BC164" s="304"/>
      <c r="BK164" s="305"/>
      <c r="BL164" s="305"/>
      <c r="BM164" s="305"/>
      <c r="BN164" s="305"/>
      <c r="BO164" s="305"/>
      <c r="BP164" s="305"/>
      <c r="BQ164" s="305"/>
      <c r="BR164" s="305"/>
      <c r="BS164" s="305"/>
      <c r="BT164" s="305"/>
      <c r="BU164" s="305"/>
      <c r="BV164" s="305"/>
      <c r="BX164" s="319"/>
    </row>
    <row r="165" spans="1:76" s="303" customFormat="1" ht="45" x14ac:dyDescent="0.25">
      <c r="A165" s="306" t="s">
        <v>410</v>
      </c>
      <c r="B165" s="306" t="s">
        <v>463</v>
      </c>
      <c r="C165" s="307" t="s">
        <v>292</v>
      </c>
      <c r="D165" s="307" t="s">
        <v>167</v>
      </c>
      <c r="E165" s="306" t="s">
        <v>165</v>
      </c>
      <c r="F165" s="308">
        <v>12.1</v>
      </c>
      <c r="G165" s="309">
        <v>101.52</v>
      </c>
      <c r="H165" s="308" t="s">
        <v>559</v>
      </c>
      <c r="I165" s="309" t="s">
        <v>559</v>
      </c>
      <c r="J165" s="308" t="s">
        <v>559</v>
      </c>
      <c r="K165" s="309" t="s">
        <v>559</v>
      </c>
      <c r="L165" s="308" t="s">
        <v>559</v>
      </c>
      <c r="M165" s="309" t="s">
        <v>559</v>
      </c>
      <c r="N165" s="308">
        <v>12.1</v>
      </c>
      <c r="O165" s="309">
        <v>101.52</v>
      </c>
      <c r="P165" s="302"/>
      <c r="V165" s="304"/>
      <c r="W165" s="304"/>
      <c r="AD165" s="304"/>
      <c r="AE165" s="304"/>
      <c r="AR165" s="304"/>
      <c r="AS165" s="304"/>
      <c r="AT165" s="304"/>
      <c r="AU165" s="304"/>
      <c r="AV165" s="304"/>
      <c r="AW165" s="304"/>
      <c r="AX165" s="304"/>
      <c r="AY165" s="304"/>
      <c r="AZ165" s="304"/>
      <c r="BA165" s="304"/>
      <c r="BB165" s="304"/>
      <c r="BC165" s="304"/>
      <c r="BK165" s="305"/>
      <c r="BL165" s="305"/>
      <c r="BM165" s="305"/>
      <c r="BN165" s="305"/>
      <c r="BO165" s="305"/>
      <c r="BP165" s="305"/>
      <c r="BQ165" s="305"/>
      <c r="BR165" s="305"/>
      <c r="BS165" s="305"/>
      <c r="BT165" s="305"/>
      <c r="BU165" s="305"/>
      <c r="BV165" s="305"/>
      <c r="BX165" s="319"/>
    </row>
    <row r="166" spans="1:76" s="303" customFormat="1" ht="33.75" x14ac:dyDescent="0.25">
      <c r="A166" s="306" t="s">
        <v>416</v>
      </c>
      <c r="B166" s="306" t="s">
        <v>464</v>
      </c>
      <c r="C166" s="307" t="s">
        <v>294</v>
      </c>
      <c r="D166" s="307" t="s">
        <v>170</v>
      </c>
      <c r="E166" s="306" t="s">
        <v>165</v>
      </c>
      <c r="F166" s="308">
        <v>5</v>
      </c>
      <c r="G166" s="309">
        <v>54.4</v>
      </c>
      <c r="H166" s="308" t="s">
        <v>559</v>
      </c>
      <c r="I166" s="309" t="s">
        <v>559</v>
      </c>
      <c r="J166" s="308" t="s">
        <v>559</v>
      </c>
      <c r="K166" s="309" t="s">
        <v>559</v>
      </c>
      <c r="L166" s="308" t="s">
        <v>559</v>
      </c>
      <c r="M166" s="309" t="s">
        <v>559</v>
      </c>
      <c r="N166" s="308">
        <v>5</v>
      </c>
      <c r="O166" s="309">
        <v>54.4</v>
      </c>
      <c r="P166" s="302"/>
      <c r="V166" s="304"/>
      <c r="W166" s="304"/>
      <c r="AD166" s="304"/>
      <c r="AE166" s="304"/>
      <c r="AR166" s="304"/>
      <c r="AS166" s="304"/>
      <c r="AT166" s="304"/>
      <c r="AU166" s="304"/>
      <c r="AV166" s="304"/>
      <c r="AW166" s="304"/>
      <c r="AX166" s="304"/>
      <c r="AY166" s="304"/>
      <c r="AZ166" s="304"/>
      <c r="BA166" s="304"/>
      <c r="BB166" s="304"/>
      <c r="BC166" s="304"/>
      <c r="BK166" s="305"/>
      <c r="BL166" s="305"/>
      <c r="BM166" s="305"/>
      <c r="BN166" s="305"/>
      <c r="BO166" s="305"/>
      <c r="BP166" s="305"/>
      <c r="BQ166" s="305"/>
      <c r="BR166" s="305"/>
      <c r="BS166" s="305"/>
      <c r="BT166" s="305"/>
      <c r="BU166" s="305"/>
      <c r="BV166" s="305"/>
      <c r="BX166" s="319"/>
    </row>
    <row r="167" spans="1:76" s="303" customFormat="1" ht="33.75" x14ac:dyDescent="0.25">
      <c r="A167" s="306" t="s">
        <v>417</v>
      </c>
      <c r="B167" s="306" t="s">
        <v>465</v>
      </c>
      <c r="C167" s="307" t="s">
        <v>174</v>
      </c>
      <c r="D167" s="307" t="s">
        <v>173</v>
      </c>
      <c r="E167" s="306" t="s">
        <v>165</v>
      </c>
      <c r="F167" s="308">
        <v>58.4</v>
      </c>
      <c r="G167" s="309">
        <v>225.42</v>
      </c>
      <c r="H167" s="308" t="s">
        <v>559</v>
      </c>
      <c r="I167" s="309" t="s">
        <v>559</v>
      </c>
      <c r="J167" s="308" t="s">
        <v>559</v>
      </c>
      <c r="K167" s="309" t="s">
        <v>559</v>
      </c>
      <c r="L167" s="308" t="s">
        <v>559</v>
      </c>
      <c r="M167" s="309" t="s">
        <v>559</v>
      </c>
      <c r="N167" s="308">
        <v>58.4</v>
      </c>
      <c r="O167" s="309">
        <v>225.42</v>
      </c>
      <c r="P167" s="302"/>
      <c r="V167" s="304"/>
      <c r="W167" s="304"/>
      <c r="AD167" s="304"/>
      <c r="AE167" s="304"/>
      <c r="AR167" s="304"/>
      <c r="AS167" s="304"/>
      <c r="AT167" s="304"/>
      <c r="AU167" s="304"/>
      <c r="AV167" s="304"/>
      <c r="AW167" s="304"/>
      <c r="AX167" s="304"/>
      <c r="AY167" s="304"/>
      <c r="AZ167" s="304"/>
      <c r="BA167" s="304"/>
      <c r="BB167" s="304"/>
      <c r="BC167" s="304"/>
      <c r="BK167" s="305"/>
      <c r="BL167" s="305"/>
      <c r="BM167" s="305"/>
      <c r="BN167" s="305"/>
      <c r="BO167" s="305"/>
      <c r="BP167" s="305"/>
      <c r="BQ167" s="305"/>
      <c r="BR167" s="305"/>
      <c r="BS167" s="305"/>
      <c r="BT167" s="305"/>
      <c r="BU167" s="305"/>
      <c r="BV167" s="305"/>
      <c r="BX167" s="319"/>
    </row>
    <row r="168" spans="1:76" s="303" customFormat="1" x14ac:dyDescent="0.25">
      <c r="A168" s="339" t="s">
        <v>470</v>
      </c>
      <c r="B168" s="340"/>
      <c r="C168" s="340"/>
      <c r="D168" s="340"/>
      <c r="E168" s="340"/>
      <c r="F168" s="340"/>
      <c r="G168" s="340"/>
      <c r="H168" s="340"/>
      <c r="I168" s="340"/>
      <c r="J168" s="340"/>
      <c r="K168" s="340"/>
      <c r="L168" s="340"/>
      <c r="M168" s="340"/>
      <c r="N168" s="340"/>
      <c r="O168" s="340"/>
      <c r="P168" s="302"/>
      <c r="V168" s="304"/>
      <c r="W168" s="304"/>
      <c r="AD168" s="304"/>
      <c r="AE168" s="304"/>
      <c r="AR168" s="304"/>
      <c r="AS168" s="304"/>
      <c r="AT168" s="304"/>
      <c r="AU168" s="304"/>
      <c r="AV168" s="304"/>
      <c r="AW168" s="304"/>
      <c r="AX168" s="304"/>
      <c r="AY168" s="304"/>
      <c r="AZ168" s="304"/>
      <c r="BA168" s="304"/>
      <c r="BB168" s="304"/>
      <c r="BC168" s="304"/>
      <c r="BK168" s="305"/>
      <c r="BL168" s="305"/>
      <c r="BM168" s="305"/>
      <c r="BN168" s="305"/>
      <c r="BO168" s="305"/>
      <c r="BP168" s="305"/>
      <c r="BQ168" s="305"/>
      <c r="BR168" s="305"/>
      <c r="BS168" s="305"/>
      <c r="BT168" s="305"/>
      <c r="BU168" s="305"/>
      <c r="BV168" s="305"/>
      <c r="BX168" s="319"/>
    </row>
    <row r="169" spans="1:76" s="303" customFormat="1" ht="22.5" x14ac:dyDescent="0.25">
      <c r="A169" s="306" t="s">
        <v>418</v>
      </c>
      <c r="B169" s="306" t="s">
        <v>471</v>
      </c>
      <c r="C169" s="307" t="s">
        <v>209</v>
      </c>
      <c r="D169" s="307" t="s">
        <v>208</v>
      </c>
      <c r="E169" s="306" t="s">
        <v>210</v>
      </c>
      <c r="F169" s="308">
        <v>1</v>
      </c>
      <c r="G169" s="309">
        <v>949.76</v>
      </c>
      <c r="H169" s="308" t="s">
        <v>559</v>
      </c>
      <c r="I169" s="309" t="s">
        <v>559</v>
      </c>
      <c r="J169" s="308">
        <v>1</v>
      </c>
      <c r="K169" s="309">
        <v>949.76</v>
      </c>
      <c r="L169" s="308">
        <v>1</v>
      </c>
      <c r="M169" s="309">
        <v>949.76</v>
      </c>
      <c r="N169" s="308" t="s">
        <v>559</v>
      </c>
      <c r="O169" s="309" t="s">
        <v>559</v>
      </c>
      <c r="P169" s="302"/>
      <c r="V169" s="304"/>
      <c r="W169" s="304"/>
      <c r="AD169" s="304"/>
      <c r="AE169" s="304"/>
      <c r="AR169" s="304"/>
      <c r="AS169" s="304"/>
      <c r="AT169" s="304"/>
      <c r="AU169" s="304"/>
      <c r="AV169" s="304"/>
      <c r="AW169" s="304"/>
      <c r="AX169" s="304"/>
      <c r="AY169" s="304"/>
      <c r="AZ169" s="304"/>
      <c r="BA169" s="304"/>
      <c r="BB169" s="304"/>
      <c r="BC169" s="304"/>
      <c r="BK169" s="305"/>
      <c r="BL169" s="305"/>
      <c r="BM169" s="305"/>
      <c r="BN169" s="305"/>
      <c r="BO169" s="305"/>
      <c r="BP169" s="305"/>
      <c r="BQ169" s="305"/>
      <c r="BR169" s="305"/>
      <c r="BS169" s="305"/>
      <c r="BT169" s="305"/>
      <c r="BU169" s="305"/>
      <c r="BV169" s="305"/>
      <c r="BX169" s="319"/>
    </row>
    <row r="170" spans="1:76" s="303" customFormat="1" ht="33.75" x14ac:dyDescent="0.25">
      <c r="A170" s="306" t="s">
        <v>419</v>
      </c>
      <c r="B170" s="306" t="s">
        <v>472</v>
      </c>
      <c r="C170" s="307" t="s">
        <v>83</v>
      </c>
      <c r="D170" s="307" t="s">
        <v>82</v>
      </c>
      <c r="E170" s="306" t="s">
        <v>58</v>
      </c>
      <c r="F170" s="308">
        <v>0.28399999999999997</v>
      </c>
      <c r="G170" s="309">
        <v>165.27</v>
      </c>
      <c r="H170" s="308" t="s">
        <v>559</v>
      </c>
      <c r="I170" s="309" t="s">
        <v>559</v>
      </c>
      <c r="J170" s="308">
        <v>0.2051</v>
      </c>
      <c r="K170" s="309">
        <v>119.37</v>
      </c>
      <c r="L170" s="308">
        <v>0.2051</v>
      </c>
      <c r="M170" s="309">
        <v>119.37</v>
      </c>
      <c r="N170" s="308">
        <v>7.8899999999999998E-2</v>
      </c>
      <c r="O170" s="309">
        <v>45.9</v>
      </c>
      <c r="P170" s="302"/>
      <c r="V170" s="304"/>
      <c r="W170" s="304"/>
      <c r="AD170" s="304"/>
      <c r="AE170" s="304"/>
      <c r="AR170" s="304"/>
      <c r="AS170" s="304"/>
      <c r="AT170" s="304"/>
      <c r="AU170" s="304"/>
      <c r="AV170" s="304"/>
      <c r="AW170" s="304"/>
      <c r="AX170" s="304"/>
      <c r="AY170" s="304"/>
      <c r="AZ170" s="304"/>
      <c r="BA170" s="304"/>
      <c r="BB170" s="304"/>
      <c r="BC170" s="304"/>
      <c r="BK170" s="305"/>
      <c r="BL170" s="305"/>
      <c r="BM170" s="305"/>
      <c r="BN170" s="305"/>
      <c r="BO170" s="305"/>
      <c r="BP170" s="305"/>
      <c r="BQ170" s="305"/>
      <c r="BR170" s="305"/>
      <c r="BS170" s="305"/>
      <c r="BT170" s="305"/>
      <c r="BU170" s="305"/>
      <c r="BV170" s="305"/>
      <c r="BX170" s="319"/>
    </row>
    <row r="171" spans="1:76" s="303" customFormat="1" ht="22.5" x14ac:dyDescent="0.25">
      <c r="A171" s="306" t="s">
        <v>420</v>
      </c>
      <c r="B171" s="306" t="s">
        <v>473</v>
      </c>
      <c r="C171" s="307" t="s">
        <v>90</v>
      </c>
      <c r="D171" s="307" t="s">
        <v>89</v>
      </c>
      <c r="E171" s="306" t="s">
        <v>58</v>
      </c>
      <c r="F171" s="308">
        <v>0.1336</v>
      </c>
      <c r="G171" s="309">
        <v>69.900000000000006</v>
      </c>
      <c r="H171" s="308" t="s">
        <v>559</v>
      </c>
      <c r="I171" s="309" t="s">
        <v>559</v>
      </c>
      <c r="J171" s="308">
        <v>9.5500000000000002E-2</v>
      </c>
      <c r="K171" s="309">
        <v>49.97</v>
      </c>
      <c r="L171" s="308">
        <v>9.5500000000000002E-2</v>
      </c>
      <c r="M171" s="309">
        <v>49.97</v>
      </c>
      <c r="N171" s="308">
        <v>3.8100000000000002E-2</v>
      </c>
      <c r="O171" s="309">
        <v>19.93</v>
      </c>
      <c r="P171" s="302"/>
      <c r="V171" s="304"/>
      <c r="W171" s="304"/>
      <c r="AD171" s="304"/>
      <c r="AE171" s="304"/>
      <c r="AR171" s="304"/>
      <c r="AS171" s="304"/>
      <c r="AT171" s="304"/>
      <c r="AU171" s="304"/>
      <c r="AV171" s="304"/>
      <c r="AW171" s="304"/>
      <c r="AX171" s="304"/>
      <c r="AY171" s="304"/>
      <c r="AZ171" s="304"/>
      <c r="BA171" s="304"/>
      <c r="BB171" s="304"/>
      <c r="BC171" s="304"/>
      <c r="BK171" s="305"/>
      <c r="BL171" s="305"/>
      <c r="BM171" s="305"/>
      <c r="BN171" s="305"/>
      <c r="BO171" s="305"/>
      <c r="BP171" s="305"/>
      <c r="BQ171" s="305"/>
      <c r="BR171" s="305"/>
      <c r="BS171" s="305"/>
      <c r="BT171" s="305"/>
      <c r="BU171" s="305"/>
      <c r="BV171" s="305"/>
      <c r="BX171" s="319"/>
    </row>
    <row r="172" spans="1:76" s="303" customFormat="1" ht="22.5" x14ac:dyDescent="0.25">
      <c r="A172" s="306" t="s">
        <v>421</v>
      </c>
      <c r="B172" s="306" t="s">
        <v>474</v>
      </c>
      <c r="C172" s="307" t="s">
        <v>97</v>
      </c>
      <c r="D172" s="307" t="s">
        <v>96</v>
      </c>
      <c r="E172" s="306" t="s">
        <v>58</v>
      </c>
      <c r="F172" s="308">
        <v>0.13400000000000001</v>
      </c>
      <c r="G172" s="309">
        <v>885.65</v>
      </c>
      <c r="H172" s="308" t="s">
        <v>559</v>
      </c>
      <c r="I172" s="309" t="s">
        <v>559</v>
      </c>
      <c r="J172" s="308">
        <v>9.5500000000000002E-2</v>
      </c>
      <c r="K172" s="309">
        <v>631.17999999999995</v>
      </c>
      <c r="L172" s="308">
        <v>9.5500000000000002E-2</v>
      </c>
      <c r="M172" s="309">
        <v>631.17999999999995</v>
      </c>
      <c r="N172" s="308">
        <v>3.85E-2</v>
      </c>
      <c r="O172" s="309">
        <v>254.47</v>
      </c>
      <c r="P172" s="302"/>
      <c r="V172" s="304"/>
      <c r="W172" s="304"/>
      <c r="AD172" s="304"/>
      <c r="AE172" s="304"/>
      <c r="AR172" s="304"/>
      <c r="AS172" s="304"/>
      <c r="AT172" s="304"/>
      <c r="AU172" s="304"/>
      <c r="AV172" s="304"/>
      <c r="AW172" s="304"/>
      <c r="AX172" s="304"/>
      <c r="AY172" s="304"/>
      <c r="AZ172" s="304"/>
      <c r="BA172" s="304"/>
      <c r="BB172" s="304"/>
      <c r="BC172" s="304"/>
      <c r="BK172" s="305"/>
      <c r="BL172" s="305"/>
      <c r="BM172" s="305"/>
      <c r="BN172" s="305"/>
      <c r="BO172" s="305"/>
      <c r="BP172" s="305"/>
      <c r="BQ172" s="305"/>
      <c r="BR172" s="305"/>
      <c r="BS172" s="305"/>
      <c r="BT172" s="305"/>
      <c r="BU172" s="305"/>
      <c r="BV172" s="305"/>
      <c r="BX172" s="319"/>
    </row>
    <row r="173" spans="1:76" s="303" customFormat="1" ht="33.75" x14ac:dyDescent="0.25">
      <c r="A173" s="306" t="s">
        <v>422</v>
      </c>
      <c r="B173" s="306" t="s">
        <v>475</v>
      </c>
      <c r="C173" s="307" t="s">
        <v>105</v>
      </c>
      <c r="D173" s="307" t="s">
        <v>576</v>
      </c>
      <c r="E173" s="306" t="s">
        <v>106</v>
      </c>
      <c r="F173" s="308">
        <v>14.49</v>
      </c>
      <c r="G173" s="309">
        <v>9477.56</v>
      </c>
      <c r="H173" s="308" t="s">
        <v>559</v>
      </c>
      <c r="I173" s="309" t="s">
        <v>559</v>
      </c>
      <c r="J173" s="308">
        <v>12.032999999999999</v>
      </c>
      <c r="K173" s="309">
        <v>7870.49</v>
      </c>
      <c r="L173" s="308">
        <v>12.032999999999999</v>
      </c>
      <c r="M173" s="309">
        <v>7870.49</v>
      </c>
      <c r="N173" s="308">
        <v>2.4569999999999999</v>
      </c>
      <c r="O173" s="309">
        <v>1607.07</v>
      </c>
      <c r="P173" s="302"/>
      <c r="V173" s="304"/>
      <c r="W173" s="304"/>
      <c r="AD173" s="304"/>
      <c r="AE173" s="304"/>
      <c r="AR173" s="304"/>
      <c r="AS173" s="304"/>
      <c r="AT173" s="304"/>
      <c r="AU173" s="304"/>
      <c r="AV173" s="304"/>
      <c r="AW173" s="304"/>
      <c r="AX173" s="304"/>
      <c r="AY173" s="304"/>
      <c r="AZ173" s="304"/>
      <c r="BA173" s="304"/>
      <c r="BB173" s="304"/>
      <c r="BC173" s="304"/>
      <c r="BK173" s="305"/>
      <c r="BL173" s="305"/>
      <c r="BM173" s="305"/>
      <c r="BN173" s="305"/>
      <c r="BO173" s="305"/>
      <c r="BP173" s="305"/>
      <c r="BQ173" s="305"/>
      <c r="BR173" s="305"/>
      <c r="BS173" s="305"/>
      <c r="BT173" s="305"/>
      <c r="BU173" s="305"/>
      <c r="BV173" s="305"/>
      <c r="BX173" s="319"/>
    </row>
    <row r="174" spans="1:76" s="303" customFormat="1" ht="33.75" x14ac:dyDescent="0.25">
      <c r="A174" s="306" t="s">
        <v>423</v>
      </c>
      <c r="B174" s="306" t="s">
        <v>476</v>
      </c>
      <c r="C174" s="307" t="s">
        <v>242</v>
      </c>
      <c r="D174" s="307" t="s">
        <v>241</v>
      </c>
      <c r="E174" s="306" t="s">
        <v>210</v>
      </c>
      <c r="F174" s="308">
        <v>1</v>
      </c>
      <c r="G174" s="309">
        <v>9978.5400000000009</v>
      </c>
      <c r="H174" s="308" t="s">
        <v>559</v>
      </c>
      <c r="I174" s="309" t="s">
        <v>559</v>
      </c>
      <c r="J174" s="308">
        <v>1</v>
      </c>
      <c r="K174" s="309">
        <v>9978.5400000000009</v>
      </c>
      <c r="L174" s="308">
        <v>1</v>
      </c>
      <c r="M174" s="309">
        <v>9978.5400000000009</v>
      </c>
      <c r="N174" s="308" t="s">
        <v>559</v>
      </c>
      <c r="O174" s="309" t="s">
        <v>559</v>
      </c>
      <c r="P174" s="302"/>
      <c r="V174" s="304"/>
      <c r="W174" s="304"/>
      <c r="AD174" s="304"/>
      <c r="AE174" s="304"/>
      <c r="AR174" s="304"/>
      <c r="AS174" s="304"/>
      <c r="AT174" s="304"/>
      <c r="AU174" s="304"/>
      <c r="AV174" s="304"/>
      <c r="AW174" s="304"/>
      <c r="AX174" s="304"/>
      <c r="AY174" s="304"/>
      <c r="AZ174" s="304"/>
      <c r="BA174" s="304"/>
      <c r="BB174" s="304"/>
      <c r="BC174" s="304"/>
      <c r="BK174" s="305"/>
      <c r="BL174" s="305"/>
      <c r="BM174" s="305"/>
      <c r="BN174" s="305"/>
      <c r="BO174" s="305"/>
      <c r="BP174" s="305"/>
      <c r="BQ174" s="305"/>
      <c r="BR174" s="305"/>
      <c r="BS174" s="305"/>
      <c r="BT174" s="305"/>
      <c r="BU174" s="305"/>
      <c r="BV174" s="305"/>
      <c r="BX174" s="319"/>
    </row>
    <row r="175" spans="1:76" s="303" customFormat="1" ht="33.75" x14ac:dyDescent="0.25">
      <c r="A175" s="306" t="s">
        <v>424</v>
      </c>
      <c r="B175" s="306" t="s">
        <v>477</v>
      </c>
      <c r="C175" s="307" t="s">
        <v>245</v>
      </c>
      <c r="D175" s="307" t="s">
        <v>577</v>
      </c>
      <c r="E175" s="306" t="s">
        <v>246</v>
      </c>
      <c r="F175" s="308">
        <v>1</v>
      </c>
      <c r="G175" s="309">
        <v>175555.37</v>
      </c>
      <c r="H175" s="308" t="s">
        <v>559</v>
      </c>
      <c r="I175" s="309" t="s">
        <v>559</v>
      </c>
      <c r="J175" s="308">
        <v>1</v>
      </c>
      <c r="K175" s="309">
        <v>175555.37</v>
      </c>
      <c r="L175" s="308">
        <v>1</v>
      </c>
      <c r="M175" s="309">
        <v>175555.37</v>
      </c>
      <c r="N175" s="308" t="s">
        <v>559</v>
      </c>
      <c r="O175" s="309" t="s">
        <v>559</v>
      </c>
      <c r="P175" s="302"/>
      <c r="V175" s="304"/>
      <c r="W175" s="304"/>
      <c r="AD175" s="304"/>
      <c r="AE175" s="304"/>
      <c r="AR175" s="304"/>
      <c r="AS175" s="304"/>
      <c r="AT175" s="304"/>
      <c r="AU175" s="304"/>
      <c r="AV175" s="304"/>
      <c r="AW175" s="304"/>
      <c r="AX175" s="304"/>
      <c r="AY175" s="304"/>
      <c r="AZ175" s="304"/>
      <c r="BA175" s="304"/>
      <c r="BB175" s="304"/>
      <c r="BC175" s="304"/>
      <c r="BK175" s="305"/>
      <c r="BL175" s="305"/>
      <c r="BM175" s="305"/>
      <c r="BN175" s="305"/>
      <c r="BO175" s="305"/>
      <c r="BP175" s="305"/>
      <c r="BQ175" s="305"/>
      <c r="BR175" s="305"/>
      <c r="BS175" s="305"/>
      <c r="BT175" s="305"/>
      <c r="BU175" s="305"/>
      <c r="BV175" s="305"/>
      <c r="BX175" s="319"/>
    </row>
    <row r="176" spans="1:76" s="303" customFormat="1" ht="33.75" x14ac:dyDescent="0.25">
      <c r="A176" s="306" t="s">
        <v>425</v>
      </c>
      <c r="B176" s="306" t="s">
        <v>478</v>
      </c>
      <c r="C176" s="307" t="s">
        <v>250</v>
      </c>
      <c r="D176" s="307" t="s">
        <v>577</v>
      </c>
      <c r="E176" s="306" t="s">
        <v>246</v>
      </c>
      <c r="F176" s="308">
        <v>1</v>
      </c>
      <c r="G176" s="309">
        <v>378541.26</v>
      </c>
      <c r="H176" s="308" t="s">
        <v>559</v>
      </c>
      <c r="I176" s="309" t="s">
        <v>559</v>
      </c>
      <c r="J176" s="308">
        <v>1</v>
      </c>
      <c r="K176" s="309">
        <v>378541.26</v>
      </c>
      <c r="L176" s="308">
        <v>1</v>
      </c>
      <c r="M176" s="309">
        <v>378541.26</v>
      </c>
      <c r="N176" s="308" t="s">
        <v>559</v>
      </c>
      <c r="O176" s="309" t="s">
        <v>559</v>
      </c>
      <c r="P176" s="302"/>
      <c r="V176" s="304"/>
      <c r="W176" s="304"/>
      <c r="AD176" s="304"/>
      <c r="AE176" s="304"/>
      <c r="AR176" s="304"/>
      <c r="AS176" s="304"/>
      <c r="AT176" s="304"/>
      <c r="AU176" s="304"/>
      <c r="AV176" s="304"/>
      <c r="AW176" s="304"/>
      <c r="AX176" s="304"/>
      <c r="AY176" s="304"/>
      <c r="AZ176" s="304"/>
      <c r="BA176" s="304"/>
      <c r="BB176" s="304"/>
      <c r="BC176" s="304"/>
      <c r="BK176" s="305"/>
      <c r="BL176" s="305"/>
      <c r="BM176" s="305"/>
      <c r="BN176" s="305"/>
      <c r="BO176" s="305"/>
      <c r="BP176" s="305"/>
      <c r="BQ176" s="305"/>
      <c r="BR176" s="305"/>
      <c r="BS176" s="305"/>
      <c r="BT176" s="305"/>
      <c r="BU176" s="305"/>
      <c r="BV176" s="305"/>
      <c r="BX176" s="319"/>
    </row>
    <row r="177" spans="1:76" s="303" customFormat="1" ht="33.75" x14ac:dyDescent="0.25">
      <c r="A177" s="306" t="s">
        <v>426</v>
      </c>
      <c r="B177" s="306" t="s">
        <v>479</v>
      </c>
      <c r="C177" s="307" t="s">
        <v>254</v>
      </c>
      <c r="D177" s="307" t="s">
        <v>253</v>
      </c>
      <c r="E177" s="306" t="s">
        <v>115</v>
      </c>
      <c r="F177" s="308">
        <v>1</v>
      </c>
      <c r="G177" s="309">
        <v>1556.89</v>
      </c>
      <c r="H177" s="308" t="s">
        <v>559</v>
      </c>
      <c r="I177" s="309" t="s">
        <v>559</v>
      </c>
      <c r="J177" s="308">
        <v>1</v>
      </c>
      <c r="K177" s="309">
        <v>1556.89</v>
      </c>
      <c r="L177" s="308">
        <v>1</v>
      </c>
      <c r="M177" s="309">
        <v>1556.89</v>
      </c>
      <c r="N177" s="308" t="s">
        <v>559</v>
      </c>
      <c r="O177" s="309" t="s">
        <v>559</v>
      </c>
      <c r="P177" s="302"/>
      <c r="V177" s="304"/>
      <c r="W177" s="304"/>
      <c r="AD177" s="304"/>
      <c r="AE177" s="304"/>
      <c r="AR177" s="304"/>
      <c r="AS177" s="304"/>
      <c r="AT177" s="304"/>
      <c r="AU177" s="304"/>
      <c r="AV177" s="304"/>
      <c r="AW177" s="304"/>
      <c r="AX177" s="304"/>
      <c r="AY177" s="304"/>
      <c r="AZ177" s="304"/>
      <c r="BA177" s="304"/>
      <c r="BB177" s="304"/>
      <c r="BC177" s="304"/>
      <c r="BK177" s="305"/>
      <c r="BL177" s="305"/>
      <c r="BM177" s="305"/>
      <c r="BN177" s="305"/>
      <c r="BO177" s="305"/>
      <c r="BP177" s="305"/>
      <c r="BQ177" s="305"/>
      <c r="BR177" s="305"/>
      <c r="BS177" s="305"/>
      <c r="BT177" s="305"/>
      <c r="BU177" s="305"/>
      <c r="BV177" s="305"/>
      <c r="BX177" s="319"/>
    </row>
    <row r="178" spans="1:76" s="303" customFormat="1" ht="22.5" x14ac:dyDescent="0.25">
      <c r="A178" s="306" t="s">
        <v>427</v>
      </c>
      <c r="B178" s="306" t="s">
        <v>480</v>
      </c>
      <c r="C178" s="307" t="s">
        <v>261</v>
      </c>
      <c r="D178" s="307" t="s">
        <v>260</v>
      </c>
      <c r="E178" s="306" t="s">
        <v>115</v>
      </c>
      <c r="F178" s="308">
        <v>-2</v>
      </c>
      <c r="G178" s="309">
        <v>-533.34</v>
      </c>
      <c r="H178" s="308" t="s">
        <v>559</v>
      </c>
      <c r="I178" s="309" t="s">
        <v>559</v>
      </c>
      <c r="J178" s="308">
        <v>-2</v>
      </c>
      <c r="K178" s="309">
        <v>-533.34</v>
      </c>
      <c r="L178" s="308">
        <v>-2</v>
      </c>
      <c r="M178" s="309">
        <v>-533.34</v>
      </c>
      <c r="N178" s="308" t="s">
        <v>559</v>
      </c>
      <c r="O178" s="309" t="s">
        <v>559</v>
      </c>
      <c r="P178" s="302"/>
      <c r="V178" s="304"/>
      <c r="W178" s="304"/>
      <c r="AD178" s="304"/>
      <c r="AE178" s="304"/>
      <c r="AR178" s="304"/>
      <c r="AS178" s="304"/>
      <c r="AT178" s="304"/>
      <c r="AU178" s="304"/>
      <c r="AV178" s="304"/>
      <c r="AW178" s="304"/>
      <c r="AX178" s="304"/>
      <c r="AY178" s="304"/>
      <c r="AZ178" s="304"/>
      <c r="BA178" s="304"/>
      <c r="BB178" s="304"/>
      <c r="BC178" s="304"/>
      <c r="BK178" s="305"/>
      <c r="BL178" s="305"/>
      <c r="BM178" s="305"/>
      <c r="BN178" s="305"/>
      <c r="BO178" s="305"/>
      <c r="BP178" s="305"/>
      <c r="BQ178" s="305"/>
      <c r="BR178" s="305"/>
      <c r="BS178" s="305"/>
      <c r="BT178" s="305"/>
      <c r="BU178" s="305"/>
      <c r="BV178" s="305"/>
      <c r="BX178" s="319"/>
    </row>
    <row r="179" spans="1:76" s="303" customFormat="1" ht="33.75" x14ac:dyDescent="0.25">
      <c r="A179" s="306" t="s">
        <v>428</v>
      </c>
      <c r="B179" s="306" t="s">
        <v>481</v>
      </c>
      <c r="C179" s="307" t="s">
        <v>264</v>
      </c>
      <c r="D179" s="307" t="s">
        <v>577</v>
      </c>
      <c r="E179" s="306" t="s">
        <v>115</v>
      </c>
      <c r="F179" s="308">
        <v>2</v>
      </c>
      <c r="G179" s="309">
        <v>9234.43</v>
      </c>
      <c r="H179" s="308" t="s">
        <v>559</v>
      </c>
      <c r="I179" s="309" t="s">
        <v>559</v>
      </c>
      <c r="J179" s="308">
        <v>2</v>
      </c>
      <c r="K179" s="309">
        <v>9234.43</v>
      </c>
      <c r="L179" s="308">
        <v>2</v>
      </c>
      <c r="M179" s="309">
        <v>9234.43</v>
      </c>
      <c r="N179" s="308" t="s">
        <v>559</v>
      </c>
      <c r="O179" s="309" t="s">
        <v>559</v>
      </c>
      <c r="P179" s="302"/>
      <c r="V179" s="304"/>
      <c r="W179" s="304"/>
      <c r="AD179" s="304"/>
      <c r="AE179" s="304"/>
      <c r="AR179" s="304"/>
      <c r="AS179" s="304"/>
      <c r="AT179" s="304"/>
      <c r="AU179" s="304"/>
      <c r="AV179" s="304"/>
      <c r="AW179" s="304"/>
      <c r="AX179" s="304"/>
      <c r="AY179" s="304"/>
      <c r="AZ179" s="304"/>
      <c r="BA179" s="304"/>
      <c r="BB179" s="304"/>
      <c r="BC179" s="304"/>
      <c r="BK179" s="305"/>
      <c r="BL179" s="305"/>
      <c r="BM179" s="305"/>
      <c r="BN179" s="305"/>
      <c r="BO179" s="305"/>
      <c r="BP179" s="305"/>
      <c r="BQ179" s="305"/>
      <c r="BR179" s="305"/>
      <c r="BS179" s="305"/>
      <c r="BT179" s="305"/>
      <c r="BU179" s="305"/>
      <c r="BV179" s="305"/>
      <c r="BX179" s="319"/>
    </row>
    <row r="180" spans="1:76" s="303" customFormat="1" ht="33.75" x14ac:dyDescent="0.25">
      <c r="A180" s="306" t="s">
        <v>429</v>
      </c>
      <c r="B180" s="306" t="s">
        <v>482</v>
      </c>
      <c r="C180" s="307" t="s">
        <v>268</v>
      </c>
      <c r="D180" s="307" t="s">
        <v>577</v>
      </c>
      <c r="E180" s="306" t="s">
        <v>115</v>
      </c>
      <c r="F180" s="308">
        <v>1</v>
      </c>
      <c r="G180" s="309">
        <v>16503.3</v>
      </c>
      <c r="H180" s="308" t="s">
        <v>559</v>
      </c>
      <c r="I180" s="309" t="s">
        <v>559</v>
      </c>
      <c r="J180" s="308">
        <v>1</v>
      </c>
      <c r="K180" s="309">
        <v>16503.3</v>
      </c>
      <c r="L180" s="308">
        <v>1</v>
      </c>
      <c r="M180" s="309">
        <v>16503.3</v>
      </c>
      <c r="N180" s="308" t="s">
        <v>559</v>
      </c>
      <c r="O180" s="309" t="s">
        <v>559</v>
      </c>
      <c r="P180" s="302"/>
      <c r="V180" s="304"/>
      <c r="W180" s="304"/>
      <c r="AD180" s="304"/>
      <c r="AE180" s="304"/>
      <c r="AR180" s="304"/>
      <c r="AS180" s="304"/>
      <c r="AT180" s="304"/>
      <c r="AU180" s="304"/>
      <c r="AV180" s="304"/>
      <c r="AW180" s="304"/>
      <c r="AX180" s="304"/>
      <c r="AY180" s="304"/>
      <c r="AZ180" s="304"/>
      <c r="BA180" s="304"/>
      <c r="BB180" s="304"/>
      <c r="BC180" s="304"/>
      <c r="BK180" s="305"/>
      <c r="BL180" s="305"/>
      <c r="BM180" s="305"/>
      <c r="BN180" s="305"/>
      <c r="BO180" s="305"/>
      <c r="BP180" s="305"/>
      <c r="BQ180" s="305"/>
      <c r="BR180" s="305"/>
      <c r="BS180" s="305"/>
      <c r="BT180" s="305"/>
      <c r="BU180" s="305"/>
      <c r="BV180" s="305"/>
      <c r="BX180" s="319"/>
    </row>
    <row r="181" spans="1:76" s="303" customFormat="1" ht="33.75" x14ac:dyDescent="0.25">
      <c r="A181" s="306" t="s">
        <v>430</v>
      </c>
      <c r="B181" s="306" t="s">
        <v>483</v>
      </c>
      <c r="C181" s="307" t="s">
        <v>271</v>
      </c>
      <c r="D181" s="307" t="s">
        <v>577</v>
      </c>
      <c r="E181" s="306" t="s">
        <v>115</v>
      </c>
      <c r="F181" s="308">
        <v>1</v>
      </c>
      <c r="G181" s="309">
        <v>439.8</v>
      </c>
      <c r="H181" s="308" t="s">
        <v>559</v>
      </c>
      <c r="I181" s="309" t="s">
        <v>559</v>
      </c>
      <c r="J181" s="308">
        <v>1</v>
      </c>
      <c r="K181" s="309">
        <v>439.8</v>
      </c>
      <c r="L181" s="308">
        <v>1</v>
      </c>
      <c r="M181" s="309">
        <v>439.8</v>
      </c>
      <c r="N181" s="308" t="s">
        <v>559</v>
      </c>
      <c r="O181" s="309" t="s">
        <v>559</v>
      </c>
      <c r="P181" s="302"/>
      <c r="V181" s="304"/>
      <c r="W181" s="304"/>
      <c r="AD181" s="304"/>
      <c r="AE181" s="304"/>
      <c r="AR181" s="304"/>
      <c r="AS181" s="304"/>
      <c r="AT181" s="304"/>
      <c r="AU181" s="304"/>
      <c r="AV181" s="304"/>
      <c r="AW181" s="304"/>
      <c r="AX181" s="304"/>
      <c r="AY181" s="304"/>
      <c r="AZ181" s="304"/>
      <c r="BA181" s="304"/>
      <c r="BB181" s="304"/>
      <c r="BC181" s="304"/>
      <c r="BK181" s="305"/>
      <c r="BL181" s="305"/>
      <c r="BM181" s="305"/>
      <c r="BN181" s="305"/>
      <c r="BO181" s="305"/>
      <c r="BP181" s="305"/>
      <c r="BQ181" s="305"/>
      <c r="BR181" s="305"/>
      <c r="BS181" s="305"/>
      <c r="BT181" s="305"/>
      <c r="BU181" s="305"/>
      <c r="BV181" s="305"/>
      <c r="BX181" s="319"/>
    </row>
    <row r="182" spans="1:76" s="303" customFormat="1" ht="22.5" x14ac:dyDescent="0.25">
      <c r="A182" s="306" t="s">
        <v>431</v>
      </c>
      <c r="B182" s="306" t="s">
        <v>484</v>
      </c>
      <c r="C182" s="307" t="s">
        <v>275</v>
      </c>
      <c r="D182" s="307" t="s">
        <v>274</v>
      </c>
      <c r="E182" s="306" t="s">
        <v>276</v>
      </c>
      <c r="F182" s="308">
        <v>0.06</v>
      </c>
      <c r="G182" s="309">
        <v>757.79</v>
      </c>
      <c r="H182" s="308" t="s">
        <v>559</v>
      </c>
      <c r="I182" s="309" t="s">
        <v>559</v>
      </c>
      <c r="J182" s="308" t="s">
        <v>559</v>
      </c>
      <c r="K182" s="309" t="s">
        <v>559</v>
      </c>
      <c r="L182" s="308" t="s">
        <v>559</v>
      </c>
      <c r="M182" s="309" t="s">
        <v>559</v>
      </c>
      <c r="N182" s="308">
        <v>0.06</v>
      </c>
      <c r="O182" s="309">
        <v>757.79</v>
      </c>
      <c r="P182" s="302"/>
      <c r="V182" s="304"/>
      <c r="W182" s="304"/>
      <c r="AD182" s="304"/>
      <c r="AE182" s="304"/>
      <c r="AR182" s="304"/>
      <c r="AS182" s="304"/>
      <c r="AT182" s="304"/>
      <c r="AU182" s="304"/>
      <c r="AV182" s="304"/>
      <c r="AW182" s="304"/>
      <c r="AX182" s="304"/>
      <c r="AY182" s="304"/>
      <c r="AZ182" s="304"/>
      <c r="BA182" s="304"/>
      <c r="BB182" s="304"/>
      <c r="BC182" s="304"/>
      <c r="BK182" s="305"/>
      <c r="BL182" s="305"/>
      <c r="BM182" s="305"/>
      <c r="BN182" s="305"/>
      <c r="BO182" s="305"/>
      <c r="BP182" s="305"/>
      <c r="BQ182" s="305"/>
      <c r="BR182" s="305"/>
      <c r="BS182" s="305"/>
      <c r="BT182" s="305"/>
      <c r="BU182" s="305"/>
      <c r="BV182" s="305"/>
      <c r="BX182" s="319"/>
    </row>
    <row r="183" spans="1:76" s="303" customFormat="1" ht="22.5" x14ac:dyDescent="0.25">
      <c r="A183" s="306" t="s">
        <v>432</v>
      </c>
      <c r="B183" s="306" t="s">
        <v>485</v>
      </c>
      <c r="C183" s="307" t="s">
        <v>283</v>
      </c>
      <c r="D183" s="307" t="s">
        <v>282</v>
      </c>
      <c r="E183" s="306" t="s">
        <v>127</v>
      </c>
      <c r="F183" s="308">
        <v>-2.9000000000000001E-2</v>
      </c>
      <c r="G183" s="309">
        <v>-282.08</v>
      </c>
      <c r="H183" s="308" t="s">
        <v>559</v>
      </c>
      <c r="I183" s="309" t="s">
        <v>559</v>
      </c>
      <c r="J183" s="308" t="s">
        <v>559</v>
      </c>
      <c r="K183" s="309" t="s">
        <v>559</v>
      </c>
      <c r="L183" s="308" t="s">
        <v>559</v>
      </c>
      <c r="M183" s="309" t="s">
        <v>559</v>
      </c>
      <c r="N183" s="308">
        <v>-2.9000000000000001E-2</v>
      </c>
      <c r="O183" s="309">
        <v>-282.08</v>
      </c>
      <c r="P183" s="302"/>
      <c r="V183" s="304"/>
      <c r="W183" s="304"/>
      <c r="AD183" s="304"/>
      <c r="AE183" s="304"/>
      <c r="AR183" s="304"/>
      <c r="AS183" s="304"/>
      <c r="AT183" s="304"/>
      <c r="AU183" s="304"/>
      <c r="AV183" s="304"/>
      <c r="AW183" s="304"/>
      <c r="AX183" s="304"/>
      <c r="AY183" s="304"/>
      <c r="AZ183" s="304"/>
      <c r="BA183" s="304"/>
      <c r="BB183" s="304"/>
      <c r="BC183" s="304"/>
      <c r="BK183" s="305"/>
      <c r="BL183" s="305"/>
      <c r="BM183" s="305"/>
      <c r="BN183" s="305"/>
      <c r="BO183" s="305"/>
      <c r="BP183" s="305"/>
      <c r="BQ183" s="305"/>
      <c r="BR183" s="305"/>
      <c r="BS183" s="305"/>
      <c r="BT183" s="305"/>
      <c r="BU183" s="305"/>
      <c r="BV183" s="305"/>
      <c r="BX183" s="319"/>
    </row>
    <row r="184" spans="1:76" s="303" customFormat="1" ht="33.75" x14ac:dyDescent="0.25">
      <c r="A184" s="306" t="s">
        <v>433</v>
      </c>
      <c r="B184" s="306" t="s">
        <v>486</v>
      </c>
      <c r="C184" s="307" t="s">
        <v>285</v>
      </c>
      <c r="D184" s="307" t="s">
        <v>120</v>
      </c>
      <c r="E184" s="306" t="s">
        <v>130</v>
      </c>
      <c r="F184" s="308">
        <v>0.36</v>
      </c>
      <c r="G184" s="309">
        <v>14126.77</v>
      </c>
      <c r="H184" s="308" t="s">
        <v>559</v>
      </c>
      <c r="I184" s="309" t="s">
        <v>559</v>
      </c>
      <c r="J184" s="308" t="s">
        <v>559</v>
      </c>
      <c r="K184" s="309" t="s">
        <v>559</v>
      </c>
      <c r="L184" s="308" t="s">
        <v>559</v>
      </c>
      <c r="M184" s="309" t="s">
        <v>559</v>
      </c>
      <c r="N184" s="308">
        <v>0.36</v>
      </c>
      <c r="O184" s="309">
        <v>14126.77</v>
      </c>
      <c r="P184" s="302"/>
      <c r="V184" s="304"/>
      <c r="W184" s="304"/>
      <c r="AD184" s="304"/>
      <c r="AE184" s="304"/>
      <c r="AR184" s="304"/>
      <c r="AS184" s="304"/>
      <c r="AT184" s="304"/>
      <c r="AU184" s="304"/>
      <c r="AV184" s="304"/>
      <c r="AW184" s="304"/>
      <c r="AX184" s="304"/>
      <c r="AY184" s="304"/>
      <c r="AZ184" s="304"/>
      <c r="BA184" s="304"/>
      <c r="BB184" s="304"/>
      <c r="BC184" s="304"/>
      <c r="BK184" s="305"/>
      <c r="BL184" s="305"/>
      <c r="BM184" s="305"/>
      <c r="BN184" s="305"/>
      <c r="BO184" s="305"/>
      <c r="BP184" s="305"/>
      <c r="BQ184" s="305"/>
      <c r="BR184" s="305"/>
      <c r="BS184" s="305"/>
      <c r="BT184" s="305"/>
      <c r="BU184" s="305"/>
      <c r="BV184" s="305"/>
      <c r="BX184" s="319"/>
    </row>
    <row r="185" spans="1:76" s="303" customFormat="1" ht="33.75" x14ac:dyDescent="0.25">
      <c r="A185" s="306" t="s">
        <v>434</v>
      </c>
      <c r="B185" s="306" t="s">
        <v>487</v>
      </c>
      <c r="C185" s="307" t="s">
        <v>129</v>
      </c>
      <c r="D185" s="307" t="s">
        <v>120</v>
      </c>
      <c r="E185" s="306" t="s">
        <v>130</v>
      </c>
      <c r="F185" s="308">
        <v>2.9000000000000001E-2</v>
      </c>
      <c r="G185" s="309">
        <v>843.21</v>
      </c>
      <c r="H185" s="308" t="s">
        <v>559</v>
      </c>
      <c r="I185" s="309" t="s">
        <v>559</v>
      </c>
      <c r="J185" s="308" t="s">
        <v>559</v>
      </c>
      <c r="K185" s="309" t="s">
        <v>559</v>
      </c>
      <c r="L185" s="308" t="s">
        <v>559</v>
      </c>
      <c r="M185" s="309" t="s">
        <v>559</v>
      </c>
      <c r="N185" s="308">
        <v>2.9000000000000001E-2</v>
      </c>
      <c r="O185" s="309">
        <v>843.21</v>
      </c>
      <c r="P185" s="302"/>
      <c r="V185" s="304"/>
      <c r="W185" s="304"/>
      <c r="AD185" s="304"/>
      <c r="AE185" s="304"/>
      <c r="AR185" s="304"/>
      <c r="AS185" s="304"/>
      <c r="AT185" s="304"/>
      <c r="AU185" s="304"/>
      <c r="AV185" s="304"/>
      <c r="AW185" s="304"/>
      <c r="AX185" s="304"/>
      <c r="AY185" s="304"/>
      <c r="AZ185" s="304"/>
      <c r="BA185" s="304"/>
      <c r="BB185" s="304"/>
      <c r="BC185" s="304"/>
      <c r="BK185" s="305"/>
      <c r="BL185" s="305"/>
      <c r="BM185" s="305"/>
      <c r="BN185" s="305"/>
      <c r="BO185" s="305"/>
      <c r="BP185" s="305"/>
      <c r="BQ185" s="305"/>
      <c r="BR185" s="305"/>
      <c r="BS185" s="305"/>
      <c r="BT185" s="305"/>
      <c r="BU185" s="305"/>
      <c r="BV185" s="305"/>
      <c r="BX185" s="319"/>
    </row>
    <row r="186" spans="1:76" s="303" customFormat="1" ht="22.5" x14ac:dyDescent="0.25">
      <c r="A186" s="306" t="s">
        <v>435</v>
      </c>
      <c r="B186" s="306" t="s">
        <v>488</v>
      </c>
      <c r="C186" s="307" t="s">
        <v>289</v>
      </c>
      <c r="D186" s="307" t="s">
        <v>288</v>
      </c>
      <c r="E186" s="306" t="s">
        <v>160</v>
      </c>
      <c r="F186" s="308">
        <v>1.3299999999999999E-2</v>
      </c>
      <c r="G186" s="309">
        <v>3285.94</v>
      </c>
      <c r="H186" s="308" t="s">
        <v>559</v>
      </c>
      <c r="I186" s="309" t="s">
        <v>559</v>
      </c>
      <c r="J186" s="308">
        <v>1.2500000000000001E-2</v>
      </c>
      <c r="K186" s="309">
        <v>3088.27</v>
      </c>
      <c r="L186" s="308">
        <v>1.2500000000000001E-2</v>
      </c>
      <c r="M186" s="309">
        <v>3088.27</v>
      </c>
      <c r="N186" s="308">
        <v>7.9999999999999895E-4</v>
      </c>
      <c r="O186" s="309">
        <v>197.67</v>
      </c>
      <c r="P186" s="302"/>
      <c r="V186" s="304"/>
      <c r="W186" s="304"/>
      <c r="AD186" s="304"/>
      <c r="AE186" s="304"/>
      <c r="AR186" s="304"/>
      <c r="AS186" s="304"/>
      <c r="AT186" s="304"/>
      <c r="AU186" s="304"/>
      <c r="AV186" s="304"/>
      <c r="AW186" s="304"/>
      <c r="AX186" s="304"/>
      <c r="AY186" s="304"/>
      <c r="AZ186" s="304"/>
      <c r="BA186" s="304"/>
      <c r="BB186" s="304"/>
      <c r="BC186" s="304"/>
      <c r="BK186" s="305"/>
      <c r="BL186" s="305"/>
      <c r="BM186" s="305"/>
      <c r="BN186" s="305"/>
      <c r="BO186" s="305"/>
      <c r="BP186" s="305"/>
      <c r="BQ186" s="305"/>
      <c r="BR186" s="305"/>
      <c r="BS186" s="305"/>
      <c r="BT186" s="305"/>
      <c r="BU186" s="305"/>
      <c r="BV186" s="305"/>
      <c r="BX186" s="319"/>
    </row>
    <row r="187" spans="1:76" s="303" customFormat="1" ht="33.75" x14ac:dyDescent="0.25">
      <c r="A187" s="306" t="s">
        <v>436</v>
      </c>
      <c r="B187" s="306" t="s">
        <v>489</v>
      </c>
      <c r="C187" s="307" t="s">
        <v>164</v>
      </c>
      <c r="D187" s="307" t="s">
        <v>163</v>
      </c>
      <c r="E187" s="306" t="s">
        <v>165</v>
      </c>
      <c r="F187" s="308">
        <v>49.6</v>
      </c>
      <c r="G187" s="309">
        <v>162.69</v>
      </c>
      <c r="H187" s="308" t="s">
        <v>559</v>
      </c>
      <c r="I187" s="309" t="s">
        <v>559</v>
      </c>
      <c r="J187" s="308">
        <v>35.89</v>
      </c>
      <c r="K187" s="309">
        <v>117.72</v>
      </c>
      <c r="L187" s="308">
        <v>35.89</v>
      </c>
      <c r="M187" s="309">
        <v>117.72</v>
      </c>
      <c r="N187" s="308">
        <v>13.71</v>
      </c>
      <c r="O187" s="309">
        <v>44.97</v>
      </c>
      <c r="P187" s="302"/>
      <c r="V187" s="304"/>
      <c r="W187" s="304"/>
      <c r="AD187" s="304"/>
      <c r="AE187" s="304"/>
      <c r="AR187" s="304"/>
      <c r="AS187" s="304"/>
      <c r="AT187" s="304"/>
      <c r="AU187" s="304"/>
      <c r="AV187" s="304"/>
      <c r="AW187" s="304"/>
      <c r="AX187" s="304"/>
      <c r="AY187" s="304"/>
      <c r="AZ187" s="304"/>
      <c r="BA187" s="304"/>
      <c r="BB187" s="304"/>
      <c r="BC187" s="304"/>
      <c r="BK187" s="305"/>
      <c r="BL187" s="305"/>
      <c r="BM187" s="305"/>
      <c r="BN187" s="305"/>
      <c r="BO187" s="305"/>
      <c r="BP187" s="305"/>
      <c r="BQ187" s="305"/>
      <c r="BR187" s="305"/>
      <c r="BS187" s="305"/>
      <c r="BT187" s="305"/>
      <c r="BU187" s="305"/>
      <c r="BV187" s="305"/>
      <c r="BX187" s="319"/>
    </row>
    <row r="188" spans="1:76" s="303" customFormat="1" ht="45" x14ac:dyDescent="0.25">
      <c r="A188" s="306" t="s">
        <v>437</v>
      </c>
      <c r="B188" s="306" t="s">
        <v>490</v>
      </c>
      <c r="C188" s="307" t="s">
        <v>292</v>
      </c>
      <c r="D188" s="307" t="s">
        <v>167</v>
      </c>
      <c r="E188" s="306" t="s">
        <v>165</v>
      </c>
      <c r="F188" s="308">
        <v>9.9</v>
      </c>
      <c r="G188" s="309">
        <v>83.06</v>
      </c>
      <c r="H188" s="308" t="s">
        <v>559</v>
      </c>
      <c r="I188" s="309" t="s">
        <v>559</v>
      </c>
      <c r="J188" s="308">
        <v>8.85</v>
      </c>
      <c r="K188" s="309">
        <v>74.25</v>
      </c>
      <c r="L188" s="308">
        <v>8.85</v>
      </c>
      <c r="M188" s="309">
        <v>74.25</v>
      </c>
      <c r="N188" s="308">
        <v>1.05</v>
      </c>
      <c r="O188" s="309">
        <v>8.81</v>
      </c>
      <c r="P188" s="302"/>
      <c r="V188" s="304"/>
      <c r="W188" s="304"/>
      <c r="AD188" s="304"/>
      <c r="AE188" s="304"/>
      <c r="AR188" s="304"/>
      <c r="AS188" s="304"/>
      <c r="AT188" s="304"/>
      <c r="AU188" s="304"/>
      <c r="AV188" s="304"/>
      <c r="AW188" s="304"/>
      <c r="AX188" s="304"/>
      <c r="AY188" s="304"/>
      <c r="AZ188" s="304"/>
      <c r="BA188" s="304"/>
      <c r="BB188" s="304"/>
      <c r="BC188" s="304"/>
      <c r="BK188" s="305"/>
      <c r="BL188" s="305"/>
      <c r="BM188" s="305"/>
      <c r="BN188" s="305"/>
      <c r="BO188" s="305"/>
      <c r="BP188" s="305"/>
      <c r="BQ188" s="305"/>
      <c r="BR188" s="305"/>
      <c r="BS188" s="305"/>
      <c r="BT188" s="305"/>
      <c r="BU188" s="305"/>
      <c r="BV188" s="305"/>
      <c r="BX188" s="319"/>
    </row>
    <row r="189" spans="1:76" s="303" customFormat="1" ht="33.75" x14ac:dyDescent="0.25">
      <c r="A189" s="306" t="s">
        <v>443</v>
      </c>
      <c r="B189" s="306" t="s">
        <v>491</v>
      </c>
      <c r="C189" s="307" t="s">
        <v>294</v>
      </c>
      <c r="D189" s="307" t="s">
        <v>170</v>
      </c>
      <c r="E189" s="306" t="s">
        <v>165</v>
      </c>
      <c r="F189" s="308">
        <v>5</v>
      </c>
      <c r="G189" s="309">
        <v>54.4</v>
      </c>
      <c r="H189" s="308" t="s">
        <v>559</v>
      </c>
      <c r="I189" s="309" t="s">
        <v>559</v>
      </c>
      <c r="J189" s="308">
        <v>4.16</v>
      </c>
      <c r="K189" s="309">
        <v>45.26</v>
      </c>
      <c r="L189" s="308">
        <v>4.16</v>
      </c>
      <c r="M189" s="309">
        <v>45.26</v>
      </c>
      <c r="N189" s="308">
        <v>0.84</v>
      </c>
      <c r="O189" s="309">
        <v>9.14</v>
      </c>
      <c r="P189" s="302"/>
      <c r="V189" s="304"/>
      <c r="W189" s="304"/>
      <c r="AD189" s="304"/>
      <c r="AE189" s="304"/>
      <c r="AR189" s="304"/>
      <c r="AS189" s="304"/>
      <c r="AT189" s="304"/>
      <c r="AU189" s="304"/>
      <c r="AV189" s="304"/>
      <c r="AW189" s="304"/>
      <c r="AX189" s="304"/>
      <c r="AY189" s="304"/>
      <c r="AZ189" s="304"/>
      <c r="BA189" s="304"/>
      <c r="BB189" s="304"/>
      <c r="BC189" s="304"/>
      <c r="BK189" s="305"/>
      <c r="BL189" s="305"/>
      <c r="BM189" s="305"/>
      <c r="BN189" s="305"/>
      <c r="BO189" s="305"/>
      <c r="BP189" s="305"/>
      <c r="BQ189" s="305"/>
      <c r="BR189" s="305"/>
      <c r="BS189" s="305"/>
      <c r="BT189" s="305"/>
      <c r="BU189" s="305"/>
      <c r="BV189" s="305"/>
      <c r="BX189" s="319"/>
    </row>
    <row r="190" spans="1:76" s="303" customFormat="1" ht="33.75" x14ac:dyDescent="0.25">
      <c r="A190" s="306" t="s">
        <v>444</v>
      </c>
      <c r="B190" s="306" t="s">
        <v>492</v>
      </c>
      <c r="C190" s="307" t="s">
        <v>174</v>
      </c>
      <c r="D190" s="307" t="s">
        <v>173</v>
      </c>
      <c r="E190" s="306" t="s">
        <v>165</v>
      </c>
      <c r="F190" s="308">
        <v>64.5</v>
      </c>
      <c r="G190" s="309">
        <v>248.97</v>
      </c>
      <c r="H190" s="308" t="s">
        <v>559</v>
      </c>
      <c r="I190" s="309" t="s">
        <v>559</v>
      </c>
      <c r="J190" s="308">
        <v>48.902999999999999</v>
      </c>
      <c r="K190" s="309">
        <v>188.77</v>
      </c>
      <c r="L190" s="308">
        <v>48.902999999999999</v>
      </c>
      <c r="M190" s="309">
        <v>188.77</v>
      </c>
      <c r="N190" s="308">
        <v>15.597</v>
      </c>
      <c r="O190" s="309">
        <v>60.2</v>
      </c>
      <c r="P190" s="302"/>
      <c r="V190" s="304"/>
      <c r="W190" s="304"/>
      <c r="AD190" s="304"/>
      <c r="AE190" s="304"/>
      <c r="AR190" s="304"/>
      <c r="AS190" s="304"/>
      <c r="AT190" s="304"/>
      <c r="AU190" s="304"/>
      <c r="AV190" s="304"/>
      <c r="AW190" s="304"/>
      <c r="AX190" s="304"/>
      <c r="AY190" s="304"/>
      <c r="AZ190" s="304"/>
      <c r="BA190" s="304"/>
      <c r="BB190" s="304"/>
      <c r="BC190" s="304"/>
      <c r="BK190" s="305"/>
      <c r="BL190" s="305"/>
      <c r="BM190" s="305"/>
      <c r="BN190" s="305"/>
      <c r="BO190" s="305"/>
      <c r="BP190" s="305"/>
      <c r="BQ190" s="305"/>
      <c r="BR190" s="305"/>
      <c r="BS190" s="305"/>
      <c r="BT190" s="305"/>
      <c r="BU190" s="305"/>
      <c r="BV190" s="305"/>
      <c r="BX190" s="319"/>
    </row>
    <row r="191" spans="1:76" s="303" customFormat="1" x14ac:dyDescent="0.25">
      <c r="A191" s="342" t="s">
        <v>497</v>
      </c>
      <c r="B191" s="340"/>
      <c r="C191" s="340"/>
      <c r="D191" s="340"/>
      <c r="E191" s="340"/>
      <c r="F191" s="310" t="s">
        <v>559</v>
      </c>
      <c r="G191" s="310" t="s">
        <v>559</v>
      </c>
      <c r="H191" s="310" t="s">
        <v>559</v>
      </c>
      <c r="I191" s="310" t="s">
        <v>559</v>
      </c>
      <c r="J191" s="310" t="s">
        <v>559</v>
      </c>
      <c r="K191" s="310" t="s">
        <v>559</v>
      </c>
      <c r="L191" s="310" t="s">
        <v>559</v>
      </c>
      <c r="M191" s="310" t="s">
        <v>559</v>
      </c>
      <c r="N191" s="310" t="s">
        <v>559</v>
      </c>
      <c r="O191" s="310" t="s">
        <v>559</v>
      </c>
      <c r="P191" s="302"/>
      <c r="V191" s="304"/>
      <c r="W191" s="304"/>
      <c r="AD191" s="304"/>
      <c r="AE191" s="304"/>
      <c r="AR191" s="304"/>
      <c r="AS191" s="304"/>
      <c r="AT191" s="304"/>
      <c r="AU191" s="304"/>
      <c r="AV191" s="304"/>
      <c r="AW191" s="304"/>
      <c r="AX191" s="304"/>
      <c r="AY191" s="304"/>
      <c r="AZ191" s="304"/>
      <c r="BA191" s="304"/>
      <c r="BB191" s="304"/>
      <c r="BC191" s="304"/>
      <c r="BK191" s="305"/>
      <c r="BL191" s="305"/>
      <c r="BM191" s="305"/>
      <c r="BN191" s="305"/>
      <c r="BO191" s="305"/>
      <c r="BP191" s="305"/>
      <c r="BQ191" s="305"/>
      <c r="BR191" s="305"/>
      <c r="BS191" s="305"/>
      <c r="BT191" s="305"/>
      <c r="BU191" s="305"/>
      <c r="BV191" s="305"/>
      <c r="BX191" s="319"/>
    </row>
    <row r="192" spans="1:76" s="303" customFormat="1" x14ac:dyDescent="0.25">
      <c r="A192" s="341" t="s">
        <v>578</v>
      </c>
      <c r="B192" s="340"/>
      <c r="C192" s="340"/>
      <c r="D192" s="340"/>
      <c r="E192" s="340"/>
      <c r="F192" s="310" t="s">
        <v>559</v>
      </c>
      <c r="G192" s="310">
        <v>4854074.91</v>
      </c>
      <c r="H192" s="310" t="s">
        <v>559</v>
      </c>
      <c r="I192" s="310">
        <v>466108.69</v>
      </c>
      <c r="J192" s="310" t="s">
        <v>559</v>
      </c>
      <c r="K192" s="310">
        <v>1023523.73</v>
      </c>
      <c r="L192" s="310" t="s">
        <v>559</v>
      </c>
      <c r="M192" s="310">
        <v>1489632.42</v>
      </c>
      <c r="N192" s="310" t="s">
        <v>559</v>
      </c>
      <c r="O192" s="310">
        <v>3364442.49</v>
      </c>
      <c r="P192" s="302"/>
      <c r="V192" s="304"/>
      <c r="W192" s="304"/>
      <c r="AD192" s="304"/>
      <c r="AE192" s="304"/>
      <c r="AR192" s="304"/>
      <c r="AS192" s="304"/>
      <c r="AT192" s="304"/>
      <c r="AU192" s="304"/>
      <c r="AV192" s="304"/>
      <c r="AW192" s="304"/>
      <c r="AX192" s="304"/>
      <c r="AY192" s="304"/>
      <c r="AZ192" s="304"/>
      <c r="BA192" s="304"/>
      <c r="BB192" s="304"/>
      <c r="BC192" s="304"/>
      <c r="BK192" s="305"/>
      <c r="BL192" s="305"/>
      <c r="BM192" s="305"/>
      <c r="BN192" s="305"/>
      <c r="BO192" s="305"/>
      <c r="BP192" s="305"/>
      <c r="BQ192" s="305"/>
      <c r="BR192" s="305"/>
      <c r="BS192" s="305"/>
      <c r="BT192" s="305"/>
      <c r="BU192" s="305"/>
      <c r="BV192" s="305"/>
      <c r="BX192" s="319"/>
    </row>
    <row r="193" spans="1:76" s="303" customFormat="1" x14ac:dyDescent="0.25">
      <c r="A193" s="343" t="s">
        <v>579</v>
      </c>
      <c r="B193" s="340"/>
      <c r="C193" s="340"/>
      <c r="D193" s="340"/>
      <c r="E193" s="340"/>
      <c r="F193" s="310" t="s">
        <v>559</v>
      </c>
      <c r="G193" s="310">
        <v>4760856.6100000003</v>
      </c>
      <c r="H193" s="310" t="s">
        <v>559</v>
      </c>
      <c r="I193" s="310">
        <v>458626.73</v>
      </c>
      <c r="J193" s="310" t="s">
        <v>559</v>
      </c>
      <c r="K193" s="310">
        <v>1005759.49</v>
      </c>
      <c r="L193" s="310" t="s">
        <v>559</v>
      </c>
      <c r="M193" s="310">
        <v>1464386.22</v>
      </c>
      <c r="N193" s="310" t="s">
        <v>559</v>
      </c>
      <c r="O193" s="310">
        <v>3296470.39</v>
      </c>
      <c r="P193" s="302"/>
      <c r="V193" s="304"/>
      <c r="W193" s="304"/>
      <c r="AD193" s="304"/>
      <c r="AE193" s="304"/>
      <c r="AR193" s="304"/>
      <c r="AS193" s="304"/>
      <c r="AT193" s="304"/>
      <c r="AU193" s="304"/>
      <c r="AV193" s="304"/>
      <c r="AW193" s="304"/>
      <c r="AX193" s="304"/>
      <c r="AY193" s="304"/>
      <c r="AZ193" s="304"/>
      <c r="BA193" s="304"/>
      <c r="BB193" s="304"/>
      <c r="BC193" s="304"/>
      <c r="BK193" s="305"/>
      <c r="BL193" s="305"/>
      <c r="BM193" s="305"/>
      <c r="BN193" s="305"/>
      <c r="BO193" s="305"/>
      <c r="BP193" s="305"/>
      <c r="BQ193" s="305"/>
      <c r="BR193" s="305"/>
      <c r="BS193" s="305"/>
      <c r="BT193" s="305"/>
      <c r="BU193" s="305"/>
      <c r="BV193" s="305"/>
      <c r="BX193" s="319"/>
    </row>
    <row r="194" spans="1:76" s="303" customFormat="1" x14ac:dyDescent="0.25">
      <c r="A194" s="343" t="s">
        <v>580</v>
      </c>
      <c r="B194" s="340"/>
      <c r="C194" s="340"/>
      <c r="D194" s="340"/>
      <c r="E194" s="340"/>
      <c r="F194" s="310" t="s">
        <v>559</v>
      </c>
      <c r="G194" s="310">
        <v>75097.64</v>
      </c>
      <c r="H194" s="310" t="s">
        <v>559</v>
      </c>
      <c r="I194" s="310">
        <v>5849.79</v>
      </c>
      <c r="J194" s="310" t="s">
        <v>559</v>
      </c>
      <c r="K194" s="310">
        <v>14979.1</v>
      </c>
      <c r="L194" s="310" t="s">
        <v>559</v>
      </c>
      <c r="M194" s="310">
        <v>20828.89</v>
      </c>
      <c r="N194" s="310" t="s">
        <v>559</v>
      </c>
      <c r="O194" s="310">
        <v>54268.75</v>
      </c>
      <c r="P194" s="302"/>
      <c r="V194" s="304"/>
      <c r="W194" s="304"/>
      <c r="AD194" s="304"/>
      <c r="AE194" s="304"/>
      <c r="AR194" s="304"/>
      <c r="AS194" s="304"/>
      <c r="AT194" s="304"/>
      <c r="AU194" s="304"/>
      <c r="AV194" s="304"/>
      <c r="AW194" s="304"/>
      <c r="AX194" s="304"/>
      <c r="AY194" s="304"/>
      <c r="AZ194" s="304"/>
      <c r="BA194" s="304"/>
      <c r="BB194" s="304"/>
      <c r="BC194" s="304"/>
      <c r="BK194" s="305"/>
      <c r="BL194" s="305"/>
      <c r="BM194" s="305"/>
      <c r="BN194" s="305"/>
      <c r="BO194" s="305"/>
      <c r="BP194" s="305"/>
      <c r="BQ194" s="305"/>
      <c r="BR194" s="305"/>
      <c r="BS194" s="305"/>
      <c r="BT194" s="305"/>
      <c r="BU194" s="305"/>
      <c r="BV194" s="305"/>
      <c r="BX194" s="319"/>
    </row>
    <row r="195" spans="1:76" s="303" customFormat="1" x14ac:dyDescent="0.25">
      <c r="A195" s="343" t="s">
        <v>581</v>
      </c>
      <c r="B195" s="340"/>
      <c r="C195" s="340"/>
      <c r="D195" s="340"/>
      <c r="E195" s="340"/>
      <c r="F195" s="310" t="s">
        <v>559</v>
      </c>
      <c r="G195" s="310">
        <v>14112.23</v>
      </c>
      <c r="H195" s="310" t="s">
        <v>559</v>
      </c>
      <c r="I195" s="310">
        <v>1255.3900000000001</v>
      </c>
      <c r="J195" s="310" t="s">
        <v>559</v>
      </c>
      <c r="K195" s="310">
        <v>2498.1999999999998</v>
      </c>
      <c r="L195" s="310" t="s">
        <v>559</v>
      </c>
      <c r="M195" s="310">
        <v>3753.59</v>
      </c>
      <c r="N195" s="310" t="s">
        <v>559</v>
      </c>
      <c r="O195" s="310">
        <v>10358.64</v>
      </c>
      <c r="P195" s="302"/>
      <c r="V195" s="304"/>
      <c r="W195" s="304"/>
      <c r="AD195" s="304"/>
      <c r="AE195" s="304"/>
      <c r="AR195" s="304"/>
      <c r="AS195" s="304"/>
      <c r="AT195" s="304"/>
      <c r="AU195" s="304"/>
      <c r="AV195" s="304"/>
      <c r="AW195" s="304"/>
      <c r="AX195" s="304"/>
      <c r="AY195" s="304"/>
      <c r="AZ195" s="304"/>
      <c r="BA195" s="304"/>
      <c r="BB195" s="304"/>
      <c r="BC195" s="304"/>
      <c r="BK195" s="305"/>
      <c r="BL195" s="305"/>
      <c r="BM195" s="305"/>
      <c r="BN195" s="305"/>
      <c r="BO195" s="305"/>
      <c r="BP195" s="305"/>
      <c r="BQ195" s="305"/>
      <c r="BR195" s="305"/>
      <c r="BS195" s="305"/>
      <c r="BT195" s="305"/>
      <c r="BU195" s="305"/>
      <c r="BV195" s="305"/>
      <c r="BX195" s="319"/>
    </row>
    <row r="196" spans="1:76" s="303" customFormat="1" x14ac:dyDescent="0.25">
      <c r="A196" s="341" t="s">
        <v>582</v>
      </c>
      <c r="B196" s="340"/>
      <c r="C196" s="340"/>
      <c r="D196" s="340"/>
      <c r="E196" s="340"/>
      <c r="F196" s="310" t="s">
        <v>559</v>
      </c>
      <c r="G196" s="310">
        <v>15442.87</v>
      </c>
      <c r="H196" s="310" t="s">
        <v>559</v>
      </c>
      <c r="I196" s="310">
        <v>1403.64</v>
      </c>
      <c r="J196" s="310" t="s">
        <v>559</v>
      </c>
      <c r="K196" s="310">
        <v>2721.1</v>
      </c>
      <c r="L196" s="310" t="s">
        <v>559</v>
      </c>
      <c r="M196" s="310">
        <v>4124.74</v>
      </c>
      <c r="N196" s="310" t="s">
        <v>559</v>
      </c>
      <c r="O196" s="310">
        <v>11318.13</v>
      </c>
      <c r="P196" s="302"/>
      <c r="V196" s="304"/>
      <c r="W196" s="304"/>
      <c r="AD196" s="304"/>
      <c r="AE196" s="304"/>
      <c r="AR196" s="304"/>
      <c r="AS196" s="304"/>
      <c r="AT196" s="304"/>
      <c r="AU196" s="304"/>
      <c r="AV196" s="304"/>
      <c r="AW196" s="304"/>
      <c r="AX196" s="304"/>
      <c r="AY196" s="304"/>
      <c r="AZ196" s="304"/>
      <c r="BA196" s="304"/>
      <c r="BB196" s="304"/>
      <c r="BC196" s="304"/>
      <c r="BK196" s="305"/>
      <c r="BL196" s="305"/>
      <c r="BM196" s="305"/>
      <c r="BN196" s="305"/>
      <c r="BO196" s="305"/>
      <c r="BP196" s="305"/>
      <c r="BQ196" s="305"/>
      <c r="BR196" s="305"/>
      <c r="BS196" s="305"/>
      <c r="BT196" s="305"/>
      <c r="BU196" s="305"/>
      <c r="BV196" s="305"/>
      <c r="BX196" s="319"/>
    </row>
    <row r="197" spans="1:76" s="303" customFormat="1" x14ac:dyDescent="0.25">
      <c r="A197" s="341" t="s">
        <v>583</v>
      </c>
      <c r="B197" s="340"/>
      <c r="C197" s="340"/>
      <c r="D197" s="340"/>
      <c r="E197" s="340"/>
      <c r="F197" s="310" t="s">
        <v>559</v>
      </c>
      <c r="G197" s="310">
        <v>8197.82</v>
      </c>
      <c r="H197" s="310" t="s">
        <v>559</v>
      </c>
      <c r="I197" s="310">
        <v>759.1</v>
      </c>
      <c r="J197" s="310" t="s">
        <v>559</v>
      </c>
      <c r="K197" s="310">
        <v>1444.31</v>
      </c>
      <c r="L197" s="310" t="s">
        <v>559</v>
      </c>
      <c r="M197" s="310">
        <v>2203.41</v>
      </c>
      <c r="N197" s="310" t="s">
        <v>559</v>
      </c>
      <c r="O197" s="310">
        <v>5994.41</v>
      </c>
      <c r="P197" s="302"/>
      <c r="V197" s="304"/>
      <c r="W197" s="304"/>
      <c r="AD197" s="304"/>
      <c r="AE197" s="304"/>
      <c r="AR197" s="304"/>
      <c r="AS197" s="304"/>
      <c r="AT197" s="304"/>
      <c r="AU197" s="304"/>
      <c r="AV197" s="304"/>
      <c r="AW197" s="304"/>
      <c r="AX197" s="304"/>
      <c r="AY197" s="304"/>
      <c r="AZ197" s="304"/>
      <c r="BA197" s="304"/>
      <c r="BB197" s="304"/>
      <c r="BC197" s="304"/>
      <c r="BK197" s="305"/>
      <c r="BL197" s="305"/>
      <c r="BM197" s="305"/>
      <c r="BN197" s="305"/>
      <c r="BO197" s="305"/>
      <c r="BP197" s="305"/>
      <c r="BQ197" s="305"/>
      <c r="BR197" s="305"/>
      <c r="BS197" s="305"/>
      <c r="BT197" s="305"/>
      <c r="BU197" s="305"/>
      <c r="BV197" s="305"/>
      <c r="BX197" s="319"/>
    </row>
    <row r="198" spans="1:76" s="303" customFormat="1" x14ac:dyDescent="0.25">
      <c r="A198" s="341" t="s">
        <v>584</v>
      </c>
      <c r="B198" s="340"/>
      <c r="C198" s="340"/>
      <c r="D198" s="340"/>
      <c r="E198" s="340"/>
      <c r="F198" s="311" t="s">
        <v>559</v>
      </c>
      <c r="G198" s="311">
        <v>4877715.5999999996</v>
      </c>
      <c r="H198" s="311" t="s">
        <v>559</v>
      </c>
      <c r="I198" s="311">
        <v>468271.43</v>
      </c>
      <c r="J198" s="311" t="s">
        <v>559</v>
      </c>
      <c r="K198" s="311">
        <v>1027689.14</v>
      </c>
      <c r="L198" s="311" t="s">
        <v>559</v>
      </c>
      <c r="M198" s="311">
        <v>1495960.57</v>
      </c>
      <c r="N198" s="311" t="s">
        <v>559</v>
      </c>
      <c r="O198" s="311">
        <v>3381755.03</v>
      </c>
      <c r="P198" s="302"/>
      <c r="V198" s="304"/>
      <c r="W198" s="304"/>
      <c r="AD198" s="304"/>
      <c r="AE198" s="304"/>
      <c r="AR198" s="304"/>
      <c r="AS198" s="304"/>
      <c r="AT198" s="304"/>
      <c r="AU198" s="304"/>
      <c r="AV198" s="304"/>
      <c r="AW198" s="304"/>
      <c r="AX198" s="304"/>
      <c r="AY198" s="304"/>
      <c r="AZ198" s="304"/>
      <c r="BA198" s="304"/>
      <c r="BB198" s="304"/>
      <c r="BC198" s="304"/>
      <c r="BK198" s="305"/>
      <c r="BL198" s="305"/>
      <c r="BM198" s="305"/>
      <c r="BN198" s="305"/>
      <c r="BO198" s="305"/>
      <c r="BP198" s="305"/>
      <c r="BQ198" s="305"/>
      <c r="BR198" s="305"/>
      <c r="BS198" s="305"/>
      <c r="BT198" s="305"/>
      <c r="BU198" s="305"/>
      <c r="BV198" s="305"/>
      <c r="BX198" s="319"/>
    </row>
    <row r="199" spans="1:76" s="303" customFormat="1" x14ac:dyDescent="0.25">
      <c r="A199" s="341" t="s">
        <v>585</v>
      </c>
      <c r="B199" s="340"/>
      <c r="C199" s="340"/>
      <c r="D199" s="340"/>
      <c r="E199" s="340"/>
      <c r="F199" s="311" t="s">
        <v>559</v>
      </c>
      <c r="G199" s="311">
        <v>60086437.399999999</v>
      </c>
      <c r="H199" s="311" t="s">
        <v>559</v>
      </c>
      <c r="I199" s="311">
        <v>5745088.5999999996</v>
      </c>
      <c r="J199" s="311" t="s">
        <v>559</v>
      </c>
      <c r="K199" s="311">
        <v>12579229.84</v>
      </c>
      <c r="L199" s="311" t="s">
        <v>559</v>
      </c>
      <c r="M199" s="311">
        <v>18324318.440000001</v>
      </c>
      <c r="N199" s="311" t="s">
        <v>559</v>
      </c>
      <c r="O199" s="311">
        <v>41762118.960000001</v>
      </c>
      <c r="P199" s="302"/>
      <c r="V199" s="304"/>
      <c r="W199" s="304"/>
      <c r="AD199" s="304"/>
      <c r="AE199" s="304"/>
      <c r="AR199" s="304"/>
      <c r="AS199" s="304"/>
      <c r="AT199" s="304"/>
      <c r="AU199" s="304"/>
      <c r="AV199" s="304"/>
      <c r="AW199" s="304"/>
      <c r="AX199" s="304"/>
      <c r="AY199" s="304"/>
      <c r="AZ199" s="304"/>
      <c r="BA199" s="304"/>
      <c r="BB199" s="304"/>
      <c r="BC199" s="304"/>
      <c r="BK199" s="305"/>
      <c r="BL199" s="305"/>
      <c r="BM199" s="305"/>
      <c r="BN199" s="305"/>
      <c r="BO199" s="305"/>
      <c r="BP199" s="305"/>
      <c r="BQ199" s="305"/>
      <c r="BR199" s="305"/>
      <c r="BS199" s="305"/>
      <c r="BT199" s="305"/>
      <c r="BU199" s="305"/>
      <c r="BV199" s="305"/>
      <c r="BX199" s="319"/>
    </row>
    <row r="200" spans="1:76" s="303" customFormat="1" x14ac:dyDescent="0.25">
      <c r="A200" s="312"/>
      <c r="B200" s="312"/>
      <c r="C200" s="312"/>
      <c r="D200" s="312"/>
      <c r="E200" s="312"/>
      <c r="F200" s="312"/>
      <c r="V200" s="304"/>
      <c r="W200" s="304"/>
      <c r="AD200" s="304"/>
      <c r="AE200" s="304"/>
      <c r="AR200" s="304"/>
      <c r="AS200" s="304"/>
      <c r="AT200" s="304"/>
      <c r="AU200" s="304"/>
      <c r="AV200" s="304"/>
      <c r="AW200" s="304"/>
      <c r="AX200" s="304"/>
      <c r="AY200" s="304"/>
      <c r="AZ200" s="304"/>
      <c r="BA200" s="304"/>
      <c r="BB200" s="304"/>
      <c r="BC200" s="304"/>
      <c r="BK200" s="305"/>
      <c r="BL200" s="305"/>
      <c r="BM200" s="305"/>
      <c r="BN200" s="305"/>
      <c r="BO200" s="305"/>
      <c r="BP200" s="305"/>
      <c r="BQ200" s="305"/>
      <c r="BR200" s="305"/>
      <c r="BS200" s="305"/>
      <c r="BT200" s="305"/>
      <c r="BU200" s="305"/>
      <c r="BV200" s="305"/>
      <c r="BX200" s="319"/>
    </row>
    <row r="201" spans="1:76" s="303" customFormat="1" x14ac:dyDescent="0.25">
      <c r="A201" s="275"/>
      <c r="B201" s="275"/>
      <c r="C201" s="275"/>
      <c r="D201" s="275"/>
      <c r="E201" s="275"/>
      <c r="F201" s="275"/>
      <c r="V201" s="304"/>
      <c r="W201" s="304"/>
      <c r="AD201" s="304"/>
      <c r="AE201" s="304"/>
      <c r="AR201" s="304"/>
      <c r="AS201" s="304"/>
      <c r="AT201" s="304"/>
      <c r="AU201" s="304"/>
      <c r="AV201" s="304"/>
      <c r="AW201" s="304"/>
      <c r="AX201" s="304"/>
      <c r="AY201" s="304"/>
      <c r="AZ201" s="304"/>
      <c r="BA201" s="304"/>
      <c r="BB201" s="304"/>
      <c r="BC201" s="304"/>
      <c r="BK201" s="305"/>
      <c r="BL201" s="305"/>
      <c r="BM201" s="305"/>
      <c r="BN201" s="305"/>
      <c r="BO201" s="305"/>
      <c r="BP201" s="305"/>
      <c r="BQ201" s="305"/>
      <c r="BR201" s="305"/>
      <c r="BS201" s="305"/>
      <c r="BT201" s="305"/>
      <c r="BU201" s="305"/>
      <c r="BV201" s="305"/>
      <c r="BX201" s="319"/>
    </row>
    <row r="202" spans="1:76" s="303" customFormat="1" x14ac:dyDescent="0.25">
      <c r="A202" s="275"/>
      <c r="B202" s="275"/>
      <c r="C202" s="275"/>
      <c r="D202" s="275"/>
      <c r="E202" s="275"/>
      <c r="F202" s="275"/>
      <c r="V202" s="304"/>
      <c r="W202" s="304"/>
      <c r="AD202" s="304"/>
      <c r="AE202" s="304"/>
      <c r="AR202" s="304"/>
      <c r="AS202" s="304"/>
      <c r="AT202" s="304"/>
      <c r="AU202" s="304"/>
      <c r="AV202" s="304"/>
      <c r="AW202" s="304"/>
      <c r="AX202" s="304"/>
      <c r="AY202" s="304"/>
      <c r="AZ202" s="304"/>
      <c r="BA202" s="304"/>
      <c r="BB202" s="304"/>
      <c r="BC202" s="304"/>
      <c r="BK202" s="305"/>
      <c r="BL202" s="305"/>
      <c r="BM202" s="305"/>
      <c r="BN202" s="305"/>
      <c r="BO202" s="305"/>
      <c r="BP202" s="305"/>
      <c r="BQ202" s="305"/>
      <c r="BR202" s="305"/>
      <c r="BS202" s="305"/>
      <c r="BT202" s="305"/>
      <c r="BU202" s="305"/>
      <c r="BV202" s="305"/>
      <c r="BX202" s="319"/>
    </row>
    <row r="203" spans="1:76" s="303" customFormat="1" x14ac:dyDescent="0.25">
      <c r="A203" s="275"/>
      <c r="B203" s="275"/>
      <c r="C203" s="275"/>
      <c r="D203" s="275"/>
      <c r="E203" s="275"/>
      <c r="F203" s="275"/>
      <c r="V203" s="304"/>
      <c r="W203" s="304"/>
      <c r="AD203" s="304"/>
      <c r="AE203" s="304"/>
      <c r="AR203" s="304"/>
      <c r="AS203" s="304"/>
      <c r="AT203" s="304"/>
      <c r="AU203" s="304"/>
      <c r="AV203" s="304"/>
      <c r="AW203" s="304"/>
      <c r="AX203" s="304"/>
      <c r="AY203" s="304"/>
      <c r="AZ203" s="304"/>
      <c r="BA203" s="304"/>
      <c r="BB203" s="304"/>
      <c r="BC203" s="304"/>
      <c r="BK203" s="305"/>
      <c r="BL203" s="305"/>
      <c r="BM203" s="305"/>
      <c r="BN203" s="305"/>
      <c r="BO203" s="305"/>
      <c r="BP203" s="305"/>
      <c r="BQ203" s="305"/>
      <c r="BR203" s="305"/>
      <c r="BS203" s="305"/>
      <c r="BT203" s="305"/>
      <c r="BU203" s="305"/>
      <c r="BV203" s="305"/>
      <c r="BX203" s="319"/>
    </row>
    <row r="204" spans="1:76" s="303" customFormat="1" x14ac:dyDescent="0.25">
      <c r="A204" s="275"/>
      <c r="B204" s="275"/>
      <c r="C204" s="275"/>
      <c r="D204" s="275"/>
      <c r="E204" s="275"/>
      <c r="F204" s="275"/>
      <c r="V204" s="304"/>
      <c r="W204" s="304"/>
      <c r="AD204" s="304"/>
      <c r="AE204" s="304"/>
      <c r="AR204" s="304"/>
      <c r="AS204" s="304"/>
      <c r="AT204" s="304"/>
      <c r="AU204" s="304"/>
      <c r="AV204" s="304"/>
      <c r="AW204" s="304"/>
      <c r="AX204" s="304"/>
      <c r="AY204" s="304"/>
      <c r="AZ204" s="304"/>
      <c r="BA204" s="304"/>
      <c r="BB204" s="304"/>
      <c r="BC204" s="304"/>
      <c r="BK204" s="305"/>
      <c r="BL204" s="305"/>
      <c r="BM204" s="305"/>
      <c r="BN204" s="305"/>
      <c r="BO204" s="305"/>
      <c r="BP204" s="305"/>
      <c r="BQ204" s="305"/>
      <c r="BR204" s="305"/>
      <c r="BS204" s="305"/>
      <c r="BT204" s="305"/>
      <c r="BU204" s="305"/>
      <c r="BV204" s="305"/>
      <c r="BX204" s="319"/>
    </row>
    <row r="205" spans="1:76" s="303" customFormat="1" x14ac:dyDescent="0.25">
      <c r="A205" s="275"/>
      <c r="B205" s="275"/>
      <c r="C205" s="275"/>
      <c r="D205" s="275"/>
      <c r="E205" s="275"/>
      <c r="F205" s="275"/>
      <c r="V205" s="304"/>
      <c r="W205" s="304"/>
      <c r="AD205" s="304"/>
      <c r="AE205" s="304"/>
      <c r="AR205" s="304"/>
      <c r="AS205" s="304"/>
      <c r="AT205" s="304"/>
      <c r="AU205" s="304"/>
      <c r="AV205" s="304"/>
      <c r="AW205" s="304"/>
      <c r="AX205" s="304"/>
      <c r="AY205" s="304"/>
      <c r="AZ205" s="304"/>
      <c r="BA205" s="304"/>
      <c r="BB205" s="304"/>
      <c r="BC205" s="304"/>
      <c r="BK205" s="305"/>
      <c r="BL205" s="305"/>
      <c r="BM205" s="305"/>
      <c r="BN205" s="305"/>
      <c r="BO205" s="305"/>
      <c r="BP205" s="305"/>
      <c r="BQ205" s="305"/>
      <c r="BR205" s="305"/>
      <c r="BS205" s="305"/>
      <c r="BT205" s="305"/>
      <c r="BU205" s="305"/>
      <c r="BV205" s="305"/>
      <c r="BX205" s="319"/>
    </row>
    <row r="206" spans="1:76" s="303" customFormat="1" x14ac:dyDescent="0.25">
      <c r="A206" s="275"/>
      <c r="B206" s="275"/>
      <c r="C206" s="275"/>
      <c r="D206" s="275"/>
      <c r="E206" s="275"/>
      <c r="F206" s="275"/>
      <c r="V206" s="304"/>
      <c r="W206" s="304"/>
      <c r="AD206" s="304"/>
      <c r="AE206" s="304"/>
      <c r="AR206" s="304"/>
      <c r="AS206" s="304"/>
      <c r="AT206" s="304"/>
      <c r="AU206" s="304"/>
      <c r="AV206" s="304"/>
      <c r="AW206" s="304"/>
      <c r="AX206" s="304"/>
      <c r="AY206" s="304"/>
      <c r="AZ206" s="304"/>
      <c r="BA206" s="304"/>
      <c r="BB206" s="304"/>
      <c r="BC206" s="304"/>
      <c r="BK206" s="305"/>
      <c r="BL206" s="305"/>
      <c r="BM206" s="305"/>
      <c r="BN206" s="305"/>
      <c r="BO206" s="305"/>
      <c r="BP206" s="305"/>
      <c r="BQ206" s="305"/>
      <c r="BR206" s="305"/>
      <c r="BS206" s="305"/>
      <c r="BT206" s="305"/>
      <c r="BU206" s="305"/>
      <c r="BV206" s="305"/>
      <c r="BX206" s="319"/>
    </row>
    <row r="207" spans="1:76" s="303" customFormat="1" x14ac:dyDescent="0.25">
      <c r="A207" s="275"/>
      <c r="B207" s="275"/>
      <c r="C207" s="275"/>
      <c r="D207" s="275"/>
      <c r="E207" s="275"/>
      <c r="F207" s="275"/>
      <c r="V207" s="304"/>
      <c r="W207" s="304"/>
      <c r="AD207" s="304"/>
      <c r="AE207" s="304"/>
      <c r="AR207" s="304"/>
      <c r="AS207" s="304"/>
      <c r="AT207" s="304"/>
      <c r="AU207" s="304"/>
      <c r="AV207" s="304"/>
      <c r="AW207" s="304"/>
      <c r="AX207" s="304"/>
      <c r="AY207" s="304"/>
      <c r="AZ207" s="304"/>
      <c r="BA207" s="304"/>
      <c r="BB207" s="304"/>
      <c r="BC207" s="304"/>
      <c r="BK207" s="305"/>
      <c r="BL207" s="305"/>
      <c r="BM207" s="305"/>
      <c r="BN207" s="305"/>
      <c r="BO207" s="305"/>
      <c r="BP207" s="305"/>
      <c r="BQ207" s="305"/>
      <c r="BR207" s="305"/>
      <c r="BS207" s="305"/>
      <c r="BT207" s="305"/>
      <c r="BU207" s="305"/>
      <c r="BV207" s="305"/>
      <c r="BX207" s="319"/>
    </row>
    <row r="208" spans="1:76" s="303" customFormat="1" x14ac:dyDescent="0.25">
      <c r="A208" s="275"/>
      <c r="B208" s="275"/>
      <c r="C208" s="275"/>
      <c r="D208" s="275"/>
      <c r="E208" s="275"/>
      <c r="F208" s="275"/>
      <c r="V208" s="304"/>
      <c r="W208" s="304"/>
      <c r="AD208" s="304"/>
      <c r="AE208" s="304"/>
      <c r="AR208" s="304"/>
      <c r="AS208" s="304"/>
      <c r="AT208" s="304"/>
      <c r="AU208" s="304"/>
      <c r="AV208" s="304"/>
      <c r="AW208" s="304"/>
      <c r="AX208" s="304"/>
      <c r="AY208" s="304"/>
      <c r="AZ208" s="304"/>
      <c r="BA208" s="304"/>
      <c r="BB208" s="304"/>
      <c r="BC208" s="304"/>
      <c r="BK208" s="305"/>
      <c r="BL208" s="305"/>
      <c r="BM208" s="305"/>
      <c r="BN208" s="305"/>
      <c r="BO208" s="305"/>
      <c r="BP208" s="305"/>
      <c r="BQ208" s="305"/>
      <c r="BR208" s="305"/>
      <c r="BS208" s="305"/>
      <c r="BT208" s="305"/>
      <c r="BU208" s="305"/>
      <c r="BV208" s="305"/>
      <c r="BX208" s="319"/>
    </row>
    <row r="209" spans="1:76" s="303" customFormat="1" x14ac:dyDescent="0.25">
      <c r="A209" s="275"/>
      <c r="B209" s="275"/>
      <c r="C209" s="275"/>
      <c r="D209" s="275"/>
      <c r="E209" s="275"/>
      <c r="F209" s="275"/>
      <c r="V209" s="304"/>
      <c r="W209" s="304"/>
      <c r="AD209" s="304"/>
      <c r="AE209" s="304"/>
      <c r="AR209" s="304"/>
      <c r="AS209" s="304"/>
      <c r="AT209" s="304"/>
      <c r="AU209" s="304"/>
      <c r="AV209" s="304"/>
      <c r="AW209" s="304"/>
      <c r="AX209" s="304"/>
      <c r="AY209" s="304"/>
      <c r="AZ209" s="304"/>
      <c r="BA209" s="304"/>
      <c r="BB209" s="304"/>
      <c r="BC209" s="304"/>
      <c r="BK209" s="305"/>
      <c r="BL209" s="305"/>
      <c r="BM209" s="305"/>
      <c r="BN209" s="305"/>
      <c r="BO209" s="305"/>
      <c r="BP209" s="305"/>
      <c r="BQ209" s="305"/>
      <c r="BR209" s="305"/>
      <c r="BS209" s="305"/>
      <c r="BT209" s="305"/>
      <c r="BU209" s="305"/>
      <c r="BV209" s="305"/>
      <c r="BX209" s="319"/>
    </row>
    <row r="210" spans="1:76" s="303" customFormat="1" x14ac:dyDescent="0.25">
      <c r="A210" s="275"/>
      <c r="B210" s="275"/>
      <c r="C210" s="275"/>
      <c r="D210" s="275"/>
      <c r="E210" s="275"/>
      <c r="F210" s="275"/>
      <c r="V210" s="304"/>
      <c r="W210" s="304"/>
      <c r="AD210" s="304"/>
      <c r="AE210" s="304"/>
      <c r="AR210" s="304"/>
      <c r="AS210" s="304"/>
      <c r="AT210" s="304"/>
      <c r="AU210" s="304"/>
      <c r="AV210" s="304"/>
      <c r="AW210" s="304"/>
      <c r="AX210" s="304"/>
      <c r="AY210" s="304"/>
      <c r="AZ210" s="304"/>
      <c r="BA210" s="304"/>
      <c r="BB210" s="304"/>
      <c r="BC210" s="304"/>
      <c r="BK210" s="305"/>
      <c r="BL210" s="305"/>
      <c r="BM210" s="305"/>
      <c r="BN210" s="305"/>
      <c r="BO210" s="305"/>
      <c r="BP210" s="305"/>
      <c r="BQ210" s="305"/>
      <c r="BR210" s="305"/>
      <c r="BS210" s="305"/>
      <c r="BT210" s="305"/>
      <c r="BU210" s="305"/>
      <c r="BV210" s="305"/>
      <c r="BX210" s="319"/>
    </row>
    <row r="211" spans="1:76" s="303" customFormat="1" x14ac:dyDescent="0.25">
      <c r="A211" s="275"/>
      <c r="B211" s="275"/>
      <c r="C211" s="275"/>
      <c r="D211" s="275"/>
      <c r="E211" s="275"/>
      <c r="F211" s="275"/>
      <c r="V211" s="304"/>
      <c r="W211" s="304"/>
      <c r="AD211" s="304"/>
      <c r="AE211" s="304"/>
      <c r="AR211" s="304"/>
      <c r="AS211" s="304"/>
      <c r="AT211" s="304"/>
      <c r="AU211" s="304"/>
      <c r="AV211" s="304"/>
      <c r="AW211" s="304"/>
      <c r="AX211" s="304"/>
      <c r="AY211" s="304"/>
      <c r="AZ211" s="304"/>
      <c r="BA211" s="304"/>
      <c r="BB211" s="304"/>
      <c r="BC211" s="304"/>
      <c r="BK211" s="305"/>
      <c r="BL211" s="305"/>
      <c r="BM211" s="305"/>
      <c r="BN211" s="305"/>
      <c r="BO211" s="305"/>
      <c r="BP211" s="305"/>
      <c r="BQ211" s="305"/>
      <c r="BR211" s="305"/>
      <c r="BS211" s="305"/>
      <c r="BT211" s="305"/>
      <c r="BU211" s="305"/>
      <c r="BV211" s="305"/>
      <c r="BX211" s="319"/>
    </row>
    <row r="212" spans="1:76" s="303" customFormat="1" x14ac:dyDescent="0.25">
      <c r="A212" s="275"/>
      <c r="B212" s="275"/>
      <c r="C212" s="275"/>
      <c r="D212" s="275"/>
      <c r="E212" s="275"/>
      <c r="F212" s="275"/>
      <c r="V212" s="304"/>
      <c r="W212" s="304"/>
      <c r="AD212" s="304"/>
      <c r="AE212" s="304"/>
      <c r="AR212" s="304"/>
      <c r="AS212" s="304"/>
      <c r="AT212" s="304"/>
      <c r="AU212" s="304"/>
      <c r="AV212" s="304"/>
      <c r="AW212" s="304"/>
      <c r="AX212" s="304"/>
      <c r="AY212" s="304"/>
      <c r="AZ212" s="304"/>
      <c r="BA212" s="304"/>
      <c r="BB212" s="304"/>
      <c r="BC212" s="304"/>
      <c r="BK212" s="305"/>
      <c r="BL212" s="305"/>
      <c r="BM212" s="305"/>
      <c r="BN212" s="305"/>
      <c r="BO212" s="305"/>
      <c r="BP212" s="305"/>
      <c r="BQ212" s="305"/>
      <c r="BR212" s="305"/>
      <c r="BS212" s="305"/>
      <c r="BT212" s="305"/>
      <c r="BU212" s="305"/>
      <c r="BV212" s="305"/>
      <c r="BX212" s="319"/>
    </row>
    <row r="213" spans="1:76" s="303" customFormat="1" x14ac:dyDescent="0.25">
      <c r="A213" s="275"/>
      <c r="B213" s="275"/>
      <c r="C213" s="275"/>
      <c r="D213" s="275"/>
      <c r="E213" s="275"/>
      <c r="F213" s="275"/>
      <c r="V213" s="304"/>
      <c r="W213" s="304"/>
      <c r="AD213" s="304"/>
      <c r="AE213" s="304"/>
      <c r="AR213" s="304"/>
      <c r="AS213" s="304"/>
      <c r="AT213" s="304"/>
      <c r="AU213" s="304"/>
      <c r="AV213" s="304"/>
      <c r="AW213" s="304"/>
      <c r="AX213" s="304"/>
      <c r="AY213" s="304"/>
      <c r="AZ213" s="304"/>
      <c r="BA213" s="304"/>
      <c r="BB213" s="304"/>
      <c r="BC213" s="304"/>
      <c r="BK213" s="305"/>
      <c r="BL213" s="305"/>
      <c r="BM213" s="305"/>
      <c r="BN213" s="305"/>
      <c r="BO213" s="305"/>
      <c r="BP213" s="305"/>
      <c r="BQ213" s="305"/>
      <c r="BR213" s="305"/>
      <c r="BS213" s="305"/>
      <c r="BT213" s="305"/>
      <c r="BU213" s="305"/>
      <c r="BV213" s="305"/>
      <c r="BX213" s="319"/>
    </row>
    <row r="214" spans="1:76" s="303" customFormat="1" x14ac:dyDescent="0.25">
      <c r="A214" s="275"/>
      <c r="B214" s="275"/>
      <c r="C214" s="275"/>
      <c r="D214" s="275"/>
      <c r="E214" s="275"/>
      <c r="F214" s="275"/>
      <c r="V214" s="304"/>
      <c r="W214" s="304"/>
      <c r="AD214" s="304"/>
      <c r="AE214" s="304"/>
      <c r="AR214" s="304"/>
      <c r="AS214" s="304"/>
      <c r="AT214" s="304"/>
      <c r="AU214" s="304"/>
      <c r="AV214" s="304"/>
      <c r="AW214" s="304"/>
      <c r="AX214" s="304"/>
      <c r="AY214" s="304"/>
      <c r="AZ214" s="304"/>
      <c r="BA214" s="304"/>
      <c r="BB214" s="304"/>
      <c r="BC214" s="304"/>
      <c r="BK214" s="305"/>
      <c r="BL214" s="305"/>
      <c r="BM214" s="305"/>
      <c r="BN214" s="305"/>
      <c r="BO214" s="305"/>
      <c r="BP214" s="305"/>
      <c r="BQ214" s="305"/>
      <c r="BR214" s="305"/>
      <c r="BS214" s="305"/>
      <c r="BT214" s="305"/>
      <c r="BU214" s="305"/>
      <c r="BV214" s="305"/>
      <c r="BX214" s="319"/>
    </row>
    <row r="215" spans="1:76" s="303" customFormat="1" x14ac:dyDescent="0.25">
      <c r="A215" s="275"/>
      <c r="B215" s="275"/>
      <c r="C215" s="275"/>
      <c r="D215" s="275"/>
      <c r="E215" s="275"/>
      <c r="F215" s="275"/>
      <c r="V215" s="304"/>
      <c r="W215" s="304"/>
      <c r="AD215" s="304"/>
      <c r="AE215" s="304"/>
      <c r="AR215" s="304"/>
      <c r="AS215" s="304"/>
      <c r="AT215" s="304"/>
      <c r="AU215" s="304"/>
      <c r="AV215" s="304"/>
      <c r="AW215" s="304"/>
      <c r="AX215" s="304"/>
      <c r="AY215" s="304"/>
      <c r="AZ215" s="304"/>
      <c r="BA215" s="304"/>
      <c r="BB215" s="304"/>
      <c r="BC215" s="304"/>
      <c r="BK215" s="305"/>
      <c r="BL215" s="305"/>
      <c r="BM215" s="305"/>
      <c r="BN215" s="305"/>
      <c r="BO215" s="305"/>
      <c r="BP215" s="305"/>
      <c r="BQ215" s="305"/>
      <c r="BR215" s="305"/>
      <c r="BS215" s="305"/>
      <c r="BT215" s="305"/>
      <c r="BU215" s="305"/>
      <c r="BV215" s="305"/>
      <c r="BX215" s="319"/>
    </row>
    <row r="216" spans="1:76" s="303" customFormat="1" x14ac:dyDescent="0.25">
      <c r="A216" s="275"/>
      <c r="B216" s="275"/>
      <c r="C216" s="275"/>
      <c r="D216" s="275"/>
      <c r="E216" s="275"/>
      <c r="F216" s="275"/>
      <c r="V216" s="304"/>
      <c r="W216" s="304"/>
      <c r="AD216" s="304"/>
      <c r="AE216" s="304"/>
      <c r="AR216" s="304"/>
      <c r="AS216" s="304"/>
      <c r="AT216" s="304"/>
      <c r="AU216" s="304"/>
      <c r="AV216" s="304"/>
      <c r="AW216" s="304"/>
      <c r="AX216" s="304"/>
      <c r="AY216" s="304"/>
      <c r="AZ216" s="304"/>
      <c r="BA216" s="304"/>
      <c r="BB216" s="304"/>
      <c r="BC216" s="304"/>
      <c r="BK216" s="305"/>
      <c r="BL216" s="305"/>
      <c r="BM216" s="305"/>
      <c r="BN216" s="305"/>
      <c r="BO216" s="305"/>
      <c r="BP216" s="305"/>
      <c r="BQ216" s="305"/>
      <c r="BR216" s="305"/>
      <c r="BS216" s="305"/>
      <c r="BT216" s="305"/>
      <c r="BU216" s="305"/>
      <c r="BV216" s="305"/>
      <c r="BX216" s="319"/>
    </row>
    <row r="217" spans="1:76" s="303" customFormat="1" x14ac:dyDescent="0.25">
      <c r="A217" s="275"/>
      <c r="B217" s="275"/>
      <c r="C217" s="275"/>
      <c r="D217" s="275"/>
      <c r="E217" s="275"/>
      <c r="F217" s="275"/>
      <c r="V217" s="304"/>
      <c r="W217" s="304"/>
      <c r="AD217" s="304"/>
      <c r="AE217" s="304"/>
      <c r="AR217" s="304"/>
      <c r="AS217" s="304"/>
      <c r="AT217" s="304"/>
      <c r="AU217" s="304"/>
      <c r="AV217" s="304"/>
      <c r="AW217" s="304"/>
      <c r="AX217" s="304"/>
      <c r="AY217" s="304"/>
      <c r="AZ217" s="304"/>
      <c r="BA217" s="304"/>
      <c r="BB217" s="304"/>
      <c r="BC217" s="304"/>
      <c r="BK217" s="305"/>
      <c r="BL217" s="305"/>
      <c r="BM217" s="305"/>
      <c r="BN217" s="305"/>
      <c r="BO217" s="305"/>
      <c r="BP217" s="305"/>
      <c r="BQ217" s="305"/>
      <c r="BR217" s="305"/>
      <c r="BS217" s="305"/>
      <c r="BT217" s="305"/>
      <c r="BU217" s="305"/>
      <c r="BV217" s="305"/>
      <c r="BX217" s="319"/>
    </row>
    <row r="218" spans="1:76" s="303" customFormat="1" x14ac:dyDescent="0.25">
      <c r="A218" s="275"/>
      <c r="B218" s="275"/>
      <c r="C218" s="275"/>
      <c r="D218" s="275"/>
      <c r="E218" s="275"/>
      <c r="F218" s="275"/>
      <c r="V218" s="304"/>
      <c r="W218" s="304"/>
      <c r="AD218" s="304"/>
      <c r="AE218" s="304"/>
      <c r="AR218" s="304"/>
      <c r="AS218" s="304"/>
      <c r="AT218" s="304"/>
      <c r="AU218" s="304"/>
      <c r="AV218" s="304"/>
      <c r="AW218" s="304"/>
      <c r="AX218" s="304"/>
      <c r="AY218" s="304"/>
      <c r="AZ218" s="304"/>
      <c r="BA218" s="304"/>
      <c r="BB218" s="304"/>
      <c r="BC218" s="304"/>
      <c r="BK218" s="305"/>
      <c r="BL218" s="305"/>
      <c r="BM218" s="305"/>
      <c r="BN218" s="305"/>
      <c r="BO218" s="305"/>
      <c r="BP218" s="305"/>
      <c r="BQ218" s="305"/>
      <c r="BR218" s="305"/>
      <c r="BS218" s="305"/>
      <c r="BT218" s="305"/>
      <c r="BU218" s="305"/>
      <c r="BV218" s="305"/>
      <c r="BX218" s="319"/>
    </row>
    <row r="219" spans="1:76" s="303" customFormat="1" x14ac:dyDescent="0.25">
      <c r="A219" s="275"/>
      <c r="B219" s="275"/>
      <c r="C219" s="275"/>
      <c r="D219" s="275"/>
      <c r="E219" s="275"/>
      <c r="F219" s="275"/>
      <c r="V219" s="304"/>
      <c r="W219" s="304"/>
      <c r="AD219" s="304"/>
      <c r="AE219" s="304"/>
      <c r="AR219" s="304"/>
      <c r="AS219" s="304"/>
      <c r="AT219" s="304"/>
      <c r="AU219" s="304"/>
      <c r="AV219" s="304"/>
      <c r="AW219" s="304"/>
      <c r="AX219" s="304"/>
      <c r="AY219" s="304"/>
      <c r="AZ219" s="304"/>
      <c r="BA219" s="304"/>
      <c r="BB219" s="304"/>
      <c r="BC219" s="304"/>
      <c r="BK219" s="305"/>
      <c r="BL219" s="305"/>
      <c r="BM219" s="305"/>
      <c r="BN219" s="305"/>
      <c r="BO219" s="305"/>
      <c r="BP219" s="305"/>
      <c r="BQ219" s="305"/>
      <c r="BR219" s="305"/>
      <c r="BS219" s="305"/>
      <c r="BT219" s="305"/>
      <c r="BU219" s="305"/>
      <c r="BV219" s="305"/>
      <c r="BX219" s="319"/>
    </row>
    <row r="220" spans="1:76" s="303" customFormat="1" x14ac:dyDescent="0.25">
      <c r="A220" s="275"/>
      <c r="B220" s="275"/>
      <c r="C220" s="275"/>
      <c r="D220" s="275"/>
      <c r="E220" s="275"/>
      <c r="F220" s="275"/>
      <c r="V220" s="304"/>
      <c r="W220" s="304"/>
      <c r="AD220" s="304"/>
      <c r="AE220" s="304"/>
      <c r="AR220" s="304"/>
      <c r="AS220" s="304"/>
      <c r="AT220" s="304"/>
      <c r="AU220" s="304"/>
      <c r="AV220" s="304"/>
      <c r="AW220" s="304"/>
      <c r="AX220" s="304"/>
      <c r="AY220" s="304"/>
      <c r="AZ220" s="304"/>
      <c r="BA220" s="304"/>
      <c r="BB220" s="304"/>
      <c r="BC220" s="304"/>
      <c r="BK220" s="305"/>
      <c r="BL220" s="305"/>
      <c r="BM220" s="305"/>
      <c r="BN220" s="305"/>
      <c r="BO220" s="305"/>
      <c r="BP220" s="305"/>
      <c r="BQ220" s="305"/>
      <c r="BR220" s="305"/>
      <c r="BS220" s="305"/>
      <c r="BT220" s="305"/>
      <c r="BU220" s="305"/>
      <c r="BV220" s="305"/>
      <c r="BX220" s="319"/>
    </row>
    <row r="221" spans="1:76" s="303" customFormat="1" x14ac:dyDescent="0.25">
      <c r="A221" s="275"/>
      <c r="B221" s="275"/>
      <c r="C221" s="275"/>
      <c r="D221" s="275"/>
      <c r="E221" s="275"/>
      <c r="F221" s="275"/>
      <c r="V221" s="304"/>
      <c r="W221" s="304"/>
      <c r="AD221" s="304"/>
      <c r="AE221" s="304"/>
      <c r="AR221" s="304"/>
      <c r="AS221" s="304"/>
      <c r="AT221" s="304"/>
      <c r="AU221" s="304"/>
      <c r="AV221" s="304"/>
      <c r="AW221" s="304"/>
      <c r="AX221" s="304"/>
      <c r="AY221" s="304"/>
      <c r="AZ221" s="304"/>
      <c r="BA221" s="304"/>
      <c r="BB221" s="304"/>
      <c r="BC221" s="304"/>
      <c r="BK221" s="305"/>
      <c r="BL221" s="305"/>
      <c r="BM221" s="305"/>
      <c r="BN221" s="305"/>
      <c r="BO221" s="305"/>
      <c r="BP221" s="305"/>
      <c r="BQ221" s="305"/>
      <c r="BR221" s="305"/>
      <c r="BS221" s="305"/>
      <c r="BT221" s="305"/>
      <c r="BU221" s="305"/>
      <c r="BV221" s="305"/>
      <c r="BX221" s="319"/>
    </row>
    <row r="222" spans="1:76" s="303" customFormat="1" x14ac:dyDescent="0.25">
      <c r="A222" s="275"/>
      <c r="B222" s="275"/>
      <c r="C222" s="275"/>
      <c r="D222" s="275"/>
      <c r="E222" s="275"/>
      <c r="F222" s="275"/>
      <c r="V222" s="304"/>
      <c r="W222" s="304"/>
      <c r="AD222" s="304"/>
      <c r="AE222" s="304"/>
      <c r="AR222" s="304"/>
      <c r="AS222" s="304"/>
      <c r="AT222" s="304"/>
      <c r="AU222" s="304"/>
      <c r="AV222" s="304"/>
      <c r="AW222" s="304"/>
      <c r="AX222" s="304"/>
      <c r="AY222" s="304"/>
      <c r="AZ222" s="304"/>
      <c r="BA222" s="304"/>
      <c r="BB222" s="304"/>
      <c r="BC222" s="304"/>
      <c r="BK222" s="305"/>
      <c r="BL222" s="305"/>
      <c r="BM222" s="305"/>
      <c r="BN222" s="305"/>
      <c r="BO222" s="305"/>
      <c r="BP222" s="305"/>
      <c r="BQ222" s="305"/>
      <c r="BR222" s="305"/>
      <c r="BS222" s="305"/>
      <c r="BT222" s="305"/>
      <c r="BU222" s="305"/>
      <c r="BV222" s="305"/>
      <c r="BX222" s="319"/>
    </row>
    <row r="223" spans="1:76" s="303" customFormat="1" x14ac:dyDescent="0.25">
      <c r="A223" s="275"/>
      <c r="B223" s="275"/>
      <c r="C223" s="275"/>
      <c r="D223" s="275"/>
      <c r="E223" s="275"/>
      <c r="F223" s="275"/>
      <c r="V223" s="304"/>
      <c r="W223" s="304"/>
      <c r="AD223" s="304"/>
      <c r="AE223" s="304"/>
      <c r="AR223" s="304"/>
      <c r="AS223" s="304"/>
      <c r="AT223" s="304"/>
      <c r="AU223" s="304"/>
      <c r="AV223" s="304"/>
      <c r="AW223" s="304"/>
      <c r="AX223" s="304"/>
      <c r="AY223" s="304"/>
      <c r="AZ223" s="304"/>
      <c r="BA223" s="304"/>
      <c r="BB223" s="304"/>
      <c r="BC223" s="304"/>
      <c r="BK223" s="305"/>
      <c r="BL223" s="305"/>
      <c r="BM223" s="305"/>
      <c r="BN223" s="305"/>
      <c r="BO223" s="305"/>
      <c r="BP223" s="305"/>
      <c r="BQ223" s="305"/>
      <c r="BR223" s="305"/>
      <c r="BS223" s="305"/>
      <c r="BT223" s="305"/>
      <c r="BU223" s="305"/>
      <c r="BV223" s="305"/>
      <c r="BX223" s="319"/>
    </row>
    <row r="224" spans="1:76" s="303" customFormat="1" x14ac:dyDescent="0.25">
      <c r="A224" s="275"/>
      <c r="B224" s="275"/>
      <c r="C224" s="275"/>
      <c r="D224" s="275"/>
      <c r="E224" s="275"/>
      <c r="F224" s="275"/>
      <c r="V224" s="304"/>
      <c r="W224" s="304"/>
      <c r="AD224" s="304"/>
      <c r="AE224" s="304"/>
      <c r="AR224" s="304"/>
      <c r="AS224" s="304"/>
      <c r="AT224" s="304"/>
      <c r="AU224" s="304"/>
      <c r="AV224" s="304"/>
      <c r="AW224" s="304"/>
      <c r="AX224" s="304"/>
      <c r="AY224" s="304"/>
      <c r="AZ224" s="304"/>
      <c r="BA224" s="304"/>
      <c r="BB224" s="304"/>
      <c r="BC224" s="304"/>
      <c r="BK224" s="305"/>
      <c r="BL224" s="305"/>
      <c r="BM224" s="305"/>
      <c r="BN224" s="305"/>
      <c r="BO224" s="305"/>
      <c r="BP224" s="305"/>
      <c r="BQ224" s="305"/>
      <c r="BR224" s="305"/>
      <c r="BS224" s="305"/>
      <c r="BT224" s="305"/>
      <c r="BU224" s="305"/>
      <c r="BV224" s="305"/>
      <c r="BX224" s="319"/>
    </row>
    <row r="225" spans="1:76" s="303" customFormat="1" x14ac:dyDescent="0.25">
      <c r="A225" s="275"/>
      <c r="B225" s="275"/>
      <c r="C225" s="275"/>
      <c r="D225" s="275"/>
      <c r="E225" s="275"/>
      <c r="F225" s="275"/>
      <c r="V225" s="304"/>
      <c r="W225" s="304"/>
      <c r="AD225" s="304"/>
      <c r="AE225" s="304"/>
      <c r="AR225" s="304"/>
      <c r="AS225" s="304"/>
      <c r="AT225" s="304"/>
      <c r="AU225" s="304"/>
      <c r="AV225" s="304"/>
      <c r="AW225" s="304"/>
      <c r="AX225" s="304"/>
      <c r="AY225" s="304"/>
      <c r="AZ225" s="304"/>
      <c r="BA225" s="304"/>
      <c r="BB225" s="304"/>
      <c r="BC225" s="304"/>
      <c r="BK225" s="305"/>
      <c r="BL225" s="305"/>
      <c r="BM225" s="305"/>
      <c r="BN225" s="305"/>
      <c r="BO225" s="305"/>
      <c r="BP225" s="305"/>
      <c r="BQ225" s="305"/>
      <c r="BR225" s="305"/>
      <c r="BS225" s="305"/>
      <c r="BT225" s="305"/>
      <c r="BU225" s="305"/>
      <c r="BV225" s="305"/>
      <c r="BX225" s="319"/>
    </row>
    <row r="226" spans="1:76" s="303" customFormat="1" x14ac:dyDescent="0.25">
      <c r="A226" s="275"/>
      <c r="B226" s="275"/>
      <c r="C226" s="275"/>
      <c r="D226" s="275"/>
      <c r="E226" s="275"/>
      <c r="F226" s="275"/>
      <c r="V226" s="304"/>
      <c r="W226" s="304"/>
      <c r="AD226" s="304"/>
      <c r="AE226" s="304"/>
      <c r="AR226" s="304"/>
      <c r="AS226" s="304"/>
      <c r="AT226" s="304"/>
      <c r="AU226" s="304"/>
      <c r="AV226" s="304"/>
      <c r="AW226" s="304"/>
      <c r="AX226" s="304"/>
      <c r="AY226" s="304"/>
      <c r="AZ226" s="304"/>
      <c r="BA226" s="304"/>
      <c r="BB226" s="304"/>
      <c r="BC226" s="304"/>
      <c r="BK226" s="305"/>
      <c r="BL226" s="305"/>
      <c r="BM226" s="305"/>
      <c r="BN226" s="305"/>
      <c r="BO226" s="305"/>
      <c r="BP226" s="305"/>
      <c r="BQ226" s="305"/>
      <c r="BR226" s="305"/>
      <c r="BS226" s="305"/>
      <c r="BT226" s="305"/>
      <c r="BU226" s="305"/>
      <c r="BV226" s="305"/>
      <c r="BX226" s="319"/>
    </row>
    <row r="227" spans="1:76" s="303" customFormat="1" x14ac:dyDescent="0.25">
      <c r="A227" s="275"/>
      <c r="B227" s="275"/>
      <c r="C227" s="275"/>
      <c r="D227" s="275"/>
      <c r="E227" s="275"/>
      <c r="F227" s="275"/>
      <c r="V227" s="304"/>
      <c r="W227" s="304"/>
      <c r="AD227" s="304"/>
      <c r="AE227" s="304"/>
      <c r="AR227" s="304"/>
      <c r="AS227" s="304"/>
      <c r="AT227" s="304"/>
      <c r="AU227" s="304"/>
      <c r="AV227" s="304"/>
      <c r="AW227" s="304"/>
      <c r="AX227" s="304"/>
      <c r="AY227" s="304"/>
      <c r="AZ227" s="304"/>
      <c r="BA227" s="304"/>
      <c r="BB227" s="304"/>
      <c r="BC227" s="304"/>
      <c r="BK227" s="305"/>
      <c r="BL227" s="305"/>
      <c r="BM227" s="305"/>
      <c r="BN227" s="305"/>
      <c r="BO227" s="305"/>
      <c r="BP227" s="305"/>
      <c r="BQ227" s="305"/>
      <c r="BR227" s="305"/>
      <c r="BS227" s="305"/>
      <c r="BT227" s="305"/>
      <c r="BU227" s="305"/>
      <c r="BV227" s="305"/>
      <c r="BX227" s="319"/>
    </row>
    <row r="228" spans="1:76" s="303" customFormat="1" x14ac:dyDescent="0.25">
      <c r="A228" s="275"/>
      <c r="B228" s="275"/>
      <c r="C228" s="275"/>
      <c r="D228" s="275"/>
      <c r="E228" s="275"/>
      <c r="F228" s="275"/>
      <c r="V228" s="304"/>
      <c r="W228" s="304"/>
      <c r="AD228" s="304"/>
      <c r="AE228" s="304"/>
      <c r="AR228" s="304"/>
      <c r="AS228" s="304"/>
      <c r="AT228" s="304"/>
      <c r="AU228" s="304"/>
      <c r="AV228" s="304"/>
      <c r="AW228" s="304"/>
      <c r="AX228" s="304"/>
      <c r="AY228" s="304"/>
      <c r="AZ228" s="304"/>
      <c r="BA228" s="304"/>
      <c r="BB228" s="304"/>
      <c r="BC228" s="304"/>
      <c r="BK228" s="305"/>
      <c r="BL228" s="305"/>
      <c r="BM228" s="305"/>
      <c r="BN228" s="305"/>
      <c r="BO228" s="305"/>
      <c r="BP228" s="305"/>
      <c r="BQ228" s="305"/>
      <c r="BR228" s="305"/>
      <c r="BS228" s="305"/>
      <c r="BT228" s="305"/>
      <c r="BU228" s="305"/>
      <c r="BV228" s="305"/>
      <c r="BX228" s="319"/>
    </row>
    <row r="229" spans="1:76" s="303" customFormat="1" x14ac:dyDescent="0.25">
      <c r="A229" s="275"/>
      <c r="B229" s="275"/>
      <c r="C229" s="275"/>
      <c r="D229" s="275"/>
      <c r="E229" s="275"/>
      <c r="F229" s="275"/>
      <c r="V229" s="304"/>
      <c r="W229" s="304"/>
      <c r="AD229" s="304"/>
      <c r="AE229" s="304"/>
      <c r="AR229" s="304"/>
      <c r="AS229" s="304"/>
      <c r="AT229" s="304"/>
      <c r="AU229" s="304"/>
      <c r="AV229" s="304"/>
      <c r="AW229" s="304"/>
      <c r="AX229" s="304"/>
      <c r="AY229" s="304"/>
      <c r="AZ229" s="304"/>
      <c r="BA229" s="304"/>
      <c r="BB229" s="304"/>
      <c r="BC229" s="304"/>
      <c r="BK229" s="305"/>
      <c r="BL229" s="305"/>
      <c r="BM229" s="305"/>
      <c r="BN229" s="305"/>
      <c r="BO229" s="305"/>
      <c r="BP229" s="305"/>
      <c r="BQ229" s="305"/>
      <c r="BR229" s="305"/>
      <c r="BS229" s="305"/>
      <c r="BT229" s="305"/>
      <c r="BU229" s="305"/>
      <c r="BV229" s="305"/>
      <c r="BX229" s="319"/>
    </row>
    <row r="230" spans="1:76" s="303" customFormat="1" x14ac:dyDescent="0.25">
      <c r="A230" s="275"/>
      <c r="B230" s="275"/>
      <c r="C230" s="275"/>
      <c r="D230" s="275"/>
      <c r="E230" s="275"/>
      <c r="F230" s="275"/>
      <c r="V230" s="304"/>
      <c r="W230" s="304"/>
      <c r="AD230" s="304"/>
      <c r="AE230" s="304"/>
      <c r="AR230" s="304"/>
      <c r="AS230" s="304"/>
      <c r="AT230" s="304"/>
      <c r="AU230" s="304"/>
      <c r="AV230" s="304"/>
      <c r="AW230" s="304"/>
      <c r="AX230" s="304"/>
      <c r="AY230" s="304"/>
      <c r="AZ230" s="304"/>
      <c r="BA230" s="304"/>
      <c r="BB230" s="304"/>
      <c r="BC230" s="304"/>
      <c r="BK230" s="305"/>
      <c r="BL230" s="305"/>
      <c r="BM230" s="305"/>
      <c r="BN230" s="305"/>
      <c r="BO230" s="305"/>
      <c r="BP230" s="305"/>
      <c r="BQ230" s="305"/>
      <c r="BR230" s="305"/>
      <c r="BS230" s="305"/>
      <c r="BT230" s="305"/>
      <c r="BU230" s="305"/>
      <c r="BV230" s="305"/>
      <c r="BX230" s="319"/>
    </row>
    <row r="231" spans="1:76" s="303" customFormat="1" x14ac:dyDescent="0.25">
      <c r="A231" s="275"/>
      <c r="B231" s="275"/>
      <c r="C231" s="275"/>
      <c r="D231" s="275"/>
      <c r="E231" s="275"/>
      <c r="F231" s="275"/>
      <c r="V231" s="304"/>
      <c r="W231" s="304"/>
      <c r="AD231" s="304"/>
      <c r="AE231" s="304"/>
      <c r="AR231" s="304"/>
      <c r="AS231" s="304"/>
      <c r="AT231" s="304"/>
      <c r="AU231" s="304"/>
      <c r="AV231" s="304"/>
      <c r="AW231" s="304"/>
      <c r="AX231" s="304"/>
      <c r="AY231" s="304"/>
      <c r="AZ231" s="304"/>
      <c r="BA231" s="304"/>
      <c r="BB231" s="304"/>
      <c r="BC231" s="304"/>
      <c r="BK231" s="305"/>
      <c r="BL231" s="305"/>
      <c r="BM231" s="305"/>
      <c r="BN231" s="305"/>
      <c r="BO231" s="305"/>
      <c r="BP231" s="305"/>
      <c r="BQ231" s="305"/>
      <c r="BR231" s="305"/>
      <c r="BS231" s="305"/>
      <c r="BT231" s="305"/>
      <c r="BU231" s="305"/>
      <c r="BV231" s="305"/>
      <c r="BX231" s="319"/>
    </row>
    <row r="232" spans="1:76" s="303" customFormat="1" x14ac:dyDescent="0.25">
      <c r="A232" s="275"/>
      <c r="B232" s="275"/>
      <c r="C232" s="275"/>
      <c r="D232" s="275"/>
      <c r="E232" s="275"/>
      <c r="F232" s="275"/>
      <c r="V232" s="304"/>
      <c r="W232" s="304"/>
      <c r="AD232" s="304"/>
      <c r="AE232" s="304"/>
      <c r="AR232" s="304"/>
      <c r="AS232" s="304"/>
      <c r="AT232" s="304"/>
      <c r="AU232" s="304"/>
      <c r="AV232" s="304"/>
      <c r="AW232" s="304"/>
      <c r="AX232" s="304"/>
      <c r="AY232" s="304"/>
      <c r="AZ232" s="304"/>
      <c r="BA232" s="304"/>
      <c r="BB232" s="304"/>
      <c r="BC232" s="304"/>
      <c r="BK232" s="305"/>
      <c r="BL232" s="305"/>
      <c r="BM232" s="305"/>
      <c r="BN232" s="305"/>
      <c r="BO232" s="305"/>
      <c r="BP232" s="305"/>
      <c r="BQ232" s="305"/>
      <c r="BR232" s="305"/>
      <c r="BS232" s="305"/>
      <c r="BT232" s="305"/>
      <c r="BU232" s="305"/>
      <c r="BV232" s="305"/>
      <c r="BX232" s="319"/>
    </row>
    <row r="233" spans="1:76" s="303" customFormat="1" x14ac:dyDescent="0.25">
      <c r="A233" s="275"/>
      <c r="B233" s="275"/>
      <c r="C233" s="275"/>
      <c r="D233" s="275"/>
      <c r="E233" s="275"/>
      <c r="F233" s="275"/>
      <c r="V233" s="304"/>
      <c r="W233" s="304"/>
      <c r="AD233" s="304"/>
      <c r="AE233" s="304"/>
      <c r="AR233" s="304"/>
      <c r="AS233" s="304"/>
      <c r="AT233" s="304"/>
      <c r="AU233" s="304"/>
      <c r="AV233" s="304"/>
      <c r="AW233" s="304"/>
      <c r="AX233" s="304"/>
      <c r="AY233" s="304"/>
      <c r="AZ233" s="304"/>
      <c r="BA233" s="304"/>
      <c r="BB233" s="304"/>
      <c r="BC233" s="304"/>
      <c r="BK233" s="305"/>
      <c r="BL233" s="305"/>
      <c r="BM233" s="305"/>
      <c r="BN233" s="305"/>
      <c r="BO233" s="305"/>
      <c r="BP233" s="305"/>
      <c r="BQ233" s="305"/>
      <c r="BR233" s="305"/>
      <c r="BS233" s="305"/>
      <c r="BT233" s="305"/>
      <c r="BU233" s="305"/>
      <c r="BV233" s="305"/>
      <c r="BX233" s="319"/>
    </row>
    <row r="234" spans="1:76" s="303" customFormat="1" x14ac:dyDescent="0.25">
      <c r="A234" s="275"/>
      <c r="B234" s="275"/>
      <c r="C234" s="275"/>
      <c r="D234" s="275"/>
      <c r="E234" s="275"/>
      <c r="F234" s="275"/>
      <c r="V234" s="304"/>
      <c r="W234" s="304"/>
      <c r="AD234" s="304"/>
      <c r="AE234" s="304"/>
      <c r="AR234" s="304"/>
      <c r="AS234" s="304"/>
      <c r="AT234" s="304"/>
      <c r="AU234" s="304"/>
      <c r="AV234" s="304"/>
      <c r="AW234" s="304"/>
      <c r="AX234" s="304"/>
      <c r="AY234" s="304"/>
      <c r="AZ234" s="304"/>
      <c r="BA234" s="304"/>
      <c r="BB234" s="304"/>
      <c r="BC234" s="304"/>
      <c r="BK234" s="305"/>
      <c r="BL234" s="305"/>
      <c r="BM234" s="305"/>
      <c r="BN234" s="305"/>
      <c r="BO234" s="305"/>
      <c r="BP234" s="305"/>
      <c r="BQ234" s="305"/>
      <c r="BR234" s="305"/>
      <c r="BS234" s="305"/>
      <c r="BT234" s="305"/>
      <c r="BU234" s="305"/>
      <c r="BV234" s="305"/>
      <c r="BX234" s="319"/>
    </row>
    <row r="235" spans="1:76" s="303" customFormat="1" x14ac:dyDescent="0.25">
      <c r="A235" s="275"/>
      <c r="B235" s="275"/>
      <c r="C235" s="275"/>
      <c r="D235" s="275"/>
      <c r="E235" s="275"/>
      <c r="F235" s="275"/>
      <c r="V235" s="304"/>
      <c r="W235" s="304"/>
      <c r="AD235" s="304"/>
      <c r="AE235" s="304"/>
      <c r="AR235" s="304"/>
      <c r="AS235" s="304"/>
      <c r="AT235" s="304"/>
      <c r="AU235" s="304"/>
      <c r="AV235" s="304"/>
      <c r="AW235" s="304"/>
      <c r="AX235" s="304"/>
      <c r="AY235" s="304"/>
      <c r="AZ235" s="304"/>
      <c r="BA235" s="304"/>
      <c r="BB235" s="304"/>
      <c r="BC235" s="304"/>
      <c r="BK235" s="305"/>
      <c r="BL235" s="305"/>
      <c r="BM235" s="305"/>
      <c r="BN235" s="305"/>
      <c r="BO235" s="305"/>
      <c r="BP235" s="305"/>
      <c r="BQ235" s="305"/>
      <c r="BR235" s="305"/>
      <c r="BS235" s="305"/>
      <c r="BT235" s="305"/>
      <c r="BU235" s="305"/>
      <c r="BV235" s="305"/>
      <c r="BX235" s="319"/>
    </row>
    <row r="236" spans="1:76" s="303" customFormat="1" x14ac:dyDescent="0.25">
      <c r="A236" s="275"/>
      <c r="B236" s="275"/>
      <c r="C236" s="275"/>
      <c r="D236" s="275"/>
      <c r="E236" s="275"/>
      <c r="F236" s="275"/>
      <c r="V236" s="304"/>
      <c r="W236" s="304"/>
      <c r="AD236" s="304"/>
      <c r="AE236" s="304"/>
      <c r="AR236" s="304"/>
      <c r="AS236" s="304"/>
      <c r="AT236" s="304"/>
      <c r="AU236" s="304"/>
      <c r="AV236" s="304"/>
      <c r="AW236" s="304"/>
      <c r="AX236" s="304"/>
      <c r="AY236" s="304"/>
      <c r="AZ236" s="304"/>
      <c r="BA236" s="304"/>
      <c r="BB236" s="304"/>
      <c r="BC236" s="304"/>
      <c r="BK236" s="305"/>
      <c r="BL236" s="305"/>
      <c r="BM236" s="305"/>
      <c r="BN236" s="305"/>
      <c r="BO236" s="305"/>
      <c r="BP236" s="305"/>
      <c r="BQ236" s="305"/>
      <c r="BR236" s="305"/>
      <c r="BS236" s="305"/>
      <c r="BT236" s="305"/>
      <c r="BU236" s="305"/>
      <c r="BV236" s="305"/>
      <c r="BX236" s="319"/>
    </row>
    <row r="237" spans="1:76" s="303" customFormat="1" x14ac:dyDescent="0.25">
      <c r="A237" s="275"/>
      <c r="B237" s="275"/>
      <c r="C237" s="275"/>
      <c r="D237" s="275"/>
      <c r="E237" s="275"/>
      <c r="F237" s="275"/>
      <c r="V237" s="304"/>
      <c r="W237" s="304"/>
      <c r="AD237" s="304"/>
      <c r="AE237" s="304"/>
      <c r="AR237" s="304"/>
      <c r="AS237" s="304"/>
      <c r="AT237" s="304"/>
      <c r="AU237" s="304"/>
      <c r="AV237" s="304"/>
      <c r="AW237" s="304"/>
      <c r="AX237" s="304"/>
      <c r="AY237" s="304"/>
      <c r="AZ237" s="304"/>
      <c r="BA237" s="304"/>
      <c r="BB237" s="304"/>
      <c r="BC237" s="304"/>
      <c r="BK237" s="305"/>
      <c r="BL237" s="305"/>
      <c r="BM237" s="305"/>
      <c r="BN237" s="305"/>
      <c r="BO237" s="305"/>
      <c r="BP237" s="305"/>
      <c r="BQ237" s="305"/>
      <c r="BR237" s="305"/>
      <c r="BS237" s="305"/>
      <c r="BT237" s="305"/>
      <c r="BU237" s="305"/>
      <c r="BV237" s="305"/>
      <c r="BX237" s="319"/>
    </row>
    <row r="238" spans="1:76" s="303" customFormat="1" x14ac:dyDescent="0.25">
      <c r="A238" s="275"/>
      <c r="B238" s="275"/>
      <c r="C238" s="275"/>
      <c r="D238" s="275"/>
      <c r="E238" s="275"/>
      <c r="F238" s="275"/>
      <c r="V238" s="304"/>
      <c r="W238" s="304"/>
      <c r="AD238" s="304"/>
      <c r="AE238" s="304"/>
      <c r="AR238" s="304"/>
      <c r="AS238" s="304"/>
      <c r="AT238" s="304"/>
      <c r="AU238" s="304"/>
      <c r="AV238" s="304"/>
      <c r="AW238" s="304"/>
      <c r="AX238" s="304"/>
      <c r="AY238" s="304"/>
      <c r="AZ238" s="304"/>
      <c r="BA238" s="304"/>
      <c r="BB238" s="304"/>
      <c r="BC238" s="304"/>
      <c r="BK238" s="305"/>
      <c r="BL238" s="305"/>
      <c r="BM238" s="305"/>
      <c r="BN238" s="305"/>
      <c r="BO238" s="305"/>
      <c r="BP238" s="305"/>
      <c r="BQ238" s="305"/>
      <c r="BR238" s="305"/>
      <c r="BS238" s="305"/>
      <c r="BT238" s="305"/>
      <c r="BU238" s="305"/>
      <c r="BV238" s="305"/>
      <c r="BX238" s="319"/>
    </row>
    <row r="239" spans="1:76" s="303" customFormat="1" x14ac:dyDescent="0.25">
      <c r="A239" s="275"/>
      <c r="B239" s="275"/>
      <c r="C239" s="275"/>
      <c r="D239" s="275"/>
      <c r="E239" s="275"/>
      <c r="F239" s="275"/>
      <c r="V239" s="304"/>
      <c r="W239" s="304"/>
      <c r="AD239" s="304"/>
      <c r="AE239" s="304"/>
      <c r="AR239" s="304"/>
      <c r="AS239" s="304"/>
      <c r="AT239" s="304"/>
      <c r="AU239" s="304"/>
      <c r="AV239" s="304"/>
      <c r="AW239" s="304"/>
      <c r="AX239" s="304"/>
      <c r="AY239" s="304"/>
      <c r="AZ239" s="304"/>
      <c r="BA239" s="304"/>
      <c r="BB239" s="304"/>
      <c r="BC239" s="304"/>
      <c r="BK239" s="305"/>
      <c r="BL239" s="305"/>
      <c r="BM239" s="305"/>
      <c r="BN239" s="305"/>
      <c r="BO239" s="305"/>
      <c r="BP239" s="305"/>
      <c r="BQ239" s="305"/>
      <c r="BR239" s="305"/>
      <c r="BS239" s="305"/>
      <c r="BT239" s="305"/>
      <c r="BU239" s="305"/>
      <c r="BV239" s="305"/>
      <c r="BX239" s="319"/>
    </row>
    <row r="240" spans="1:76" s="303" customFormat="1" x14ac:dyDescent="0.25">
      <c r="A240" s="275"/>
      <c r="B240" s="275"/>
      <c r="C240" s="275"/>
      <c r="D240" s="275"/>
      <c r="E240" s="275"/>
      <c r="F240" s="275"/>
      <c r="V240" s="304"/>
      <c r="W240" s="304"/>
      <c r="AD240" s="304"/>
      <c r="AE240" s="304"/>
      <c r="AR240" s="304"/>
      <c r="AS240" s="304"/>
      <c r="AT240" s="304"/>
      <c r="AU240" s="304"/>
      <c r="AV240" s="304"/>
      <c r="AW240" s="304"/>
      <c r="AX240" s="304"/>
      <c r="AY240" s="304"/>
      <c r="AZ240" s="304"/>
      <c r="BA240" s="304"/>
      <c r="BB240" s="304"/>
      <c r="BC240" s="304"/>
      <c r="BK240" s="305"/>
      <c r="BL240" s="305"/>
      <c r="BM240" s="305"/>
      <c r="BN240" s="305"/>
      <c r="BO240" s="305"/>
      <c r="BP240" s="305"/>
      <c r="BQ240" s="305"/>
      <c r="BR240" s="305"/>
      <c r="BS240" s="305"/>
      <c r="BT240" s="305"/>
      <c r="BU240" s="305"/>
      <c r="BV240" s="305"/>
      <c r="BX240" s="319"/>
    </row>
    <row r="241" spans="1:76" s="303" customFormat="1" x14ac:dyDescent="0.25">
      <c r="A241" s="275"/>
      <c r="B241" s="275"/>
      <c r="C241" s="275"/>
      <c r="D241" s="275"/>
      <c r="E241" s="275"/>
      <c r="F241" s="275"/>
      <c r="V241" s="304"/>
      <c r="W241" s="304"/>
      <c r="AD241" s="304"/>
      <c r="AE241" s="304"/>
      <c r="AR241" s="304"/>
      <c r="AS241" s="304"/>
      <c r="AT241" s="304"/>
      <c r="AU241" s="304"/>
      <c r="AV241" s="304"/>
      <c r="AW241" s="304"/>
      <c r="AX241" s="304"/>
      <c r="AY241" s="304"/>
      <c r="AZ241" s="304"/>
      <c r="BA241" s="304"/>
      <c r="BB241" s="304"/>
      <c r="BC241" s="304"/>
      <c r="BK241" s="305"/>
      <c r="BL241" s="305"/>
      <c r="BM241" s="305"/>
      <c r="BN241" s="305"/>
      <c r="BO241" s="305"/>
      <c r="BP241" s="305"/>
      <c r="BQ241" s="305"/>
      <c r="BR241" s="305"/>
      <c r="BS241" s="305"/>
      <c r="BT241" s="305"/>
      <c r="BU241" s="305"/>
      <c r="BV241" s="305"/>
      <c r="BX241" s="319"/>
    </row>
    <row r="242" spans="1:76" s="303" customFormat="1" x14ac:dyDescent="0.25">
      <c r="A242" s="275"/>
      <c r="B242" s="275"/>
      <c r="C242" s="275"/>
      <c r="D242" s="275"/>
      <c r="E242" s="275"/>
      <c r="F242" s="275"/>
      <c r="V242" s="304"/>
      <c r="W242" s="304"/>
      <c r="AD242" s="304"/>
      <c r="AE242" s="304"/>
      <c r="AR242" s="304"/>
      <c r="AS242" s="304"/>
      <c r="AT242" s="304"/>
      <c r="AU242" s="304"/>
      <c r="AV242" s="304"/>
      <c r="AW242" s="304"/>
      <c r="AX242" s="304"/>
      <c r="AY242" s="304"/>
      <c r="AZ242" s="304"/>
      <c r="BA242" s="304"/>
      <c r="BB242" s="304"/>
      <c r="BC242" s="304"/>
      <c r="BK242" s="305"/>
      <c r="BL242" s="305"/>
      <c r="BM242" s="305"/>
      <c r="BN242" s="305"/>
      <c r="BO242" s="305"/>
      <c r="BP242" s="305"/>
      <c r="BQ242" s="305"/>
      <c r="BR242" s="305"/>
      <c r="BS242" s="305"/>
      <c r="BT242" s="305"/>
      <c r="BU242" s="305"/>
      <c r="BV242" s="305"/>
      <c r="BX242" s="319"/>
    </row>
    <row r="243" spans="1:76" s="303" customFormat="1" x14ac:dyDescent="0.25">
      <c r="A243" s="275"/>
      <c r="B243" s="275"/>
      <c r="C243" s="275"/>
      <c r="D243" s="275"/>
      <c r="E243" s="275"/>
      <c r="F243" s="275"/>
      <c r="V243" s="304"/>
      <c r="W243" s="304"/>
      <c r="AD243" s="304"/>
      <c r="AE243" s="304"/>
      <c r="AR243" s="304"/>
      <c r="AS243" s="304"/>
      <c r="AT243" s="304"/>
      <c r="AU243" s="304"/>
      <c r="AV243" s="304"/>
      <c r="AW243" s="304"/>
      <c r="AX243" s="304"/>
      <c r="AY243" s="304"/>
      <c r="AZ243" s="304"/>
      <c r="BA243" s="304"/>
      <c r="BB243" s="304"/>
      <c r="BC243" s="304"/>
      <c r="BK243" s="305"/>
      <c r="BL243" s="305"/>
      <c r="BM243" s="305"/>
      <c r="BN243" s="305"/>
      <c r="BO243" s="305"/>
      <c r="BP243" s="305"/>
      <c r="BQ243" s="305"/>
      <c r="BR243" s="305"/>
      <c r="BS243" s="305"/>
      <c r="BT243" s="305"/>
      <c r="BU243" s="305"/>
      <c r="BV243" s="305"/>
      <c r="BX243" s="319"/>
    </row>
    <row r="244" spans="1:76" s="303" customFormat="1" x14ac:dyDescent="0.25">
      <c r="A244" s="275"/>
      <c r="B244" s="275"/>
      <c r="C244" s="275"/>
      <c r="D244" s="275"/>
      <c r="E244" s="275"/>
      <c r="F244" s="275"/>
      <c r="V244" s="304"/>
      <c r="W244" s="304"/>
      <c r="AD244" s="304"/>
      <c r="AE244" s="304"/>
      <c r="AR244" s="304"/>
      <c r="AS244" s="304"/>
      <c r="AT244" s="304"/>
      <c r="AU244" s="304"/>
      <c r="AV244" s="304"/>
      <c r="AW244" s="304"/>
      <c r="AX244" s="304"/>
      <c r="AY244" s="304"/>
      <c r="AZ244" s="304"/>
      <c r="BA244" s="304"/>
      <c r="BB244" s="304"/>
      <c r="BC244" s="304"/>
      <c r="BK244" s="305"/>
      <c r="BL244" s="305"/>
      <c r="BM244" s="305"/>
      <c r="BN244" s="305"/>
      <c r="BO244" s="305"/>
      <c r="BP244" s="305"/>
      <c r="BQ244" s="305"/>
      <c r="BR244" s="305"/>
      <c r="BS244" s="305"/>
      <c r="BT244" s="305"/>
      <c r="BU244" s="305"/>
      <c r="BV244" s="305"/>
      <c r="BX244" s="319"/>
    </row>
    <row r="245" spans="1:76" s="303" customFormat="1" x14ac:dyDescent="0.25">
      <c r="A245" s="275"/>
      <c r="B245" s="275"/>
      <c r="C245" s="275"/>
      <c r="D245" s="275"/>
      <c r="E245" s="275"/>
      <c r="F245" s="275"/>
      <c r="V245" s="304"/>
      <c r="W245" s="304"/>
      <c r="AD245" s="304"/>
      <c r="AE245" s="304"/>
      <c r="AR245" s="304"/>
      <c r="AS245" s="304"/>
      <c r="AT245" s="304"/>
      <c r="AU245" s="304"/>
      <c r="AV245" s="304"/>
      <c r="AW245" s="304"/>
      <c r="AX245" s="304"/>
      <c r="AY245" s="304"/>
      <c r="AZ245" s="304"/>
      <c r="BA245" s="304"/>
      <c r="BB245" s="304"/>
      <c r="BC245" s="304"/>
      <c r="BK245" s="305"/>
      <c r="BL245" s="305"/>
      <c r="BM245" s="305"/>
      <c r="BN245" s="305"/>
      <c r="BO245" s="305"/>
      <c r="BP245" s="305"/>
      <c r="BQ245" s="305"/>
      <c r="BR245" s="305"/>
      <c r="BS245" s="305"/>
      <c r="BT245" s="305"/>
      <c r="BU245" s="305"/>
      <c r="BV245" s="305"/>
      <c r="BX245" s="319"/>
    </row>
    <row r="246" spans="1:76" s="303" customFormat="1" x14ac:dyDescent="0.25">
      <c r="A246" s="275"/>
      <c r="B246" s="275"/>
      <c r="C246" s="275"/>
      <c r="D246" s="275"/>
      <c r="E246" s="275"/>
      <c r="F246" s="275"/>
      <c r="V246" s="304"/>
      <c r="W246" s="304"/>
      <c r="AD246" s="304"/>
      <c r="AE246" s="304"/>
      <c r="AR246" s="304"/>
      <c r="AS246" s="304"/>
      <c r="AT246" s="304"/>
      <c r="AU246" s="304"/>
      <c r="AV246" s="304"/>
      <c r="AW246" s="304"/>
      <c r="AX246" s="304"/>
      <c r="AY246" s="304"/>
      <c r="AZ246" s="304"/>
      <c r="BA246" s="304"/>
      <c r="BB246" s="304"/>
      <c r="BC246" s="304"/>
      <c r="BK246" s="305"/>
      <c r="BL246" s="305"/>
      <c r="BM246" s="305"/>
      <c r="BN246" s="305"/>
      <c r="BO246" s="305"/>
      <c r="BP246" s="305"/>
      <c r="BQ246" s="305"/>
      <c r="BR246" s="305"/>
      <c r="BS246" s="305"/>
      <c r="BT246" s="305"/>
      <c r="BU246" s="305"/>
      <c r="BV246" s="305"/>
      <c r="BX246" s="319"/>
    </row>
    <row r="247" spans="1:76" s="303" customFormat="1" x14ac:dyDescent="0.25">
      <c r="A247" s="275"/>
      <c r="B247" s="275"/>
      <c r="C247" s="275"/>
      <c r="D247" s="275"/>
      <c r="E247" s="275"/>
      <c r="F247" s="275"/>
      <c r="V247" s="304"/>
      <c r="W247" s="304"/>
      <c r="AD247" s="304"/>
      <c r="AE247" s="304"/>
      <c r="AR247" s="304"/>
      <c r="AS247" s="304"/>
      <c r="AT247" s="304"/>
      <c r="AU247" s="304"/>
      <c r="AV247" s="304"/>
      <c r="AW247" s="304"/>
      <c r="AX247" s="304"/>
      <c r="AY247" s="304"/>
      <c r="AZ247" s="304"/>
      <c r="BA247" s="304"/>
      <c r="BB247" s="304"/>
      <c r="BC247" s="304"/>
      <c r="BK247" s="305"/>
      <c r="BL247" s="305"/>
      <c r="BM247" s="305"/>
      <c r="BN247" s="305"/>
      <c r="BO247" s="305"/>
      <c r="BP247" s="305"/>
      <c r="BQ247" s="305"/>
      <c r="BR247" s="305"/>
      <c r="BS247" s="305"/>
      <c r="BT247" s="305"/>
      <c r="BU247" s="305"/>
      <c r="BV247" s="305"/>
      <c r="BX247" s="319"/>
    </row>
    <row r="248" spans="1:76" s="303" customFormat="1" x14ac:dyDescent="0.25">
      <c r="A248" s="275"/>
      <c r="B248" s="275"/>
      <c r="C248" s="275"/>
      <c r="D248" s="275"/>
      <c r="E248" s="275"/>
      <c r="F248" s="275"/>
      <c r="V248" s="304"/>
      <c r="W248" s="304"/>
      <c r="AD248" s="304"/>
      <c r="AE248" s="304"/>
      <c r="AR248" s="304"/>
      <c r="AS248" s="304"/>
      <c r="AT248" s="304"/>
      <c r="AU248" s="304"/>
      <c r="AV248" s="304"/>
      <c r="AW248" s="304"/>
      <c r="AX248" s="304"/>
      <c r="AY248" s="304"/>
      <c r="AZ248" s="304"/>
      <c r="BA248" s="304"/>
      <c r="BB248" s="304"/>
      <c r="BC248" s="304"/>
      <c r="BK248" s="305"/>
      <c r="BL248" s="305"/>
      <c r="BM248" s="305"/>
      <c r="BN248" s="305"/>
      <c r="BO248" s="305"/>
      <c r="BP248" s="305"/>
      <c r="BQ248" s="305"/>
      <c r="BR248" s="305"/>
      <c r="BS248" s="305"/>
      <c r="BT248" s="305"/>
      <c r="BU248" s="305"/>
      <c r="BV248" s="305"/>
      <c r="BX248" s="319"/>
    </row>
    <row r="249" spans="1:76" s="303" customFormat="1" x14ac:dyDescent="0.25">
      <c r="A249" s="275"/>
      <c r="B249" s="275"/>
      <c r="C249" s="275"/>
      <c r="D249" s="275"/>
      <c r="E249" s="275"/>
      <c r="F249" s="275"/>
      <c r="V249" s="304"/>
      <c r="W249" s="304"/>
      <c r="AD249" s="304"/>
      <c r="AE249" s="304"/>
      <c r="AR249" s="304"/>
      <c r="AS249" s="304"/>
      <c r="AT249" s="304"/>
      <c r="AU249" s="304"/>
      <c r="AV249" s="304"/>
      <c r="AW249" s="304"/>
      <c r="AX249" s="304"/>
      <c r="AY249" s="304"/>
      <c r="AZ249" s="304"/>
      <c r="BA249" s="304"/>
      <c r="BB249" s="304"/>
      <c r="BC249" s="304"/>
      <c r="BK249" s="305"/>
      <c r="BL249" s="305"/>
      <c r="BM249" s="305"/>
      <c r="BN249" s="305"/>
      <c r="BO249" s="305"/>
      <c r="BP249" s="305"/>
      <c r="BQ249" s="305"/>
      <c r="BR249" s="305"/>
      <c r="BS249" s="305"/>
      <c r="BT249" s="305"/>
      <c r="BU249" s="305"/>
      <c r="BV249" s="305"/>
      <c r="BX249" s="319"/>
    </row>
    <row r="250" spans="1:76" s="303" customFormat="1" x14ac:dyDescent="0.25">
      <c r="A250" s="275"/>
      <c r="B250" s="275"/>
      <c r="C250" s="275"/>
      <c r="D250" s="275"/>
      <c r="E250" s="275"/>
      <c r="F250" s="275"/>
      <c r="V250" s="304"/>
      <c r="W250" s="304"/>
      <c r="AD250" s="304"/>
      <c r="AE250" s="304"/>
      <c r="AR250" s="304"/>
      <c r="AS250" s="304"/>
      <c r="AT250" s="304"/>
      <c r="AU250" s="304"/>
      <c r="AV250" s="304"/>
      <c r="AW250" s="304"/>
      <c r="AX250" s="304"/>
      <c r="AY250" s="304"/>
      <c r="AZ250" s="304"/>
      <c r="BA250" s="304"/>
      <c r="BB250" s="304"/>
      <c r="BC250" s="304"/>
      <c r="BK250" s="305"/>
      <c r="BL250" s="305"/>
      <c r="BM250" s="305"/>
      <c r="BN250" s="305"/>
      <c r="BO250" s="305"/>
      <c r="BP250" s="305"/>
      <c r="BQ250" s="305"/>
      <c r="BR250" s="305"/>
      <c r="BS250" s="305"/>
      <c r="BT250" s="305"/>
      <c r="BU250" s="305"/>
      <c r="BV250" s="305"/>
      <c r="BX250" s="319"/>
    </row>
    <row r="251" spans="1:76" s="303" customFormat="1" x14ac:dyDescent="0.25">
      <c r="A251" s="275"/>
      <c r="B251" s="275"/>
      <c r="C251" s="275"/>
      <c r="D251" s="275"/>
      <c r="E251" s="275"/>
      <c r="F251" s="275"/>
      <c r="V251" s="304"/>
      <c r="W251" s="304"/>
      <c r="AD251" s="304"/>
      <c r="AE251" s="304"/>
      <c r="AR251" s="304"/>
      <c r="AS251" s="304"/>
      <c r="AT251" s="304"/>
      <c r="AU251" s="304"/>
      <c r="AV251" s="304"/>
      <c r="AW251" s="304"/>
      <c r="AX251" s="304"/>
      <c r="AY251" s="304"/>
      <c r="AZ251" s="304"/>
      <c r="BA251" s="304"/>
      <c r="BB251" s="304"/>
      <c r="BC251" s="304"/>
      <c r="BK251" s="305"/>
      <c r="BL251" s="305"/>
      <c r="BM251" s="305"/>
      <c r="BN251" s="305"/>
      <c r="BO251" s="305"/>
      <c r="BP251" s="305"/>
      <c r="BQ251" s="305"/>
      <c r="BR251" s="305"/>
      <c r="BS251" s="305"/>
      <c r="BT251" s="305"/>
      <c r="BU251" s="305"/>
      <c r="BV251" s="305"/>
      <c r="BX251" s="319"/>
    </row>
    <row r="252" spans="1:76" s="303" customFormat="1" x14ac:dyDescent="0.25">
      <c r="A252" s="275"/>
      <c r="B252" s="275"/>
      <c r="C252" s="275"/>
      <c r="D252" s="275"/>
      <c r="E252" s="275"/>
      <c r="F252" s="275"/>
      <c r="V252" s="304"/>
      <c r="W252" s="304"/>
      <c r="AD252" s="304"/>
      <c r="AE252" s="304"/>
      <c r="AR252" s="304"/>
      <c r="AS252" s="304"/>
      <c r="AT252" s="304"/>
      <c r="AU252" s="304"/>
      <c r="AV252" s="304"/>
      <c r="AW252" s="304"/>
      <c r="AX252" s="304"/>
      <c r="AY252" s="304"/>
      <c r="AZ252" s="304"/>
      <c r="BA252" s="304"/>
      <c r="BB252" s="304"/>
      <c r="BC252" s="304"/>
      <c r="BK252" s="305"/>
      <c r="BL252" s="305"/>
      <c r="BM252" s="305"/>
      <c r="BN252" s="305"/>
      <c r="BO252" s="305"/>
      <c r="BP252" s="305"/>
      <c r="BQ252" s="305"/>
      <c r="BR252" s="305"/>
      <c r="BS252" s="305"/>
      <c r="BT252" s="305"/>
      <c r="BU252" s="305"/>
      <c r="BV252" s="305"/>
      <c r="BX252" s="319"/>
    </row>
    <row r="253" spans="1:76" s="303" customFormat="1" x14ac:dyDescent="0.25">
      <c r="A253" s="275"/>
      <c r="B253" s="275"/>
      <c r="C253" s="275"/>
      <c r="D253" s="275"/>
      <c r="E253" s="275"/>
      <c r="F253" s="275"/>
      <c r="V253" s="304"/>
      <c r="W253" s="304"/>
      <c r="AD253" s="304"/>
      <c r="AE253" s="304"/>
      <c r="AR253" s="304"/>
      <c r="AS253" s="304"/>
      <c r="AT253" s="304"/>
      <c r="AU253" s="304"/>
      <c r="AV253" s="304"/>
      <c r="AW253" s="304"/>
      <c r="AX253" s="304"/>
      <c r="AY253" s="304"/>
      <c r="AZ253" s="304"/>
      <c r="BA253" s="304"/>
      <c r="BB253" s="304"/>
      <c r="BC253" s="304"/>
      <c r="BK253" s="305"/>
      <c r="BL253" s="305"/>
      <c r="BM253" s="305"/>
      <c r="BN253" s="305"/>
      <c r="BO253" s="305"/>
      <c r="BP253" s="305"/>
      <c r="BQ253" s="305"/>
      <c r="BR253" s="305"/>
      <c r="BS253" s="305"/>
      <c r="BT253" s="305"/>
      <c r="BU253" s="305"/>
      <c r="BV253" s="305"/>
      <c r="BX253" s="319"/>
    </row>
    <row r="254" spans="1:76" s="303" customFormat="1" x14ac:dyDescent="0.25">
      <c r="A254" s="275"/>
      <c r="B254" s="275"/>
      <c r="C254" s="275"/>
      <c r="D254" s="275"/>
      <c r="E254" s="275"/>
      <c r="F254" s="275"/>
      <c r="V254" s="304"/>
      <c r="W254" s="304"/>
      <c r="AD254" s="304"/>
      <c r="AE254" s="304"/>
      <c r="AR254" s="304"/>
      <c r="AS254" s="304"/>
      <c r="AT254" s="304"/>
      <c r="AU254" s="304"/>
      <c r="AV254" s="304"/>
      <c r="AW254" s="304"/>
      <c r="AX254" s="304"/>
      <c r="AY254" s="304"/>
      <c r="AZ254" s="304"/>
      <c r="BA254" s="304"/>
      <c r="BB254" s="304"/>
      <c r="BC254" s="304"/>
      <c r="BK254" s="305"/>
      <c r="BL254" s="305"/>
      <c r="BM254" s="305"/>
      <c r="BN254" s="305"/>
      <c r="BO254" s="305"/>
      <c r="BP254" s="305"/>
      <c r="BQ254" s="305"/>
      <c r="BR254" s="305"/>
      <c r="BS254" s="305"/>
      <c r="BT254" s="305"/>
      <c r="BU254" s="305"/>
      <c r="BV254" s="305"/>
      <c r="BX254" s="319"/>
    </row>
    <row r="255" spans="1:76" s="303" customFormat="1" x14ac:dyDescent="0.25">
      <c r="A255" s="275"/>
      <c r="B255" s="275"/>
      <c r="C255" s="275"/>
      <c r="D255" s="275"/>
      <c r="E255" s="275"/>
      <c r="F255" s="275"/>
      <c r="V255" s="304"/>
      <c r="W255" s="304"/>
      <c r="AD255" s="304"/>
      <c r="AE255" s="304"/>
      <c r="AR255" s="304"/>
      <c r="AS255" s="304"/>
      <c r="AT255" s="304"/>
      <c r="AU255" s="304"/>
      <c r="AV255" s="304"/>
      <c r="AW255" s="304"/>
      <c r="AX255" s="304"/>
      <c r="AY255" s="304"/>
      <c r="AZ255" s="304"/>
      <c r="BA255" s="304"/>
      <c r="BB255" s="304"/>
      <c r="BC255" s="304"/>
      <c r="BK255" s="305"/>
      <c r="BL255" s="305"/>
      <c r="BM255" s="305"/>
      <c r="BN255" s="305"/>
      <c r="BO255" s="305"/>
      <c r="BP255" s="305"/>
      <c r="BQ255" s="305"/>
      <c r="BR255" s="305"/>
      <c r="BS255" s="305"/>
      <c r="BT255" s="305"/>
      <c r="BU255" s="305"/>
      <c r="BV255" s="305"/>
      <c r="BX255" s="319"/>
    </row>
    <row r="256" spans="1:76" s="303" customFormat="1" x14ac:dyDescent="0.25">
      <c r="A256" s="275"/>
      <c r="B256" s="275"/>
      <c r="C256" s="275"/>
      <c r="D256" s="275"/>
      <c r="E256" s="275"/>
      <c r="F256" s="275"/>
      <c r="V256" s="304"/>
      <c r="W256" s="304"/>
      <c r="AD256" s="304"/>
      <c r="AE256" s="304"/>
      <c r="AR256" s="304"/>
      <c r="AS256" s="304"/>
      <c r="AT256" s="304"/>
      <c r="AU256" s="304"/>
      <c r="AV256" s="304"/>
      <c r="AW256" s="304"/>
      <c r="AX256" s="304"/>
      <c r="AY256" s="304"/>
      <c r="AZ256" s="304"/>
      <c r="BA256" s="304"/>
      <c r="BB256" s="304"/>
      <c r="BC256" s="304"/>
      <c r="BK256" s="305"/>
      <c r="BL256" s="305"/>
      <c r="BM256" s="305"/>
      <c r="BN256" s="305"/>
      <c r="BO256" s="305"/>
      <c r="BP256" s="305"/>
      <c r="BQ256" s="305"/>
      <c r="BR256" s="305"/>
      <c r="BS256" s="305"/>
      <c r="BT256" s="305"/>
      <c r="BU256" s="305"/>
      <c r="BV256" s="305"/>
      <c r="BX256" s="319"/>
    </row>
    <row r="257" spans="1:76" s="303" customFormat="1" x14ac:dyDescent="0.25">
      <c r="A257" s="275"/>
      <c r="B257" s="275"/>
      <c r="C257" s="275"/>
      <c r="D257" s="275"/>
      <c r="E257" s="275"/>
      <c r="F257" s="275"/>
      <c r="V257" s="304"/>
      <c r="W257" s="304"/>
      <c r="AD257" s="304"/>
      <c r="AE257" s="304"/>
      <c r="AR257" s="304"/>
      <c r="AS257" s="304"/>
      <c r="AT257" s="304"/>
      <c r="AU257" s="304"/>
      <c r="AV257" s="304"/>
      <c r="AW257" s="304"/>
      <c r="AX257" s="304"/>
      <c r="AY257" s="304"/>
      <c r="AZ257" s="304"/>
      <c r="BA257" s="304"/>
      <c r="BB257" s="304"/>
      <c r="BC257" s="304"/>
      <c r="BK257" s="305"/>
      <c r="BL257" s="305"/>
      <c r="BM257" s="305"/>
      <c r="BN257" s="305"/>
      <c r="BO257" s="305"/>
      <c r="BP257" s="305"/>
      <c r="BQ257" s="305"/>
      <c r="BR257" s="305"/>
      <c r="BS257" s="305"/>
      <c r="BT257" s="305"/>
      <c r="BU257" s="305"/>
      <c r="BV257" s="305"/>
      <c r="BX257" s="319"/>
    </row>
    <row r="258" spans="1:76" s="303" customFormat="1" x14ac:dyDescent="0.25">
      <c r="A258" s="275"/>
      <c r="B258" s="275"/>
      <c r="C258" s="275"/>
      <c r="D258" s="275"/>
      <c r="E258" s="275"/>
      <c r="F258" s="275"/>
      <c r="V258" s="304"/>
      <c r="W258" s="304"/>
      <c r="AD258" s="304"/>
      <c r="AE258" s="304"/>
      <c r="AR258" s="304"/>
      <c r="AS258" s="304"/>
      <c r="AT258" s="304"/>
      <c r="AU258" s="304"/>
      <c r="AV258" s="304"/>
      <c r="AW258" s="304"/>
      <c r="AX258" s="304"/>
      <c r="AY258" s="304"/>
      <c r="AZ258" s="304"/>
      <c r="BA258" s="304"/>
      <c r="BB258" s="304"/>
      <c r="BC258" s="304"/>
      <c r="BK258" s="305"/>
      <c r="BL258" s="305"/>
      <c r="BM258" s="305"/>
      <c r="BN258" s="305"/>
      <c r="BO258" s="305"/>
      <c r="BP258" s="305"/>
      <c r="BQ258" s="305"/>
      <c r="BR258" s="305"/>
      <c r="BS258" s="305"/>
      <c r="BT258" s="305"/>
      <c r="BU258" s="305"/>
      <c r="BV258" s="305"/>
      <c r="BX258" s="319"/>
    </row>
    <row r="259" spans="1:76" s="303" customFormat="1" x14ac:dyDescent="0.25">
      <c r="A259" s="275"/>
      <c r="B259" s="275"/>
      <c r="C259" s="275"/>
      <c r="D259" s="275"/>
      <c r="E259" s="275"/>
      <c r="F259" s="275"/>
      <c r="V259" s="304"/>
      <c r="W259" s="304"/>
      <c r="AD259" s="304"/>
      <c r="AE259" s="304"/>
      <c r="AR259" s="304"/>
      <c r="AS259" s="304"/>
      <c r="AT259" s="304"/>
      <c r="AU259" s="304"/>
      <c r="AV259" s="304"/>
      <c r="AW259" s="304"/>
      <c r="AX259" s="304"/>
      <c r="AY259" s="304"/>
      <c r="AZ259" s="304"/>
      <c r="BA259" s="304"/>
      <c r="BB259" s="304"/>
      <c r="BC259" s="304"/>
      <c r="BK259" s="305"/>
      <c r="BL259" s="305"/>
      <c r="BM259" s="305"/>
      <c r="BN259" s="305"/>
      <c r="BO259" s="305"/>
      <c r="BP259" s="305"/>
      <c r="BQ259" s="305"/>
      <c r="BR259" s="305"/>
      <c r="BS259" s="305"/>
      <c r="BT259" s="305"/>
      <c r="BU259" s="305"/>
      <c r="BV259" s="305"/>
      <c r="BX259" s="319"/>
    </row>
    <row r="260" spans="1:76" s="303" customFormat="1" x14ac:dyDescent="0.25">
      <c r="A260" s="275"/>
      <c r="B260" s="275"/>
      <c r="C260" s="275"/>
      <c r="D260" s="275"/>
      <c r="E260" s="275"/>
      <c r="F260" s="275"/>
      <c r="V260" s="304"/>
      <c r="W260" s="304"/>
      <c r="AD260" s="304"/>
      <c r="AE260" s="304"/>
      <c r="AR260" s="304"/>
      <c r="AS260" s="304"/>
      <c r="AT260" s="304"/>
      <c r="AU260" s="304"/>
      <c r="AV260" s="304"/>
      <c r="AW260" s="304"/>
      <c r="AX260" s="304"/>
      <c r="AY260" s="304"/>
      <c r="AZ260" s="304"/>
      <c r="BA260" s="304"/>
      <c r="BB260" s="304"/>
      <c r="BC260" s="304"/>
      <c r="BK260" s="305"/>
      <c r="BL260" s="305"/>
      <c r="BM260" s="305"/>
      <c r="BN260" s="305"/>
      <c r="BO260" s="305"/>
      <c r="BP260" s="305"/>
      <c r="BQ260" s="305"/>
      <c r="BR260" s="305"/>
      <c r="BS260" s="305"/>
      <c r="BT260" s="305"/>
      <c r="BU260" s="305"/>
      <c r="BV260" s="305"/>
      <c r="BX260" s="319"/>
    </row>
    <row r="261" spans="1:76" s="303" customFormat="1" x14ac:dyDescent="0.25">
      <c r="A261" s="275"/>
      <c r="B261" s="275"/>
      <c r="C261" s="275"/>
      <c r="D261" s="275"/>
      <c r="E261" s="275"/>
      <c r="F261" s="275"/>
      <c r="V261" s="304"/>
      <c r="W261" s="304"/>
      <c r="AD261" s="304"/>
      <c r="AE261" s="304"/>
      <c r="AR261" s="304"/>
      <c r="AS261" s="304"/>
      <c r="AT261" s="304"/>
      <c r="AU261" s="304"/>
      <c r="AV261" s="304"/>
      <c r="AW261" s="304"/>
      <c r="AX261" s="304"/>
      <c r="AY261" s="304"/>
      <c r="AZ261" s="304"/>
      <c r="BA261" s="304"/>
      <c r="BB261" s="304"/>
      <c r="BC261" s="304"/>
      <c r="BK261" s="305"/>
      <c r="BL261" s="305"/>
      <c r="BM261" s="305"/>
      <c r="BN261" s="305"/>
      <c r="BO261" s="305"/>
      <c r="BP261" s="305"/>
      <c r="BQ261" s="305"/>
      <c r="BR261" s="305"/>
      <c r="BS261" s="305"/>
      <c r="BT261" s="305"/>
      <c r="BU261" s="305"/>
      <c r="BV261" s="305"/>
      <c r="BX261" s="319"/>
    </row>
    <row r="262" spans="1:76" s="303" customFormat="1" x14ac:dyDescent="0.25">
      <c r="A262" s="275"/>
      <c r="B262" s="275"/>
      <c r="C262" s="275"/>
      <c r="D262" s="275"/>
      <c r="E262" s="275"/>
      <c r="F262" s="275"/>
      <c r="V262" s="304"/>
      <c r="W262" s="304"/>
      <c r="AD262" s="304"/>
      <c r="AE262" s="304"/>
      <c r="AR262" s="304"/>
      <c r="AS262" s="304"/>
      <c r="AT262" s="304"/>
      <c r="AU262" s="304"/>
      <c r="AV262" s="304"/>
      <c r="AW262" s="304"/>
      <c r="AX262" s="304"/>
      <c r="AY262" s="304"/>
      <c r="AZ262" s="304"/>
      <c r="BA262" s="304"/>
      <c r="BB262" s="304"/>
      <c r="BC262" s="304"/>
      <c r="BK262" s="305"/>
      <c r="BL262" s="305"/>
      <c r="BM262" s="305"/>
      <c r="BN262" s="305"/>
      <c r="BO262" s="305"/>
      <c r="BP262" s="305"/>
      <c r="BQ262" s="305"/>
      <c r="BR262" s="305"/>
      <c r="BS262" s="305"/>
      <c r="BT262" s="305"/>
      <c r="BU262" s="305"/>
      <c r="BV262" s="305"/>
      <c r="BX262" s="319"/>
    </row>
    <row r="263" spans="1:76" s="303" customFormat="1" x14ac:dyDescent="0.25">
      <c r="A263" s="275"/>
      <c r="B263" s="275"/>
      <c r="C263" s="275"/>
      <c r="D263" s="275"/>
      <c r="E263" s="275"/>
      <c r="F263" s="275"/>
      <c r="V263" s="304"/>
      <c r="W263" s="304"/>
      <c r="AD263" s="304"/>
      <c r="AE263" s="304"/>
      <c r="AR263" s="304"/>
      <c r="AS263" s="304"/>
      <c r="AT263" s="304"/>
      <c r="AU263" s="304"/>
      <c r="AV263" s="304"/>
      <c r="AW263" s="304"/>
      <c r="AX263" s="304"/>
      <c r="AY263" s="304"/>
      <c r="AZ263" s="304"/>
      <c r="BA263" s="304"/>
      <c r="BB263" s="304"/>
      <c r="BC263" s="304"/>
      <c r="BK263" s="305"/>
      <c r="BL263" s="305"/>
      <c r="BM263" s="305"/>
      <c r="BN263" s="305"/>
      <c r="BO263" s="305"/>
      <c r="BP263" s="305"/>
      <c r="BQ263" s="305"/>
      <c r="BR263" s="305"/>
      <c r="BS263" s="305"/>
      <c r="BT263" s="305"/>
      <c r="BU263" s="305"/>
      <c r="BV263" s="305"/>
      <c r="BX263" s="319"/>
    </row>
    <row r="264" spans="1:76" s="303" customFormat="1" x14ac:dyDescent="0.25">
      <c r="A264" s="275"/>
      <c r="B264" s="275"/>
      <c r="C264" s="275"/>
      <c r="D264" s="275"/>
      <c r="E264" s="275"/>
      <c r="F264" s="275"/>
      <c r="V264" s="304"/>
      <c r="W264" s="304"/>
      <c r="AD264" s="304"/>
      <c r="AE264" s="304"/>
      <c r="AR264" s="304"/>
      <c r="AS264" s="304"/>
      <c r="AT264" s="304"/>
      <c r="AU264" s="304"/>
      <c r="AV264" s="304"/>
      <c r="AW264" s="304"/>
      <c r="AX264" s="304"/>
      <c r="AY264" s="304"/>
      <c r="AZ264" s="304"/>
      <c r="BA264" s="304"/>
      <c r="BB264" s="304"/>
      <c r="BC264" s="304"/>
      <c r="BK264" s="305"/>
      <c r="BL264" s="305"/>
      <c r="BM264" s="305"/>
      <c r="BN264" s="305"/>
      <c r="BO264" s="305"/>
      <c r="BP264" s="305"/>
      <c r="BQ264" s="305"/>
      <c r="BR264" s="305"/>
      <c r="BS264" s="305"/>
      <c r="BT264" s="305"/>
      <c r="BU264" s="305"/>
      <c r="BV264" s="305"/>
      <c r="BX264" s="319"/>
    </row>
    <row r="265" spans="1:76" s="303" customFormat="1" x14ac:dyDescent="0.25">
      <c r="A265" s="275"/>
      <c r="B265" s="275"/>
      <c r="C265" s="275"/>
      <c r="D265" s="275"/>
      <c r="E265" s="275"/>
      <c r="F265" s="275"/>
      <c r="V265" s="304"/>
      <c r="W265" s="304"/>
      <c r="AD265" s="304"/>
      <c r="AE265" s="304"/>
      <c r="AR265" s="304"/>
      <c r="AS265" s="304"/>
      <c r="AT265" s="304"/>
      <c r="AU265" s="304"/>
      <c r="AV265" s="304"/>
      <c r="AW265" s="304"/>
      <c r="AX265" s="304"/>
      <c r="AY265" s="304"/>
      <c r="AZ265" s="304"/>
      <c r="BA265" s="304"/>
      <c r="BB265" s="304"/>
      <c r="BC265" s="304"/>
      <c r="BK265" s="305"/>
      <c r="BL265" s="305"/>
      <c r="BM265" s="305"/>
      <c r="BN265" s="305"/>
      <c r="BO265" s="305"/>
      <c r="BP265" s="305"/>
      <c r="BQ265" s="305"/>
      <c r="BR265" s="305"/>
      <c r="BS265" s="305"/>
      <c r="BT265" s="305"/>
      <c r="BU265" s="305"/>
      <c r="BV265" s="305"/>
      <c r="BX265" s="319"/>
    </row>
    <row r="266" spans="1:76" s="303" customFormat="1" x14ac:dyDescent="0.25">
      <c r="A266" s="275"/>
      <c r="B266" s="275"/>
      <c r="C266" s="275"/>
      <c r="D266" s="275"/>
      <c r="E266" s="275"/>
      <c r="F266" s="275"/>
      <c r="V266" s="304"/>
      <c r="W266" s="304"/>
      <c r="AD266" s="304"/>
      <c r="AE266" s="304"/>
      <c r="AR266" s="304"/>
      <c r="AS266" s="304"/>
      <c r="AT266" s="304"/>
      <c r="AU266" s="304"/>
      <c r="AV266" s="304"/>
      <c r="AW266" s="304"/>
      <c r="AX266" s="304"/>
      <c r="AY266" s="304"/>
      <c r="AZ266" s="304"/>
      <c r="BA266" s="304"/>
      <c r="BB266" s="304"/>
      <c r="BC266" s="304"/>
      <c r="BK266" s="305"/>
      <c r="BL266" s="305"/>
      <c r="BM266" s="305"/>
      <c r="BN266" s="305"/>
      <c r="BO266" s="305"/>
      <c r="BP266" s="305"/>
      <c r="BQ266" s="305"/>
      <c r="BR266" s="305"/>
      <c r="BS266" s="305"/>
      <c r="BT266" s="305"/>
      <c r="BU266" s="305"/>
      <c r="BV266" s="305"/>
      <c r="BX266" s="319"/>
    </row>
    <row r="267" spans="1:76" s="303" customFormat="1" x14ac:dyDescent="0.25">
      <c r="A267" s="275"/>
      <c r="B267" s="275"/>
      <c r="C267" s="275"/>
      <c r="D267" s="275"/>
      <c r="E267" s="275"/>
      <c r="F267" s="275"/>
      <c r="V267" s="304"/>
      <c r="W267" s="304"/>
      <c r="AD267" s="304"/>
      <c r="AE267" s="304"/>
      <c r="AR267" s="304"/>
      <c r="AS267" s="304"/>
      <c r="AT267" s="304"/>
      <c r="AU267" s="304"/>
      <c r="AV267" s="304"/>
      <c r="AW267" s="304"/>
      <c r="AX267" s="304"/>
      <c r="AY267" s="304"/>
      <c r="AZ267" s="304"/>
      <c r="BA267" s="304"/>
      <c r="BB267" s="304"/>
      <c r="BC267" s="304"/>
      <c r="BK267" s="305"/>
      <c r="BL267" s="305"/>
      <c r="BM267" s="305"/>
      <c r="BN267" s="305"/>
      <c r="BO267" s="305"/>
      <c r="BP267" s="305"/>
      <c r="BQ267" s="305"/>
      <c r="BR267" s="305"/>
      <c r="BS267" s="305"/>
      <c r="BT267" s="305"/>
      <c r="BU267" s="305"/>
      <c r="BV267" s="305"/>
      <c r="BX267" s="319"/>
    </row>
    <row r="268" spans="1:76" s="303" customFormat="1" x14ac:dyDescent="0.25">
      <c r="A268" s="275"/>
      <c r="B268" s="275"/>
      <c r="C268" s="275"/>
      <c r="D268" s="275"/>
      <c r="E268" s="275"/>
      <c r="F268" s="275"/>
      <c r="V268" s="304"/>
      <c r="W268" s="304"/>
      <c r="AD268" s="304"/>
      <c r="AE268" s="304"/>
      <c r="AR268" s="304"/>
      <c r="AS268" s="304"/>
      <c r="AT268" s="304"/>
      <c r="AU268" s="304"/>
      <c r="AV268" s="304"/>
      <c r="AW268" s="304"/>
      <c r="AX268" s="304"/>
      <c r="AY268" s="304"/>
      <c r="AZ268" s="304"/>
      <c r="BA268" s="304"/>
      <c r="BB268" s="304"/>
      <c r="BC268" s="304"/>
      <c r="BK268" s="305"/>
      <c r="BL268" s="305"/>
      <c r="BM268" s="305"/>
      <c r="BN268" s="305"/>
      <c r="BO268" s="305"/>
      <c r="BP268" s="305"/>
      <c r="BQ268" s="305"/>
      <c r="BR268" s="305"/>
      <c r="BS268" s="305"/>
      <c r="BT268" s="305"/>
      <c r="BU268" s="305"/>
      <c r="BV268" s="305"/>
      <c r="BX268" s="319"/>
    </row>
    <row r="269" spans="1:76" s="303" customFormat="1" x14ac:dyDescent="0.25">
      <c r="A269" s="275"/>
      <c r="B269" s="275"/>
      <c r="C269" s="275"/>
      <c r="D269" s="275"/>
      <c r="E269" s="275"/>
      <c r="F269" s="275"/>
      <c r="V269" s="304"/>
      <c r="W269" s="304"/>
      <c r="AD269" s="304"/>
      <c r="AE269" s="304"/>
      <c r="AR269" s="304"/>
      <c r="AS269" s="304"/>
      <c r="AT269" s="304"/>
      <c r="AU269" s="304"/>
      <c r="AV269" s="304"/>
      <c r="AW269" s="304"/>
      <c r="AX269" s="304"/>
      <c r="AY269" s="304"/>
      <c r="AZ269" s="304"/>
      <c r="BA269" s="304"/>
      <c r="BB269" s="304"/>
      <c r="BC269" s="304"/>
      <c r="BK269" s="305"/>
      <c r="BL269" s="305"/>
      <c r="BM269" s="305"/>
      <c r="BN269" s="305"/>
      <c r="BO269" s="305"/>
      <c r="BP269" s="305"/>
      <c r="BQ269" s="305"/>
      <c r="BR269" s="305"/>
      <c r="BS269" s="305"/>
      <c r="BT269" s="305"/>
      <c r="BU269" s="305"/>
      <c r="BV269" s="305"/>
      <c r="BX269" s="319"/>
    </row>
    <row r="270" spans="1:76" s="303" customFormat="1" x14ac:dyDescent="0.25">
      <c r="A270" s="275"/>
      <c r="B270" s="275"/>
      <c r="C270" s="275"/>
      <c r="D270" s="275"/>
      <c r="E270" s="275"/>
      <c r="F270" s="275"/>
      <c r="V270" s="304"/>
      <c r="W270" s="304"/>
      <c r="AD270" s="304"/>
      <c r="AE270" s="304"/>
      <c r="AR270" s="304"/>
      <c r="AS270" s="304"/>
      <c r="AT270" s="304"/>
      <c r="AU270" s="304"/>
      <c r="AV270" s="304"/>
      <c r="AW270" s="304"/>
      <c r="AX270" s="304"/>
      <c r="AY270" s="304"/>
      <c r="AZ270" s="304"/>
      <c r="BA270" s="304"/>
      <c r="BB270" s="304"/>
      <c r="BC270" s="304"/>
      <c r="BK270" s="305"/>
      <c r="BL270" s="305"/>
      <c r="BM270" s="305"/>
      <c r="BN270" s="305"/>
      <c r="BO270" s="305"/>
      <c r="BP270" s="305"/>
      <c r="BQ270" s="305"/>
      <c r="BR270" s="305"/>
      <c r="BS270" s="305"/>
      <c r="BT270" s="305"/>
      <c r="BU270" s="305"/>
      <c r="BV270" s="305"/>
      <c r="BX270" s="319"/>
    </row>
    <row r="271" spans="1:76" s="303" customFormat="1" x14ac:dyDescent="0.25">
      <c r="A271" s="275"/>
      <c r="B271" s="275"/>
      <c r="C271" s="275"/>
      <c r="D271" s="275"/>
      <c r="E271" s="275"/>
      <c r="F271" s="275"/>
      <c r="V271" s="304"/>
      <c r="W271" s="304"/>
      <c r="AD271" s="304"/>
      <c r="AE271" s="304"/>
      <c r="AR271" s="304"/>
      <c r="AS271" s="304"/>
      <c r="AT271" s="304"/>
      <c r="AU271" s="304"/>
      <c r="AV271" s="304"/>
      <c r="AW271" s="304"/>
      <c r="AX271" s="304"/>
      <c r="AY271" s="304"/>
      <c r="AZ271" s="304"/>
      <c r="BA271" s="304"/>
      <c r="BB271" s="304"/>
      <c r="BC271" s="304"/>
      <c r="BK271" s="305"/>
      <c r="BL271" s="305"/>
      <c r="BM271" s="305"/>
      <c r="BN271" s="305"/>
      <c r="BO271" s="305"/>
      <c r="BP271" s="305"/>
      <c r="BQ271" s="305"/>
      <c r="BR271" s="305"/>
      <c r="BS271" s="305"/>
      <c r="BT271" s="305"/>
      <c r="BU271" s="305"/>
      <c r="BV271" s="305"/>
      <c r="BX271" s="319"/>
    </row>
    <row r="272" spans="1:76" s="303" customFormat="1" x14ac:dyDescent="0.25">
      <c r="A272" s="275"/>
      <c r="B272" s="275"/>
      <c r="C272" s="275"/>
      <c r="D272" s="275"/>
      <c r="E272" s="275"/>
      <c r="F272" s="275"/>
      <c r="V272" s="304"/>
      <c r="W272" s="304"/>
      <c r="AD272" s="304"/>
      <c r="AE272" s="304"/>
      <c r="AR272" s="304"/>
      <c r="AS272" s="304"/>
      <c r="AT272" s="304"/>
      <c r="AU272" s="304"/>
      <c r="AV272" s="304"/>
      <c r="AW272" s="304"/>
      <c r="AX272" s="304"/>
      <c r="AY272" s="304"/>
      <c r="AZ272" s="304"/>
      <c r="BA272" s="304"/>
      <c r="BB272" s="304"/>
      <c r="BC272" s="304"/>
      <c r="BK272" s="305"/>
      <c r="BL272" s="305"/>
      <c r="BM272" s="305"/>
      <c r="BN272" s="305"/>
      <c r="BO272" s="305"/>
      <c r="BP272" s="305"/>
      <c r="BQ272" s="305"/>
      <c r="BR272" s="305"/>
      <c r="BS272" s="305"/>
      <c r="BT272" s="305"/>
      <c r="BU272" s="305"/>
      <c r="BV272" s="305"/>
      <c r="BX272" s="319"/>
    </row>
    <row r="273" spans="1:76" s="303" customFormat="1" x14ac:dyDescent="0.25">
      <c r="A273" s="275"/>
      <c r="B273" s="275"/>
      <c r="C273" s="275"/>
      <c r="D273" s="275"/>
      <c r="E273" s="275"/>
      <c r="F273" s="275"/>
      <c r="V273" s="304"/>
      <c r="W273" s="304"/>
      <c r="AD273" s="304"/>
      <c r="AE273" s="304"/>
      <c r="AR273" s="304"/>
      <c r="AS273" s="304"/>
      <c r="AT273" s="304"/>
      <c r="AU273" s="304"/>
      <c r="AV273" s="304"/>
      <c r="AW273" s="304"/>
      <c r="AX273" s="304"/>
      <c r="AY273" s="304"/>
      <c r="AZ273" s="304"/>
      <c r="BA273" s="304"/>
      <c r="BB273" s="304"/>
      <c r="BC273" s="304"/>
      <c r="BK273" s="305"/>
      <c r="BL273" s="305"/>
      <c r="BM273" s="305"/>
      <c r="BN273" s="305"/>
      <c r="BO273" s="305"/>
      <c r="BP273" s="305"/>
      <c r="BQ273" s="305"/>
      <c r="BR273" s="305"/>
      <c r="BS273" s="305"/>
      <c r="BT273" s="305"/>
      <c r="BU273" s="305"/>
      <c r="BV273" s="305"/>
      <c r="BX273" s="319"/>
    </row>
    <row r="274" spans="1:76" s="303" customFormat="1" x14ac:dyDescent="0.25">
      <c r="A274" s="275"/>
      <c r="B274" s="275"/>
      <c r="C274" s="275"/>
      <c r="D274" s="275"/>
      <c r="E274" s="275"/>
      <c r="F274" s="275"/>
      <c r="V274" s="304"/>
      <c r="W274" s="304"/>
      <c r="AD274" s="304"/>
      <c r="AE274" s="304"/>
      <c r="AR274" s="304"/>
      <c r="AS274" s="304"/>
      <c r="AT274" s="304"/>
      <c r="AU274" s="304"/>
      <c r="AV274" s="304"/>
      <c r="AW274" s="304"/>
      <c r="AX274" s="304"/>
      <c r="AY274" s="304"/>
      <c r="AZ274" s="304"/>
      <c r="BA274" s="304"/>
      <c r="BB274" s="304"/>
      <c r="BC274" s="304"/>
      <c r="BK274" s="305"/>
      <c r="BL274" s="305"/>
      <c r="BM274" s="305"/>
      <c r="BN274" s="305"/>
      <c r="BO274" s="305"/>
      <c r="BP274" s="305"/>
      <c r="BQ274" s="305"/>
      <c r="BR274" s="305"/>
      <c r="BS274" s="305"/>
      <c r="BT274" s="305"/>
      <c r="BU274" s="305"/>
      <c r="BV274" s="305"/>
      <c r="BX274" s="319"/>
    </row>
    <row r="275" spans="1:76" s="303" customFormat="1" x14ac:dyDescent="0.25">
      <c r="A275" s="275"/>
      <c r="B275" s="275"/>
      <c r="C275" s="275"/>
      <c r="D275" s="275"/>
      <c r="E275" s="275"/>
      <c r="F275" s="275"/>
      <c r="V275" s="304"/>
      <c r="W275" s="304"/>
      <c r="AD275" s="304"/>
      <c r="AE275" s="304"/>
      <c r="AR275" s="304"/>
      <c r="AS275" s="304"/>
      <c r="AT275" s="304"/>
      <c r="AU275" s="304"/>
      <c r="AV275" s="304"/>
      <c r="AW275" s="304"/>
      <c r="AX275" s="304"/>
      <c r="AY275" s="304"/>
      <c r="AZ275" s="304"/>
      <c r="BA275" s="304"/>
      <c r="BB275" s="304"/>
      <c r="BC275" s="304"/>
      <c r="BK275" s="305"/>
      <c r="BL275" s="305"/>
      <c r="BM275" s="305"/>
      <c r="BN275" s="305"/>
      <c r="BO275" s="305"/>
      <c r="BP275" s="305"/>
      <c r="BQ275" s="305"/>
      <c r="BR275" s="305"/>
      <c r="BS275" s="305"/>
      <c r="BT275" s="305"/>
      <c r="BU275" s="305"/>
      <c r="BV275" s="305"/>
      <c r="BX275" s="319"/>
    </row>
    <row r="276" spans="1:76" s="303" customFormat="1" x14ac:dyDescent="0.25">
      <c r="A276" s="275"/>
      <c r="B276" s="275"/>
      <c r="C276" s="275"/>
      <c r="D276" s="275"/>
      <c r="E276" s="275"/>
      <c r="F276" s="275"/>
      <c r="V276" s="304"/>
      <c r="W276" s="304"/>
      <c r="AD276" s="304"/>
      <c r="AE276" s="304"/>
      <c r="AR276" s="304"/>
      <c r="AS276" s="304"/>
      <c r="AT276" s="304"/>
      <c r="AU276" s="304"/>
      <c r="AV276" s="304"/>
      <c r="AW276" s="304"/>
      <c r="AX276" s="304"/>
      <c r="AY276" s="304"/>
      <c r="AZ276" s="304"/>
      <c r="BA276" s="304"/>
      <c r="BB276" s="304"/>
      <c r="BC276" s="304"/>
      <c r="BK276" s="305"/>
      <c r="BL276" s="305"/>
      <c r="BM276" s="305"/>
      <c r="BN276" s="305"/>
      <c r="BO276" s="305"/>
      <c r="BP276" s="305"/>
      <c r="BQ276" s="305"/>
      <c r="BR276" s="305"/>
      <c r="BS276" s="305"/>
      <c r="BT276" s="305"/>
      <c r="BU276" s="305"/>
      <c r="BV276" s="305"/>
      <c r="BX276" s="319"/>
    </row>
    <row r="277" spans="1:76" s="303" customFormat="1" x14ac:dyDescent="0.25">
      <c r="A277" s="275"/>
      <c r="B277" s="275"/>
      <c r="C277" s="275"/>
      <c r="D277" s="275"/>
      <c r="E277" s="275"/>
      <c r="F277" s="275"/>
      <c r="V277" s="304"/>
      <c r="W277" s="304"/>
      <c r="AD277" s="304"/>
      <c r="AE277" s="304"/>
      <c r="AR277" s="304"/>
      <c r="AS277" s="304"/>
      <c r="AT277" s="304"/>
      <c r="AU277" s="304"/>
      <c r="AV277" s="304"/>
      <c r="AW277" s="304"/>
      <c r="AX277" s="304"/>
      <c r="AY277" s="304"/>
      <c r="AZ277" s="304"/>
      <c r="BA277" s="304"/>
      <c r="BB277" s="304"/>
      <c r="BC277" s="304"/>
      <c r="BK277" s="305"/>
      <c r="BL277" s="305"/>
      <c r="BM277" s="305"/>
      <c r="BN277" s="305"/>
      <c r="BO277" s="305"/>
      <c r="BP277" s="305"/>
      <c r="BQ277" s="305"/>
      <c r="BR277" s="305"/>
      <c r="BS277" s="305"/>
      <c r="BT277" s="305"/>
      <c r="BU277" s="305"/>
      <c r="BV277" s="305"/>
      <c r="BX277" s="319"/>
    </row>
    <row r="278" spans="1:76" s="303" customFormat="1" x14ac:dyDescent="0.25">
      <c r="A278" s="275"/>
      <c r="B278" s="275"/>
      <c r="C278" s="275"/>
      <c r="D278" s="275"/>
      <c r="E278" s="275"/>
      <c r="F278" s="275"/>
      <c r="V278" s="304"/>
      <c r="W278" s="304"/>
      <c r="AD278" s="304"/>
      <c r="AE278" s="304"/>
      <c r="AR278" s="304"/>
      <c r="AS278" s="304"/>
      <c r="AT278" s="304"/>
      <c r="AU278" s="304"/>
      <c r="AV278" s="304"/>
      <c r="AW278" s="304"/>
      <c r="AX278" s="304"/>
      <c r="AY278" s="304"/>
      <c r="AZ278" s="304"/>
      <c r="BA278" s="304"/>
      <c r="BB278" s="304"/>
      <c r="BC278" s="304"/>
      <c r="BK278" s="305"/>
      <c r="BL278" s="305"/>
      <c r="BM278" s="305"/>
      <c r="BN278" s="305"/>
      <c r="BO278" s="305"/>
      <c r="BP278" s="305"/>
      <c r="BQ278" s="305"/>
      <c r="BR278" s="305"/>
      <c r="BS278" s="305"/>
      <c r="BT278" s="305"/>
      <c r="BU278" s="305"/>
      <c r="BV278" s="305"/>
      <c r="BX278" s="319"/>
    </row>
    <row r="279" spans="1:76" s="303" customFormat="1" x14ac:dyDescent="0.25">
      <c r="A279" s="275"/>
      <c r="B279" s="275"/>
      <c r="C279" s="275"/>
      <c r="D279" s="275"/>
      <c r="E279" s="275"/>
      <c r="F279" s="275"/>
      <c r="V279" s="304"/>
      <c r="W279" s="304"/>
      <c r="AD279" s="304"/>
      <c r="AE279" s="304"/>
      <c r="AR279" s="304"/>
      <c r="AS279" s="304"/>
      <c r="AT279" s="304"/>
      <c r="AU279" s="304"/>
      <c r="AV279" s="304"/>
      <c r="AW279" s="304"/>
      <c r="AX279" s="304"/>
      <c r="AY279" s="304"/>
      <c r="AZ279" s="304"/>
      <c r="BA279" s="304"/>
      <c r="BB279" s="304"/>
      <c r="BC279" s="304"/>
      <c r="BK279" s="305"/>
      <c r="BL279" s="305"/>
      <c r="BM279" s="305"/>
      <c r="BN279" s="305"/>
      <c r="BO279" s="305"/>
      <c r="BP279" s="305"/>
      <c r="BQ279" s="305"/>
      <c r="BR279" s="305"/>
      <c r="BS279" s="305"/>
      <c r="BT279" s="305"/>
      <c r="BU279" s="305"/>
      <c r="BV279" s="305"/>
      <c r="BX279" s="319"/>
    </row>
    <row r="280" spans="1:76" s="303" customFormat="1" x14ac:dyDescent="0.25">
      <c r="A280" s="275"/>
      <c r="B280" s="275"/>
      <c r="C280" s="275"/>
      <c r="D280" s="275"/>
      <c r="E280" s="275"/>
      <c r="F280" s="275"/>
      <c r="V280" s="304"/>
      <c r="W280" s="304"/>
      <c r="AD280" s="304"/>
      <c r="AE280" s="304"/>
      <c r="AR280" s="304"/>
      <c r="AS280" s="304"/>
      <c r="AT280" s="304"/>
      <c r="AU280" s="304"/>
      <c r="AV280" s="304"/>
      <c r="AW280" s="304"/>
      <c r="AX280" s="304"/>
      <c r="AY280" s="304"/>
      <c r="AZ280" s="304"/>
      <c r="BA280" s="304"/>
      <c r="BB280" s="304"/>
      <c r="BC280" s="304"/>
      <c r="BK280" s="305"/>
      <c r="BL280" s="305"/>
      <c r="BM280" s="305"/>
      <c r="BN280" s="305"/>
      <c r="BO280" s="305"/>
      <c r="BP280" s="305"/>
      <c r="BQ280" s="305"/>
      <c r="BR280" s="305"/>
      <c r="BS280" s="305"/>
      <c r="BT280" s="305"/>
      <c r="BU280" s="305"/>
      <c r="BV280" s="305"/>
      <c r="BX280" s="319"/>
    </row>
    <row r="281" spans="1:76" s="303" customFormat="1" x14ac:dyDescent="0.25">
      <c r="A281" s="275"/>
      <c r="B281" s="275"/>
      <c r="C281" s="275"/>
      <c r="D281" s="275"/>
      <c r="E281" s="275"/>
      <c r="F281" s="275"/>
      <c r="V281" s="304"/>
      <c r="W281" s="304"/>
      <c r="AD281" s="304"/>
      <c r="AE281" s="304"/>
      <c r="AR281" s="304"/>
      <c r="AS281" s="304"/>
      <c r="AT281" s="304"/>
      <c r="AU281" s="304"/>
      <c r="AV281" s="304"/>
      <c r="AW281" s="304"/>
      <c r="AX281" s="304"/>
      <c r="AY281" s="304"/>
      <c r="AZ281" s="304"/>
      <c r="BA281" s="304"/>
      <c r="BB281" s="304"/>
      <c r="BC281" s="304"/>
      <c r="BK281" s="305"/>
      <c r="BL281" s="305"/>
      <c r="BM281" s="305"/>
      <c r="BN281" s="305"/>
      <c r="BO281" s="305"/>
      <c r="BP281" s="305"/>
      <c r="BQ281" s="305"/>
      <c r="BR281" s="305"/>
      <c r="BS281" s="305"/>
      <c r="BT281" s="305"/>
      <c r="BU281" s="305"/>
      <c r="BV281" s="305"/>
      <c r="BX281" s="319"/>
    </row>
    <row r="282" spans="1:76" s="303" customFormat="1" x14ac:dyDescent="0.25">
      <c r="A282" s="275"/>
      <c r="B282" s="275"/>
      <c r="C282" s="275"/>
      <c r="D282" s="275"/>
      <c r="E282" s="275"/>
      <c r="F282" s="275"/>
      <c r="V282" s="304"/>
      <c r="W282" s="304"/>
      <c r="AD282" s="304"/>
      <c r="AE282" s="304"/>
      <c r="AR282" s="304"/>
      <c r="AS282" s="304"/>
      <c r="AT282" s="304"/>
      <c r="AU282" s="304"/>
      <c r="AV282" s="304"/>
      <c r="AW282" s="304"/>
      <c r="AX282" s="304"/>
      <c r="AY282" s="304"/>
      <c r="AZ282" s="304"/>
      <c r="BA282" s="304"/>
      <c r="BB282" s="304"/>
      <c r="BC282" s="304"/>
      <c r="BK282" s="305"/>
      <c r="BL282" s="305"/>
      <c r="BM282" s="305"/>
      <c r="BN282" s="305"/>
      <c r="BO282" s="305"/>
      <c r="BP282" s="305"/>
      <c r="BQ282" s="305"/>
      <c r="BR282" s="305"/>
      <c r="BS282" s="305"/>
      <c r="BT282" s="305"/>
      <c r="BU282" s="305"/>
      <c r="BV282" s="305"/>
      <c r="BX282" s="319"/>
    </row>
    <row r="283" spans="1:76" s="303" customFormat="1" x14ac:dyDescent="0.25">
      <c r="A283" s="275"/>
      <c r="B283" s="275"/>
      <c r="C283" s="275"/>
      <c r="D283" s="275"/>
      <c r="E283" s="275"/>
      <c r="F283" s="275"/>
      <c r="V283" s="304"/>
      <c r="W283" s="304"/>
      <c r="AD283" s="304"/>
      <c r="AE283" s="304"/>
      <c r="AR283" s="304"/>
      <c r="AS283" s="304"/>
      <c r="AT283" s="304"/>
      <c r="AU283" s="304"/>
      <c r="AV283" s="304"/>
      <c r="AW283" s="304"/>
      <c r="AX283" s="304"/>
      <c r="AY283" s="304"/>
      <c r="AZ283" s="304"/>
      <c r="BA283" s="304"/>
      <c r="BB283" s="304"/>
      <c r="BC283" s="304"/>
      <c r="BK283" s="305"/>
      <c r="BL283" s="305"/>
      <c r="BM283" s="305"/>
      <c r="BN283" s="305"/>
      <c r="BO283" s="305"/>
      <c r="BP283" s="305"/>
      <c r="BQ283" s="305"/>
      <c r="BR283" s="305"/>
      <c r="BS283" s="305"/>
      <c r="BT283" s="305"/>
      <c r="BU283" s="305"/>
      <c r="BV283" s="305"/>
      <c r="BX283" s="319"/>
    </row>
    <row r="284" spans="1:76" s="303" customFormat="1" x14ac:dyDescent="0.25">
      <c r="A284" s="275"/>
      <c r="B284" s="275"/>
      <c r="C284" s="275"/>
      <c r="D284" s="275"/>
      <c r="E284" s="275"/>
      <c r="F284" s="275"/>
      <c r="V284" s="304"/>
      <c r="W284" s="304"/>
      <c r="AD284" s="304"/>
      <c r="AE284" s="304"/>
      <c r="AR284" s="304"/>
      <c r="AS284" s="304"/>
      <c r="AT284" s="304"/>
      <c r="AU284" s="304"/>
      <c r="AV284" s="304"/>
      <c r="AW284" s="304"/>
      <c r="AX284" s="304"/>
      <c r="AY284" s="304"/>
      <c r="AZ284" s="304"/>
      <c r="BA284" s="304"/>
      <c r="BB284" s="304"/>
      <c r="BC284" s="304"/>
      <c r="BK284" s="305"/>
      <c r="BL284" s="305"/>
      <c r="BM284" s="305"/>
      <c r="BN284" s="305"/>
      <c r="BO284" s="305"/>
      <c r="BP284" s="305"/>
      <c r="BQ284" s="305"/>
      <c r="BR284" s="305"/>
      <c r="BS284" s="305"/>
      <c r="BT284" s="305"/>
      <c r="BU284" s="305"/>
      <c r="BV284" s="305"/>
      <c r="BX284" s="319"/>
    </row>
    <row r="285" spans="1:76" s="303" customFormat="1" x14ac:dyDescent="0.25">
      <c r="A285" s="275"/>
      <c r="B285" s="275"/>
      <c r="C285" s="275"/>
      <c r="D285" s="275"/>
      <c r="E285" s="275"/>
      <c r="F285" s="275"/>
      <c r="V285" s="304"/>
      <c r="W285" s="304"/>
      <c r="AD285" s="304"/>
      <c r="AE285" s="304"/>
      <c r="AR285" s="304"/>
      <c r="AS285" s="304"/>
      <c r="AT285" s="304"/>
      <c r="AU285" s="304"/>
      <c r="AV285" s="304"/>
      <c r="AW285" s="304"/>
      <c r="AX285" s="304"/>
      <c r="AY285" s="304"/>
      <c r="AZ285" s="304"/>
      <c r="BA285" s="304"/>
      <c r="BB285" s="304"/>
      <c r="BC285" s="304"/>
      <c r="BK285" s="305"/>
      <c r="BL285" s="305"/>
      <c r="BM285" s="305"/>
      <c r="BN285" s="305"/>
      <c r="BO285" s="305"/>
      <c r="BP285" s="305"/>
      <c r="BQ285" s="305"/>
      <c r="BR285" s="305"/>
      <c r="BS285" s="305"/>
      <c r="BT285" s="305"/>
      <c r="BU285" s="305"/>
      <c r="BV285" s="305"/>
      <c r="BX285" s="319"/>
    </row>
    <row r="286" spans="1:76" s="303" customFormat="1" x14ac:dyDescent="0.25">
      <c r="A286" s="275"/>
      <c r="B286" s="275"/>
      <c r="C286" s="275"/>
      <c r="D286" s="275"/>
      <c r="E286" s="275"/>
      <c r="F286" s="275"/>
      <c r="V286" s="304"/>
      <c r="W286" s="304"/>
      <c r="AD286" s="304"/>
      <c r="AE286" s="304"/>
      <c r="AR286" s="304"/>
      <c r="AS286" s="304"/>
      <c r="AT286" s="304"/>
      <c r="AU286" s="304"/>
      <c r="AV286" s="304"/>
      <c r="AW286" s="304"/>
      <c r="AX286" s="304"/>
      <c r="AY286" s="304"/>
      <c r="AZ286" s="304"/>
      <c r="BA286" s="304"/>
      <c r="BB286" s="304"/>
      <c r="BC286" s="304"/>
      <c r="BK286" s="305"/>
      <c r="BL286" s="305"/>
      <c r="BM286" s="305"/>
      <c r="BN286" s="305"/>
      <c r="BO286" s="305"/>
      <c r="BP286" s="305"/>
      <c r="BQ286" s="305"/>
      <c r="BR286" s="305"/>
      <c r="BS286" s="305"/>
      <c r="BT286" s="305"/>
      <c r="BU286" s="305"/>
      <c r="BV286" s="305"/>
      <c r="BX286" s="319"/>
    </row>
    <row r="287" spans="1:76" s="303" customFormat="1" x14ac:dyDescent="0.25">
      <c r="A287" s="275"/>
      <c r="B287" s="275"/>
      <c r="C287" s="275"/>
      <c r="D287" s="275"/>
      <c r="E287" s="275"/>
      <c r="F287" s="275"/>
      <c r="V287" s="304"/>
      <c r="W287" s="304"/>
      <c r="AD287" s="304"/>
      <c r="AE287" s="304"/>
      <c r="AR287" s="304"/>
      <c r="AS287" s="304"/>
      <c r="AT287" s="304"/>
      <c r="AU287" s="304"/>
      <c r="AV287" s="304"/>
      <c r="AW287" s="304"/>
      <c r="AX287" s="304"/>
      <c r="AY287" s="304"/>
      <c r="AZ287" s="304"/>
      <c r="BA287" s="304"/>
      <c r="BB287" s="304"/>
      <c r="BC287" s="304"/>
      <c r="BK287" s="305"/>
      <c r="BL287" s="305"/>
      <c r="BM287" s="305"/>
      <c r="BN287" s="305"/>
      <c r="BO287" s="305"/>
      <c r="BP287" s="305"/>
      <c r="BQ287" s="305"/>
      <c r="BR287" s="305"/>
      <c r="BS287" s="305"/>
      <c r="BT287" s="305"/>
      <c r="BU287" s="305"/>
      <c r="BV287" s="305"/>
      <c r="BX287" s="319"/>
    </row>
    <row r="288" spans="1:76" s="303" customFormat="1" x14ac:dyDescent="0.25">
      <c r="A288" s="275"/>
      <c r="B288" s="275"/>
      <c r="C288" s="275"/>
      <c r="D288" s="275"/>
      <c r="E288" s="275"/>
      <c r="F288" s="275"/>
      <c r="V288" s="304"/>
      <c r="W288" s="304"/>
      <c r="AD288" s="304"/>
      <c r="AE288" s="304"/>
      <c r="AR288" s="304"/>
      <c r="AS288" s="304"/>
      <c r="AT288" s="304"/>
      <c r="AU288" s="304"/>
      <c r="AV288" s="304"/>
      <c r="AW288" s="304"/>
      <c r="AX288" s="304"/>
      <c r="AY288" s="304"/>
      <c r="AZ288" s="304"/>
      <c r="BA288" s="304"/>
      <c r="BB288" s="304"/>
      <c r="BC288" s="304"/>
      <c r="BK288" s="305"/>
      <c r="BL288" s="305"/>
      <c r="BM288" s="305"/>
      <c r="BN288" s="305"/>
      <c r="BO288" s="305"/>
      <c r="BP288" s="305"/>
      <c r="BQ288" s="305"/>
      <c r="BR288" s="305"/>
      <c r="BS288" s="305"/>
      <c r="BT288" s="305"/>
      <c r="BU288" s="305"/>
      <c r="BV288" s="305"/>
      <c r="BX288" s="319"/>
    </row>
    <row r="289" spans="1:76" s="303" customFormat="1" x14ac:dyDescent="0.25">
      <c r="A289" s="275"/>
      <c r="B289" s="275"/>
      <c r="C289" s="275"/>
      <c r="D289" s="275"/>
      <c r="E289" s="275"/>
      <c r="F289" s="275"/>
      <c r="V289" s="304"/>
      <c r="W289" s="304"/>
      <c r="AD289" s="304"/>
      <c r="AE289" s="304"/>
      <c r="AR289" s="304"/>
      <c r="AS289" s="304"/>
      <c r="AT289" s="304"/>
      <c r="AU289" s="304"/>
      <c r="AV289" s="304"/>
      <c r="AW289" s="304"/>
      <c r="AX289" s="304"/>
      <c r="AY289" s="304"/>
      <c r="AZ289" s="304"/>
      <c r="BA289" s="304"/>
      <c r="BB289" s="304"/>
      <c r="BC289" s="304"/>
      <c r="BK289" s="305"/>
      <c r="BL289" s="305"/>
      <c r="BM289" s="305"/>
      <c r="BN289" s="305"/>
      <c r="BO289" s="305"/>
      <c r="BP289" s="305"/>
      <c r="BQ289" s="305"/>
      <c r="BR289" s="305"/>
      <c r="BS289" s="305"/>
      <c r="BT289" s="305"/>
      <c r="BU289" s="305"/>
      <c r="BV289" s="305"/>
      <c r="BX289" s="319"/>
    </row>
    <row r="290" spans="1:76" s="303" customFormat="1" x14ac:dyDescent="0.25">
      <c r="A290" s="275"/>
      <c r="B290" s="275"/>
      <c r="C290" s="275"/>
      <c r="D290" s="275"/>
      <c r="E290" s="275"/>
      <c r="F290" s="275"/>
      <c r="V290" s="304"/>
      <c r="W290" s="304"/>
      <c r="AD290" s="304"/>
      <c r="AE290" s="304"/>
      <c r="AR290" s="304"/>
      <c r="AS290" s="304"/>
      <c r="AT290" s="304"/>
      <c r="AU290" s="304"/>
      <c r="AV290" s="304"/>
      <c r="AW290" s="304"/>
      <c r="AX290" s="304"/>
      <c r="AY290" s="304"/>
      <c r="AZ290" s="304"/>
      <c r="BA290" s="304"/>
      <c r="BB290" s="304"/>
      <c r="BC290" s="304"/>
      <c r="BK290" s="305"/>
      <c r="BL290" s="305"/>
      <c r="BM290" s="305"/>
      <c r="BN290" s="305"/>
      <c r="BO290" s="305"/>
      <c r="BP290" s="305"/>
      <c r="BQ290" s="305"/>
      <c r="BR290" s="305"/>
      <c r="BS290" s="305"/>
      <c r="BT290" s="305"/>
      <c r="BU290" s="305"/>
      <c r="BV290" s="305"/>
      <c r="BX290" s="319"/>
    </row>
    <row r="291" spans="1:76" s="303" customFormat="1" x14ac:dyDescent="0.25">
      <c r="A291" s="275"/>
      <c r="B291" s="275"/>
      <c r="C291" s="275"/>
      <c r="D291" s="275"/>
      <c r="E291" s="275"/>
      <c r="F291" s="275"/>
      <c r="V291" s="304"/>
      <c r="W291" s="304"/>
      <c r="AD291" s="304"/>
      <c r="AE291" s="304"/>
      <c r="AR291" s="304"/>
      <c r="AS291" s="304"/>
      <c r="AT291" s="304"/>
      <c r="AU291" s="304"/>
      <c r="AV291" s="304"/>
      <c r="AW291" s="304"/>
      <c r="AX291" s="304"/>
      <c r="AY291" s="304"/>
      <c r="AZ291" s="304"/>
      <c r="BA291" s="304"/>
      <c r="BB291" s="304"/>
      <c r="BC291" s="304"/>
      <c r="BK291" s="305"/>
      <c r="BL291" s="305"/>
      <c r="BM291" s="305"/>
      <c r="BN291" s="305"/>
      <c r="BO291" s="305"/>
      <c r="BP291" s="305"/>
      <c r="BQ291" s="305"/>
      <c r="BR291" s="305"/>
      <c r="BS291" s="305"/>
      <c r="BT291" s="305"/>
      <c r="BU291" s="305"/>
      <c r="BV291" s="305"/>
      <c r="BX291" s="319"/>
    </row>
    <row r="292" spans="1:76" s="303" customFormat="1" x14ac:dyDescent="0.25">
      <c r="A292" s="275"/>
      <c r="B292" s="275"/>
      <c r="C292" s="275"/>
      <c r="D292" s="275"/>
      <c r="E292" s="275"/>
      <c r="F292" s="275"/>
      <c r="V292" s="304"/>
      <c r="W292" s="304"/>
      <c r="AD292" s="304"/>
      <c r="AE292" s="304"/>
      <c r="AR292" s="304"/>
      <c r="AS292" s="304"/>
      <c r="AT292" s="304"/>
      <c r="AU292" s="304"/>
      <c r="AV292" s="304"/>
      <c r="AW292" s="304"/>
      <c r="AX292" s="304"/>
      <c r="AY292" s="304"/>
      <c r="AZ292" s="304"/>
      <c r="BA292" s="304"/>
      <c r="BB292" s="304"/>
      <c r="BC292" s="304"/>
      <c r="BK292" s="305"/>
      <c r="BL292" s="305"/>
      <c r="BM292" s="305"/>
      <c r="BN292" s="305"/>
      <c r="BO292" s="305"/>
      <c r="BP292" s="305"/>
      <c r="BQ292" s="305"/>
      <c r="BR292" s="305"/>
      <c r="BS292" s="305"/>
      <c r="BT292" s="305"/>
      <c r="BU292" s="305"/>
      <c r="BV292" s="305"/>
      <c r="BX292" s="319"/>
    </row>
    <row r="293" spans="1:76" s="303" customFormat="1" x14ac:dyDescent="0.25">
      <c r="A293" s="275"/>
      <c r="B293" s="275"/>
      <c r="C293" s="275"/>
      <c r="D293" s="275"/>
      <c r="E293" s="275"/>
      <c r="F293" s="275"/>
      <c r="V293" s="304"/>
      <c r="W293" s="304"/>
      <c r="AD293" s="304"/>
      <c r="AE293" s="304"/>
      <c r="AR293" s="304"/>
      <c r="AS293" s="304"/>
      <c r="AT293" s="304"/>
      <c r="AU293" s="304"/>
      <c r="AV293" s="304"/>
      <c r="AW293" s="304"/>
      <c r="AX293" s="304"/>
      <c r="AY293" s="304"/>
      <c r="AZ293" s="304"/>
      <c r="BA293" s="304"/>
      <c r="BB293" s="304"/>
      <c r="BC293" s="304"/>
      <c r="BK293" s="305"/>
      <c r="BL293" s="305"/>
      <c r="BM293" s="305"/>
      <c r="BN293" s="305"/>
      <c r="BO293" s="305"/>
      <c r="BP293" s="305"/>
      <c r="BQ293" s="305"/>
      <c r="BR293" s="305"/>
      <c r="BS293" s="305"/>
      <c r="BT293" s="305"/>
      <c r="BU293" s="305"/>
      <c r="BV293" s="305"/>
      <c r="BX293" s="319"/>
    </row>
    <row r="294" spans="1:76" s="303" customFormat="1" x14ac:dyDescent="0.25">
      <c r="A294" s="275"/>
      <c r="B294" s="275"/>
      <c r="C294" s="275"/>
      <c r="D294" s="275"/>
      <c r="E294" s="275"/>
      <c r="F294" s="275"/>
      <c r="V294" s="304"/>
      <c r="W294" s="304"/>
      <c r="AD294" s="304"/>
      <c r="AE294" s="304"/>
      <c r="AR294" s="304"/>
      <c r="AS294" s="304"/>
      <c r="AT294" s="304"/>
      <c r="AU294" s="304"/>
      <c r="AV294" s="304"/>
      <c r="AW294" s="304"/>
      <c r="AX294" s="304"/>
      <c r="AY294" s="304"/>
      <c r="AZ294" s="304"/>
      <c r="BA294" s="304"/>
      <c r="BB294" s="304"/>
      <c r="BC294" s="304"/>
      <c r="BK294" s="305"/>
      <c r="BL294" s="305"/>
      <c r="BM294" s="305"/>
      <c r="BN294" s="305"/>
      <c r="BO294" s="305"/>
      <c r="BP294" s="305"/>
      <c r="BQ294" s="305"/>
      <c r="BR294" s="305"/>
      <c r="BS294" s="305"/>
      <c r="BT294" s="305"/>
      <c r="BU294" s="305"/>
      <c r="BV294" s="305"/>
      <c r="BX294" s="319"/>
    </row>
    <row r="295" spans="1:76" s="303" customFormat="1" x14ac:dyDescent="0.25">
      <c r="A295" s="275"/>
      <c r="B295" s="275"/>
      <c r="C295" s="275"/>
      <c r="D295" s="275"/>
      <c r="E295" s="275"/>
      <c r="F295" s="275"/>
      <c r="V295" s="304"/>
      <c r="W295" s="304"/>
      <c r="AD295" s="304"/>
      <c r="AE295" s="304"/>
      <c r="AR295" s="304"/>
      <c r="AS295" s="304"/>
      <c r="AT295" s="304"/>
      <c r="AU295" s="304"/>
      <c r="AV295" s="304"/>
      <c r="AW295" s="304"/>
      <c r="AX295" s="304"/>
      <c r="AY295" s="304"/>
      <c r="AZ295" s="304"/>
      <c r="BA295" s="304"/>
      <c r="BB295" s="304"/>
      <c r="BC295" s="304"/>
      <c r="BK295" s="305"/>
      <c r="BL295" s="305"/>
      <c r="BM295" s="305"/>
      <c r="BN295" s="305"/>
      <c r="BO295" s="305"/>
      <c r="BP295" s="305"/>
      <c r="BQ295" s="305"/>
      <c r="BR295" s="305"/>
      <c r="BS295" s="305"/>
      <c r="BT295" s="305"/>
      <c r="BU295" s="305"/>
      <c r="BV295" s="305"/>
      <c r="BX295" s="319"/>
    </row>
    <row r="296" spans="1:76" s="303" customFormat="1" x14ac:dyDescent="0.25">
      <c r="A296" s="275"/>
      <c r="B296" s="275"/>
      <c r="C296" s="275"/>
      <c r="D296" s="275"/>
      <c r="E296" s="275"/>
      <c r="F296" s="275"/>
      <c r="V296" s="304"/>
      <c r="W296" s="304"/>
      <c r="AD296" s="304"/>
      <c r="AE296" s="304"/>
      <c r="AR296" s="304"/>
      <c r="AS296" s="304"/>
      <c r="AT296" s="304"/>
      <c r="AU296" s="304"/>
      <c r="AV296" s="304"/>
      <c r="AW296" s="304"/>
      <c r="AX296" s="304"/>
      <c r="AY296" s="304"/>
      <c r="AZ296" s="304"/>
      <c r="BA296" s="304"/>
      <c r="BB296" s="304"/>
      <c r="BC296" s="304"/>
      <c r="BK296" s="305"/>
      <c r="BL296" s="305"/>
      <c r="BM296" s="305"/>
      <c r="BN296" s="305"/>
      <c r="BO296" s="305"/>
      <c r="BP296" s="305"/>
      <c r="BQ296" s="305"/>
      <c r="BR296" s="305"/>
      <c r="BS296" s="305"/>
      <c r="BT296" s="305"/>
      <c r="BU296" s="305"/>
      <c r="BV296" s="305"/>
      <c r="BX296" s="319"/>
    </row>
    <row r="297" spans="1:76" s="303" customFormat="1" x14ac:dyDescent="0.25">
      <c r="A297" s="275"/>
      <c r="B297" s="275"/>
      <c r="C297" s="275"/>
      <c r="D297" s="275"/>
      <c r="E297" s="275"/>
      <c r="F297" s="275"/>
      <c r="V297" s="304"/>
      <c r="W297" s="304"/>
      <c r="AD297" s="304"/>
      <c r="AE297" s="304"/>
      <c r="AR297" s="304"/>
      <c r="AS297" s="304"/>
      <c r="AT297" s="304"/>
      <c r="AU297" s="304"/>
      <c r="AV297" s="304"/>
      <c r="AW297" s="304"/>
      <c r="AX297" s="304"/>
      <c r="AY297" s="304"/>
      <c r="AZ297" s="304"/>
      <c r="BA297" s="304"/>
      <c r="BB297" s="304"/>
      <c r="BC297" s="304"/>
      <c r="BK297" s="305"/>
      <c r="BL297" s="305"/>
      <c r="BM297" s="305"/>
      <c r="BN297" s="305"/>
      <c r="BO297" s="305"/>
      <c r="BP297" s="305"/>
      <c r="BQ297" s="305"/>
      <c r="BR297" s="305"/>
      <c r="BS297" s="305"/>
      <c r="BT297" s="305"/>
      <c r="BU297" s="305"/>
      <c r="BV297" s="305"/>
      <c r="BX297" s="319"/>
    </row>
    <row r="298" spans="1:76" s="303" customFormat="1" x14ac:dyDescent="0.25">
      <c r="A298" s="275"/>
      <c r="B298" s="275"/>
      <c r="C298" s="275"/>
      <c r="D298" s="275"/>
      <c r="E298" s="275"/>
      <c r="F298" s="275"/>
      <c r="V298" s="304"/>
      <c r="W298" s="304"/>
      <c r="AD298" s="304"/>
      <c r="AE298" s="304"/>
      <c r="AR298" s="304"/>
      <c r="AS298" s="304"/>
      <c r="AT298" s="304"/>
      <c r="AU298" s="304"/>
      <c r="AV298" s="304"/>
      <c r="AW298" s="304"/>
      <c r="AX298" s="304"/>
      <c r="AY298" s="304"/>
      <c r="AZ298" s="304"/>
      <c r="BA298" s="304"/>
      <c r="BB298" s="304"/>
      <c r="BC298" s="304"/>
      <c r="BK298" s="305"/>
      <c r="BL298" s="305"/>
      <c r="BM298" s="305"/>
      <c r="BN298" s="305"/>
      <c r="BO298" s="305"/>
      <c r="BP298" s="305"/>
      <c r="BQ298" s="305"/>
      <c r="BR298" s="305"/>
      <c r="BS298" s="305"/>
      <c r="BT298" s="305"/>
      <c r="BU298" s="305"/>
      <c r="BV298" s="305"/>
      <c r="BX298" s="319"/>
    </row>
    <row r="299" spans="1:76" s="303" customFormat="1" x14ac:dyDescent="0.25">
      <c r="A299" s="275"/>
      <c r="B299" s="275"/>
      <c r="C299" s="275"/>
      <c r="D299" s="275"/>
      <c r="E299" s="275"/>
      <c r="F299" s="275"/>
      <c r="V299" s="304"/>
      <c r="W299" s="304"/>
      <c r="AD299" s="304"/>
      <c r="AE299" s="304"/>
      <c r="AR299" s="304"/>
      <c r="AS299" s="304"/>
      <c r="AT299" s="304"/>
      <c r="AU299" s="304"/>
      <c r="AV299" s="304"/>
      <c r="AW299" s="304"/>
      <c r="AX299" s="304"/>
      <c r="AY299" s="304"/>
      <c r="AZ299" s="304"/>
      <c r="BA299" s="304"/>
      <c r="BB299" s="304"/>
      <c r="BC299" s="304"/>
      <c r="BK299" s="305"/>
      <c r="BL299" s="305"/>
      <c r="BM299" s="305"/>
      <c r="BN299" s="305"/>
      <c r="BO299" s="305"/>
      <c r="BP299" s="305"/>
      <c r="BQ299" s="305"/>
      <c r="BR299" s="305"/>
      <c r="BS299" s="305"/>
      <c r="BT299" s="305"/>
      <c r="BU299" s="305"/>
      <c r="BV299" s="305"/>
      <c r="BX299" s="319"/>
    </row>
    <row r="300" spans="1:76" s="303" customFormat="1" x14ac:dyDescent="0.25">
      <c r="A300" s="275"/>
      <c r="B300" s="275"/>
      <c r="C300" s="275"/>
      <c r="D300" s="275"/>
      <c r="E300" s="275"/>
      <c r="F300" s="275"/>
      <c r="V300" s="304"/>
      <c r="W300" s="304"/>
      <c r="AD300" s="304"/>
      <c r="AE300" s="304"/>
      <c r="AR300" s="304"/>
      <c r="AS300" s="304"/>
      <c r="AT300" s="304"/>
      <c r="AU300" s="304"/>
      <c r="AV300" s="304"/>
      <c r="AW300" s="304"/>
      <c r="AX300" s="304"/>
      <c r="AY300" s="304"/>
      <c r="AZ300" s="304"/>
      <c r="BA300" s="304"/>
      <c r="BB300" s="304"/>
      <c r="BC300" s="304"/>
      <c r="BK300" s="305"/>
      <c r="BL300" s="305"/>
      <c r="BM300" s="305"/>
      <c r="BN300" s="305"/>
      <c r="BO300" s="305"/>
      <c r="BP300" s="305"/>
      <c r="BQ300" s="305"/>
      <c r="BR300" s="305"/>
      <c r="BS300" s="305"/>
      <c r="BT300" s="305"/>
      <c r="BU300" s="305"/>
      <c r="BV300" s="305"/>
      <c r="BX300" s="319"/>
    </row>
    <row r="301" spans="1:76" s="303" customFormat="1" x14ac:dyDescent="0.25">
      <c r="A301" s="275"/>
      <c r="B301" s="275"/>
      <c r="C301" s="275"/>
      <c r="D301" s="275"/>
      <c r="E301" s="275"/>
      <c r="F301" s="275"/>
      <c r="V301" s="304"/>
      <c r="W301" s="304"/>
      <c r="AD301" s="304"/>
      <c r="AE301" s="304"/>
      <c r="AR301" s="304"/>
      <c r="AS301" s="304"/>
      <c r="AT301" s="304"/>
      <c r="AU301" s="304"/>
      <c r="AV301" s="304"/>
      <c r="AW301" s="304"/>
      <c r="AX301" s="304"/>
      <c r="AY301" s="304"/>
      <c r="AZ301" s="304"/>
      <c r="BA301" s="304"/>
      <c r="BB301" s="304"/>
      <c r="BC301" s="304"/>
      <c r="BK301" s="305"/>
      <c r="BL301" s="305"/>
      <c r="BM301" s="305"/>
      <c r="BN301" s="305"/>
      <c r="BO301" s="305"/>
      <c r="BP301" s="305"/>
      <c r="BQ301" s="305"/>
      <c r="BR301" s="305"/>
      <c r="BS301" s="305"/>
      <c r="BT301" s="305"/>
      <c r="BU301" s="305"/>
      <c r="BV301" s="305"/>
      <c r="BX301" s="319"/>
    </row>
    <row r="302" spans="1:76" s="303" customFormat="1" x14ac:dyDescent="0.25">
      <c r="A302" s="275"/>
      <c r="B302" s="275"/>
      <c r="C302" s="275"/>
      <c r="D302" s="275"/>
      <c r="E302" s="275"/>
      <c r="F302" s="275"/>
      <c r="V302" s="304"/>
      <c r="W302" s="304"/>
      <c r="AD302" s="304"/>
      <c r="AE302" s="304"/>
      <c r="AR302" s="304"/>
      <c r="AS302" s="304"/>
      <c r="AT302" s="304"/>
      <c r="AU302" s="304"/>
      <c r="AV302" s="304"/>
      <c r="AW302" s="304"/>
      <c r="AX302" s="304"/>
      <c r="AY302" s="304"/>
      <c r="AZ302" s="304"/>
      <c r="BA302" s="304"/>
      <c r="BB302" s="304"/>
      <c r="BC302" s="304"/>
      <c r="BK302" s="305"/>
      <c r="BL302" s="305"/>
      <c r="BM302" s="305"/>
      <c r="BN302" s="305"/>
      <c r="BO302" s="305"/>
      <c r="BP302" s="305"/>
      <c r="BQ302" s="305"/>
      <c r="BR302" s="305"/>
      <c r="BS302" s="305"/>
      <c r="BT302" s="305"/>
      <c r="BU302" s="305"/>
      <c r="BV302" s="305"/>
      <c r="BX302" s="319"/>
    </row>
    <row r="303" spans="1:76" s="303" customFormat="1" x14ac:dyDescent="0.25">
      <c r="A303" s="275"/>
      <c r="B303" s="275"/>
      <c r="C303" s="275"/>
      <c r="D303" s="275"/>
      <c r="E303" s="275"/>
      <c r="F303" s="275"/>
      <c r="V303" s="304"/>
      <c r="W303" s="304"/>
      <c r="AD303" s="304"/>
      <c r="AE303" s="304"/>
      <c r="AR303" s="304"/>
      <c r="AS303" s="304"/>
      <c r="AT303" s="304"/>
      <c r="AU303" s="304"/>
      <c r="AV303" s="304"/>
      <c r="AW303" s="304"/>
      <c r="AX303" s="304"/>
      <c r="AY303" s="304"/>
      <c r="AZ303" s="304"/>
      <c r="BA303" s="304"/>
      <c r="BB303" s="304"/>
      <c r="BC303" s="304"/>
      <c r="BK303" s="305"/>
      <c r="BL303" s="305"/>
      <c r="BM303" s="305"/>
      <c r="BN303" s="305"/>
      <c r="BO303" s="305"/>
      <c r="BP303" s="305"/>
      <c r="BQ303" s="305"/>
      <c r="BR303" s="305"/>
      <c r="BS303" s="305"/>
      <c r="BT303" s="305"/>
      <c r="BU303" s="305"/>
      <c r="BV303" s="305"/>
      <c r="BX303" s="319"/>
    </row>
    <row r="304" spans="1:76" s="303" customFormat="1" x14ac:dyDescent="0.25">
      <c r="A304" s="275"/>
      <c r="B304" s="275"/>
      <c r="C304" s="275"/>
      <c r="D304" s="275"/>
      <c r="E304" s="275"/>
      <c r="F304" s="275"/>
      <c r="V304" s="304"/>
      <c r="W304" s="304"/>
      <c r="AD304" s="304"/>
      <c r="AE304" s="304"/>
      <c r="AR304" s="304"/>
      <c r="AS304" s="304"/>
      <c r="AT304" s="304"/>
      <c r="AU304" s="304"/>
      <c r="AV304" s="304"/>
      <c r="AW304" s="304"/>
      <c r="AX304" s="304"/>
      <c r="AY304" s="304"/>
      <c r="AZ304" s="304"/>
      <c r="BA304" s="304"/>
      <c r="BB304" s="304"/>
      <c r="BC304" s="304"/>
      <c r="BK304" s="305"/>
      <c r="BL304" s="305"/>
      <c r="BM304" s="305"/>
      <c r="BN304" s="305"/>
      <c r="BO304" s="305"/>
      <c r="BP304" s="305"/>
      <c r="BQ304" s="305"/>
      <c r="BR304" s="305"/>
      <c r="BS304" s="305"/>
      <c r="BT304" s="305"/>
      <c r="BU304" s="305"/>
      <c r="BV304" s="305"/>
      <c r="BX304" s="319"/>
    </row>
    <row r="305" spans="1:76" s="303" customFormat="1" x14ac:dyDescent="0.25">
      <c r="A305" s="275"/>
      <c r="B305" s="275"/>
      <c r="C305" s="275"/>
      <c r="D305" s="275"/>
      <c r="E305" s="275"/>
      <c r="F305" s="275"/>
      <c r="V305" s="304"/>
      <c r="W305" s="304"/>
      <c r="AD305" s="304"/>
      <c r="AE305" s="304"/>
      <c r="AR305" s="304"/>
      <c r="AS305" s="304"/>
      <c r="AT305" s="304"/>
      <c r="AU305" s="304"/>
      <c r="AV305" s="304"/>
      <c r="AW305" s="304"/>
      <c r="AX305" s="304"/>
      <c r="AY305" s="304"/>
      <c r="AZ305" s="304"/>
      <c r="BA305" s="304"/>
      <c r="BB305" s="304"/>
      <c r="BC305" s="304"/>
      <c r="BK305" s="305"/>
      <c r="BL305" s="305"/>
      <c r="BM305" s="305"/>
      <c r="BN305" s="305"/>
      <c r="BO305" s="305"/>
      <c r="BP305" s="305"/>
      <c r="BQ305" s="305"/>
      <c r="BR305" s="305"/>
      <c r="BS305" s="305"/>
      <c r="BT305" s="305"/>
      <c r="BU305" s="305"/>
      <c r="BV305" s="305"/>
      <c r="BX305" s="319"/>
    </row>
    <row r="306" spans="1:76" s="303" customFormat="1" x14ac:dyDescent="0.25">
      <c r="A306" s="275"/>
      <c r="B306" s="275"/>
      <c r="C306" s="275"/>
      <c r="D306" s="275"/>
      <c r="E306" s="275"/>
      <c r="F306" s="275"/>
      <c r="V306" s="304"/>
      <c r="W306" s="304"/>
      <c r="AD306" s="304"/>
      <c r="AE306" s="304"/>
      <c r="AR306" s="304"/>
      <c r="AS306" s="304"/>
      <c r="AT306" s="304"/>
      <c r="AU306" s="304"/>
      <c r="AV306" s="304"/>
      <c r="AW306" s="304"/>
      <c r="AX306" s="304"/>
      <c r="AY306" s="304"/>
      <c r="AZ306" s="304"/>
      <c r="BA306" s="304"/>
      <c r="BB306" s="304"/>
      <c r="BC306" s="304"/>
      <c r="BK306" s="305"/>
      <c r="BL306" s="305"/>
      <c r="BM306" s="305"/>
      <c r="BN306" s="305"/>
      <c r="BO306" s="305"/>
      <c r="BP306" s="305"/>
      <c r="BQ306" s="305"/>
      <c r="BR306" s="305"/>
      <c r="BS306" s="305"/>
      <c r="BT306" s="305"/>
      <c r="BU306" s="305"/>
      <c r="BV306" s="305"/>
      <c r="BX306" s="319"/>
    </row>
    <row r="307" spans="1:76" s="303" customFormat="1" x14ac:dyDescent="0.25">
      <c r="A307" s="275"/>
      <c r="B307" s="275"/>
      <c r="C307" s="275"/>
      <c r="D307" s="275"/>
      <c r="E307" s="275"/>
      <c r="F307" s="275"/>
      <c r="V307" s="304"/>
      <c r="W307" s="304"/>
      <c r="AD307" s="304"/>
      <c r="AE307" s="304"/>
      <c r="AR307" s="304"/>
      <c r="AS307" s="304"/>
      <c r="AT307" s="304"/>
      <c r="AU307" s="304"/>
      <c r="AV307" s="304"/>
      <c r="AW307" s="304"/>
      <c r="AX307" s="304"/>
      <c r="AY307" s="304"/>
      <c r="AZ307" s="304"/>
      <c r="BA307" s="304"/>
      <c r="BB307" s="304"/>
      <c r="BC307" s="304"/>
      <c r="BK307" s="305"/>
      <c r="BL307" s="305"/>
      <c r="BM307" s="305"/>
      <c r="BN307" s="305"/>
      <c r="BO307" s="305"/>
      <c r="BP307" s="305"/>
      <c r="BQ307" s="305"/>
      <c r="BR307" s="305"/>
      <c r="BS307" s="305"/>
      <c r="BT307" s="305"/>
      <c r="BU307" s="305"/>
      <c r="BV307" s="305"/>
      <c r="BX307" s="319"/>
    </row>
    <row r="308" spans="1:76" s="303" customFormat="1" x14ac:dyDescent="0.25">
      <c r="A308" s="275"/>
      <c r="B308" s="275"/>
      <c r="C308" s="275"/>
      <c r="D308" s="275"/>
      <c r="E308" s="275"/>
      <c r="F308" s="275"/>
      <c r="V308" s="304"/>
      <c r="W308" s="304"/>
      <c r="AD308" s="304"/>
      <c r="AE308" s="304"/>
      <c r="AR308" s="304"/>
      <c r="AS308" s="304"/>
      <c r="AT308" s="304"/>
      <c r="AU308" s="304"/>
      <c r="AV308" s="304"/>
      <c r="AW308" s="304"/>
      <c r="AX308" s="304"/>
      <c r="AY308" s="304"/>
      <c r="AZ308" s="304"/>
      <c r="BA308" s="304"/>
      <c r="BB308" s="304"/>
      <c r="BC308" s="304"/>
      <c r="BK308" s="305"/>
      <c r="BL308" s="305"/>
      <c r="BM308" s="305"/>
      <c r="BN308" s="305"/>
      <c r="BO308" s="305"/>
      <c r="BP308" s="305"/>
      <c r="BQ308" s="305"/>
      <c r="BR308" s="305"/>
      <c r="BS308" s="305"/>
      <c r="BT308" s="305"/>
      <c r="BU308" s="305"/>
      <c r="BV308" s="305"/>
      <c r="BX308" s="319"/>
    </row>
    <row r="309" spans="1:76" s="303" customFormat="1" x14ac:dyDescent="0.25">
      <c r="A309" s="275"/>
      <c r="B309" s="275"/>
      <c r="C309" s="275"/>
      <c r="D309" s="275"/>
      <c r="E309" s="275"/>
      <c r="F309" s="275"/>
      <c r="V309" s="304"/>
      <c r="W309" s="304"/>
      <c r="AD309" s="304"/>
      <c r="AE309" s="304"/>
      <c r="AR309" s="304"/>
      <c r="AS309" s="304"/>
      <c r="AT309" s="304"/>
      <c r="AU309" s="304"/>
      <c r="AV309" s="304"/>
      <c r="AW309" s="304"/>
      <c r="AX309" s="304"/>
      <c r="AY309" s="304"/>
      <c r="AZ309" s="304"/>
      <c r="BA309" s="304"/>
      <c r="BB309" s="304"/>
      <c r="BC309" s="304"/>
      <c r="BK309" s="305"/>
      <c r="BL309" s="305"/>
      <c r="BM309" s="305"/>
      <c r="BN309" s="305"/>
      <c r="BO309" s="305"/>
      <c r="BP309" s="305"/>
      <c r="BQ309" s="305"/>
      <c r="BR309" s="305"/>
      <c r="BS309" s="305"/>
      <c r="BT309" s="305"/>
      <c r="BU309" s="305"/>
      <c r="BV309" s="305"/>
      <c r="BX309" s="319"/>
    </row>
    <row r="310" spans="1:76" s="303" customFormat="1" x14ac:dyDescent="0.25">
      <c r="A310" s="275"/>
      <c r="B310" s="275"/>
      <c r="C310" s="275"/>
      <c r="D310" s="275"/>
      <c r="E310" s="275"/>
      <c r="F310" s="275"/>
      <c r="V310" s="304"/>
      <c r="W310" s="304"/>
      <c r="AD310" s="304"/>
      <c r="AE310" s="304"/>
      <c r="AR310" s="304"/>
      <c r="AS310" s="304"/>
      <c r="AT310" s="304"/>
      <c r="AU310" s="304"/>
      <c r="AV310" s="304"/>
      <c r="AW310" s="304"/>
      <c r="AX310" s="304"/>
      <c r="AY310" s="304"/>
      <c r="AZ310" s="304"/>
      <c r="BA310" s="304"/>
      <c r="BB310" s="304"/>
      <c r="BC310" s="304"/>
      <c r="BK310" s="305"/>
      <c r="BL310" s="305"/>
      <c r="BM310" s="305"/>
      <c r="BN310" s="305"/>
      <c r="BO310" s="305"/>
      <c r="BP310" s="305"/>
      <c r="BQ310" s="305"/>
      <c r="BR310" s="305"/>
      <c r="BS310" s="305"/>
      <c r="BT310" s="305"/>
      <c r="BU310" s="305"/>
      <c r="BV310" s="305"/>
      <c r="BX310" s="319"/>
    </row>
    <row r="311" spans="1:76" s="303" customFormat="1" x14ac:dyDescent="0.25">
      <c r="A311" s="275"/>
      <c r="B311" s="275"/>
      <c r="C311" s="275"/>
      <c r="D311" s="275"/>
      <c r="E311" s="275"/>
      <c r="F311" s="275"/>
      <c r="V311" s="304"/>
      <c r="W311" s="304"/>
      <c r="AD311" s="304"/>
      <c r="AE311" s="304"/>
      <c r="AR311" s="304"/>
      <c r="AS311" s="304"/>
      <c r="AT311" s="304"/>
      <c r="AU311" s="304"/>
      <c r="AV311" s="304"/>
      <c r="AW311" s="304"/>
      <c r="AX311" s="304"/>
      <c r="AY311" s="304"/>
      <c r="AZ311" s="304"/>
      <c r="BA311" s="304"/>
      <c r="BB311" s="304"/>
      <c r="BC311" s="304"/>
      <c r="BK311" s="305"/>
      <c r="BL311" s="305"/>
      <c r="BM311" s="305"/>
      <c r="BN311" s="305"/>
      <c r="BO311" s="305"/>
      <c r="BP311" s="305"/>
      <c r="BQ311" s="305"/>
      <c r="BR311" s="305"/>
      <c r="BS311" s="305"/>
      <c r="BT311" s="305"/>
      <c r="BU311" s="305"/>
      <c r="BV311" s="305"/>
      <c r="BX311" s="319"/>
    </row>
    <row r="312" spans="1:76" s="303" customFormat="1" x14ac:dyDescent="0.25">
      <c r="A312" s="275"/>
      <c r="B312" s="275"/>
      <c r="C312" s="275"/>
      <c r="D312" s="275"/>
      <c r="E312" s="275"/>
      <c r="F312" s="275"/>
      <c r="V312" s="304"/>
      <c r="W312" s="304"/>
      <c r="AD312" s="304"/>
      <c r="AE312" s="304"/>
      <c r="AR312" s="304"/>
      <c r="AS312" s="304"/>
      <c r="AT312" s="304"/>
      <c r="AU312" s="304"/>
      <c r="AV312" s="304"/>
      <c r="AW312" s="304"/>
      <c r="AX312" s="304"/>
      <c r="AY312" s="304"/>
      <c r="AZ312" s="304"/>
      <c r="BA312" s="304"/>
      <c r="BB312" s="304"/>
      <c r="BC312" s="304"/>
      <c r="BK312" s="305"/>
      <c r="BL312" s="305"/>
      <c r="BM312" s="305"/>
      <c r="BN312" s="305"/>
      <c r="BO312" s="305"/>
      <c r="BP312" s="305"/>
      <c r="BQ312" s="305"/>
      <c r="BR312" s="305"/>
      <c r="BS312" s="305"/>
      <c r="BT312" s="305"/>
      <c r="BU312" s="305"/>
      <c r="BV312" s="305"/>
      <c r="BX312" s="319"/>
    </row>
    <row r="313" spans="1:76" s="303" customFormat="1" x14ac:dyDescent="0.25">
      <c r="A313" s="275"/>
      <c r="B313" s="275"/>
      <c r="C313" s="275"/>
      <c r="D313" s="275"/>
      <c r="E313" s="275"/>
      <c r="F313" s="275"/>
      <c r="V313" s="304"/>
      <c r="W313" s="304"/>
      <c r="AD313" s="304"/>
      <c r="AE313" s="304"/>
      <c r="AR313" s="304"/>
      <c r="AS313" s="304"/>
      <c r="AT313" s="304"/>
      <c r="AU313" s="304"/>
      <c r="AV313" s="304"/>
      <c r="AW313" s="304"/>
      <c r="AX313" s="304"/>
      <c r="AY313" s="304"/>
      <c r="AZ313" s="304"/>
      <c r="BA313" s="304"/>
      <c r="BB313" s="304"/>
      <c r="BC313" s="304"/>
      <c r="BK313" s="305"/>
      <c r="BL313" s="305"/>
      <c r="BM313" s="305"/>
      <c r="BN313" s="305"/>
      <c r="BO313" s="305"/>
      <c r="BP313" s="305"/>
      <c r="BQ313" s="305"/>
      <c r="BR313" s="305"/>
      <c r="BS313" s="305"/>
      <c r="BT313" s="305"/>
      <c r="BU313" s="305"/>
      <c r="BV313" s="305"/>
      <c r="BX313" s="319"/>
    </row>
    <row r="314" spans="1:76" s="303" customFormat="1" x14ac:dyDescent="0.25">
      <c r="A314" s="275"/>
      <c r="B314" s="275"/>
      <c r="C314" s="275"/>
      <c r="D314" s="275"/>
      <c r="E314" s="275"/>
      <c r="F314" s="275"/>
      <c r="V314" s="304"/>
      <c r="W314" s="304"/>
      <c r="AD314" s="304"/>
      <c r="AE314" s="304"/>
      <c r="AR314" s="304"/>
      <c r="AS314" s="304"/>
      <c r="AT314" s="304"/>
      <c r="AU314" s="304"/>
      <c r="AV314" s="304"/>
      <c r="AW314" s="304"/>
      <c r="AX314" s="304"/>
      <c r="AY314" s="304"/>
      <c r="AZ314" s="304"/>
      <c r="BA314" s="304"/>
      <c r="BB314" s="304"/>
      <c r="BC314" s="304"/>
      <c r="BK314" s="305"/>
      <c r="BL314" s="305"/>
      <c r="BM314" s="305"/>
      <c r="BN314" s="305"/>
      <c r="BO314" s="305"/>
      <c r="BP314" s="305"/>
      <c r="BQ314" s="305"/>
      <c r="BR314" s="305"/>
      <c r="BS314" s="305"/>
      <c r="BT314" s="305"/>
      <c r="BU314" s="305"/>
      <c r="BV314" s="305"/>
      <c r="BX314" s="319"/>
    </row>
    <row r="315" spans="1:76" s="303" customFormat="1" x14ac:dyDescent="0.25">
      <c r="A315" s="275"/>
      <c r="B315" s="275"/>
      <c r="C315" s="275"/>
      <c r="D315" s="275"/>
      <c r="E315" s="275"/>
      <c r="F315" s="275"/>
      <c r="V315" s="304"/>
      <c r="W315" s="304"/>
      <c r="AD315" s="304"/>
      <c r="AE315" s="304"/>
      <c r="AR315" s="304"/>
      <c r="AS315" s="304"/>
      <c r="AT315" s="304"/>
      <c r="AU315" s="304"/>
      <c r="AV315" s="304"/>
      <c r="AW315" s="304"/>
      <c r="AX315" s="304"/>
      <c r="AY315" s="304"/>
      <c r="AZ315" s="304"/>
      <c r="BA315" s="304"/>
      <c r="BB315" s="304"/>
      <c r="BC315" s="304"/>
      <c r="BK315" s="305"/>
      <c r="BL315" s="305"/>
      <c r="BM315" s="305"/>
      <c r="BN315" s="305"/>
      <c r="BO315" s="305"/>
      <c r="BP315" s="305"/>
      <c r="BQ315" s="305"/>
      <c r="BR315" s="305"/>
      <c r="BS315" s="305"/>
      <c r="BT315" s="305"/>
      <c r="BU315" s="305"/>
      <c r="BV315" s="305"/>
      <c r="BX315" s="319"/>
    </row>
    <row r="316" spans="1:76" s="303" customFormat="1" x14ac:dyDescent="0.25">
      <c r="A316" s="275"/>
      <c r="B316" s="275"/>
      <c r="C316" s="275"/>
      <c r="D316" s="275"/>
      <c r="E316" s="275"/>
      <c r="F316" s="275"/>
      <c r="V316" s="304"/>
      <c r="W316" s="304"/>
      <c r="AD316" s="304"/>
      <c r="AE316" s="304"/>
      <c r="AR316" s="304"/>
      <c r="AS316" s="304"/>
      <c r="AT316" s="304"/>
      <c r="AU316" s="304"/>
      <c r="AV316" s="304"/>
      <c r="AW316" s="304"/>
      <c r="AX316" s="304"/>
      <c r="AY316" s="304"/>
      <c r="AZ316" s="304"/>
      <c r="BA316" s="304"/>
      <c r="BB316" s="304"/>
      <c r="BC316" s="304"/>
      <c r="BK316" s="305"/>
      <c r="BL316" s="305"/>
      <c r="BM316" s="305"/>
      <c r="BN316" s="305"/>
      <c r="BO316" s="305"/>
      <c r="BP316" s="305"/>
      <c r="BQ316" s="305"/>
      <c r="BR316" s="305"/>
      <c r="BS316" s="305"/>
      <c r="BT316" s="305"/>
      <c r="BU316" s="305"/>
      <c r="BV316" s="305"/>
      <c r="BX316" s="319"/>
    </row>
    <row r="317" spans="1:76" s="303" customFormat="1" x14ac:dyDescent="0.25">
      <c r="A317" s="275"/>
      <c r="B317" s="275"/>
      <c r="C317" s="275"/>
      <c r="D317" s="275"/>
      <c r="E317" s="275"/>
      <c r="F317" s="275"/>
      <c r="V317" s="304"/>
      <c r="W317" s="304"/>
      <c r="AD317" s="304"/>
      <c r="AE317" s="304"/>
      <c r="AR317" s="304"/>
      <c r="AS317" s="304"/>
      <c r="AT317" s="304"/>
      <c r="AU317" s="304"/>
      <c r="AV317" s="304"/>
      <c r="AW317" s="304"/>
      <c r="AX317" s="304"/>
      <c r="AY317" s="304"/>
      <c r="AZ317" s="304"/>
      <c r="BA317" s="304"/>
      <c r="BB317" s="304"/>
      <c r="BC317" s="304"/>
      <c r="BK317" s="305"/>
      <c r="BL317" s="305"/>
      <c r="BM317" s="305"/>
      <c r="BN317" s="305"/>
      <c r="BO317" s="305"/>
      <c r="BP317" s="305"/>
      <c r="BQ317" s="305"/>
      <c r="BR317" s="305"/>
      <c r="BS317" s="305"/>
      <c r="BT317" s="305"/>
      <c r="BU317" s="305"/>
      <c r="BV317" s="305"/>
      <c r="BX317" s="319"/>
    </row>
    <row r="318" spans="1:76" s="303" customFormat="1" x14ac:dyDescent="0.25">
      <c r="A318" s="275"/>
      <c r="B318" s="275"/>
      <c r="C318" s="275"/>
      <c r="D318" s="275"/>
      <c r="E318" s="275"/>
      <c r="F318" s="275"/>
      <c r="V318" s="304"/>
      <c r="W318" s="304"/>
      <c r="AD318" s="304"/>
      <c r="AE318" s="304"/>
      <c r="AR318" s="304"/>
      <c r="AS318" s="304"/>
      <c r="AT318" s="304"/>
      <c r="AU318" s="304"/>
      <c r="AV318" s="304"/>
      <c r="AW318" s="304"/>
      <c r="AX318" s="304"/>
      <c r="AY318" s="304"/>
      <c r="AZ318" s="304"/>
      <c r="BA318" s="304"/>
      <c r="BB318" s="304"/>
      <c r="BC318" s="304"/>
      <c r="BK318" s="305"/>
      <c r="BL318" s="305"/>
      <c r="BM318" s="305"/>
      <c r="BN318" s="305"/>
      <c r="BO318" s="305"/>
      <c r="BP318" s="305"/>
      <c r="BQ318" s="305"/>
      <c r="BR318" s="305"/>
      <c r="BS318" s="305"/>
      <c r="BT318" s="305"/>
      <c r="BU318" s="305"/>
      <c r="BV318" s="305"/>
      <c r="BX318" s="319"/>
    </row>
    <row r="319" spans="1:76" s="303" customFormat="1" x14ac:dyDescent="0.25">
      <c r="A319" s="275"/>
      <c r="B319" s="275"/>
      <c r="C319" s="275"/>
      <c r="D319" s="275"/>
      <c r="E319" s="275"/>
      <c r="F319" s="275"/>
      <c r="V319" s="304"/>
      <c r="W319" s="304"/>
      <c r="AD319" s="304"/>
      <c r="AE319" s="304"/>
      <c r="AR319" s="304"/>
      <c r="AS319" s="304"/>
      <c r="AT319" s="304"/>
      <c r="AU319" s="304"/>
      <c r="AV319" s="304"/>
      <c r="AW319" s="304"/>
      <c r="AX319" s="304"/>
      <c r="AY319" s="304"/>
      <c r="AZ319" s="304"/>
      <c r="BA319" s="304"/>
      <c r="BB319" s="304"/>
      <c r="BC319" s="304"/>
      <c r="BK319" s="305"/>
      <c r="BL319" s="305"/>
      <c r="BM319" s="305"/>
      <c r="BN319" s="305"/>
      <c r="BO319" s="305"/>
      <c r="BP319" s="305"/>
      <c r="BQ319" s="305"/>
      <c r="BR319" s="305"/>
      <c r="BS319" s="305"/>
      <c r="BT319" s="305"/>
      <c r="BU319" s="305"/>
      <c r="BV319" s="305"/>
      <c r="BX319" s="319"/>
    </row>
    <row r="320" spans="1:76" s="303" customFormat="1" x14ac:dyDescent="0.25">
      <c r="A320" s="275"/>
      <c r="B320" s="275"/>
      <c r="C320" s="275"/>
      <c r="D320" s="275"/>
      <c r="E320" s="275"/>
      <c r="F320" s="275"/>
      <c r="V320" s="304"/>
      <c r="W320" s="304"/>
      <c r="AD320" s="304"/>
      <c r="AE320" s="304"/>
      <c r="AR320" s="304"/>
      <c r="AS320" s="304"/>
      <c r="AT320" s="304"/>
      <c r="AU320" s="304"/>
      <c r="AV320" s="304"/>
      <c r="AW320" s="304"/>
      <c r="AX320" s="304"/>
      <c r="AY320" s="304"/>
      <c r="AZ320" s="304"/>
      <c r="BA320" s="304"/>
      <c r="BB320" s="304"/>
      <c r="BC320" s="304"/>
      <c r="BK320" s="305"/>
      <c r="BL320" s="305"/>
      <c r="BM320" s="305"/>
      <c r="BN320" s="305"/>
      <c r="BO320" s="305"/>
      <c r="BP320" s="305"/>
      <c r="BQ320" s="305"/>
      <c r="BR320" s="305"/>
      <c r="BS320" s="305"/>
      <c r="BT320" s="305"/>
      <c r="BU320" s="305"/>
      <c r="BV320" s="305"/>
      <c r="BX320" s="319"/>
    </row>
    <row r="321" spans="1:76" s="303" customFormat="1" x14ac:dyDescent="0.25">
      <c r="A321" s="275"/>
      <c r="B321" s="275"/>
      <c r="C321" s="275"/>
      <c r="D321" s="275"/>
      <c r="E321" s="275"/>
      <c r="F321" s="275"/>
      <c r="V321" s="304"/>
      <c r="W321" s="304"/>
      <c r="AD321" s="304"/>
      <c r="AE321" s="304"/>
      <c r="AR321" s="304"/>
      <c r="AS321" s="304"/>
      <c r="AT321" s="304"/>
      <c r="AU321" s="304"/>
      <c r="AV321" s="304"/>
      <c r="AW321" s="304"/>
      <c r="AX321" s="304"/>
      <c r="AY321" s="304"/>
      <c r="AZ321" s="304"/>
      <c r="BA321" s="304"/>
      <c r="BB321" s="304"/>
      <c r="BC321" s="304"/>
      <c r="BK321" s="305"/>
      <c r="BL321" s="305"/>
      <c r="BM321" s="305"/>
      <c r="BN321" s="305"/>
      <c r="BO321" s="305"/>
      <c r="BP321" s="305"/>
      <c r="BQ321" s="305"/>
      <c r="BR321" s="305"/>
      <c r="BS321" s="305"/>
      <c r="BT321" s="305"/>
      <c r="BU321" s="305"/>
      <c r="BV321" s="305"/>
      <c r="BX321" s="319"/>
    </row>
    <row r="322" spans="1:76" s="303" customFormat="1" x14ac:dyDescent="0.25">
      <c r="A322" s="275"/>
      <c r="B322" s="275"/>
      <c r="C322" s="275"/>
      <c r="D322" s="275"/>
      <c r="E322" s="275"/>
      <c r="F322" s="275"/>
      <c r="V322" s="304"/>
      <c r="W322" s="304"/>
      <c r="AD322" s="304"/>
      <c r="AE322" s="304"/>
      <c r="AR322" s="304"/>
      <c r="AS322" s="304"/>
      <c r="AT322" s="304"/>
      <c r="AU322" s="304"/>
      <c r="AV322" s="304"/>
      <c r="AW322" s="304"/>
      <c r="AX322" s="304"/>
      <c r="AY322" s="304"/>
      <c r="AZ322" s="304"/>
      <c r="BA322" s="304"/>
      <c r="BB322" s="304"/>
      <c r="BC322" s="304"/>
      <c r="BK322" s="305"/>
      <c r="BL322" s="305"/>
      <c r="BM322" s="305"/>
      <c r="BN322" s="305"/>
      <c r="BO322" s="305"/>
      <c r="BP322" s="305"/>
      <c r="BQ322" s="305"/>
      <c r="BR322" s="305"/>
      <c r="BS322" s="305"/>
      <c r="BT322" s="305"/>
      <c r="BU322" s="305"/>
      <c r="BV322" s="305"/>
      <c r="BX322" s="319"/>
    </row>
    <row r="323" spans="1:76" s="303" customFormat="1" x14ac:dyDescent="0.25">
      <c r="A323" s="275"/>
      <c r="B323" s="275"/>
      <c r="C323" s="275"/>
      <c r="D323" s="275"/>
      <c r="E323" s="275"/>
      <c r="F323" s="275"/>
      <c r="V323" s="304"/>
      <c r="W323" s="304"/>
      <c r="AD323" s="304"/>
      <c r="AE323" s="304"/>
      <c r="AR323" s="304"/>
      <c r="AS323" s="304"/>
      <c r="AT323" s="304"/>
      <c r="AU323" s="304"/>
      <c r="AV323" s="304"/>
      <c r="AW323" s="304"/>
      <c r="AX323" s="304"/>
      <c r="AY323" s="304"/>
      <c r="AZ323" s="304"/>
      <c r="BA323" s="304"/>
      <c r="BB323" s="304"/>
      <c r="BC323" s="304"/>
      <c r="BK323" s="305"/>
      <c r="BL323" s="305"/>
      <c r="BM323" s="305"/>
      <c r="BN323" s="305"/>
      <c r="BO323" s="305"/>
      <c r="BP323" s="305"/>
      <c r="BQ323" s="305"/>
      <c r="BR323" s="305"/>
      <c r="BS323" s="305"/>
      <c r="BT323" s="305"/>
      <c r="BU323" s="305"/>
      <c r="BV323" s="305"/>
      <c r="BX323" s="319"/>
    </row>
    <row r="324" spans="1:76" s="303" customFormat="1" x14ac:dyDescent="0.25">
      <c r="A324" s="275"/>
      <c r="B324" s="275"/>
      <c r="C324" s="275"/>
      <c r="D324" s="275"/>
      <c r="E324" s="275"/>
      <c r="F324" s="275"/>
      <c r="V324" s="304"/>
      <c r="W324" s="304"/>
      <c r="AD324" s="304"/>
      <c r="AE324" s="304"/>
      <c r="AR324" s="304"/>
      <c r="AS324" s="304"/>
      <c r="AT324" s="304"/>
      <c r="AU324" s="304"/>
      <c r="AV324" s="304"/>
      <c r="AW324" s="304"/>
      <c r="AX324" s="304"/>
      <c r="AY324" s="304"/>
      <c r="AZ324" s="304"/>
      <c r="BA324" s="304"/>
      <c r="BB324" s="304"/>
      <c r="BC324" s="304"/>
      <c r="BK324" s="305"/>
      <c r="BL324" s="305"/>
      <c r="BM324" s="305"/>
      <c r="BN324" s="305"/>
      <c r="BO324" s="305"/>
      <c r="BP324" s="305"/>
      <c r="BQ324" s="305"/>
      <c r="BR324" s="305"/>
      <c r="BS324" s="305"/>
      <c r="BT324" s="305"/>
      <c r="BU324" s="305"/>
      <c r="BV324" s="305"/>
      <c r="BX324" s="319"/>
    </row>
    <row r="325" spans="1:76" s="303" customFormat="1" x14ac:dyDescent="0.25">
      <c r="A325" s="275"/>
      <c r="B325" s="275"/>
      <c r="C325" s="275"/>
      <c r="D325" s="275"/>
      <c r="E325" s="275"/>
      <c r="F325" s="275"/>
      <c r="V325" s="304"/>
      <c r="W325" s="304"/>
      <c r="AD325" s="304"/>
      <c r="AE325" s="304"/>
      <c r="AR325" s="304"/>
      <c r="AS325" s="304"/>
      <c r="AT325" s="304"/>
      <c r="AU325" s="304"/>
      <c r="AV325" s="304"/>
      <c r="AW325" s="304"/>
      <c r="AX325" s="304"/>
      <c r="AY325" s="304"/>
      <c r="AZ325" s="304"/>
      <c r="BA325" s="304"/>
      <c r="BB325" s="304"/>
      <c r="BC325" s="304"/>
      <c r="BK325" s="305"/>
      <c r="BL325" s="305"/>
      <c r="BM325" s="305"/>
      <c r="BN325" s="305"/>
      <c r="BO325" s="305"/>
      <c r="BP325" s="305"/>
      <c r="BQ325" s="305"/>
      <c r="BR325" s="305"/>
      <c r="BS325" s="305"/>
      <c r="BT325" s="305"/>
      <c r="BU325" s="305"/>
      <c r="BV325" s="305"/>
      <c r="BX325" s="319"/>
    </row>
    <row r="326" spans="1:76" s="303" customFormat="1" x14ac:dyDescent="0.25">
      <c r="A326" s="275"/>
      <c r="B326" s="275"/>
      <c r="C326" s="275"/>
      <c r="D326" s="275"/>
      <c r="E326" s="275"/>
      <c r="F326" s="275"/>
      <c r="V326" s="304"/>
      <c r="W326" s="304"/>
      <c r="AD326" s="304"/>
      <c r="AE326" s="304"/>
      <c r="AR326" s="304"/>
      <c r="AS326" s="304"/>
      <c r="AT326" s="304"/>
      <c r="AU326" s="304"/>
      <c r="AV326" s="304"/>
      <c r="AW326" s="304"/>
      <c r="AX326" s="304"/>
      <c r="AY326" s="304"/>
      <c r="AZ326" s="304"/>
      <c r="BA326" s="304"/>
      <c r="BB326" s="304"/>
      <c r="BC326" s="304"/>
      <c r="BK326" s="305"/>
      <c r="BL326" s="305"/>
      <c r="BM326" s="305"/>
      <c r="BN326" s="305"/>
      <c r="BO326" s="305"/>
      <c r="BP326" s="305"/>
      <c r="BQ326" s="305"/>
      <c r="BR326" s="305"/>
      <c r="BS326" s="305"/>
      <c r="BT326" s="305"/>
      <c r="BU326" s="305"/>
      <c r="BV326" s="305"/>
      <c r="BX326" s="319"/>
    </row>
    <row r="327" spans="1:76" s="303" customFormat="1" x14ac:dyDescent="0.25">
      <c r="A327" s="275"/>
      <c r="B327" s="275"/>
      <c r="C327" s="275"/>
      <c r="D327" s="275"/>
      <c r="E327" s="275"/>
      <c r="F327" s="275"/>
      <c r="V327" s="304"/>
      <c r="W327" s="304"/>
      <c r="AD327" s="304"/>
      <c r="AE327" s="304"/>
      <c r="AR327" s="304"/>
      <c r="AS327" s="304"/>
      <c r="AT327" s="304"/>
      <c r="AU327" s="304"/>
      <c r="AV327" s="304"/>
      <c r="AW327" s="304"/>
      <c r="AX327" s="304"/>
      <c r="AY327" s="304"/>
      <c r="AZ327" s="304"/>
      <c r="BA327" s="304"/>
      <c r="BB327" s="304"/>
      <c r="BC327" s="304"/>
      <c r="BK327" s="305"/>
      <c r="BL327" s="305"/>
      <c r="BM327" s="305"/>
      <c r="BN327" s="305"/>
      <c r="BO327" s="305"/>
      <c r="BP327" s="305"/>
      <c r="BQ327" s="305"/>
      <c r="BR327" s="305"/>
      <c r="BS327" s="305"/>
      <c r="BT327" s="305"/>
      <c r="BU327" s="305"/>
      <c r="BV327" s="305"/>
      <c r="BX327" s="319"/>
    </row>
    <row r="328" spans="1:76" s="303" customFormat="1" x14ac:dyDescent="0.25">
      <c r="A328" s="275"/>
      <c r="B328" s="275"/>
      <c r="C328" s="275"/>
      <c r="D328" s="275"/>
      <c r="E328" s="275"/>
      <c r="F328" s="275"/>
      <c r="V328" s="304"/>
      <c r="W328" s="304"/>
      <c r="AD328" s="304"/>
      <c r="AE328" s="304"/>
      <c r="AR328" s="304"/>
      <c r="AS328" s="304"/>
      <c r="AT328" s="304"/>
      <c r="AU328" s="304"/>
      <c r="AV328" s="304"/>
      <c r="AW328" s="304"/>
      <c r="AX328" s="304"/>
      <c r="AY328" s="304"/>
      <c r="AZ328" s="304"/>
      <c r="BA328" s="304"/>
      <c r="BB328" s="304"/>
      <c r="BC328" s="304"/>
      <c r="BK328" s="305"/>
      <c r="BL328" s="305"/>
      <c r="BM328" s="305"/>
      <c r="BN328" s="305"/>
      <c r="BO328" s="305"/>
      <c r="BP328" s="305"/>
      <c r="BQ328" s="305"/>
      <c r="BR328" s="305"/>
      <c r="BS328" s="305"/>
      <c r="BT328" s="305"/>
      <c r="BU328" s="305"/>
      <c r="BV328" s="305"/>
      <c r="BX328" s="319"/>
    </row>
    <row r="329" spans="1:76" s="303" customFormat="1" x14ac:dyDescent="0.25">
      <c r="A329" s="275"/>
      <c r="B329" s="275"/>
      <c r="C329" s="275"/>
      <c r="D329" s="275"/>
      <c r="E329" s="275"/>
      <c r="F329" s="275"/>
      <c r="V329" s="304"/>
      <c r="W329" s="304"/>
      <c r="AD329" s="304"/>
      <c r="AE329" s="304"/>
      <c r="AR329" s="304"/>
      <c r="AS329" s="304"/>
      <c r="AT329" s="304"/>
      <c r="AU329" s="304"/>
      <c r="AV329" s="304"/>
      <c r="AW329" s="304"/>
      <c r="AX329" s="304"/>
      <c r="AY329" s="304"/>
      <c r="AZ329" s="304"/>
      <c r="BA329" s="304"/>
      <c r="BB329" s="304"/>
      <c r="BC329" s="304"/>
      <c r="BK329" s="305"/>
      <c r="BL329" s="305"/>
      <c r="BM329" s="305"/>
      <c r="BN329" s="305"/>
      <c r="BO329" s="305"/>
      <c r="BP329" s="305"/>
      <c r="BQ329" s="305"/>
      <c r="BR329" s="305"/>
      <c r="BS329" s="305"/>
      <c r="BT329" s="305"/>
      <c r="BU329" s="305"/>
      <c r="BV329" s="305"/>
      <c r="BX329" s="319"/>
    </row>
    <row r="330" spans="1:76" s="303" customFormat="1" x14ac:dyDescent="0.25">
      <c r="A330" s="275"/>
      <c r="B330" s="275"/>
      <c r="C330" s="275"/>
      <c r="D330" s="275"/>
      <c r="E330" s="275"/>
      <c r="F330" s="275"/>
      <c r="V330" s="304"/>
      <c r="W330" s="304"/>
      <c r="AD330" s="304"/>
      <c r="AE330" s="304"/>
      <c r="AR330" s="304"/>
      <c r="AS330" s="304"/>
      <c r="AT330" s="304"/>
      <c r="AU330" s="304"/>
      <c r="AV330" s="304"/>
      <c r="AW330" s="304"/>
      <c r="AX330" s="304"/>
      <c r="AY330" s="304"/>
      <c r="AZ330" s="304"/>
      <c r="BA330" s="304"/>
      <c r="BB330" s="304"/>
      <c r="BC330" s="304"/>
      <c r="BK330" s="305"/>
      <c r="BL330" s="305"/>
      <c r="BM330" s="305"/>
      <c r="BN330" s="305"/>
      <c r="BO330" s="305"/>
      <c r="BP330" s="305"/>
      <c r="BQ330" s="305"/>
      <c r="BR330" s="305"/>
      <c r="BS330" s="305"/>
      <c r="BT330" s="305"/>
      <c r="BU330" s="305"/>
      <c r="BV330" s="305"/>
      <c r="BX330" s="319"/>
    </row>
    <row r="331" spans="1:76" s="303" customFormat="1" x14ac:dyDescent="0.25">
      <c r="A331" s="275"/>
      <c r="B331" s="275"/>
      <c r="C331" s="275"/>
      <c r="D331" s="275"/>
      <c r="E331" s="275"/>
      <c r="F331" s="275"/>
      <c r="V331" s="304"/>
      <c r="W331" s="304"/>
      <c r="AD331" s="304"/>
      <c r="AE331" s="304"/>
      <c r="AR331" s="304"/>
      <c r="AS331" s="304"/>
      <c r="AT331" s="304"/>
      <c r="AU331" s="304"/>
      <c r="AV331" s="304"/>
      <c r="AW331" s="304"/>
      <c r="AX331" s="304"/>
      <c r="AY331" s="304"/>
      <c r="AZ331" s="304"/>
      <c r="BA331" s="304"/>
      <c r="BB331" s="304"/>
      <c r="BC331" s="304"/>
      <c r="BK331" s="305"/>
      <c r="BL331" s="305"/>
      <c r="BM331" s="305"/>
      <c r="BN331" s="305"/>
      <c r="BO331" s="305"/>
      <c r="BP331" s="305"/>
      <c r="BQ331" s="305"/>
      <c r="BR331" s="305"/>
      <c r="BS331" s="305"/>
      <c r="BT331" s="305"/>
      <c r="BU331" s="305"/>
      <c r="BV331" s="305"/>
      <c r="BX331" s="319"/>
    </row>
    <row r="332" spans="1:76" s="303" customFormat="1" x14ac:dyDescent="0.25">
      <c r="A332" s="275"/>
      <c r="B332" s="275"/>
      <c r="C332" s="275"/>
      <c r="D332" s="275"/>
      <c r="E332" s="275"/>
      <c r="F332" s="275"/>
      <c r="V332" s="304"/>
      <c r="W332" s="304"/>
      <c r="AD332" s="304"/>
      <c r="AE332" s="304"/>
      <c r="AR332" s="304"/>
      <c r="AS332" s="304"/>
      <c r="AT332" s="304"/>
      <c r="AU332" s="304"/>
      <c r="AV332" s="304"/>
      <c r="AW332" s="304"/>
      <c r="AX332" s="304"/>
      <c r="AY332" s="304"/>
      <c r="AZ332" s="304"/>
      <c r="BA332" s="304"/>
      <c r="BB332" s="304"/>
      <c r="BC332" s="304"/>
      <c r="BK332" s="305"/>
      <c r="BL332" s="305"/>
      <c r="BM332" s="305"/>
      <c r="BN332" s="305"/>
      <c r="BO332" s="305"/>
      <c r="BP332" s="305"/>
      <c r="BQ332" s="305"/>
      <c r="BR332" s="305"/>
      <c r="BS332" s="305"/>
      <c r="BT332" s="305"/>
      <c r="BU332" s="305"/>
      <c r="BV332" s="305"/>
      <c r="BX332" s="319"/>
    </row>
    <row r="333" spans="1:76" s="303" customFormat="1" x14ac:dyDescent="0.25">
      <c r="A333" s="275"/>
      <c r="B333" s="275"/>
      <c r="C333" s="275"/>
      <c r="D333" s="275"/>
      <c r="E333" s="275"/>
      <c r="F333" s="275"/>
      <c r="V333" s="304"/>
      <c r="W333" s="304"/>
      <c r="AD333" s="304"/>
      <c r="AE333" s="304"/>
      <c r="AR333" s="304"/>
      <c r="AS333" s="304"/>
      <c r="AT333" s="304"/>
      <c r="AU333" s="304"/>
      <c r="AV333" s="304"/>
      <c r="AW333" s="304"/>
      <c r="AX333" s="304"/>
      <c r="AY333" s="304"/>
      <c r="AZ333" s="304"/>
      <c r="BA333" s="304"/>
      <c r="BB333" s="304"/>
      <c r="BC333" s="304"/>
      <c r="BK333" s="305"/>
      <c r="BL333" s="305"/>
      <c r="BM333" s="305"/>
      <c r="BN333" s="305"/>
      <c r="BO333" s="305"/>
      <c r="BP333" s="305"/>
      <c r="BQ333" s="305"/>
      <c r="BR333" s="305"/>
      <c r="BS333" s="305"/>
      <c r="BT333" s="305"/>
      <c r="BU333" s="305"/>
      <c r="BV333" s="305"/>
      <c r="BX333" s="319"/>
    </row>
    <row r="334" spans="1:76" s="303" customFormat="1" x14ac:dyDescent="0.25">
      <c r="A334" s="275"/>
      <c r="B334" s="275"/>
      <c r="C334" s="275"/>
      <c r="D334" s="275"/>
      <c r="E334" s="275"/>
      <c r="F334" s="275"/>
      <c r="V334" s="304"/>
      <c r="W334" s="304"/>
      <c r="AD334" s="304"/>
      <c r="AE334" s="304"/>
      <c r="AR334" s="304"/>
      <c r="AS334" s="304"/>
      <c r="AT334" s="304"/>
      <c r="AU334" s="304"/>
      <c r="AV334" s="304"/>
      <c r="AW334" s="304"/>
      <c r="AX334" s="304"/>
      <c r="AY334" s="304"/>
      <c r="AZ334" s="304"/>
      <c r="BA334" s="304"/>
      <c r="BB334" s="304"/>
      <c r="BC334" s="304"/>
      <c r="BK334" s="305"/>
      <c r="BL334" s="305"/>
      <c r="BM334" s="305"/>
      <c r="BN334" s="305"/>
      <c r="BO334" s="305"/>
      <c r="BP334" s="305"/>
      <c r="BQ334" s="305"/>
      <c r="BR334" s="305"/>
      <c r="BS334" s="305"/>
      <c r="BT334" s="305"/>
      <c r="BU334" s="305"/>
      <c r="BV334" s="305"/>
      <c r="BX334" s="319"/>
    </row>
    <row r="335" spans="1:76" s="303" customFormat="1" x14ac:dyDescent="0.25">
      <c r="A335" s="275"/>
      <c r="B335" s="275"/>
      <c r="C335" s="275"/>
      <c r="D335" s="275"/>
      <c r="E335" s="275"/>
      <c r="F335" s="275"/>
      <c r="V335" s="304"/>
      <c r="W335" s="304"/>
      <c r="AD335" s="304"/>
      <c r="AE335" s="304"/>
      <c r="AR335" s="304"/>
      <c r="AS335" s="304"/>
      <c r="AT335" s="304"/>
      <c r="AU335" s="304"/>
      <c r="AV335" s="304"/>
      <c r="AW335" s="304"/>
      <c r="AX335" s="304"/>
      <c r="AY335" s="304"/>
      <c r="AZ335" s="304"/>
      <c r="BA335" s="304"/>
      <c r="BB335" s="304"/>
      <c r="BC335" s="304"/>
      <c r="BK335" s="305"/>
      <c r="BL335" s="305"/>
      <c r="BM335" s="305"/>
      <c r="BN335" s="305"/>
      <c r="BO335" s="305"/>
      <c r="BP335" s="305"/>
      <c r="BQ335" s="305"/>
      <c r="BR335" s="305"/>
      <c r="BS335" s="305"/>
      <c r="BT335" s="305"/>
      <c r="BU335" s="305"/>
      <c r="BV335" s="305"/>
      <c r="BX335" s="319"/>
    </row>
    <row r="336" spans="1:76" s="303" customFormat="1" x14ac:dyDescent="0.25">
      <c r="A336" s="275"/>
      <c r="B336" s="275"/>
      <c r="C336" s="275"/>
      <c r="D336" s="275"/>
      <c r="E336" s="275"/>
      <c r="F336" s="275"/>
      <c r="V336" s="304"/>
      <c r="W336" s="304"/>
      <c r="AD336" s="304"/>
      <c r="AE336" s="304"/>
      <c r="AR336" s="304"/>
      <c r="AS336" s="304"/>
      <c r="AT336" s="304"/>
      <c r="AU336" s="304"/>
      <c r="AV336" s="304"/>
      <c r="AW336" s="304"/>
      <c r="AX336" s="304"/>
      <c r="AY336" s="304"/>
      <c r="AZ336" s="304"/>
      <c r="BA336" s="304"/>
      <c r="BB336" s="304"/>
      <c r="BC336" s="304"/>
      <c r="BK336" s="305"/>
      <c r="BL336" s="305"/>
      <c r="BM336" s="305"/>
      <c r="BN336" s="305"/>
      <c r="BO336" s="305"/>
      <c r="BP336" s="305"/>
      <c r="BQ336" s="305"/>
      <c r="BR336" s="305"/>
      <c r="BS336" s="305"/>
      <c r="BT336" s="305"/>
      <c r="BU336" s="305"/>
      <c r="BV336" s="305"/>
      <c r="BX336" s="319"/>
    </row>
    <row r="337" spans="1:76" s="303" customFormat="1" x14ac:dyDescent="0.25">
      <c r="A337" s="275"/>
      <c r="B337" s="275"/>
      <c r="C337" s="275"/>
      <c r="D337" s="275"/>
      <c r="E337" s="275"/>
      <c r="F337" s="275"/>
      <c r="V337" s="304"/>
      <c r="W337" s="304"/>
      <c r="AD337" s="304"/>
      <c r="AE337" s="304"/>
      <c r="AR337" s="304"/>
      <c r="AS337" s="304"/>
      <c r="AT337" s="304"/>
      <c r="AU337" s="304"/>
      <c r="AV337" s="304"/>
      <c r="AW337" s="304"/>
      <c r="AX337" s="304"/>
      <c r="AY337" s="304"/>
      <c r="AZ337" s="304"/>
      <c r="BA337" s="304"/>
      <c r="BB337" s="304"/>
      <c r="BC337" s="304"/>
      <c r="BK337" s="305"/>
      <c r="BL337" s="305"/>
      <c r="BM337" s="305"/>
      <c r="BN337" s="305"/>
      <c r="BO337" s="305"/>
      <c r="BP337" s="305"/>
      <c r="BQ337" s="305"/>
      <c r="BR337" s="305"/>
      <c r="BS337" s="305"/>
      <c r="BT337" s="305"/>
      <c r="BU337" s="305"/>
      <c r="BV337" s="305"/>
      <c r="BX337" s="319"/>
    </row>
    <row r="338" spans="1:76" s="303" customFormat="1" x14ac:dyDescent="0.25">
      <c r="A338" s="275"/>
      <c r="B338" s="275"/>
      <c r="C338" s="275"/>
      <c r="D338" s="275"/>
      <c r="E338" s="275"/>
      <c r="F338" s="275"/>
      <c r="V338" s="304"/>
      <c r="W338" s="304"/>
      <c r="AD338" s="304"/>
      <c r="AE338" s="304"/>
      <c r="AR338" s="304"/>
      <c r="AS338" s="304"/>
      <c r="AT338" s="304"/>
      <c r="AU338" s="304"/>
      <c r="AV338" s="304"/>
      <c r="AW338" s="304"/>
      <c r="AX338" s="304"/>
      <c r="AY338" s="304"/>
      <c r="AZ338" s="304"/>
      <c r="BA338" s="304"/>
      <c r="BB338" s="304"/>
      <c r="BC338" s="304"/>
      <c r="BK338" s="305"/>
      <c r="BL338" s="305"/>
      <c r="BM338" s="305"/>
      <c r="BN338" s="305"/>
      <c r="BO338" s="305"/>
      <c r="BP338" s="305"/>
      <c r="BQ338" s="305"/>
      <c r="BR338" s="305"/>
      <c r="BS338" s="305"/>
      <c r="BT338" s="305"/>
      <c r="BU338" s="305"/>
      <c r="BV338" s="305"/>
      <c r="BX338" s="319"/>
    </row>
    <row r="339" spans="1:76" s="303" customFormat="1" x14ac:dyDescent="0.25">
      <c r="A339" s="275"/>
      <c r="B339" s="275"/>
      <c r="C339" s="275"/>
      <c r="D339" s="275"/>
      <c r="E339" s="275"/>
      <c r="F339" s="275"/>
      <c r="V339" s="304"/>
      <c r="W339" s="304"/>
      <c r="AD339" s="304"/>
      <c r="AE339" s="304"/>
      <c r="AR339" s="304"/>
      <c r="AS339" s="304"/>
      <c r="AT339" s="304"/>
      <c r="AU339" s="304"/>
      <c r="AV339" s="304"/>
      <c r="AW339" s="304"/>
      <c r="AX339" s="304"/>
      <c r="AY339" s="304"/>
      <c r="AZ339" s="304"/>
      <c r="BA339" s="304"/>
      <c r="BB339" s="304"/>
      <c r="BC339" s="304"/>
      <c r="BK339" s="305"/>
      <c r="BL339" s="305"/>
      <c r="BM339" s="305"/>
      <c r="BN339" s="305"/>
      <c r="BO339" s="305"/>
      <c r="BP339" s="305"/>
      <c r="BQ339" s="305"/>
      <c r="BR339" s="305"/>
      <c r="BS339" s="305"/>
      <c r="BT339" s="305"/>
      <c r="BU339" s="305"/>
      <c r="BV339" s="305"/>
      <c r="BX339" s="319"/>
    </row>
    <row r="340" spans="1:76" s="303" customFormat="1" x14ac:dyDescent="0.25">
      <c r="A340" s="275"/>
      <c r="B340" s="275"/>
      <c r="C340" s="275"/>
      <c r="D340" s="275"/>
      <c r="E340" s="275"/>
      <c r="F340" s="275"/>
      <c r="V340" s="304"/>
      <c r="W340" s="304"/>
      <c r="AD340" s="304"/>
      <c r="AE340" s="304"/>
      <c r="AR340" s="304"/>
      <c r="AS340" s="304"/>
      <c r="AT340" s="304"/>
      <c r="AU340" s="304"/>
      <c r="AV340" s="304"/>
      <c r="AW340" s="304"/>
      <c r="AX340" s="304"/>
      <c r="AY340" s="304"/>
      <c r="AZ340" s="304"/>
      <c r="BA340" s="304"/>
      <c r="BB340" s="304"/>
      <c r="BC340" s="304"/>
      <c r="BK340" s="305"/>
      <c r="BL340" s="305"/>
      <c r="BM340" s="305"/>
      <c r="BN340" s="305"/>
      <c r="BO340" s="305"/>
      <c r="BP340" s="305"/>
      <c r="BQ340" s="305"/>
      <c r="BR340" s="305"/>
      <c r="BS340" s="305"/>
      <c r="BT340" s="305"/>
      <c r="BU340" s="305"/>
      <c r="BV340" s="305"/>
      <c r="BX340" s="319"/>
    </row>
    <row r="341" spans="1:76" s="303" customFormat="1" x14ac:dyDescent="0.25">
      <c r="A341" s="275"/>
      <c r="B341" s="275"/>
      <c r="C341" s="275"/>
      <c r="D341" s="275"/>
      <c r="E341" s="275"/>
      <c r="F341" s="275"/>
      <c r="V341" s="304"/>
      <c r="W341" s="304"/>
      <c r="AD341" s="304"/>
      <c r="AE341" s="304"/>
      <c r="AR341" s="304"/>
      <c r="AS341" s="304"/>
      <c r="AT341" s="304"/>
      <c r="AU341" s="304"/>
      <c r="AV341" s="304"/>
      <c r="AW341" s="304"/>
      <c r="AX341" s="304"/>
      <c r="AY341" s="304"/>
      <c r="AZ341" s="304"/>
      <c r="BA341" s="304"/>
      <c r="BB341" s="304"/>
      <c r="BC341" s="304"/>
      <c r="BK341" s="305"/>
      <c r="BL341" s="305"/>
      <c r="BM341" s="305"/>
      <c r="BN341" s="305"/>
      <c r="BO341" s="305"/>
      <c r="BP341" s="305"/>
      <c r="BQ341" s="305"/>
      <c r="BR341" s="305"/>
      <c r="BS341" s="305"/>
      <c r="BT341" s="305"/>
      <c r="BU341" s="305"/>
      <c r="BV341" s="305"/>
      <c r="BX341" s="319"/>
    </row>
    <row r="342" spans="1:76" s="303" customFormat="1" x14ac:dyDescent="0.25">
      <c r="A342" s="275"/>
      <c r="B342" s="275"/>
      <c r="C342" s="275"/>
      <c r="D342" s="275"/>
      <c r="E342" s="275"/>
      <c r="F342" s="275"/>
      <c r="V342" s="304"/>
      <c r="W342" s="304"/>
      <c r="AD342" s="304"/>
      <c r="AE342" s="304"/>
      <c r="AR342" s="304"/>
      <c r="AS342" s="304"/>
      <c r="AT342" s="304"/>
      <c r="AU342" s="304"/>
      <c r="AV342" s="304"/>
      <c r="AW342" s="304"/>
      <c r="AX342" s="304"/>
      <c r="AY342" s="304"/>
      <c r="AZ342" s="304"/>
      <c r="BA342" s="304"/>
      <c r="BB342" s="304"/>
      <c r="BC342" s="304"/>
      <c r="BK342" s="305"/>
      <c r="BL342" s="305"/>
      <c r="BM342" s="305"/>
      <c r="BN342" s="305"/>
      <c r="BO342" s="305"/>
      <c r="BP342" s="305"/>
      <c r="BQ342" s="305"/>
      <c r="BR342" s="305"/>
      <c r="BS342" s="305"/>
      <c r="BT342" s="305"/>
      <c r="BU342" s="305"/>
      <c r="BV342" s="305"/>
      <c r="BX342" s="319"/>
    </row>
    <row r="343" spans="1:76" s="303" customFormat="1" x14ac:dyDescent="0.25">
      <c r="A343" s="275"/>
      <c r="B343" s="275"/>
      <c r="C343" s="275"/>
      <c r="D343" s="275"/>
      <c r="E343" s="275"/>
      <c r="F343" s="275"/>
      <c r="V343" s="304"/>
      <c r="W343" s="304"/>
      <c r="AD343" s="304"/>
      <c r="AE343" s="304"/>
      <c r="AR343" s="304"/>
      <c r="AS343" s="304"/>
      <c r="AT343" s="304"/>
      <c r="AU343" s="304"/>
      <c r="AV343" s="304"/>
      <c r="AW343" s="304"/>
      <c r="AX343" s="304"/>
      <c r="AY343" s="304"/>
      <c r="AZ343" s="304"/>
      <c r="BA343" s="304"/>
      <c r="BB343" s="304"/>
      <c r="BC343" s="304"/>
      <c r="BK343" s="305"/>
      <c r="BL343" s="305"/>
      <c r="BM343" s="305"/>
      <c r="BN343" s="305"/>
      <c r="BO343" s="305"/>
      <c r="BP343" s="305"/>
      <c r="BQ343" s="305"/>
      <c r="BR343" s="305"/>
      <c r="BS343" s="305"/>
      <c r="BT343" s="305"/>
      <c r="BU343" s="305"/>
      <c r="BV343" s="305"/>
      <c r="BX343" s="319"/>
    </row>
    <row r="344" spans="1:76" s="303" customFormat="1" x14ac:dyDescent="0.25">
      <c r="A344" s="275"/>
      <c r="B344" s="275"/>
      <c r="C344" s="275"/>
      <c r="D344" s="275"/>
      <c r="E344" s="275"/>
      <c r="F344" s="275"/>
      <c r="V344" s="304"/>
      <c r="W344" s="304"/>
      <c r="AD344" s="304"/>
      <c r="AE344" s="304"/>
      <c r="AR344" s="304"/>
      <c r="AS344" s="304"/>
      <c r="AT344" s="304"/>
      <c r="AU344" s="304"/>
      <c r="AV344" s="304"/>
      <c r="AW344" s="304"/>
      <c r="AX344" s="304"/>
      <c r="AY344" s="304"/>
      <c r="AZ344" s="304"/>
      <c r="BA344" s="304"/>
      <c r="BB344" s="304"/>
      <c r="BC344" s="304"/>
      <c r="BK344" s="305"/>
      <c r="BL344" s="305"/>
      <c r="BM344" s="305"/>
      <c r="BN344" s="305"/>
      <c r="BO344" s="305"/>
      <c r="BP344" s="305"/>
      <c r="BQ344" s="305"/>
      <c r="BR344" s="305"/>
      <c r="BS344" s="305"/>
      <c r="BT344" s="305"/>
      <c r="BU344" s="305"/>
      <c r="BV344" s="305"/>
      <c r="BX344" s="319"/>
    </row>
    <row r="345" spans="1:76" s="303" customFormat="1" x14ac:dyDescent="0.25">
      <c r="A345" s="275"/>
      <c r="B345" s="275"/>
      <c r="C345" s="275"/>
      <c r="D345" s="275"/>
      <c r="E345" s="275"/>
      <c r="F345" s="275"/>
      <c r="V345" s="304"/>
      <c r="W345" s="304"/>
      <c r="AD345" s="304"/>
      <c r="AE345" s="304"/>
      <c r="AR345" s="304"/>
      <c r="AS345" s="304"/>
      <c r="AT345" s="304"/>
      <c r="AU345" s="304"/>
      <c r="AV345" s="304"/>
      <c r="AW345" s="304"/>
      <c r="AX345" s="304"/>
      <c r="AY345" s="304"/>
      <c r="AZ345" s="304"/>
      <c r="BA345" s="304"/>
      <c r="BB345" s="304"/>
      <c r="BC345" s="304"/>
      <c r="BK345" s="305"/>
      <c r="BL345" s="305"/>
      <c r="BM345" s="305"/>
      <c r="BN345" s="305"/>
      <c r="BO345" s="305"/>
      <c r="BP345" s="305"/>
      <c r="BQ345" s="305"/>
      <c r="BR345" s="305"/>
      <c r="BS345" s="305"/>
      <c r="BT345" s="305"/>
      <c r="BU345" s="305"/>
      <c r="BV345" s="305"/>
      <c r="BX345" s="319"/>
    </row>
    <row r="346" spans="1:76" s="303" customFormat="1" x14ac:dyDescent="0.25">
      <c r="A346" s="275"/>
      <c r="B346" s="275"/>
      <c r="C346" s="275"/>
      <c r="D346" s="275"/>
      <c r="E346" s="275"/>
      <c r="F346" s="275"/>
      <c r="V346" s="304"/>
      <c r="W346" s="304"/>
      <c r="AD346" s="304"/>
      <c r="AE346" s="304"/>
      <c r="AR346" s="304"/>
      <c r="AS346" s="304"/>
      <c r="AT346" s="304"/>
      <c r="AU346" s="304"/>
      <c r="AV346" s="304"/>
      <c r="AW346" s="304"/>
      <c r="AX346" s="304"/>
      <c r="AY346" s="304"/>
      <c r="AZ346" s="304"/>
      <c r="BA346" s="304"/>
      <c r="BB346" s="304"/>
      <c r="BC346" s="304"/>
      <c r="BK346" s="305"/>
      <c r="BL346" s="305"/>
      <c r="BM346" s="305"/>
      <c r="BN346" s="305"/>
      <c r="BO346" s="305"/>
      <c r="BP346" s="305"/>
      <c r="BQ346" s="305"/>
      <c r="BR346" s="305"/>
      <c r="BS346" s="305"/>
      <c r="BT346" s="305"/>
      <c r="BU346" s="305"/>
      <c r="BV346" s="305"/>
      <c r="BX346" s="319"/>
    </row>
    <row r="347" spans="1:76" s="303" customFormat="1" x14ac:dyDescent="0.25">
      <c r="A347" s="275"/>
      <c r="B347" s="275"/>
      <c r="C347" s="275"/>
      <c r="D347" s="275"/>
      <c r="E347" s="275"/>
      <c r="F347" s="275"/>
      <c r="V347" s="304"/>
      <c r="W347" s="304"/>
      <c r="AD347" s="304"/>
      <c r="AE347" s="304"/>
      <c r="AR347" s="304"/>
      <c r="AS347" s="304"/>
      <c r="AT347" s="304"/>
      <c r="AU347" s="304"/>
      <c r="AV347" s="304"/>
      <c r="AW347" s="304"/>
      <c r="AX347" s="304"/>
      <c r="AY347" s="304"/>
      <c r="AZ347" s="304"/>
      <c r="BA347" s="304"/>
      <c r="BB347" s="304"/>
      <c r="BC347" s="304"/>
      <c r="BK347" s="305"/>
      <c r="BL347" s="305"/>
      <c r="BM347" s="305"/>
      <c r="BN347" s="305"/>
      <c r="BO347" s="305"/>
      <c r="BP347" s="305"/>
      <c r="BQ347" s="305"/>
      <c r="BR347" s="305"/>
      <c r="BS347" s="305"/>
      <c r="BT347" s="305"/>
      <c r="BU347" s="305"/>
      <c r="BV347" s="305"/>
      <c r="BX347" s="319"/>
    </row>
    <row r="348" spans="1:76" s="303" customFormat="1" x14ac:dyDescent="0.25">
      <c r="A348" s="275"/>
      <c r="B348" s="275"/>
      <c r="C348" s="275"/>
      <c r="D348" s="275"/>
      <c r="E348" s="275"/>
      <c r="F348" s="275"/>
      <c r="V348" s="304"/>
      <c r="W348" s="304"/>
      <c r="AD348" s="304"/>
      <c r="AE348" s="304"/>
      <c r="AR348" s="304"/>
      <c r="AS348" s="304"/>
      <c r="AT348" s="304"/>
      <c r="AU348" s="304"/>
      <c r="AV348" s="304"/>
      <c r="AW348" s="304"/>
      <c r="AX348" s="304"/>
      <c r="AY348" s="304"/>
      <c r="AZ348" s="304"/>
      <c r="BA348" s="304"/>
      <c r="BB348" s="304"/>
      <c r="BC348" s="304"/>
      <c r="BK348" s="305"/>
      <c r="BL348" s="305"/>
      <c r="BM348" s="305"/>
      <c r="BN348" s="305"/>
      <c r="BO348" s="305"/>
      <c r="BP348" s="305"/>
      <c r="BQ348" s="305"/>
      <c r="BR348" s="305"/>
      <c r="BS348" s="305"/>
      <c r="BT348" s="305"/>
      <c r="BU348" s="305"/>
      <c r="BV348" s="305"/>
      <c r="BX348" s="319"/>
    </row>
    <row r="349" spans="1:76" s="303" customFormat="1" x14ac:dyDescent="0.25">
      <c r="A349" s="275"/>
      <c r="B349" s="275"/>
      <c r="C349" s="275"/>
      <c r="D349" s="275"/>
      <c r="E349" s="275"/>
      <c r="F349" s="275"/>
      <c r="V349" s="304"/>
      <c r="W349" s="304"/>
      <c r="AD349" s="304"/>
      <c r="AE349" s="304"/>
      <c r="AR349" s="304"/>
      <c r="AS349" s="304"/>
      <c r="AT349" s="304"/>
      <c r="AU349" s="304"/>
      <c r="AV349" s="304"/>
      <c r="AW349" s="304"/>
      <c r="AX349" s="304"/>
      <c r="AY349" s="304"/>
      <c r="AZ349" s="304"/>
      <c r="BA349" s="304"/>
      <c r="BB349" s="304"/>
      <c r="BC349" s="304"/>
      <c r="BK349" s="305"/>
      <c r="BL349" s="305"/>
      <c r="BM349" s="305"/>
      <c r="BN349" s="305"/>
      <c r="BO349" s="305"/>
      <c r="BP349" s="305"/>
      <c r="BQ349" s="305"/>
      <c r="BR349" s="305"/>
      <c r="BS349" s="305"/>
      <c r="BT349" s="305"/>
      <c r="BU349" s="305"/>
      <c r="BV349" s="305"/>
      <c r="BX349" s="319"/>
    </row>
    <row r="350" spans="1:76" s="303" customFormat="1" x14ac:dyDescent="0.25">
      <c r="A350" s="275"/>
      <c r="B350" s="275"/>
      <c r="C350" s="275"/>
      <c r="D350" s="275"/>
      <c r="E350" s="275"/>
      <c r="F350" s="275"/>
      <c r="V350" s="304"/>
      <c r="W350" s="304"/>
      <c r="AD350" s="304"/>
      <c r="AE350" s="304"/>
      <c r="AR350" s="304"/>
      <c r="AS350" s="304"/>
      <c r="AT350" s="304"/>
      <c r="AU350" s="304"/>
      <c r="AV350" s="304"/>
      <c r="AW350" s="304"/>
      <c r="AX350" s="304"/>
      <c r="AY350" s="304"/>
      <c r="AZ350" s="304"/>
      <c r="BA350" s="304"/>
      <c r="BB350" s="304"/>
      <c r="BC350" s="304"/>
      <c r="BK350" s="305"/>
      <c r="BL350" s="305"/>
      <c r="BM350" s="305"/>
      <c r="BN350" s="305"/>
      <c r="BO350" s="305"/>
      <c r="BP350" s="305"/>
      <c r="BQ350" s="305"/>
      <c r="BR350" s="305"/>
      <c r="BS350" s="305"/>
      <c r="BT350" s="305"/>
      <c r="BU350" s="305"/>
      <c r="BV350" s="305"/>
      <c r="BX350" s="319"/>
    </row>
    <row r="351" spans="1:76" s="303" customFormat="1" x14ac:dyDescent="0.25">
      <c r="A351" s="275"/>
      <c r="B351" s="275"/>
      <c r="C351" s="275"/>
      <c r="D351" s="275"/>
      <c r="E351" s="275"/>
      <c r="F351" s="275"/>
      <c r="V351" s="304"/>
      <c r="W351" s="304"/>
      <c r="AD351" s="304"/>
      <c r="AE351" s="304"/>
      <c r="AR351" s="304"/>
      <c r="AS351" s="304"/>
      <c r="AT351" s="304"/>
      <c r="AU351" s="304"/>
      <c r="AV351" s="304"/>
      <c r="AW351" s="304"/>
      <c r="AX351" s="304"/>
      <c r="AY351" s="304"/>
      <c r="AZ351" s="304"/>
      <c r="BA351" s="304"/>
      <c r="BB351" s="304"/>
      <c r="BC351" s="304"/>
      <c r="BK351" s="305"/>
      <c r="BL351" s="305"/>
      <c r="BM351" s="305"/>
      <c r="BN351" s="305"/>
      <c r="BO351" s="305"/>
      <c r="BP351" s="305"/>
      <c r="BQ351" s="305"/>
      <c r="BR351" s="305"/>
      <c r="BS351" s="305"/>
      <c r="BT351" s="305"/>
      <c r="BU351" s="305"/>
      <c r="BV351" s="305"/>
      <c r="BX351" s="319"/>
    </row>
    <row r="352" spans="1:76" s="303" customFormat="1" x14ac:dyDescent="0.25">
      <c r="A352" s="275"/>
      <c r="B352" s="275"/>
      <c r="C352" s="275"/>
      <c r="D352" s="275"/>
      <c r="E352" s="275"/>
      <c r="F352" s="275"/>
      <c r="V352" s="304"/>
      <c r="W352" s="304"/>
      <c r="AD352" s="304"/>
      <c r="AE352" s="304"/>
      <c r="AR352" s="304"/>
      <c r="AS352" s="304"/>
      <c r="AT352" s="304"/>
      <c r="AU352" s="304"/>
      <c r="AV352" s="304"/>
      <c r="AW352" s="304"/>
      <c r="AX352" s="304"/>
      <c r="AY352" s="304"/>
      <c r="AZ352" s="304"/>
      <c r="BA352" s="304"/>
      <c r="BB352" s="304"/>
      <c r="BC352" s="304"/>
      <c r="BK352" s="305"/>
      <c r="BL352" s="305"/>
      <c r="BM352" s="305"/>
      <c r="BN352" s="305"/>
      <c r="BO352" s="305"/>
      <c r="BP352" s="305"/>
      <c r="BQ352" s="305"/>
      <c r="BR352" s="305"/>
      <c r="BS352" s="305"/>
      <c r="BT352" s="305"/>
      <c r="BU352" s="305"/>
      <c r="BV352" s="305"/>
      <c r="BX352" s="319"/>
    </row>
    <row r="353" spans="1:76" s="303" customFormat="1" x14ac:dyDescent="0.25">
      <c r="A353" s="275"/>
      <c r="B353" s="275"/>
      <c r="C353" s="275"/>
      <c r="D353" s="275"/>
      <c r="E353" s="275"/>
      <c r="F353" s="275"/>
      <c r="V353" s="304"/>
      <c r="W353" s="304"/>
      <c r="AD353" s="304"/>
      <c r="AE353" s="304"/>
      <c r="AR353" s="304"/>
      <c r="AS353" s="304"/>
      <c r="AT353" s="304"/>
      <c r="AU353" s="304"/>
      <c r="AV353" s="304"/>
      <c r="AW353" s="304"/>
      <c r="AX353" s="304"/>
      <c r="AY353" s="304"/>
      <c r="AZ353" s="304"/>
      <c r="BA353" s="304"/>
      <c r="BB353" s="304"/>
      <c r="BC353" s="304"/>
      <c r="BK353" s="305"/>
      <c r="BL353" s="305"/>
      <c r="BM353" s="305"/>
      <c r="BN353" s="305"/>
      <c r="BO353" s="305"/>
      <c r="BP353" s="305"/>
      <c r="BQ353" s="305"/>
      <c r="BR353" s="305"/>
      <c r="BS353" s="305"/>
      <c r="BT353" s="305"/>
      <c r="BU353" s="305"/>
      <c r="BV353" s="305"/>
      <c r="BX353" s="319"/>
    </row>
    <row r="354" spans="1:76" s="303" customFormat="1" x14ac:dyDescent="0.25">
      <c r="A354" s="275"/>
      <c r="B354" s="275"/>
      <c r="C354" s="275"/>
      <c r="D354" s="275"/>
      <c r="E354" s="275"/>
      <c r="F354" s="275"/>
      <c r="V354" s="304"/>
      <c r="W354" s="304"/>
      <c r="AD354" s="304"/>
      <c r="AE354" s="304"/>
      <c r="AR354" s="304"/>
      <c r="AS354" s="304"/>
      <c r="AT354" s="304"/>
      <c r="AU354" s="304"/>
      <c r="AV354" s="304"/>
      <c r="AW354" s="304"/>
      <c r="AX354" s="304"/>
      <c r="AY354" s="304"/>
      <c r="AZ354" s="304"/>
      <c r="BA354" s="304"/>
      <c r="BB354" s="304"/>
      <c r="BC354" s="304"/>
      <c r="BK354" s="305"/>
      <c r="BL354" s="305"/>
      <c r="BM354" s="305"/>
      <c r="BN354" s="305"/>
      <c r="BO354" s="305"/>
      <c r="BP354" s="305"/>
      <c r="BQ354" s="305"/>
      <c r="BR354" s="305"/>
      <c r="BS354" s="305"/>
      <c r="BT354" s="305"/>
      <c r="BU354" s="305"/>
      <c r="BV354" s="305"/>
      <c r="BX354" s="319"/>
    </row>
    <row r="355" spans="1:76" s="303" customFormat="1" x14ac:dyDescent="0.25">
      <c r="A355" s="275"/>
      <c r="B355" s="275"/>
      <c r="C355" s="275"/>
      <c r="D355" s="275"/>
      <c r="E355" s="275"/>
      <c r="F355" s="275"/>
      <c r="V355" s="304"/>
      <c r="W355" s="304"/>
      <c r="AD355" s="304"/>
      <c r="AE355" s="304"/>
      <c r="AR355" s="304"/>
      <c r="AS355" s="304"/>
      <c r="AT355" s="304"/>
      <c r="AU355" s="304"/>
      <c r="AV355" s="304"/>
      <c r="AW355" s="304"/>
      <c r="AX355" s="304"/>
      <c r="AY355" s="304"/>
      <c r="AZ355" s="304"/>
      <c r="BA355" s="304"/>
      <c r="BB355" s="304"/>
      <c r="BC355" s="304"/>
      <c r="BK355" s="305"/>
      <c r="BL355" s="305"/>
      <c r="BM355" s="305"/>
      <c r="BN355" s="305"/>
      <c r="BO355" s="305"/>
      <c r="BP355" s="305"/>
      <c r="BQ355" s="305"/>
      <c r="BR355" s="305"/>
      <c r="BS355" s="305"/>
      <c r="BT355" s="305"/>
      <c r="BU355" s="305"/>
      <c r="BV355" s="305"/>
      <c r="BX355" s="319"/>
    </row>
    <row r="356" spans="1:76" s="303" customFormat="1" x14ac:dyDescent="0.25">
      <c r="A356" s="275"/>
      <c r="B356" s="275"/>
      <c r="C356" s="275"/>
      <c r="D356" s="275"/>
      <c r="E356" s="275"/>
      <c r="F356" s="275"/>
      <c r="V356" s="304"/>
      <c r="W356" s="304"/>
      <c r="AD356" s="304"/>
      <c r="AE356" s="304"/>
      <c r="AR356" s="304"/>
      <c r="AS356" s="304"/>
      <c r="AT356" s="304"/>
      <c r="AU356" s="304"/>
      <c r="AV356" s="304"/>
      <c r="AW356" s="304"/>
      <c r="AX356" s="304"/>
      <c r="AY356" s="304"/>
      <c r="AZ356" s="304"/>
      <c r="BA356" s="304"/>
      <c r="BB356" s="304"/>
      <c r="BC356" s="304"/>
      <c r="BK356" s="305"/>
      <c r="BL356" s="305"/>
      <c r="BM356" s="305"/>
      <c r="BN356" s="305"/>
      <c r="BO356" s="305"/>
      <c r="BP356" s="305"/>
      <c r="BQ356" s="305"/>
      <c r="BR356" s="305"/>
      <c r="BS356" s="305"/>
      <c r="BT356" s="305"/>
      <c r="BU356" s="305"/>
      <c r="BV356" s="305"/>
      <c r="BX356" s="319"/>
    </row>
    <row r="357" spans="1:76" s="303" customFormat="1" x14ac:dyDescent="0.25">
      <c r="A357" s="275"/>
      <c r="B357" s="275"/>
      <c r="C357" s="275"/>
      <c r="D357" s="275"/>
      <c r="E357" s="275"/>
      <c r="F357" s="275"/>
      <c r="V357" s="304"/>
      <c r="W357" s="304"/>
      <c r="AD357" s="304"/>
      <c r="AE357" s="304"/>
      <c r="AR357" s="304"/>
      <c r="AS357" s="304"/>
      <c r="AT357" s="304"/>
      <c r="AU357" s="304"/>
      <c r="AV357" s="304"/>
      <c r="AW357" s="304"/>
      <c r="AX357" s="304"/>
      <c r="AY357" s="304"/>
      <c r="AZ357" s="304"/>
      <c r="BA357" s="304"/>
      <c r="BB357" s="304"/>
      <c r="BC357" s="304"/>
      <c r="BK357" s="305"/>
      <c r="BL357" s="305"/>
      <c r="BM357" s="305"/>
      <c r="BN357" s="305"/>
      <c r="BO357" s="305"/>
      <c r="BP357" s="305"/>
      <c r="BQ357" s="305"/>
      <c r="BR357" s="305"/>
      <c r="BS357" s="305"/>
      <c r="BT357" s="305"/>
      <c r="BU357" s="305"/>
      <c r="BV357" s="305"/>
      <c r="BX357" s="319"/>
    </row>
    <row r="358" spans="1:76" s="303" customFormat="1" x14ac:dyDescent="0.25">
      <c r="A358" s="275"/>
      <c r="B358" s="275"/>
      <c r="C358" s="275"/>
      <c r="D358" s="275"/>
      <c r="E358" s="275"/>
      <c r="F358" s="275"/>
      <c r="V358" s="304"/>
      <c r="W358" s="304"/>
      <c r="AD358" s="304"/>
      <c r="AE358" s="304"/>
      <c r="AR358" s="304"/>
      <c r="AS358" s="304"/>
      <c r="AT358" s="304"/>
      <c r="AU358" s="304"/>
      <c r="AV358" s="304"/>
      <c r="AW358" s="304"/>
      <c r="AX358" s="304"/>
      <c r="AY358" s="304"/>
      <c r="AZ358" s="304"/>
      <c r="BA358" s="304"/>
      <c r="BB358" s="304"/>
      <c r="BC358" s="304"/>
      <c r="BK358" s="305"/>
      <c r="BL358" s="305"/>
      <c r="BM358" s="305"/>
      <c r="BN358" s="305"/>
      <c r="BO358" s="305"/>
      <c r="BP358" s="305"/>
      <c r="BQ358" s="305"/>
      <c r="BR358" s="305"/>
      <c r="BS358" s="305"/>
      <c r="BT358" s="305"/>
      <c r="BU358" s="305"/>
      <c r="BV358" s="305"/>
      <c r="BX358" s="319"/>
    </row>
    <row r="359" spans="1:76" s="303" customFormat="1" x14ac:dyDescent="0.25">
      <c r="A359" s="275"/>
      <c r="B359" s="275"/>
      <c r="C359" s="275"/>
      <c r="D359" s="275"/>
      <c r="E359" s="275"/>
      <c r="F359" s="275"/>
      <c r="V359" s="304"/>
      <c r="W359" s="304"/>
      <c r="AD359" s="304"/>
      <c r="AE359" s="304"/>
      <c r="AR359" s="304"/>
      <c r="AS359" s="304"/>
      <c r="AT359" s="304"/>
      <c r="AU359" s="304"/>
      <c r="AV359" s="304"/>
      <c r="AW359" s="304"/>
      <c r="AX359" s="304"/>
      <c r="AY359" s="304"/>
      <c r="AZ359" s="304"/>
      <c r="BA359" s="304"/>
      <c r="BB359" s="304"/>
      <c r="BC359" s="304"/>
      <c r="BK359" s="305"/>
      <c r="BL359" s="305"/>
      <c r="BM359" s="305"/>
      <c r="BN359" s="305"/>
      <c r="BO359" s="305"/>
      <c r="BP359" s="305"/>
      <c r="BQ359" s="305"/>
      <c r="BR359" s="305"/>
      <c r="BS359" s="305"/>
      <c r="BT359" s="305"/>
      <c r="BU359" s="305"/>
      <c r="BV359" s="305"/>
      <c r="BX359" s="319"/>
    </row>
    <row r="360" spans="1:76" s="303" customFormat="1" x14ac:dyDescent="0.25">
      <c r="A360" s="275"/>
      <c r="B360" s="275"/>
      <c r="C360" s="275"/>
      <c r="D360" s="275"/>
      <c r="E360" s="275"/>
      <c r="F360" s="275"/>
      <c r="V360" s="304"/>
      <c r="W360" s="304"/>
      <c r="AD360" s="304"/>
      <c r="AE360" s="304"/>
      <c r="AR360" s="304"/>
      <c r="AS360" s="304"/>
      <c r="AT360" s="304"/>
      <c r="AU360" s="304"/>
      <c r="AV360" s="304"/>
      <c r="AW360" s="304"/>
      <c r="AX360" s="304"/>
      <c r="AY360" s="304"/>
      <c r="AZ360" s="304"/>
      <c r="BA360" s="304"/>
      <c r="BB360" s="304"/>
      <c r="BC360" s="304"/>
      <c r="BK360" s="305"/>
      <c r="BL360" s="305"/>
      <c r="BM360" s="305"/>
      <c r="BN360" s="305"/>
      <c r="BO360" s="305"/>
      <c r="BP360" s="305"/>
      <c r="BQ360" s="305"/>
      <c r="BR360" s="305"/>
      <c r="BS360" s="305"/>
      <c r="BT360" s="305"/>
      <c r="BU360" s="305"/>
      <c r="BV360" s="305"/>
      <c r="BX360" s="319"/>
    </row>
    <row r="361" spans="1:76" s="303" customFormat="1" x14ac:dyDescent="0.25">
      <c r="A361" s="275"/>
      <c r="B361" s="275"/>
      <c r="C361" s="275"/>
      <c r="D361" s="275"/>
      <c r="E361" s="275"/>
      <c r="F361" s="275"/>
      <c r="V361" s="304"/>
      <c r="W361" s="304"/>
      <c r="AD361" s="304"/>
      <c r="AE361" s="304"/>
      <c r="AR361" s="304"/>
      <c r="AS361" s="304"/>
      <c r="AT361" s="304"/>
      <c r="AU361" s="304"/>
      <c r="AV361" s="304"/>
      <c r="AW361" s="304"/>
      <c r="AX361" s="304"/>
      <c r="AY361" s="304"/>
      <c r="AZ361" s="304"/>
      <c r="BA361" s="304"/>
      <c r="BB361" s="304"/>
      <c r="BC361" s="304"/>
      <c r="BK361" s="305"/>
      <c r="BL361" s="305"/>
      <c r="BM361" s="305"/>
      <c r="BN361" s="305"/>
      <c r="BO361" s="305"/>
      <c r="BP361" s="305"/>
      <c r="BQ361" s="305"/>
      <c r="BR361" s="305"/>
      <c r="BS361" s="305"/>
      <c r="BT361" s="305"/>
      <c r="BU361" s="305"/>
      <c r="BV361" s="305"/>
      <c r="BX361" s="319"/>
    </row>
    <row r="362" spans="1:76" s="303" customFormat="1" x14ac:dyDescent="0.25">
      <c r="A362" s="275"/>
      <c r="B362" s="275"/>
      <c r="C362" s="275"/>
      <c r="D362" s="275"/>
      <c r="E362" s="275"/>
      <c r="F362" s="275"/>
      <c r="V362" s="304"/>
      <c r="W362" s="304"/>
      <c r="AD362" s="304"/>
      <c r="AE362" s="304"/>
      <c r="AR362" s="304"/>
      <c r="AS362" s="304"/>
      <c r="AT362" s="304"/>
      <c r="AU362" s="304"/>
      <c r="AV362" s="304"/>
      <c r="AW362" s="304"/>
      <c r="AX362" s="304"/>
      <c r="AY362" s="304"/>
      <c r="AZ362" s="304"/>
      <c r="BA362" s="304"/>
      <c r="BB362" s="304"/>
      <c r="BC362" s="304"/>
      <c r="BK362" s="305"/>
      <c r="BL362" s="305"/>
      <c r="BM362" s="305"/>
      <c r="BN362" s="305"/>
      <c r="BO362" s="305"/>
      <c r="BP362" s="305"/>
      <c r="BQ362" s="305"/>
      <c r="BR362" s="305"/>
      <c r="BS362" s="305"/>
      <c r="BT362" s="305"/>
      <c r="BU362" s="305"/>
      <c r="BV362" s="305"/>
      <c r="BX362" s="319"/>
    </row>
    <row r="363" spans="1:76" s="303" customFormat="1" x14ac:dyDescent="0.25">
      <c r="A363" s="275"/>
      <c r="B363" s="275"/>
      <c r="C363" s="275"/>
      <c r="D363" s="275"/>
      <c r="E363" s="275"/>
      <c r="F363" s="275"/>
      <c r="V363" s="304"/>
      <c r="W363" s="304"/>
      <c r="AD363" s="304"/>
      <c r="AE363" s="304"/>
      <c r="AR363" s="304"/>
      <c r="AS363" s="304"/>
      <c r="AT363" s="304"/>
      <c r="AU363" s="304"/>
      <c r="AV363" s="304"/>
      <c r="AW363" s="304"/>
      <c r="AX363" s="304"/>
      <c r="AY363" s="304"/>
      <c r="AZ363" s="304"/>
      <c r="BA363" s="304"/>
      <c r="BB363" s="304"/>
      <c r="BC363" s="304"/>
      <c r="BK363" s="305"/>
      <c r="BL363" s="305"/>
      <c r="BM363" s="305"/>
      <c r="BN363" s="305"/>
      <c r="BO363" s="305"/>
      <c r="BP363" s="305"/>
      <c r="BQ363" s="305"/>
      <c r="BR363" s="305"/>
      <c r="BS363" s="305"/>
      <c r="BT363" s="305"/>
      <c r="BU363" s="305"/>
      <c r="BV363" s="305"/>
      <c r="BX363" s="319"/>
    </row>
    <row r="364" spans="1:76" s="303" customFormat="1" x14ac:dyDescent="0.25">
      <c r="A364" s="275"/>
      <c r="B364" s="275"/>
      <c r="C364" s="275"/>
      <c r="D364" s="275"/>
      <c r="E364" s="275"/>
      <c r="F364" s="275"/>
      <c r="V364" s="304"/>
      <c r="W364" s="304"/>
      <c r="AD364" s="304"/>
      <c r="AE364" s="304"/>
      <c r="AR364" s="304"/>
      <c r="AS364" s="304"/>
      <c r="AT364" s="304"/>
      <c r="AU364" s="304"/>
      <c r="AV364" s="304"/>
      <c r="AW364" s="304"/>
      <c r="AX364" s="304"/>
      <c r="AY364" s="304"/>
      <c r="AZ364" s="304"/>
      <c r="BA364" s="304"/>
      <c r="BB364" s="304"/>
      <c r="BC364" s="304"/>
      <c r="BK364" s="305"/>
      <c r="BL364" s="305"/>
      <c r="BM364" s="305"/>
      <c r="BN364" s="305"/>
      <c r="BO364" s="305"/>
      <c r="BP364" s="305"/>
      <c r="BQ364" s="305"/>
      <c r="BR364" s="305"/>
      <c r="BS364" s="305"/>
      <c r="BT364" s="305"/>
      <c r="BU364" s="305"/>
      <c r="BV364" s="305"/>
      <c r="BX364" s="319"/>
    </row>
    <row r="365" spans="1:76" s="303" customFormat="1" x14ac:dyDescent="0.25">
      <c r="A365" s="275"/>
      <c r="B365" s="275"/>
      <c r="C365" s="275"/>
      <c r="D365" s="275"/>
      <c r="E365" s="275"/>
      <c r="F365" s="275"/>
      <c r="V365" s="304"/>
      <c r="W365" s="304"/>
      <c r="AD365" s="304"/>
      <c r="AE365" s="304"/>
      <c r="AR365" s="304"/>
      <c r="AS365" s="304"/>
      <c r="AT365" s="304"/>
      <c r="AU365" s="304"/>
      <c r="AV365" s="304"/>
      <c r="AW365" s="304"/>
      <c r="AX365" s="304"/>
      <c r="AY365" s="304"/>
      <c r="AZ365" s="304"/>
      <c r="BA365" s="304"/>
      <c r="BB365" s="304"/>
      <c r="BC365" s="304"/>
      <c r="BK365" s="305"/>
      <c r="BL365" s="305"/>
      <c r="BM365" s="305"/>
      <c r="BN365" s="305"/>
      <c r="BO365" s="305"/>
      <c r="BP365" s="305"/>
      <c r="BQ365" s="305"/>
      <c r="BR365" s="305"/>
      <c r="BS365" s="305"/>
      <c r="BT365" s="305"/>
      <c r="BU365" s="305"/>
      <c r="BV365" s="305"/>
      <c r="BX365" s="319"/>
    </row>
    <row r="366" spans="1:76" s="303" customFormat="1" x14ac:dyDescent="0.25">
      <c r="A366" s="275"/>
      <c r="B366" s="275"/>
      <c r="C366" s="275"/>
      <c r="D366" s="275"/>
      <c r="E366" s="275"/>
      <c r="F366" s="275"/>
      <c r="V366" s="304"/>
      <c r="W366" s="304"/>
      <c r="AD366" s="304"/>
      <c r="AE366" s="304"/>
      <c r="AR366" s="304"/>
      <c r="AS366" s="304"/>
      <c r="AT366" s="304"/>
      <c r="AU366" s="304"/>
      <c r="AV366" s="304"/>
      <c r="AW366" s="304"/>
      <c r="AX366" s="304"/>
      <c r="AY366" s="304"/>
      <c r="AZ366" s="304"/>
      <c r="BA366" s="304"/>
      <c r="BB366" s="304"/>
      <c r="BC366" s="304"/>
      <c r="BK366" s="305"/>
      <c r="BL366" s="305"/>
      <c r="BM366" s="305"/>
      <c r="BN366" s="305"/>
      <c r="BO366" s="305"/>
      <c r="BP366" s="305"/>
      <c r="BQ366" s="305"/>
      <c r="BR366" s="305"/>
      <c r="BS366" s="305"/>
      <c r="BT366" s="305"/>
      <c r="BU366" s="305"/>
      <c r="BV366" s="305"/>
      <c r="BX366" s="319"/>
    </row>
    <row r="367" spans="1:76" s="303" customFormat="1" x14ac:dyDescent="0.25">
      <c r="A367" s="275"/>
      <c r="B367" s="275"/>
      <c r="C367" s="275"/>
      <c r="D367" s="275"/>
      <c r="E367" s="275"/>
      <c r="F367" s="275"/>
      <c r="V367" s="304"/>
      <c r="W367" s="304"/>
      <c r="AD367" s="304"/>
      <c r="AE367" s="304"/>
      <c r="AR367" s="304"/>
      <c r="AS367" s="304"/>
      <c r="AT367" s="304"/>
      <c r="AU367" s="304"/>
      <c r="AV367" s="304"/>
      <c r="AW367" s="304"/>
      <c r="AX367" s="304"/>
      <c r="AY367" s="304"/>
      <c r="AZ367" s="304"/>
      <c r="BA367" s="304"/>
      <c r="BB367" s="304"/>
      <c r="BC367" s="304"/>
      <c r="BK367" s="305"/>
      <c r="BL367" s="305"/>
      <c r="BM367" s="305"/>
      <c r="BN367" s="305"/>
      <c r="BO367" s="305"/>
      <c r="BP367" s="305"/>
      <c r="BQ367" s="305"/>
      <c r="BR367" s="305"/>
      <c r="BS367" s="305"/>
      <c r="BT367" s="305"/>
      <c r="BU367" s="305"/>
      <c r="BV367" s="305"/>
      <c r="BX367" s="319"/>
    </row>
    <row r="368" spans="1:76" s="303" customFormat="1" x14ac:dyDescent="0.25">
      <c r="A368" s="275"/>
      <c r="B368" s="275"/>
      <c r="C368" s="275"/>
      <c r="D368" s="275"/>
      <c r="E368" s="275"/>
      <c r="F368" s="275"/>
      <c r="V368" s="304"/>
      <c r="W368" s="304"/>
      <c r="AD368" s="304"/>
      <c r="AE368" s="304"/>
      <c r="AR368" s="304"/>
      <c r="AS368" s="304"/>
      <c r="AT368" s="304"/>
      <c r="AU368" s="304"/>
      <c r="AV368" s="304"/>
      <c r="AW368" s="304"/>
      <c r="AX368" s="304"/>
      <c r="AY368" s="304"/>
      <c r="AZ368" s="304"/>
      <c r="BA368" s="304"/>
      <c r="BB368" s="304"/>
      <c r="BC368" s="304"/>
      <c r="BK368" s="305"/>
      <c r="BL368" s="305"/>
      <c r="BM368" s="305"/>
      <c r="BN368" s="305"/>
      <c r="BO368" s="305"/>
      <c r="BP368" s="305"/>
      <c r="BQ368" s="305"/>
      <c r="BR368" s="305"/>
      <c r="BS368" s="305"/>
      <c r="BT368" s="305"/>
      <c r="BU368" s="305"/>
      <c r="BV368" s="305"/>
      <c r="BX368" s="319"/>
    </row>
    <row r="369" spans="1:76" s="303" customFormat="1" x14ac:dyDescent="0.25">
      <c r="A369" s="275"/>
      <c r="B369" s="275"/>
      <c r="C369" s="275"/>
      <c r="D369" s="275"/>
      <c r="E369" s="275"/>
      <c r="F369" s="275"/>
      <c r="V369" s="304"/>
      <c r="W369" s="304"/>
      <c r="AD369" s="304"/>
      <c r="AE369" s="304"/>
      <c r="AR369" s="304"/>
      <c r="AS369" s="304"/>
      <c r="AT369" s="304"/>
      <c r="AU369" s="304"/>
      <c r="AV369" s="304"/>
      <c r="AW369" s="304"/>
      <c r="AX369" s="304"/>
      <c r="AY369" s="304"/>
      <c r="AZ369" s="304"/>
      <c r="BA369" s="304"/>
      <c r="BB369" s="304"/>
      <c r="BC369" s="304"/>
      <c r="BK369" s="305"/>
      <c r="BL369" s="305"/>
      <c r="BM369" s="305"/>
      <c r="BN369" s="305"/>
      <c r="BO369" s="305"/>
      <c r="BP369" s="305"/>
      <c r="BQ369" s="305"/>
      <c r="BR369" s="305"/>
      <c r="BS369" s="305"/>
      <c r="BT369" s="305"/>
      <c r="BU369" s="305"/>
      <c r="BV369" s="305"/>
      <c r="BX369" s="319"/>
    </row>
    <row r="370" spans="1:76" s="303" customFormat="1" x14ac:dyDescent="0.25">
      <c r="A370" s="275"/>
      <c r="B370" s="275"/>
      <c r="C370" s="275"/>
      <c r="D370" s="275"/>
      <c r="E370" s="275"/>
      <c r="F370" s="275"/>
      <c r="V370" s="304"/>
      <c r="W370" s="304"/>
      <c r="AD370" s="304"/>
      <c r="AE370" s="304"/>
      <c r="AR370" s="304"/>
      <c r="AS370" s="304"/>
      <c r="AT370" s="304"/>
      <c r="AU370" s="304"/>
      <c r="AV370" s="304"/>
      <c r="AW370" s="304"/>
      <c r="AX370" s="304"/>
      <c r="AY370" s="304"/>
      <c r="AZ370" s="304"/>
      <c r="BA370" s="304"/>
      <c r="BB370" s="304"/>
      <c r="BC370" s="304"/>
      <c r="BK370" s="305"/>
      <c r="BL370" s="305"/>
      <c r="BM370" s="305"/>
      <c r="BN370" s="305"/>
      <c r="BO370" s="305"/>
      <c r="BP370" s="305"/>
      <c r="BQ370" s="305"/>
      <c r="BR370" s="305"/>
      <c r="BS370" s="305"/>
      <c r="BT370" s="305"/>
      <c r="BU370" s="305"/>
      <c r="BV370" s="305"/>
      <c r="BX370" s="319"/>
    </row>
    <row r="371" spans="1:76" s="303" customFormat="1" x14ac:dyDescent="0.25">
      <c r="A371" s="275"/>
      <c r="B371" s="275"/>
      <c r="C371" s="275"/>
      <c r="D371" s="275"/>
      <c r="E371" s="275"/>
      <c r="F371" s="275"/>
      <c r="V371" s="304"/>
      <c r="W371" s="304"/>
      <c r="AD371" s="304"/>
      <c r="AE371" s="304"/>
      <c r="AR371" s="304"/>
      <c r="AS371" s="304"/>
      <c r="AT371" s="304"/>
      <c r="AU371" s="304"/>
      <c r="AV371" s="304"/>
      <c r="AW371" s="304"/>
      <c r="AX371" s="304"/>
      <c r="AY371" s="304"/>
      <c r="AZ371" s="304"/>
      <c r="BA371" s="304"/>
      <c r="BB371" s="304"/>
      <c r="BC371" s="304"/>
      <c r="BK371" s="305"/>
      <c r="BL371" s="305"/>
      <c r="BM371" s="305"/>
      <c r="BN371" s="305"/>
      <c r="BO371" s="305"/>
      <c r="BP371" s="305"/>
      <c r="BQ371" s="305"/>
      <c r="BR371" s="305"/>
      <c r="BS371" s="305"/>
      <c r="BT371" s="305"/>
      <c r="BU371" s="305"/>
      <c r="BV371" s="305"/>
      <c r="BX371" s="319"/>
    </row>
    <row r="372" spans="1:76" s="303" customFormat="1" x14ac:dyDescent="0.25">
      <c r="A372" s="275"/>
      <c r="B372" s="275"/>
      <c r="C372" s="275"/>
      <c r="D372" s="275"/>
      <c r="E372" s="275"/>
      <c r="F372" s="275"/>
      <c r="V372" s="304"/>
      <c r="W372" s="304"/>
      <c r="AD372" s="304"/>
      <c r="AE372" s="304"/>
      <c r="AR372" s="304"/>
      <c r="AS372" s="304"/>
      <c r="AT372" s="304"/>
      <c r="AU372" s="304"/>
      <c r="AV372" s="304"/>
      <c r="AW372" s="304"/>
      <c r="AX372" s="304"/>
      <c r="AY372" s="304"/>
      <c r="AZ372" s="304"/>
      <c r="BA372" s="304"/>
      <c r="BB372" s="304"/>
      <c r="BC372" s="304"/>
      <c r="BK372" s="305"/>
      <c r="BL372" s="305"/>
      <c r="BM372" s="305"/>
      <c r="BN372" s="305"/>
      <c r="BO372" s="305"/>
      <c r="BP372" s="305"/>
      <c r="BQ372" s="305"/>
      <c r="BR372" s="305"/>
      <c r="BS372" s="305"/>
      <c r="BT372" s="305"/>
      <c r="BU372" s="305"/>
      <c r="BV372" s="305"/>
      <c r="BX372" s="319"/>
    </row>
    <row r="373" spans="1:76" s="303" customFormat="1" x14ac:dyDescent="0.25">
      <c r="A373" s="275"/>
      <c r="B373" s="275"/>
      <c r="C373" s="275"/>
      <c r="D373" s="275"/>
      <c r="E373" s="275"/>
      <c r="F373" s="275"/>
      <c r="V373" s="304"/>
      <c r="W373" s="304"/>
      <c r="AD373" s="304"/>
      <c r="AE373" s="304"/>
      <c r="AR373" s="304"/>
      <c r="AS373" s="304"/>
      <c r="AT373" s="304"/>
      <c r="AU373" s="304"/>
      <c r="AV373" s="304"/>
      <c r="AW373" s="304"/>
      <c r="AX373" s="304"/>
      <c r="AY373" s="304"/>
      <c r="AZ373" s="304"/>
      <c r="BA373" s="304"/>
      <c r="BB373" s="304"/>
      <c r="BC373" s="304"/>
      <c r="BK373" s="305"/>
      <c r="BL373" s="305"/>
      <c r="BM373" s="305"/>
      <c r="BN373" s="305"/>
      <c r="BO373" s="305"/>
      <c r="BP373" s="305"/>
      <c r="BQ373" s="305"/>
      <c r="BR373" s="305"/>
      <c r="BS373" s="305"/>
      <c r="BT373" s="305"/>
      <c r="BU373" s="305"/>
      <c r="BV373" s="305"/>
      <c r="BX373" s="319"/>
    </row>
    <row r="374" spans="1:76" s="303" customFormat="1" x14ac:dyDescent="0.25">
      <c r="A374" s="275"/>
      <c r="B374" s="275"/>
      <c r="C374" s="275"/>
      <c r="D374" s="275"/>
      <c r="E374" s="275"/>
      <c r="F374" s="275"/>
      <c r="V374" s="304"/>
      <c r="W374" s="304"/>
      <c r="AD374" s="304"/>
      <c r="AE374" s="304"/>
      <c r="AR374" s="304"/>
      <c r="AS374" s="304"/>
      <c r="AT374" s="304"/>
      <c r="AU374" s="304"/>
      <c r="AV374" s="304"/>
      <c r="AW374" s="304"/>
      <c r="AX374" s="304"/>
      <c r="AY374" s="304"/>
      <c r="AZ374" s="304"/>
      <c r="BA374" s="304"/>
      <c r="BB374" s="304"/>
      <c r="BC374" s="304"/>
      <c r="BK374" s="305"/>
      <c r="BL374" s="305"/>
      <c r="BM374" s="305"/>
      <c r="BN374" s="305"/>
      <c r="BO374" s="305"/>
      <c r="BP374" s="305"/>
      <c r="BQ374" s="305"/>
      <c r="BR374" s="305"/>
      <c r="BS374" s="305"/>
      <c r="BT374" s="305"/>
      <c r="BU374" s="305"/>
      <c r="BV374" s="305"/>
      <c r="BX374" s="319"/>
    </row>
    <row r="375" spans="1:76" s="303" customFormat="1" x14ac:dyDescent="0.25">
      <c r="A375" s="275"/>
      <c r="B375" s="275"/>
      <c r="C375" s="275"/>
      <c r="D375" s="275"/>
      <c r="E375" s="275"/>
      <c r="F375" s="275"/>
      <c r="V375" s="304"/>
      <c r="W375" s="304"/>
      <c r="AD375" s="304"/>
      <c r="AE375" s="304"/>
      <c r="AR375" s="304"/>
      <c r="AS375" s="304"/>
      <c r="AT375" s="304"/>
      <c r="AU375" s="304"/>
      <c r="AV375" s="304"/>
      <c r="AW375" s="304"/>
      <c r="AX375" s="304"/>
      <c r="AY375" s="304"/>
      <c r="AZ375" s="304"/>
      <c r="BA375" s="304"/>
      <c r="BB375" s="304"/>
      <c r="BC375" s="304"/>
      <c r="BK375" s="305"/>
      <c r="BL375" s="305"/>
      <c r="BM375" s="305"/>
      <c r="BN375" s="305"/>
      <c r="BO375" s="305"/>
      <c r="BP375" s="305"/>
      <c r="BQ375" s="305"/>
      <c r="BR375" s="305"/>
      <c r="BS375" s="305"/>
      <c r="BT375" s="305"/>
      <c r="BU375" s="305"/>
      <c r="BV375" s="305"/>
      <c r="BX375" s="319"/>
    </row>
    <row r="376" spans="1:76" s="303" customFormat="1" x14ac:dyDescent="0.25">
      <c r="A376" s="275"/>
      <c r="B376" s="275"/>
      <c r="C376" s="275"/>
      <c r="D376" s="275"/>
      <c r="E376" s="275"/>
      <c r="F376" s="275"/>
      <c r="V376" s="304"/>
      <c r="W376" s="304"/>
      <c r="AD376" s="304"/>
      <c r="AE376" s="304"/>
      <c r="AR376" s="304"/>
      <c r="AS376" s="304"/>
      <c r="AT376" s="304"/>
      <c r="AU376" s="304"/>
      <c r="AV376" s="304"/>
      <c r="AW376" s="304"/>
      <c r="AX376" s="304"/>
      <c r="AY376" s="304"/>
      <c r="AZ376" s="304"/>
      <c r="BA376" s="304"/>
      <c r="BB376" s="304"/>
      <c r="BC376" s="304"/>
      <c r="BK376" s="305"/>
      <c r="BL376" s="305"/>
      <c r="BM376" s="305"/>
      <c r="BN376" s="305"/>
      <c r="BO376" s="305"/>
      <c r="BP376" s="305"/>
      <c r="BQ376" s="305"/>
      <c r="BR376" s="305"/>
      <c r="BS376" s="305"/>
      <c r="BT376" s="305"/>
      <c r="BU376" s="305"/>
      <c r="BV376" s="305"/>
      <c r="BX376" s="319"/>
    </row>
    <row r="377" spans="1:76" s="303" customFormat="1" x14ac:dyDescent="0.25">
      <c r="A377" s="275"/>
      <c r="B377" s="275"/>
      <c r="C377" s="275"/>
      <c r="D377" s="275"/>
      <c r="E377" s="275"/>
      <c r="F377" s="275"/>
      <c r="V377" s="304"/>
      <c r="W377" s="304"/>
      <c r="AD377" s="304"/>
      <c r="AE377" s="304"/>
      <c r="AR377" s="304"/>
      <c r="AS377" s="304"/>
      <c r="AT377" s="304"/>
      <c r="AU377" s="304"/>
      <c r="AV377" s="304"/>
      <c r="AW377" s="304"/>
      <c r="AX377" s="304"/>
      <c r="AY377" s="304"/>
      <c r="AZ377" s="304"/>
      <c r="BA377" s="304"/>
      <c r="BB377" s="304"/>
      <c r="BC377" s="304"/>
      <c r="BK377" s="305"/>
      <c r="BL377" s="305"/>
      <c r="BM377" s="305"/>
      <c r="BN377" s="305"/>
      <c r="BO377" s="305"/>
      <c r="BP377" s="305"/>
      <c r="BQ377" s="305"/>
      <c r="BR377" s="305"/>
      <c r="BS377" s="305"/>
      <c r="BT377" s="305"/>
      <c r="BU377" s="305"/>
      <c r="BV377" s="305"/>
      <c r="BX377" s="319"/>
    </row>
    <row r="378" spans="1:76" s="303" customFormat="1" x14ac:dyDescent="0.25">
      <c r="A378" s="275"/>
      <c r="B378" s="275"/>
      <c r="C378" s="275"/>
      <c r="D378" s="275"/>
      <c r="E378" s="275"/>
      <c r="F378" s="275"/>
      <c r="V378" s="304"/>
      <c r="W378" s="304"/>
      <c r="AD378" s="304"/>
      <c r="AE378" s="304"/>
      <c r="AR378" s="304"/>
      <c r="AS378" s="304"/>
      <c r="AT378" s="304"/>
      <c r="AU378" s="304"/>
      <c r="AV378" s="304"/>
      <c r="AW378" s="304"/>
      <c r="AX378" s="304"/>
      <c r="AY378" s="304"/>
      <c r="AZ378" s="304"/>
      <c r="BA378" s="304"/>
      <c r="BB378" s="304"/>
      <c r="BC378" s="304"/>
      <c r="BK378" s="305"/>
      <c r="BL378" s="305"/>
      <c r="BM378" s="305"/>
      <c r="BN378" s="305"/>
      <c r="BO378" s="305"/>
      <c r="BP378" s="305"/>
      <c r="BQ378" s="305"/>
      <c r="BR378" s="305"/>
      <c r="BS378" s="305"/>
      <c r="BT378" s="305"/>
      <c r="BU378" s="305"/>
      <c r="BV378" s="305"/>
      <c r="BX378" s="319"/>
    </row>
    <row r="379" spans="1:76" s="303" customFormat="1" x14ac:dyDescent="0.25">
      <c r="A379" s="275"/>
      <c r="B379" s="275"/>
      <c r="C379" s="275"/>
      <c r="D379" s="275"/>
      <c r="E379" s="275"/>
      <c r="F379" s="275"/>
      <c r="V379" s="304"/>
      <c r="W379" s="304"/>
      <c r="AD379" s="304"/>
      <c r="AE379" s="304"/>
      <c r="AR379" s="304"/>
      <c r="AS379" s="304"/>
      <c r="AT379" s="304"/>
      <c r="AU379" s="304"/>
      <c r="AV379" s="304"/>
      <c r="AW379" s="304"/>
      <c r="AX379" s="304"/>
      <c r="AY379" s="304"/>
      <c r="AZ379" s="304"/>
      <c r="BA379" s="304"/>
      <c r="BB379" s="304"/>
      <c r="BC379" s="304"/>
      <c r="BK379" s="305"/>
      <c r="BL379" s="305"/>
      <c r="BM379" s="305"/>
      <c r="BN379" s="305"/>
      <c r="BO379" s="305"/>
      <c r="BP379" s="305"/>
      <c r="BQ379" s="305"/>
      <c r="BR379" s="305"/>
      <c r="BS379" s="305"/>
      <c r="BT379" s="305"/>
      <c r="BU379" s="305"/>
      <c r="BV379" s="305"/>
      <c r="BX379" s="319"/>
    </row>
    <row r="380" spans="1:76" s="303" customFormat="1" x14ac:dyDescent="0.25">
      <c r="A380" s="275"/>
      <c r="B380" s="275"/>
      <c r="C380" s="275"/>
      <c r="D380" s="275"/>
      <c r="E380" s="275"/>
      <c r="F380" s="275"/>
      <c r="V380" s="304"/>
      <c r="W380" s="304"/>
      <c r="AD380" s="304"/>
      <c r="AE380" s="304"/>
      <c r="AR380" s="304"/>
      <c r="AS380" s="304"/>
      <c r="AT380" s="304"/>
      <c r="AU380" s="304"/>
      <c r="AV380" s="304"/>
      <c r="AW380" s="304"/>
      <c r="AX380" s="304"/>
      <c r="AY380" s="304"/>
      <c r="AZ380" s="304"/>
      <c r="BA380" s="304"/>
      <c r="BB380" s="304"/>
      <c r="BC380" s="304"/>
      <c r="BK380" s="305"/>
      <c r="BL380" s="305"/>
      <c r="BM380" s="305"/>
      <c r="BN380" s="305"/>
      <c r="BO380" s="305"/>
      <c r="BP380" s="305"/>
      <c r="BQ380" s="305"/>
      <c r="BR380" s="305"/>
      <c r="BS380" s="305"/>
      <c r="BT380" s="305"/>
      <c r="BU380" s="305"/>
      <c r="BV380" s="305"/>
      <c r="BX380" s="319"/>
    </row>
    <row r="381" spans="1:76" s="303" customFormat="1" x14ac:dyDescent="0.25">
      <c r="A381" s="275"/>
      <c r="B381" s="275"/>
      <c r="C381" s="275"/>
      <c r="D381" s="275"/>
      <c r="E381" s="275"/>
      <c r="F381" s="275"/>
      <c r="V381" s="304"/>
      <c r="W381" s="304"/>
      <c r="AD381" s="304"/>
      <c r="AE381" s="304"/>
      <c r="AR381" s="304"/>
      <c r="AS381" s="304"/>
      <c r="AT381" s="304"/>
      <c r="AU381" s="304"/>
      <c r="AV381" s="304"/>
      <c r="AW381" s="304"/>
      <c r="AX381" s="304"/>
      <c r="AY381" s="304"/>
      <c r="AZ381" s="304"/>
      <c r="BA381" s="304"/>
      <c r="BB381" s="304"/>
      <c r="BC381" s="304"/>
      <c r="BK381" s="305"/>
      <c r="BL381" s="305"/>
      <c r="BM381" s="305"/>
      <c r="BN381" s="305"/>
      <c r="BO381" s="305"/>
      <c r="BP381" s="305"/>
      <c r="BQ381" s="305"/>
      <c r="BR381" s="305"/>
      <c r="BS381" s="305"/>
      <c r="BT381" s="305"/>
      <c r="BU381" s="305"/>
      <c r="BV381" s="305"/>
      <c r="BX381" s="319"/>
    </row>
    <row r="382" spans="1:76" s="303" customFormat="1" x14ac:dyDescent="0.25">
      <c r="A382" s="275"/>
      <c r="B382" s="275"/>
      <c r="C382" s="275"/>
      <c r="D382" s="275"/>
      <c r="E382" s="275"/>
      <c r="F382" s="275"/>
      <c r="V382" s="304"/>
      <c r="W382" s="304"/>
      <c r="AD382" s="304"/>
      <c r="AE382" s="304"/>
      <c r="AR382" s="304"/>
      <c r="AS382" s="304"/>
      <c r="AT382" s="304"/>
      <c r="AU382" s="304"/>
      <c r="AV382" s="304"/>
      <c r="AW382" s="304"/>
      <c r="AX382" s="304"/>
      <c r="AY382" s="304"/>
      <c r="AZ382" s="304"/>
      <c r="BA382" s="304"/>
      <c r="BB382" s="304"/>
      <c r="BC382" s="304"/>
      <c r="BK382" s="305"/>
      <c r="BL382" s="305"/>
      <c r="BM382" s="305"/>
      <c r="BN382" s="305"/>
      <c r="BO382" s="305"/>
      <c r="BP382" s="305"/>
      <c r="BQ382" s="305"/>
      <c r="BR382" s="305"/>
      <c r="BS382" s="305"/>
      <c r="BT382" s="305"/>
      <c r="BU382" s="305"/>
      <c r="BV382" s="305"/>
      <c r="BX382" s="319"/>
    </row>
    <row r="383" spans="1:76" s="303" customFormat="1" x14ac:dyDescent="0.25">
      <c r="A383" s="275"/>
      <c r="B383" s="275"/>
      <c r="C383" s="275"/>
      <c r="D383" s="275"/>
      <c r="E383" s="275"/>
      <c r="F383" s="275"/>
      <c r="V383" s="304"/>
      <c r="W383" s="304"/>
      <c r="AD383" s="304"/>
      <c r="AE383" s="304"/>
      <c r="AR383" s="304"/>
      <c r="AS383" s="304"/>
      <c r="AT383" s="304"/>
      <c r="AU383" s="304"/>
      <c r="AV383" s="304"/>
      <c r="AW383" s="304"/>
      <c r="AX383" s="304"/>
      <c r="AY383" s="304"/>
      <c r="AZ383" s="304"/>
      <c r="BA383" s="304"/>
      <c r="BB383" s="304"/>
      <c r="BC383" s="304"/>
      <c r="BK383" s="305"/>
      <c r="BL383" s="305"/>
      <c r="BM383" s="305"/>
      <c r="BN383" s="305"/>
      <c r="BO383" s="305"/>
      <c r="BP383" s="305"/>
      <c r="BQ383" s="305"/>
      <c r="BR383" s="305"/>
      <c r="BS383" s="305"/>
      <c r="BT383" s="305"/>
      <c r="BU383" s="305"/>
      <c r="BV383" s="305"/>
      <c r="BX383" s="319"/>
    </row>
    <row r="384" spans="1:76" s="303" customFormat="1" x14ac:dyDescent="0.25">
      <c r="A384" s="275"/>
      <c r="B384" s="275"/>
      <c r="C384" s="275"/>
      <c r="D384" s="275"/>
      <c r="E384" s="275"/>
      <c r="F384" s="275"/>
      <c r="V384" s="304"/>
      <c r="W384" s="304"/>
      <c r="AD384" s="304"/>
      <c r="AE384" s="304"/>
      <c r="AR384" s="304"/>
      <c r="AS384" s="304"/>
      <c r="AT384" s="304"/>
      <c r="AU384" s="304"/>
      <c r="AV384" s="304"/>
      <c r="AW384" s="304"/>
      <c r="AX384" s="304"/>
      <c r="AY384" s="304"/>
      <c r="AZ384" s="304"/>
      <c r="BA384" s="304"/>
      <c r="BB384" s="304"/>
      <c r="BC384" s="304"/>
      <c r="BK384" s="305"/>
      <c r="BL384" s="305"/>
      <c r="BM384" s="305"/>
      <c r="BN384" s="305"/>
      <c r="BO384" s="305"/>
      <c r="BP384" s="305"/>
      <c r="BQ384" s="305"/>
      <c r="BR384" s="305"/>
      <c r="BS384" s="305"/>
      <c r="BT384" s="305"/>
      <c r="BU384" s="305"/>
      <c r="BV384" s="305"/>
      <c r="BX384" s="319"/>
    </row>
    <row r="385" spans="1:76" s="303" customFormat="1" x14ac:dyDescent="0.25">
      <c r="A385" s="275"/>
      <c r="B385" s="275"/>
      <c r="C385" s="275"/>
      <c r="D385" s="275"/>
      <c r="E385" s="275"/>
      <c r="F385" s="275"/>
      <c r="V385" s="304"/>
      <c r="W385" s="304"/>
      <c r="AD385" s="304"/>
      <c r="AE385" s="304"/>
      <c r="AR385" s="304"/>
      <c r="AS385" s="304"/>
      <c r="AT385" s="304"/>
      <c r="AU385" s="304"/>
      <c r="AV385" s="304"/>
      <c r="AW385" s="304"/>
      <c r="AX385" s="304"/>
      <c r="AY385" s="304"/>
      <c r="AZ385" s="304"/>
      <c r="BA385" s="304"/>
      <c r="BB385" s="304"/>
      <c r="BC385" s="304"/>
      <c r="BK385" s="305"/>
      <c r="BL385" s="305"/>
      <c r="BM385" s="305"/>
      <c r="BN385" s="305"/>
      <c r="BO385" s="305"/>
      <c r="BP385" s="305"/>
      <c r="BQ385" s="305"/>
      <c r="BR385" s="305"/>
      <c r="BS385" s="305"/>
      <c r="BT385" s="305"/>
      <c r="BU385" s="305"/>
      <c r="BV385" s="305"/>
      <c r="BX385" s="319"/>
    </row>
    <row r="386" spans="1:76" s="303" customFormat="1" x14ac:dyDescent="0.25">
      <c r="A386" s="275"/>
      <c r="B386" s="275"/>
      <c r="C386" s="275"/>
      <c r="D386" s="275"/>
      <c r="E386" s="275"/>
      <c r="F386" s="275"/>
      <c r="V386" s="304"/>
      <c r="W386" s="304"/>
      <c r="AD386" s="304"/>
      <c r="AE386" s="304"/>
      <c r="AR386" s="304"/>
      <c r="AS386" s="304"/>
      <c r="AT386" s="304"/>
      <c r="AU386" s="304"/>
      <c r="AV386" s="304"/>
      <c r="AW386" s="304"/>
      <c r="AX386" s="304"/>
      <c r="AY386" s="304"/>
      <c r="AZ386" s="304"/>
      <c r="BA386" s="304"/>
      <c r="BB386" s="304"/>
      <c r="BC386" s="304"/>
      <c r="BK386" s="305"/>
      <c r="BL386" s="305"/>
      <c r="BM386" s="305"/>
      <c r="BN386" s="305"/>
      <c r="BO386" s="305"/>
      <c r="BP386" s="305"/>
      <c r="BQ386" s="305"/>
      <c r="BR386" s="305"/>
      <c r="BS386" s="305"/>
      <c r="BT386" s="305"/>
      <c r="BU386" s="305"/>
      <c r="BV386" s="305"/>
      <c r="BX386" s="319"/>
    </row>
    <row r="387" spans="1:76" s="303" customFormat="1" x14ac:dyDescent="0.25">
      <c r="A387" s="275"/>
      <c r="B387" s="275"/>
      <c r="C387" s="275"/>
      <c r="D387" s="275"/>
      <c r="E387" s="275"/>
      <c r="F387" s="275"/>
      <c r="V387" s="304"/>
      <c r="W387" s="304"/>
      <c r="AD387" s="304"/>
      <c r="AE387" s="304"/>
      <c r="AR387" s="304"/>
      <c r="AS387" s="304"/>
      <c r="AT387" s="304"/>
      <c r="AU387" s="304"/>
      <c r="AV387" s="304"/>
      <c r="AW387" s="304"/>
      <c r="AX387" s="304"/>
      <c r="AY387" s="304"/>
      <c r="AZ387" s="304"/>
      <c r="BA387" s="304"/>
      <c r="BB387" s="304"/>
      <c r="BC387" s="304"/>
      <c r="BK387" s="305"/>
      <c r="BL387" s="305"/>
      <c r="BM387" s="305"/>
      <c r="BN387" s="305"/>
      <c r="BO387" s="305"/>
      <c r="BP387" s="305"/>
      <c r="BQ387" s="305"/>
      <c r="BR387" s="305"/>
      <c r="BS387" s="305"/>
      <c r="BT387" s="305"/>
      <c r="BU387" s="305"/>
      <c r="BV387" s="305"/>
      <c r="BX387" s="319"/>
    </row>
    <row r="388" spans="1:76" s="303" customFormat="1" x14ac:dyDescent="0.25">
      <c r="A388" s="275"/>
      <c r="B388" s="275"/>
      <c r="C388" s="275"/>
      <c r="D388" s="275"/>
      <c r="E388" s="275"/>
      <c r="F388" s="275"/>
      <c r="V388" s="304"/>
      <c r="W388" s="304"/>
      <c r="AD388" s="304"/>
      <c r="AE388" s="304"/>
      <c r="AR388" s="304"/>
      <c r="AS388" s="304"/>
      <c r="AT388" s="304"/>
      <c r="AU388" s="304"/>
      <c r="AV388" s="304"/>
      <c r="AW388" s="304"/>
      <c r="AX388" s="304"/>
      <c r="AY388" s="304"/>
      <c r="AZ388" s="304"/>
      <c r="BA388" s="304"/>
      <c r="BB388" s="304"/>
      <c r="BC388" s="304"/>
      <c r="BK388" s="305"/>
      <c r="BL388" s="305"/>
      <c r="BM388" s="305"/>
      <c r="BN388" s="305"/>
      <c r="BO388" s="305"/>
      <c r="BP388" s="305"/>
      <c r="BQ388" s="305"/>
      <c r="BR388" s="305"/>
      <c r="BS388" s="305"/>
      <c r="BT388" s="305"/>
      <c r="BU388" s="305"/>
      <c r="BV388" s="305"/>
      <c r="BX388" s="319"/>
    </row>
    <row r="389" spans="1:76" s="303" customFormat="1" x14ac:dyDescent="0.25">
      <c r="A389" s="275"/>
      <c r="B389" s="275"/>
      <c r="C389" s="275"/>
      <c r="D389" s="275"/>
      <c r="E389" s="275"/>
      <c r="F389" s="275"/>
      <c r="V389" s="304"/>
      <c r="W389" s="304"/>
      <c r="AD389" s="304"/>
      <c r="AE389" s="304"/>
      <c r="AR389" s="304"/>
      <c r="AS389" s="304"/>
      <c r="AT389" s="304"/>
      <c r="AU389" s="304"/>
      <c r="AV389" s="304"/>
      <c r="AW389" s="304"/>
      <c r="AX389" s="304"/>
      <c r="AY389" s="304"/>
      <c r="AZ389" s="304"/>
      <c r="BA389" s="304"/>
      <c r="BB389" s="304"/>
      <c r="BC389" s="304"/>
      <c r="BK389" s="305"/>
      <c r="BL389" s="305"/>
      <c r="BM389" s="305"/>
      <c r="BN389" s="305"/>
      <c r="BO389" s="305"/>
      <c r="BP389" s="305"/>
      <c r="BQ389" s="305"/>
      <c r="BR389" s="305"/>
      <c r="BS389" s="305"/>
      <c r="BT389" s="305"/>
      <c r="BU389" s="305"/>
      <c r="BV389" s="305"/>
      <c r="BX389" s="319"/>
    </row>
    <row r="390" spans="1:76" s="303" customFormat="1" x14ac:dyDescent="0.25">
      <c r="A390" s="275"/>
      <c r="B390" s="275"/>
      <c r="C390" s="275"/>
      <c r="D390" s="275"/>
      <c r="E390" s="275"/>
      <c r="F390" s="275"/>
      <c r="V390" s="304"/>
      <c r="W390" s="304"/>
      <c r="AD390" s="304"/>
      <c r="AE390" s="304"/>
      <c r="AR390" s="304"/>
      <c r="AS390" s="304"/>
      <c r="AT390" s="304"/>
      <c r="AU390" s="304"/>
      <c r="AV390" s="304"/>
      <c r="AW390" s="304"/>
      <c r="AX390" s="304"/>
      <c r="AY390" s="304"/>
      <c r="AZ390" s="304"/>
      <c r="BA390" s="304"/>
      <c r="BB390" s="304"/>
      <c r="BC390" s="304"/>
      <c r="BK390" s="305"/>
      <c r="BL390" s="305"/>
      <c r="BM390" s="305"/>
      <c r="BN390" s="305"/>
      <c r="BO390" s="305"/>
      <c r="BP390" s="305"/>
      <c r="BQ390" s="305"/>
      <c r="BR390" s="305"/>
      <c r="BS390" s="305"/>
      <c r="BT390" s="305"/>
      <c r="BU390" s="305"/>
      <c r="BV390" s="305"/>
      <c r="BX390" s="319"/>
    </row>
    <row r="391" spans="1:76" s="303" customFormat="1" x14ac:dyDescent="0.25">
      <c r="A391" s="275"/>
      <c r="B391" s="275"/>
      <c r="C391" s="275"/>
      <c r="D391" s="275"/>
      <c r="E391" s="275"/>
      <c r="F391" s="275"/>
      <c r="V391" s="304"/>
      <c r="W391" s="304"/>
      <c r="AD391" s="304"/>
      <c r="AE391" s="304"/>
      <c r="AR391" s="304"/>
      <c r="AS391" s="304"/>
      <c r="AT391" s="304"/>
      <c r="AU391" s="304"/>
      <c r="AV391" s="304"/>
      <c r="AW391" s="304"/>
      <c r="AX391" s="304"/>
      <c r="AY391" s="304"/>
      <c r="AZ391" s="304"/>
      <c r="BA391" s="304"/>
      <c r="BB391" s="304"/>
      <c r="BC391" s="304"/>
      <c r="BK391" s="305"/>
      <c r="BL391" s="305"/>
      <c r="BM391" s="305"/>
      <c r="BN391" s="305"/>
      <c r="BO391" s="305"/>
      <c r="BP391" s="305"/>
      <c r="BQ391" s="305"/>
      <c r="BR391" s="305"/>
      <c r="BS391" s="305"/>
      <c r="BT391" s="305"/>
      <c r="BU391" s="305"/>
      <c r="BV391" s="305"/>
      <c r="BX391" s="319"/>
    </row>
    <row r="392" spans="1:76" s="303" customFormat="1" x14ac:dyDescent="0.25">
      <c r="A392" s="275"/>
      <c r="B392" s="275"/>
      <c r="C392" s="275"/>
      <c r="D392" s="275"/>
      <c r="E392" s="275"/>
      <c r="F392" s="275"/>
      <c r="V392" s="304"/>
      <c r="W392" s="304"/>
      <c r="AD392" s="304"/>
      <c r="AE392" s="304"/>
      <c r="AR392" s="304"/>
      <c r="AS392" s="304"/>
      <c r="AT392" s="304"/>
      <c r="AU392" s="304"/>
      <c r="AV392" s="304"/>
      <c r="AW392" s="304"/>
      <c r="AX392" s="304"/>
      <c r="AY392" s="304"/>
      <c r="AZ392" s="304"/>
      <c r="BA392" s="304"/>
      <c r="BB392" s="304"/>
      <c r="BC392" s="304"/>
      <c r="BK392" s="305"/>
      <c r="BL392" s="305"/>
      <c r="BM392" s="305"/>
      <c r="BN392" s="305"/>
      <c r="BO392" s="305"/>
      <c r="BP392" s="305"/>
      <c r="BQ392" s="305"/>
      <c r="BR392" s="305"/>
      <c r="BS392" s="305"/>
      <c r="BT392" s="305"/>
      <c r="BU392" s="305"/>
      <c r="BV392" s="305"/>
      <c r="BX392" s="319"/>
    </row>
    <row r="393" spans="1:76" s="303" customFormat="1" x14ac:dyDescent="0.25">
      <c r="A393" s="275"/>
      <c r="B393" s="275"/>
      <c r="C393" s="275"/>
      <c r="D393" s="275"/>
      <c r="E393" s="275"/>
      <c r="F393" s="275"/>
      <c r="V393" s="304"/>
      <c r="W393" s="304"/>
      <c r="AD393" s="304"/>
      <c r="AE393" s="304"/>
      <c r="AR393" s="304"/>
      <c r="AS393" s="304"/>
      <c r="AT393" s="304"/>
      <c r="AU393" s="304"/>
      <c r="AV393" s="304"/>
      <c r="AW393" s="304"/>
      <c r="AX393" s="304"/>
      <c r="AY393" s="304"/>
      <c r="AZ393" s="304"/>
      <c r="BA393" s="304"/>
      <c r="BB393" s="304"/>
      <c r="BC393" s="304"/>
      <c r="BK393" s="305"/>
      <c r="BL393" s="305"/>
      <c r="BM393" s="305"/>
      <c r="BN393" s="305"/>
      <c r="BO393" s="305"/>
      <c r="BP393" s="305"/>
      <c r="BQ393" s="305"/>
      <c r="BR393" s="305"/>
      <c r="BS393" s="305"/>
      <c r="BT393" s="305"/>
      <c r="BU393" s="305"/>
      <c r="BV393" s="305"/>
      <c r="BX393" s="319"/>
    </row>
    <row r="394" spans="1:76" s="303" customFormat="1" x14ac:dyDescent="0.25">
      <c r="A394" s="275"/>
      <c r="B394" s="275"/>
      <c r="C394" s="275"/>
      <c r="D394" s="275"/>
      <c r="E394" s="275"/>
      <c r="F394" s="275"/>
      <c r="V394" s="304"/>
      <c r="W394" s="304"/>
      <c r="AD394" s="304"/>
      <c r="AE394" s="304"/>
      <c r="AR394" s="304"/>
      <c r="AS394" s="304"/>
      <c r="AT394" s="304"/>
      <c r="AU394" s="304"/>
      <c r="AV394" s="304"/>
      <c r="AW394" s="304"/>
      <c r="AX394" s="304"/>
      <c r="AY394" s="304"/>
      <c r="AZ394" s="304"/>
      <c r="BA394" s="304"/>
      <c r="BB394" s="304"/>
      <c r="BC394" s="304"/>
      <c r="BK394" s="305"/>
      <c r="BL394" s="305"/>
      <c r="BM394" s="305"/>
      <c r="BN394" s="305"/>
      <c r="BO394" s="305"/>
      <c r="BP394" s="305"/>
      <c r="BQ394" s="305"/>
      <c r="BR394" s="305"/>
      <c r="BS394" s="305"/>
      <c r="BT394" s="305"/>
      <c r="BU394" s="305"/>
      <c r="BV394" s="305"/>
      <c r="BX394" s="319"/>
    </row>
    <row r="395" spans="1:76" s="303" customFormat="1" x14ac:dyDescent="0.25">
      <c r="A395" s="275"/>
      <c r="B395" s="275"/>
      <c r="C395" s="275"/>
      <c r="D395" s="275"/>
      <c r="E395" s="275"/>
      <c r="F395" s="275"/>
      <c r="V395" s="304"/>
      <c r="W395" s="304"/>
      <c r="AD395" s="304"/>
      <c r="AE395" s="304"/>
      <c r="AR395" s="304"/>
      <c r="AS395" s="304"/>
      <c r="AT395" s="304"/>
      <c r="AU395" s="304"/>
      <c r="AV395" s="304"/>
      <c r="AW395" s="304"/>
      <c r="AX395" s="304"/>
      <c r="AY395" s="304"/>
      <c r="AZ395" s="304"/>
      <c r="BA395" s="304"/>
      <c r="BB395" s="304"/>
      <c r="BC395" s="304"/>
      <c r="BK395" s="305"/>
      <c r="BL395" s="305"/>
      <c r="BM395" s="305"/>
      <c r="BN395" s="305"/>
      <c r="BO395" s="305"/>
      <c r="BP395" s="305"/>
      <c r="BQ395" s="305"/>
      <c r="BR395" s="305"/>
      <c r="BS395" s="305"/>
      <c r="BT395" s="305"/>
      <c r="BU395" s="305"/>
      <c r="BV395" s="305"/>
      <c r="BX395" s="319"/>
    </row>
    <row r="396" spans="1:76" s="303" customFormat="1" x14ac:dyDescent="0.25">
      <c r="A396" s="275"/>
      <c r="B396" s="275"/>
      <c r="C396" s="275"/>
      <c r="D396" s="275"/>
      <c r="E396" s="275"/>
      <c r="F396" s="275"/>
      <c r="V396" s="304"/>
      <c r="W396" s="304"/>
      <c r="AD396" s="304"/>
      <c r="AE396" s="304"/>
      <c r="AR396" s="304"/>
      <c r="AS396" s="304"/>
      <c r="AT396" s="304"/>
      <c r="AU396" s="304"/>
      <c r="AV396" s="304"/>
      <c r="AW396" s="304"/>
      <c r="AX396" s="304"/>
      <c r="AY396" s="304"/>
      <c r="AZ396" s="304"/>
      <c r="BA396" s="304"/>
      <c r="BB396" s="304"/>
      <c r="BC396" s="304"/>
      <c r="BK396" s="305"/>
      <c r="BL396" s="305"/>
      <c r="BM396" s="305"/>
      <c r="BN396" s="305"/>
      <c r="BO396" s="305"/>
      <c r="BP396" s="305"/>
      <c r="BQ396" s="305"/>
      <c r="BR396" s="305"/>
      <c r="BS396" s="305"/>
      <c r="BT396" s="305"/>
      <c r="BU396" s="305"/>
      <c r="BV396" s="305"/>
      <c r="BX396" s="319"/>
    </row>
    <row r="397" spans="1:76" s="303" customFormat="1" x14ac:dyDescent="0.25">
      <c r="A397" s="275"/>
      <c r="B397" s="275"/>
      <c r="C397" s="275"/>
      <c r="D397" s="275"/>
      <c r="E397" s="275"/>
      <c r="F397" s="275"/>
      <c r="V397" s="304"/>
      <c r="W397" s="304"/>
      <c r="AD397" s="304"/>
      <c r="AE397" s="304"/>
      <c r="AR397" s="304"/>
      <c r="AS397" s="304"/>
      <c r="AT397" s="304"/>
      <c r="AU397" s="304"/>
      <c r="AV397" s="304"/>
      <c r="AW397" s="304"/>
      <c r="AX397" s="304"/>
      <c r="AY397" s="304"/>
      <c r="AZ397" s="304"/>
      <c r="BA397" s="304"/>
      <c r="BB397" s="304"/>
      <c r="BC397" s="304"/>
      <c r="BK397" s="305"/>
      <c r="BL397" s="305"/>
      <c r="BM397" s="305"/>
      <c r="BN397" s="305"/>
      <c r="BO397" s="305"/>
      <c r="BP397" s="305"/>
      <c r="BQ397" s="305"/>
      <c r="BR397" s="305"/>
      <c r="BS397" s="305"/>
      <c r="BT397" s="305"/>
      <c r="BU397" s="305"/>
      <c r="BV397" s="305"/>
      <c r="BX397" s="319"/>
    </row>
    <row r="398" spans="1:76" s="303" customFormat="1" x14ac:dyDescent="0.25">
      <c r="A398" s="275"/>
      <c r="B398" s="275"/>
      <c r="C398" s="275"/>
      <c r="D398" s="275"/>
      <c r="E398" s="275"/>
      <c r="F398" s="275"/>
      <c r="V398" s="304"/>
      <c r="W398" s="304"/>
      <c r="AD398" s="304"/>
      <c r="AE398" s="304"/>
      <c r="AR398" s="304"/>
      <c r="AS398" s="304"/>
      <c r="AT398" s="304"/>
      <c r="AU398" s="304"/>
      <c r="AV398" s="304"/>
      <c r="AW398" s="304"/>
      <c r="AX398" s="304"/>
      <c r="AY398" s="304"/>
      <c r="AZ398" s="304"/>
      <c r="BA398" s="304"/>
      <c r="BB398" s="304"/>
      <c r="BC398" s="304"/>
      <c r="BK398" s="305"/>
      <c r="BL398" s="305"/>
      <c r="BM398" s="305"/>
      <c r="BN398" s="305"/>
      <c r="BO398" s="305"/>
      <c r="BP398" s="305"/>
      <c r="BQ398" s="305"/>
      <c r="BR398" s="305"/>
      <c r="BS398" s="305"/>
      <c r="BT398" s="305"/>
      <c r="BU398" s="305"/>
      <c r="BV398" s="305"/>
      <c r="BX398" s="319"/>
    </row>
    <row r="399" spans="1:76" s="303" customFormat="1" x14ac:dyDescent="0.25">
      <c r="A399" s="275"/>
      <c r="B399" s="275"/>
      <c r="C399" s="275"/>
      <c r="D399" s="275"/>
      <c r="E399" s="275"/>
      <c r="F399" s="275"/>
      <c r="V399" s="304"/>
      <c r="W399" s="304"/>
      <c r="AD399" s="304"/>
      <c r="AE399" s="304"/>
      <c r="AR399" s="304"/>
      <c r="AS399" s="304"/>
      <c r="AT399" s="304"/>
      <c r="AU399" s="304"/>
      <c r="AV399" s="304"/>
      <c r="AW399" s="304"/>
      <c r="AX399" s="304"/>
      <c r="AY399" s="304"/>
      <c r="AZ399" s="304"/>
      <c r="BA399" s="304"/>
      <c r="BB399" s="304"/>
      <c r="BC399" s="304"/>
      <c r="BK399" s="305"/>
      <c r="BL399" s="305"/>
      <c r="BM399" s="305"/>
      <c r="BN399" s="305"/>
      <c r="BO399" s="305"/>
      <c r="BP399" s="305"/>
      <c r="BQ399" s="305"/>
      <c r="BR399" s="305"/>
      <c r="BS399" s="305"/>
      <c r="BT399" s="305"/>
      <c r="BU399" s="305"/>
      <c r="BV399" s="305"/>
      <c r="BX399" s="319"/>
    </row>
    <row r="400" spans="1:76" s="303" customFormat="1" x14ac:dyDescent="0.25">
      <c r="A400" s="275"/>
      <c r="B400" s="275"/>
      <c r="C400" s="275"/>
      <c r="D400" s="275"/>
      <c r="E400" s="275"/>
      <c r="F400" s="275"/>
      <c r="V400" s="304"/>
      <c r="W400" s="304"/>
      <c r="AD400" s="304"/>
      <c r="AE400" s="304"/>
      <c r="AR400" s="304"/>
      <c r="AS400" s="304"/>
      <c r="AT400" s="304"/>
      <c r="AU400" s="304"/>
      <c r="AV400" s="304"/>
      <c r="AW400" s="304"/>
      <c r="AX400" s="304"/>
      <c r="AY400" s="304"/>
      <c r="AZ400" s="304"/>
      <c r="BA400" s="304"/>
      <c r="BB400" s="304"/>
      <c r="BC400" s="304"/>
      <c r="BK400" s="305"/>
      <c r="BL400" s="305"/>
      <c r="BM400" s="305"/>
      <c r="BN400" s="305"/>
      <c r="BO400" s="305"/>
      <c r="BP400" s="305"/>
      <c r="BQ400" s="305"/>
      <c r="BR400" s="305"/>
      <c r="BS400" s="305"/>
      <c r="BT400" s="305"/>
      <c r="BU400" s="305"/>
      <c r="BV400" s="305"/>
      <c r="BX400" s="319"/>
    </row>
    <row r="401" spans="1:76" s="303" customFormat="1" x14ac:dyDescent="0.25">
      <c r="A401" s="275"/>
      <c r="B401" s="275"/>
      <c r="C401" s="275"/>
      <c r="D401" s="275"/>
      <c r="E401" s="275"/>
      <c r="F401" s="275"/>
      <c r="V401" s="304"/>
      <c r="W401" s="304"/>
      <c r="AD401" s="304"/>
      <c r="AE401" s="304"/>
      <c r="AR401" s="304"/>
      <c r="AS401" s="304"/>
      <c r="AT401" s="304"/>
      <c r="AU401" s="304"/>
      <c r="AV401" s="304"/>
      <c r="AW401" s="304"/>
      <c r="AX401" s="304"/>
      <c r="AY401" s="304"/>
      <c r="AZ401" s="304"/>
      <c r="BA401" s="304"/>
      <c r="BB401" s="304"/>
      <c r="BC401" s="304"/>
      <c r="BK401" s="305"/>
      <c r="BL401" s="305"/>
      <c r="BM401" s="305"/>
      <c r="BN401" s="305"/>
      <c r="BO401" s="305"/>
      <c r="BP401" s="305"/>
      <c r="BQ401" s="305"/>
      <c r="BR401" s="305"/>
      <c r="BS401" s="305"/>
      <c r="BT401" s="305"/>
      <c r="BU401" s="305"/>
      <c r="BV401" s="305"/>
      <c r="BX401" s="319"/>
    </row>
    <row r="402" spans="1:76" s="303" customFormat="1" x14ac:dyDescent="0.25">
      <c r="A402" s="275"/>
      <c r="B402" s="275"/>
      <c r="C402" s="275"/>
      <c r="D402" s="275"/>
      <c r="E402" s="275"/>
      <c r="F402" s="275"/>
      <c r="V402" s="304"/>
      <c r="W402" s="304"/>
      <c r="AD402" s="304"/>
      <c r="AE402" s="304"/>
      <c r="AR402" s="304"/>
      <c r="AS402" s="304"/>
      <c r="AT402" s="304"/>
      <c r="AU402" s="304"/>
      <c r="AV402" s="304"/>
      <c r="AW402" s="304"/>
      <c r="AX402" s="304"/>
      <c r="AY402" s="304"/>
      <c r="AZ402" s="304"/>
      <c r="BA402" s="304"/>
      <c r="BB402" s="304"/>
      <c r="BC402" s="304"/>
      <c r="BK402" s="305"/>
      <c r="BL402" s="305"/>
      <c r="BM402" s="305"/>
      <c r="BN402" s="305"/>
      <c r="BO402" s="305"/>
      <c r="BP402" s="305"/>
      <c r="BQ402" s="305"/>
      <c r="BR402" s="305"/>
      <c r="BS402" s="305"/>
      <c r="BT402" s="305"/>
      <c r="BU402" s="305"/>
      <c r="BV402" s="305"/>
      <c r="BX402" s="319"/>
    </row>
    <row r="403" spans="1:76" s="303" customFormat="1" x14ac:dyDescent="0.25">
      <c r="A403" s="275"/>
      <c r="B403" s="275"/>
      <c r="C403" s="275"/>
      <c r="D403" s="275"/>
      <c r="E403" s="275"/>
      <c r="F403" s="275"/>
      <c r="V403" s="304"/>
      <c r="W403" s="304"/>
      <c r="AD403" s="304"/>
      <c r="AE403" s="304"/>
      <c r="AR403" s="304"/>
      <c r="AS403" s="304"/>
      <c r="AT403" s="304"/>
      <c r="AU403" s="304"/>
      <c r="AV403" s="304"/>
      <c r="AW403" s="304"/>
      <c r="AX403" s="304"/>
      <c r="AY403" s="304"/>
      <c r="AZ403" s="304"/>
      <c r="BA403" s="304"/>
      <c r="BB403" s="304"/>
      <c r="BC403" s="304"/>
      <c r="BK403" s="305"/>
      <c r="BL403" s="305"/>
      <c r="BM403" s="305"/>
      <c r="BN403" s="305"/>
      <c r="BO403" s="305"/>
      <c r="BP403" s="305"/>
      <c r="BQ403" s="305"/>
      <c r="BR403" s="305"/>
      <c r="BS403" s="305"/>
      <c r="BT403" s="305"/>
      <c r="BU403" s="305"/>
      <c r="BV403" s="305"/>
      <c r="BX403" s="319"/>
    </row>
    <row r="404" spans="1:76" s="303" customFormat="1" x14ac:dyDescent="0.25">
      <c r="A404" s="275"/>
      <c r="B404" s="275"/>
      <c r="C404" s="275"/>
      <c r="D404" s="275"/>
      <c r="E404" s="275"/>
      <c r="F404" s="275"/>
      <c r="V404" s="304"/>
      <c r="W404" s="304"/>
      <c r="AD404" s="304"/>
      <c r="AE404" s="304"/>
      <c r="AR404" s="304"/>
      <c r="AS404" s="304"/>
      <c r="AT404" s="304"/>
      <c r="AU404" s="304"/>
      <c r="AV404" s="304"/>
      <c r="AW404" s="304"/>
      <c r="AX404" s="304"/>
      <c r="AY404" s="304"/>
      <c r="AZ404" s="304"/>
      <c r="BA404" s="304"/>
      <c r="BB404" s="304"/>
      <c r="BC404" s="304"/>
      <c r="BK404" s="305"/>
      <c r="BL404" s="305"/>
      <c r="BM404" s="305"/>
      <c r="BN404" s="305"/>
      <c r="BO404" s="305"/>
      <c r="BP404" s="305"/>
      <c r="BQ404" s="305"/>
      <c r="BR404" s="305"/>
      <c r="BS404" s="305"/>
      <c r="BT404" s="305"/>
      <c r="BU404" s="305"/>
      <c r="BV404" s="305"/>
      <c r="BX404" s="319"/>
    </row>
    <row r="405" spans="1:76" s="303" customFormat="1" x14ac:dyDescent="0.25">
      <c r="A405" s="275"/>
      <c r="B405" s="275"/>
      <c r="C405" s="275"/>
      <c r="D405" s="275"/>
      <c r="E405" s="275"/>
      <c r="F405" s="275"/>
      <c r="V405" s="304"/>
      <c r="W405" s="304"/>
      <c r="AD405" s="304"/>
      <c r="AE405" s="304"/>
      <c r="AR405" s="304"/>
      <c r="AS405" s="304"/>
      <c r="AT405" s="304"/>
      <c r="AU405" s="304"/>
      <c r="AV405" s="304"/>
      <c r="AW405" s="304"/>
      <c r="AX405" s="304"/>
      <c r="AY405" s="304"/>
      <c r="AZ405" s="304"/>
      <c r="BA405" s="304"/>
      <c r="BB405" s="304"/>
      <c r="BC405" s="304"/>
      <c r="BK405" s="305"/>
      <c r="BL405" s="305"/>
      <c r="BM405" s="305"/>
      <c r="BN405" s="305"/>
      <c r="BO405" s="305"/>
      <c r="BP405" s="305"/>
      <c r="BQ405" s="305"/>
      <c r="BR405" s="305"/>
      <c r="BS405" s="305"/>
      <c r="BT405" s="305"/>
      <c r="BU405" s="305"/>
      <c r="BV405" s="305"/>
      <c r="BX405" s="319"/>
    </row>
    <row r="406" spans="1:76" s="303" customFormat="1" x14ac:dyDescent="0.25">
      <c r="A406" s="275"/>
      <c r="B406" s="275"/>
      <c r="C406" s="275"/>
      <c r="D406" s="275"/>
      <c r="E406" s="275"/>
      <c r="F406" s="275"/>
      <c r="V406" s="304"/>
      <c r="W406" s="304"/>
      <c r="AD406" s="304"/>
      <c r="AE406" s="304"/>
      <c r="AR406" s="304"/>
      <c r="AS406" s="304"/>
      <c r="AT406" s="304"/>
      <c r="AU406" s="304"/>
      <c r="AV406" s="304"/>
      <c r="AW406" s="304"/>
      <c r="AX406" s="304"/>
      <c r="AY406" s="304"/>
      <c r="AZ406" s="304"/>
      <c r="BA406" s="304"/>
      <c r="BB406" s="304"/>
      <c r="BC406" s="304"/>
      <c r="BK406" s="305"/>
      <c r="BL406" s="305"/>
      <c r="BM406" s="305"/>
      <c r="BN406" s="305"/>
      <c r="BO406" s="305"/>
      <c r="BP406" s="305"/>
      <c r="BQ406" s="305"/>
      <c r="BR406" s="305"/>
      <c r="BS406" s="305"/>
      <c r="BT406" s="305"/>
      <c r="BU406" s="305"/>
      <c r="BV406" s="305"/>
      <c r="BX406" s="319"/>
    </row>
    <row r="407" spans="1:76" s="303" customFormat="1" x14ac:dyDescent="0.25">
      <c r="A407" s="275"/>
      <c r="B407" s="275"/>
      <c r="C407" s="275"/>
      <c r="D407" s="275"/>
      <c r="E407" s="275"/>
      <c r="F407" s="275"/>
      <c r="V407" s="304"/>
      <c r="W407" s="304"/>
      <c r="AD407" s="304"/>
      <c r="AE407" s="304"/>
      <c r="AR407" s="304"/>
      <c r="AS407" s="304"/>
      <c r="AT407" s="304"/>
      <c r="AU407" s="304"/>
      <c r="AV407" s="304"/>
      <c r="AW407" s="304"/>
      <c r="AX407" s="304"/>
      <c r="AY407" s="304"/>
      <c r="AZ407" s="304"/>
      <c r="BA407" s="304"/>
      <c r="BB407" s="304"/>
      <c r="BC407" s="304"/>
      <c r="BK407" s="305"/>
      <c r="BL407" s="305"/>
      <c r="BM407" s="305"/>
      <c r="BN407" s="305"/>
      <c r="BO407" s="305"/>
      <c r="BP407" s="305"/>
      <c r="BQ407" s="305"/>
      <c r="BR407" s="305"/>
      <c r="BS407" s="305"/>
      <c r="BT407" s="305"/>
      <c r="BU407" s="305"/>
      <c r="BV407" s="305"/>
      <c r="BX407" s="319"/>
    </row>
    <row r="408" spans="1:76" s="303" customFormat="1" x14ac:dyDescent="0.25">
      <c r="A408" s="275"/>
      <c r="B408" s="275"/>
      <c r="C408" s="275"/>
      <c r="D408" s="275"/>
      <c r="E408" s="275"/>
      <c r="F408" s="275"/>
      <c r="V408" s="304"/>
      <c r="W408" s="304"/>
      <c r="AD408" s="304"/>
      <c r="AE408" s="304"/>
      <c r="AR408" s="304"/>
      <c r="AS408" s="304"/>
      <c r="AT408" s="304"/>
      <c r="AU408" s="304"/>
      <c r="AV408" s="304"/>
      <c r="AW408" s="304"/>
      <c r="AX408" s="304"/>
      <c r="AY408" s="304"/>
      <c r="AZ408" s="304"/>
      <c r="BA408" s="304"/>
      <c r="BB408" s="304"/>
      <c r="BC408" s="304"/>
      <c r="BK408" s="305"/>
      <c r="BL408" s="305"/>
      <c r="BM408" s="305"/>
      <c r="BN408" s="305"/>
      <c r="BO408" s="305"/>
      <c r="BP408" s="305"/>
      <c r="BQ408" s="305"/>
      <c r="BR408" s="305"/>
      <c r="BS408" s="305"/>
      <c r="BT408" s="305"/>
      <c r="BU408" s="305"/>
      <c r="BV408" s="305"/>
      <c r="BX408" s="319"/>
    </row>
    <row r="409" spans="1:76" s="303" customFormat="1" x14ac:dyDescent="0.25">
      <c r="A409" s="275"/>
      <c r="B409" s="275"/>
      <c r="C409" s="275"/>
      <c r="D409" s="275"/>
      <c r="E409" s="275"/>
      <c r="F409" s="275"/>
      <c r="V409" s="304"/>
      <c r="W409" s="304"/>
      <c r="AD409" s="304"/>
      <c r="AE409" s="304"/>
      <c r="AR409" s="304"/>
      <c r="AS409" s="304"/>
      <c r="AT409" s="304"/>
      <c r="AU409" s="304"/>
      <c r="AV409" s="304"/>
      <c r="AW409" s="304"/>
      <c r="AX409" s="304"/>
      <c r="AY409" s="304"/>
      <c r="AZ409" s="304"/>
      <c r="BA409" s="304"/>
      <c r="BB409" s="304"/>
      <c r="BC409" s="304"/>
      <c r="BK409" s="305"/>
      <c r="BL409" s="305"/>
      <c r="BM409" s="305"/>
      <c r="BN409" s="305"/>
      <c r="BO409" s="305"/>
      <c r="BP409" s="305"/>
      <c r="BQ409" s="305"/>
      <c r="BR409" s="305"/>
      <c r="BS409" s="305"/>
      <c r="BT409" s="305"/>
      <c r="BU409" s="305"/>
      <c r="BV409" s="305"/>
      <c r="BX409" s="319"/>
    </row>
    <row r="410" spans="1:76" s="303" customFormat="1" x14ac:dyDescent="0.25">
      <c r="A410" s="275"/>
      <c r="B410" s="275"/>
      <c r="C410" s="275"/>
      <c r="D410" s="275"/>
      <c r="E410" s="275"/>
      <c r="F410" s="275"/>
      <c r="V410" s="304"/>
      <c r="W410" s="304"/>
      <c r="AD410" s="304"/>
      <c r="AE410" s="304"/>
      <c r="AR410" s="304"/>
      <c r="AS410" s="304"/>
      <c r="AT410" s="304"/>
      <c r="AU410" s="304"/>
      <c r="AV410" s="304"/>
      <c r="AW410" s="304"/>
      <c r="AX410" s="304"/>
      <c r="AY410" s="304"/>
      <c r="AZ410" s="304"/>
      <c r="BA410" s="304"/>
      <c r="BB410" s="304"/>
      <c r="BC410" s="304"/>
      <c r="BK410" s="305"/>
      <c r="BL410" s="305"/>
      <c r="BM410" s="305"/>
      <c r="BN410" s="305"/>
      <c r="BO410" s="305"/>
      <c r="BP410" s="305"/>
      <c r="BQ410" s="305"/>
      <c r="BR410" s="305"/>
      <c r="BS410" s="305"/>
      <c r="BT410" s="305"/>
      <c r="BU410" s="305"/>
      <c r="BV410" s="305"/>
      <c r="BX410" s="319"/>
    </row>
    <row r="411" spans="1:76" s="303" customFormat="1" x14ac:dyDescent="0.25">
      <c r="A411" s="275"/>
      <c r="B411" s="275"/>
      <c r="C411" s="275"/>
      <c r="D411" s="275"/>
      <c r="E411" s="275"/>
      <c r="F411" s="275"/>
      <c r="V411" s="304"/>
      <c r="W411" s="304"/>
      <c r="AD411" s="304"/>
      <c r="AE411" s="304"/>
      <c r="AR411" s="304"/>
      <c r="AS411" s="304"/>
      <c r="AT411" s="304"/>
      <c r="AU411" s="304"/>
      <c r="AV411" s="304"/>
      <c r="AW411" s="304"/>
      <c r="AX411" s="304"/>
      <c r="AY411" s="304"/>
      <c r="AZ411" s="304"/>
      <c r="BA411" s="304"/>
      <c r="BB411" s="304"/>
      <c r="BC411" s="304"/>
      <c r="BK411" s="305"/>
      <c r="BL411" s="305"/>
      <c r="BM411" s="305"/>
      <c r="BN411" s="305"/>
      <c r="BO411" s="305"/>
      <c r="BP411" s="305"/>
      <c r="BQ411" s="305"/>
      <c r="BR411" s="305"/>
      <c r="BS411" s="305"/>
      <c r="BT411" s="305"/>
      <c r="BU411" s="305"/>
      <c r="BV411" s="305"/>
      <c r="BX411" s="319"/>
    </row>
    <row r="412" spans="1:76" s="303" customFormat="1" x14ac:dyDescent="0.25">
      <c r="A412" s="275"/>
      <c r="B412" s="275"/>
      <c r="C412" s="275"/>
      <c r="D412" s="275"/>
      <c r="E412" s="275"/>
      <c r="F412" s="275"/>
      <c r="V412" s="304"/>
      <c r="W412" s="304"/>
      <c r="AD412" s="304"/>
      <c r="AE412" s="304"/>
      <c r="AR412" s="304"/>
      <c r="AS412" s="304"/>
      <c r="AT412" s="304"/>
      <c r="AU412" s="304"/>
      <c r="AV412" s="304"/>
      <c r="AW412" s="304"/>
      <c r="AX412" s="304"/>
      <c r="AY412" s="304"/>
      <c r="AZ412" s="304"/>
      <c r="BA412" s="304"/>
      <c r="BB412" s="304"/>
      <c r="BC412" s="304"/>
      <c r="BK412" s="305"/>
      <c r="BL412" s="305"/>
      <c r="BM412" s="305"/>
      <c r="BN412" s="305"/>
      <c r="BO412" s="305"/>
      <c r="BP412" s="305"/>
      <c r="BQ412" s="305"/>
      <c r="BR412" s="305"/>
      <c r="BS412" s="305"/>
      <c r="BT412" s="305"/>
      <c r="BU412" s="305"/>
      <c r="BV412" s="305"/>
      <c r="BX412" s="319"/>
    </row>
    <row r="413" spans="1:76" s="303" customFormat="1" x14ac:dyDescent="0.25">
      <c r="A413" s="275"/>
      <c r="B413" s="275"/>
      <c r="C413" s="275"/>
      <c r="D413" s="275"/>
      <c r="E413" s="275"/>
      <c r="F413" s="275"/>
      <c r="V413" s="304"/>
      <c r="W413" s="304"/>
      <c r="AD413" s="304"/>
      <c r="AE413" s="304"/>
      <c r="AR413" s="304"/>
      <c r="AS413" s="304"/>
      <c r="AT413" s="304"/>
      <c r="AU413" s="304"/>
      <c r="AV413" s="304"/>
      <c r="AW413" s="304"/>
      <c r="AX413" s="304"/>
      <c r="AY413" s="304"/>
      <c r="AZ413" s="304"/>
      <c r="BA413" s="304"/>
      <c r="BB413" s="304"/>
      <c r="BC413" s="304"/>
      <c r="BK413" s="305"/>
      <c r="BL413" s="305"/>
      <c r="BM413" s="305"/>
      <c r="BN413" s="305"/>
      <c r="BO413" s="305"/>
      <c r="BP413" s="305"/>
      <c r="BQ413" s="305"/>
      <c r="BR413" s="305"/>
      <c r="BS413" s="305"/>
      <c r="BT413" s="305"/>
      <c r="BU413" s="305"/>
      <c r="BV413" s="305"/>
      <c r="BX413" s="319"/>
    </row>
    <row r="414" spans="1:76" s="303" customFormat="1" x14ac:dyDescent="0.25">
      <c r="A414" s="275"/>
      <c r="B414" s="275"/>
      <c r="C414" s="275"/>
      <c r="D414" s="275"/>
      <c r="E414" s="275"/>
      <c r="F414" s="275"/>
      <c r="V414" s="304"/>
      <c r="W414" s="304"/>
      <c r="AD414" s="304"/>
      <c r="AE414" s="304"/>
      <c r="AR414" s="304"/>
      <c r="AS414" s="304"/>
      <c r="AT414" s="304"/>
      <c r="AU414" s="304"/>
      <c r="AV414" s="304"/>
      <c r="AW414" s="304"/>
      <c r="AX414" s="304"/>
      <c r="AY414" s="304"/>
      <c r="AZ414" s="304"/>
      <c r="BA414" s="304"/>
      <c r="BB414" s="304"/>
      <c r="BC414" s="304"/>
      <c r="BK414" s="305"/>
      <c r="BL414" s="305"/>
      <c r="BM414" s="305"/>
      <c r="BN414" s="305"/>
      <c r="BO414" s="305"/>
      <c r="BP414" s="305"/>
      <c r="BQ414" s="305"/>
      <c r="BR414" s="305"/>
      <c r="BS414" s="305"/>
      <c r="BT414" s="305"/>
      <c r="BU414" s="305"/>
      <c r="BV414" s="305"/>
      <c r="BX414" s="319"/>
    </row>
    <row r="415" spans="1:76" s="303" customFormat="1" x14ac:dyDescent="0.25">
      <c r="A415" s="275"/>
      <c r="B415" s="275"/>
      <c r="C415" s="275"/>
      <c r="D415" s="275"/>
      <c r="E415" s="275"/>
      <c r="F415" s="275"/>
      <c r="V415" s="304"/>
      <c r="W415" s="304"/>
      <c r="AD415" s="304"/>
      <c r="AE415" s="304"/>
      <c r="AR415" s="304"/>
      <c r="AS415" s="304"/>
      <c r="AT415" s="304"/>
      <c r="AU415" s="304"/>
      <c r="AV415" s="304"/>
      <c r="AW415" s="304"/>
      <c r="AX415" s="304"/>
      <c r="AY415" s="304"/>
      <c r="AZ415" s="304"/>
      <c r="BA415" s="304"/>
      <c r="BB415" s="304"/>
      <c r="BC415" s="304"/>
      <c r="BK415" s="305"/>
      <c r="BL415" s="305"/>
      <c r="BM415" s="305"/>
      <c r="BN415" s="305"/>
      <c r="BO415" s="305"/>
      <c r="BP415" s="305"/>
      <c r="BQ415" s="305"/>
      <c r="BR415" s="305"/>
      <c r="BS415" s="305"/>
      <c r="BT415" s="305"/>
      <c r="BU415" s="305"/>
      <c r="BV415" s="305"/>
      <c r="BX415" s="319"/>
    </row>
    <row r="416" spans="1:76" s="303" customFormat="1" x14ac:dyDescent="0.25">
      <c r="A416" s="275"/>
      <c r="B416" s="275"/>
      <c r="C416" s="275"/>
      <c r="D416" s="275"/>
      <c r="E416" s="275"/>
      <c r="F416" s="275"/>
      <c r="V416" s="304"/>
      <c r="W416" s="304"/>
      <c r="AD416" s="304"/>
      <c r="AE416" s="304"/>
      <c r="AR416" s="304"/>
      <c r="AS416" s="304"/>
      <c r="AT416" s="304"/>
      <c r="AU416" s="304"/>
      <c r="AV416" s="304"/>
      <c r="AW416" s="304"/>
      <c r="AX416" s="304"/>
      <c r="AY416" s="304"/>
      <c r="AZ416" s="304"/>
      <c r="BA416" s="304"/>
      <c r="BB416" s="304"/>
      <c r="BC416" s="304"/>
      <c r="BK416" s="305"/>
      <c r="BL416" s="305"/>
      <c r="BM416" s="305"/>
      <c r="BN416" s="305"/>
      <c r="BO416" s="305"/>
      <c r="BP416" s="305"/>
      <c r="BQ416" s="305"/>
      <c r="BR416" s="305"/>
      <c r="BS416" s="305"/>
      <c r="BT416" s="305"/>
      <c r="BU416" s="305"/>
      <c r="BV416" s="305"/>
      <c r="BX416" s="319"/>
    </row>
    <row r="417" spans="1:76" s="303" customFormat="1" x14ac:dyDescent="0.25">
      <c r="A417" s="275"/>
      <c r="B417" s="275"/>
      <c r="C417" s="275"/>
      <c r="D417" s="275"/>
      <c r="E417" s="275"/>
      <c r="F417" s="275"/>
      <c r="V417" s="304"/>
      <c r="W417" s="304"/>
      <c r="AD417" s="304"/>
      <c r="AE417" s="304"/>
      <c r="AR417" s="304"/>
      <c r="AS417" s="304"/>
      <c r="AT417" s="304"/>
      <c r="AU417" s="304"/>
      <c r="AV417" s="304"/>
      <c r="AW417" s="304"/>
      <c r="AX417" s="304"/>
      <c r="AY417" s="304"/>
      <c r="AZ417" s="304"/>
      <c r="BA417" s="304"/>
      <c r="BB417" s="304"/>
      <c r="BC417" s="304"/>
      <c r="BK417" s="305"/>
      <c r="BL417" s="305"/>
      <c r="BM417" s="305"/>
      <c r="BN417" s="305"/>
      <c r="BO417" s="305"/>
      <c r="BP417" s="305"/>
      <c r="BQ417" s="305"/>
      <c r="BR417" s="305"/>
      <c r="BS417" s="305"/>
      <c r="BT417" s="305"/>
      <c r="BU417" s="305"/>
      <c r="BV417" s="305"/>
      <c r="BX417" s="319"/>
    </row>
    <row r="418" spans="1:76" s="303" customFormat="1" x14ac:dyDescent="0.25">
      <c r="A418" s="275"/>
      <c r="B418" s="275"/>
      <c r="C418" s="275"/>
      <c r="D418" s="275"/>
      <c r="E418" s="275"/>
      <c r="F418" s="275"/>
      <c r="V418" s="304"/>
      <c r="W418" s="304"/>
      <c r="AD418" s="304"/>
      <c r="AE418" s="304"/>
      <c r="AR418" s="304"/>
      <c r="AS418" s="304"/>
      <c r="AT418" s="304"/>
      <c r="AU418" s="304"/>
      <c r="AV418" s="304"/>
      <c r="AW418" s="304"/>
      <c r="AX418" s="304"/>
      <c r="AY418" s="304"/>
      <c r="AZ418" s="304"/>
      <c r="BA418" s="304"/>
      <c r="BB418" s="304"/>
      <c r="BC418" s="304"/>
      <c r="BK418" s="305"/>
      <c r="BL418" s="305"/>
      <c r="BM418" s="305"/>
      <c r="BN418" s="305"/>
      <c r="BO418" s="305"/>
      <c r="BP418" s="305"/>
      <c r="BQ418" s="305"/>
      <c r="BR418" s="305"/>
      <c r="BS418" s="305"/>
      <c r="BT418" s="305"/>
      <c r="BU418" s="305"/>
      <c r="BV418" s="305"/>
      <c r="BX418" s="319"/>
    </row>
    <row r="419" spans="1:76" s="303" customFormat="1" x14ac:dyDescent="0.25">
      <c r="A419" s="275"/>
      <c r="B419" s="275"/>
      <c r="C419" s="275"/>
      <c r="D419" s="275"/>
      <c r="E419" s="275"/>
      <c r="F419" s="275"/>
      <c r="V419" s="304"/>
      <c r="W419" s="304"/>
      <c r="AD419" s="304"/>
      <c r="AE419" s="304"/>
      <c r="AR419" s="304"/>
      <c r="AS419" s="304"/>
      <c r="AT419" s="304"/>
      <c r="AU419" s="304"/>
      <c r="AV419" s="304"/>
      <c r="AW419" s="304"/>
      <c r="AX419" s="304"/>
      <c r="AY419" s="304"/>
      <c r="AZ419" s="304"/>
      <c r="BA419" s="304"/>
      <c r="BB419" s="304"/>
      <c r="BC419" s="304"/>
      <c r="BK419" s="305"/>
      <c r="BL419" s="305"/>
      <c r="BM419" s="305"/>
      <c r="BN419" s="305"/>
      <c r="BO419" s="305"/>
      <c r="BP419" s="305"/>
      <c r="BQ419" s="305"/>
      <c r="BR419" s="305"/>
      <c r="BS419" s="305"/>
      <c r="BT419" s="305"/>
      <c r="BU419" s="305"/>
      <c r="BV419" s="305"/>
      <c r="BX419" s="319"/>
    </row>
    <row r="420" spans="1:76" s="303" customFormat="1" x14ac:dyDescent="0.25">
      <c r="A420" s="275"/>
      <c r="B420" s="275"/>
      <c r="C420" s="275"/>
      <c r="D420" s="275"/>
      <c r="E420" s="275"/>
      <c r="F420" s="275"/>
      <c r="V420" s="304"/>
      <c r="W420" s="304"/>
      <c r="AD420" s="304"/>
      <c r="AE420" s="304"/>
      <c r="AR420" s="304"/>
      <c r="AS420" s="304"/>
      <c r="AT420" s="304"/>
      <c r="AU420" s="304"/>
      <c r="AV420" s="304"/>
      <c r="AW420" s="304"/>
      <c r="AX420" s="304"/>
      <c r="AY420" s="304"/>
      <c r="AZ420" s="304"/>
      <c r="BA420" s="304"/>
      <c r="BB420" s="304"/>
      <c r="BC420" s="304"/>
      <c r="BK420" s="305"/>
      <c r="BL420" s="305"/>
      <c r="BM420" s="305"/>
      <c r="BN420" s="305"/>
      <c r="BO420" s="305"/>
      <c r="BP420" s="305"/>
      <c r="BQ420" s="305"/>
      <c r="BR420" s="305"/>
      <c r="BS420" s="305"/>
      <c r="BT420" s="305"/>
      <c r="BU420" s="305"/>
      <c r="BV420" s="305"/>
      <c r="BX420" s="319"/>
    </row>
    <row r="421" spans="1:76" s="303" customFormat="1" x14ac:dyDescent="0.25">
      <c r="A421" s="275"/>
      <c r="B421" s="275"/>
      <c r="C421" s="275"/>
      <c r="D421" s="275"/>
      <c r="E421" s="275"/>
      <c r="F421" s="275"/>
      <c r="V421" s="304"/>
      <c r="W421" s="304"/>
      <c r="AD421" s="304"/>
      <c r="AE421" s="304"/>
      <c r="AR421" s="304"/>
      <c r="AS421" s="304"/>
      <c r="AT421" s="304"/>
      <c r="AU421" s="304"/>
      <c r="AV421" s="304"/>
      <c r="AW421" s="304"/>
      <c r="AX421" s="304"/>
      <c r="AY421" s="304"/>
      <c r="AZ421" s="304"/>
      <c r="BA421" s="304"/>
      <c r="BB421" s="304"/>
      <c r="BC421" s="304"/>
      <c r="BK421" s="305"/>
      <c r="BL421" s="305"/>
      <c r="BM421" s="305"/>
      <c r="BN421" s="305"/>
      <c r="BO421" s="305"/>
      <c r="BP421" s="305"/>
      <c r="BQ421" s="305"/>
      <c r="BR421" s="305"/>
      <c r="BS421" s="305"/>
      <c r="BT421" s="305"/>
      <c r="BU421" s="305"/>
      <c r="BV421" s="305"/>
      <c r="BX421" s="319"/>
    </row>
    <row r="422" spans="1:76" s="303" customFormat="1" x14ac:dyDescent="0.25">
      <c r="A422" s="275"/>
      <c r="B422" s="275"/>
      <c r="C422" s="275"/>
      <c r="D422" s="275"/>
      <c r="E422" s="275"/>
      <c r="F422" s="275"/>
      <c r="V422" s="304"/>
      <c r="W422" s="304"/>
      <c r="AD422" s="304"/>
      <c r="AE422" s="304"/>
      <c r="AR422" s="304"/>
      <c r="AS422" s="304"/>
      <c r="AT422" s="304"/>
      <c r="AU422" s="304"/>
      <c r="AV422" s="304"/>
      <c r="AW422" s="304"/>
      <c r="AX422" s="304"/>
      <c r="AY422" s="304"/>
      <c r="AZ422" s="304"/>
      <c r="BA422" s="304"/>
      <c r="BB422" s="304"/>
      <c r="BC422" s="304"/>
      <c r="BK422" s="305"/>
      <c r="BL422" s="305"/>
      <c r="BM422" s="305"/>
      <c r="BN422" s="305"/>
      <c r="BO422" s="305"/>
      <c r="BP422" s="305"/>
      <c r="BQ422" s="305"/>
      <c r="BR422" s="305"/>
      <c r="BS422" s="305"/>
      <c r="BT422" s="305"/>
      <c r="BU422" s="305"/>
      <c r="BV422" s="305"/>
      <c r="BX422" s="319"/>
    </row>
    <row r="423" spans="1:76" s="303" customFormat="1" x14ac:dyDescent="0.25">
      <c r="A423" s="275"/>
      <c r="B423" s="275"/>
      <c r="C423" s="275"/>
      <c r="D423" s="275"/>
      <c r="E423" s="275"/>
      <c r="F423" s="275"/>
      <c r="V423" s="304"/>
      <c r="W423" s="304"/>
      <c r="AD423" s="304"/>
      <c r="AE423" s="304"/>
      <c r="AR423" s="304"/>
      <c r="AS423" s="304"/>
      <c r="AT423" s="304"/>
      <c r="AU423" s="304"/>
      <c r="AV423" s="304"/>
      <c r="AW423" s="304"/>
      <c r="AX423" s="304"/>
      <c r="AY423" s="304"/>
      <c r="AZ423" s="304"/>
      <c r="BA423" s="304"/>
      <c r="BB423" s="304"/>
      <c r="BC423" s="304"/>
      <c r="BK423" s="305"/>
      <c r="BL423" s="305"/>
      <c r="BM423" s="305"/>
      <c r="BN423" s="305"/>
      <c r="BO423" s="305"/>
      <c r="BP423" s="305"/>
      <c r="BQ423" s="305"/>
      <c r="BR423" s="305"/>
      <c r="BS423" s="305"/>
      <c r="BT423" s="305"/>
      <c r="BU423" s="305"/>
      <c r="BV423" s="305"/>
      <c r="BX423" s="319"/>
    </row>
    <row r="424" spans="1:76" s="303" customFormat="1" x14ac:dyDescent="0.25">
      <c r="A424" s="275"/>
      <c r="B424" s="275"/>
      <c r="C424" s="275"/>
      <c r="D424" s="275"/>
      <c r="E424" s="275"/>
      <c r="F424" s="275"/>
      <c r="V424" s="304"/>
      <c r="W424" s="304"/>
      <c r="AD424" s="304"/>
      <c r="AE424" s="304"/>
      <c r="AR424" s="304"/>
      <c r="AS424" s="304"/>
      <c r="AT424" s="304"/>
      <c r="AU424" s="304"/>
      <c r="AV424" s="304"/>
      <c r="AW424" s="304"/>
      <c r="AX424" s="304"/>
      <c r="AY424" s="304"/>
      <c r="AZ424" s="304"/>
      <c r="BA424" s="304"/>
      <c r="BB424" s="304"/>
      <c r="BC424" s="304"/>
      <c r="BK424" s="305"/>
      <c r="BL424" s="305"/>
      <c r="BM424" s="305"/>
      <c r="BN424" s="305"/>
      <c r="BO424" s="305"/>
      <c r="BP424" s="305"/>
      <c r="BQ424" s="305"/>
      <c r="BR424" s="305"/>
      <c r="BS424" s="305"/>
      <c r="BT424" s="305"/>
      <c r="BU424" s="305"/>
      <c r="BV424" s="305"/>
      <c r="BX424" s="319"/>
    </row>
    <row r="425" spans="1:76" s="303" customFormat="1" x14ac:dyDescent="0.25">
      <c r="A425" s="275"/>
      <c r="B425" s="275"/>
      <c r="C425" s="275"/>
      <c r="D425" s="275"/>
      <c r="E425" s="275"/>
      <c r="F425" s="275"/>
      <c r="V425" s="304"/>
      <c r="W425" s="304"/>
      <c r="AD425" s="304"/>
      <c r="AE425" s="304"/>
      <c r="AR425" s="304"/>
      <c r="AS425" s="304"/>
      <c r="AT425" s="304"/>
      <c r="AU425" s="304"/>
      <c r="AV425" s="304"/>
      <c r="AW425" s="304"/>
      <c r="AX425" s="304"/>
      <c r="AY425" s="304"/>
      <c r="AZ425" s="304"/>
      <c r="BA425" s="304"/>
      <c r="BB425" s="304"/>
      <c r="BC425" s="304"/>
      <c r="BK425" s="305"/>
      <c r="BL425" s="305"/>
      <c r="BM425" s="305"/>
      <c r="BN425" s="305"/>
      <c r="BO425" s="305"/>
      <c r="BP425" s="305"/>
      <c r="BQ425" s="305"/>
      <c r="BR425" s="305"/>
      <c r="BS425" s="305"/>
      <c r="BT425" s="305"/>
      <c r="BU425" s="305"/>
      <c r="BV425" s="305"/>
      <c r="BX425" s="319"/>
    </row>
    <row r="426" spans="1:76" s="303" customFormat="1" x14ac:dyDescent="0.25">
      <c r="A426" s="275"/>
      <c r="B426" s="275"/>
      <c r="C426" s="275"/>
      <c r="D426" s="275"/>
      <c r="E426" s="275"/>
      <c r="F426" s="275"/>
      <c r="V426" s="304"/>
      <c r="W426" s="304"/>
      <c r="AD426" s="304"/>
      <c r="AE426" s="304"/>
      <c r="AR426" s="304"/>
      <c r="AS426" s="304"/>
      <c r="AT426" s="304"/>
      <c r="AU426" s="304"/>
      <c r="AV426" s="304"/>
      <c r="AW426" s="304"/>
      <c r="AX426" s="304"/>
      <c r="AY426" s="304"/>
      <c r="AZ426" s="304"/>
      <c r="BA426" s="304"/>
      <c r="BB426" s="304"/>
      <c r="BC426" s="304"/>
      <c r="BK426" s="305"/>
      <c r="BL426" s="305"/>
      <c r="BM426" s="305"/>
      <c r="BN426" s="305"/>
      <c r="BO426" s="305"/>
      <c r="BP426" s="305"/>
      <c r="BQ426" s="305"/>
      <c r="BR426" s="305"/>
      <c r="BS426" s="305"/>
      <c r="BT426" s="305"/>
      <c r="BU426" s="305"/>
      <c r="BV426" s="305"/>
      <c r="BX426" s="319"/>
    </row>
    <row r="427" spans="1:76" s="303" customFormat="1" x14ac:dyDescent="0.25">
      <c r="A427" s="275"/>
      <c r="B427" s="275"/>
      <c r="C427" s="275"/>
      <c r="D427" s="275"/>
      <c r="E427" s="275"/>
      <c r="F427" s="275"/>
      <c r="V427" s="304"/>
      <c r="W427" s="304"/>
      <c r="AD427" s="304"/>
      <c r="AE427" s="304"/>
      <c r="AR427" s="304"/>
      <c r="AS427" s="304"/>
      <c r="AT427" s="304"/>
      <c r="AU427" s="304"/>
      <c r="AV427" s="304"/>
      <c r="AW427" s="304"/>
      <c r="AX427" s="304"/>
      <c r="AY427" s="304"/>
      <c r="AZ427" s="304"/>
      <c r="BA427" s="304"/>
      <c r="BB427" s="304"/>
      <c r="BC427" s="304"/>
      <c r="BK427" s="305"/>
      <c r="BL427" s="305"/>
      <c r="BM427" s="305"/>
      <c r="BN427" s="305"/>
      <c r="BO427" s="305"/>
      <c r="BP427" s="305"/>
      <c r="BQ427" s="305"/>
      <c r="BR427" s="305"/>
      <c r="BS427" s="305"/>
      <c r="BT427" s="305"/>
      <c r="BU427" s="305"/>
      <c r="BV427" s="305"/>
      <c r="BX427" s="319"/>
    </row>
    <row r="428" spans="1:76" s="303" customFormat="1" x14ac:dyDescent="0.25">
      <c r="A428" s="275"/>
      <c r="B428" s="275"/>
      <c r="C428" s="275"/>
      <c r="D428" s="275"/>
      <c r="E428" s="275"/>
      <c r="F428" s="275"/>
      <c r="V428" s="304"/>
      <c r="W428" s="304"/>
      <c r="AD428" s="304"/>
      <c r="AE428" s="304"/>
      <c r="AR428" s="304"/>
      <c r="AS428" s="304"/>
      <c r="AT428" s="304"/>
      <c r="AU428" s="304"/>
      <c r="AV428" s="304"/>
      <c r="AW428" s="304"/>
      <c r="AX428" s="304"/>
      <c r="AY428" s="304"/>
      <c r="AZ428" s="304"/>
      <c r="BA428" s="304"/>
      <c r="BB428" s="304"/>
      <c r="BC428" s="304"/>
      <c r="BK428" s="305"/>
      <c r="BL428" s="305"/>
      <c r="BM428" s="305"/>
      <c r="BN428" s="305"/>
      <c r="BO428" s="305"/>
      <c r="BP428" s="305"/>
      <c r="BQ428" s="305"/>
      <c r="BR428" s="305"/>
      <c r="BS428" s="305"/>
      <c r="BT428" s="305"/>
      <c r="BU428" s="305"/>
      <c r="BV428" s="305"/>
      <c r="BX428" s="319"/>
    </row>
    <row r="429" spans="1:76" s="303" customFormat="1" x14ac:dyDescent="0.25">
      <c r="A429" s="275"/>
      <c r="B429" s="275"/>
      <c r="C429" s="275"/>
      <c r="D429" s="275"/>
      <c r="E429" s="275"/>
      <c r="F429" s="275"/>
      <c r="V429" s="304"/>
      <c r="W429" s="304"/>
      <c r="AD429" s="304"/>
      <c r="AE429" s="304"/>
      <c r="AR429" s="304"/>
      <c r="AS429" s="304"/>
      <c r="AT429" s="304"/>
      <c r="AU429" s="304"/>
      <c r="AV429" s="304"/>
      <c r="AW429" s="304"/>
      <c r="AX429" s="304"/>
      <c r="AY429" s="304"/>
      <c r="AZ429" s="304"/>
      <c r="BA429" s="304"/>
      <c r="BB429" s="304"/>
      <c r="BC429" s="304"/>
      <c r="BK429" s="305"/>
      <c r="BL429" s="305"/>
      <c r="BM429" s="305"/>
      <c r="BN429" s="305"/>
      <c r="BO429" s="305"/>
      <c r="BP429" s="305"/>
      <c r="BQ429" s="305"/>
      <c r="BR429" s="305"/>
      <c r="BS429" s="305"/>
      <c r="BT429" s="305"/>
      <c r="BU429" s="305"/>
      <c r="BV429" s="305"/>
      <c r="BX429" s="319"/>
    </row>
    <row r="430" spans="1:76" s="303" customFormat="1" x14ac:dyDescent="0.25">
      <c r="A430" s="275"/>
      <c r="B430" s="275"/>
      <c r="C430" s="275"/>
      <c r="D430" s="275"/>
      <c r="E430" s="275"/>
      <c r="F430" s="275"/>
      <c r="V430" s="304"/>
      <c r="W430" s="304"/>
      <c r="AD430" s="304"/>
      <c r="AE430" s="304"/>
      <c r="AR430" s="304"/>
      <c r="AS430" s="304"/>
      <c r="AT430" s="304"/>
      <c r="AU430" s="304"/>
      <c r="AV430" s="304"/>
      <c r="AW430" s="304"/>
      <c r="AX430" s="304"/>
      <c r="AY430" s="304"/>
      <c r="AZ430" s="304"/>
      <c r="BA430" s="304"/>
      <c r="BB430" s="304"/>
      <c r="BC430" s="304"/>
      <c r="BK430" s="305"/>
      <c r="BL430" s="305"/>
      <c r="BM430" s="305"/>
      <c r="BN430" s="305"/>
      <c r="BO430" s="305"/>
      <c r="BP430" s="305"/>
      <c r="BQ430" s="305"/>
      <c r="BR430" s="305"/>
      <c r="BS430" s="305"/>
      <c r="BT430" s="305"/>
      <c r="BU430" s="305"/>
      <c r="BV430" s="305"/>
      <c r="BX430" s="319"/>
    </row>
    <row r="431" spans="1:76" s="303" customFormat="1" x14ac:dyDescent="0.25">
      <c r="A431" s="275"/>
      <c r="B431" s="275"/>
      <c r="C431" s="275"/>
      <c r="D431" s="275"/>
      <c r="E431" s="275"/>
      <c r="F431" s="275"/>
      <c r="V431" s="304"/>
      <c r="W431" s="304"/>
      <c r="AD431" s="304"/>
      <c r="AE431" s="304"/>
      <c r="AR431" s="304"/>
      <c r="AS431" s="304"/>
      <c r="AT431" s="304"/>
      <c r="AU431" s="304"/>
      <c r="AV431" s="304"/>
      <c r="AW431" s="304"/>
      <c r="AX431" s="304"/>
      <c r="AY431" s="304"/>
      <c r="AZ431" s="304"/>
      <c r="BA431" s="304"/>
      <c r="BB431" s="304"/>
      <c r="BC431" s="304"/>
      <c r="BK431" s="305"/>
      <c r="BL431" s="305"/>
      <c r="BM431" s="305"/>
      <c r="BN431" s="305"/>
      <c r="BO431" s="305"/>
      <c r="BP431" s="305"/>
      <c r="BQ431" s="305"/>
      <c r="BR431" s="305"/>
      <c r="BS431" s="305"/>
      <c r="BT431" s="305"/>
      <c r="BU431" s="305"/>
      <c r="BV431" s="305"/>
      <c r="BX431" s="319"/>
    </row>
    <row r="432" spans="1:76" s="303" customFormat="1" x14ac:dyDescent="0.25">
      <c r="A432" s="275"/>
      <c r="B432" s="275"/>
      <c r="C432" s="275"/>
      <c r="D432" s="275"/>
      <c r="E432" s="275"/>
      <c r="F432" s="275"/>
      <c r="V432" s="304"/>
      <c r="W432" s="304"/>
      <c r="AD432" s="304"/>
      <c r="AE432" s="304"/>
      <c r="AR432" s="304"/>
      <c r="AS432" s="304"/>
      <c r="AT432" s="304"/>
      <c r="AU432" s="304"/>
      <c r="AV432" s="304"/>
      <c r="AW432" s="304"/>
      <c r="AX432" s="304"/>
      <c r="AY432" s="304"/>
      <c r="AZ432" s="304"/>
      <c r="BA432" s="304"/>
      <c r="BB432" s="304"/>
      <c r="BC432" s="304"/>
      <c r="BK432" s="305"/>
      <c r="BL432" s="305"/>
      <c r="BM432" s="305"/>
      <c r="BN432" s="305"/>
      <c r="BO432" s="305"/>
      <c r="BP432" s="305"/>
      <c r="BQ432" s="305"/>
      <c r="BR432" s="305"/>
      <c r="BS432" s="305"/>
      <c r="BT432" s="305"/>
      <c r="BU432" s="305"/>
      <c r="BV432" s="305"/>
      <c r="BX432" s="319"/>
    </row>
    <row r="433" spans="1:76" s="303" customFormat="1" x14ac:dyDescent="0.25">
      <c r="A433" s="275"/>
      <c r="B433" s="275"/>
      <c r="C433" s="275"/>
      <c r="D433" s="275"/>
      <c r="E433" s="275"/>
      <c r="F433" s="275"/>
      <c r="V433" s="304"/>
      <c r="W433" s="304"/>
      <c r="AD433" s="304"/>
      <c r="AE433" s="304"/>
      <c r="AR433" s="304"/>
      <c r="AS433" s="304"/>
      <c r="AT433" s="304"/>
      <c r="AU433" s="304"/>
      <c r="AV433" s="304"/>
      <c r="AW433" s="304"/>
      <c r="AX433" s="304"/>
      <c r="AY433" s="304"/>
      <c r="AZ433" s="304"/>
      <c r="BA433" s="304"/>
      <c r="BB433" s="304"/>
      <c r="BC433" s="304"/>
      <c r="BK433" s="305"/>
      <c r="BL433" s="305"/>
      <c r="BM433" s="305"/>
      <c r="BN433" s="305"/>
      <c r="BO433" s="305"/>
      <c r="BP433" s="305"/>
      <c r="BQ433" s="305"/>
      <c r="BR433" s="305"/>
      <c r="BS433" s="305"/>
      <c r="BT433" s="305"/>
      <c r="BU433" s="305"/>
      <c r="BV433" s="305"/>
      <c r="BX433" s="319"/>
    </row>
    <row r="434" spans="1:76" s="303" customFormat="1" x14ac:dyDescent="0.25">
      <c r="A434" s="275"/>
      <c r="B434" s="275"/>
      <c r="C434" s="275"/>
      <c r="D434" s="275"/>
      <c r="E434" s="275"/>
      <c r="F434" s="275"/>
      <c r="V434" s="304"/>
      <c r="W434" s="304"/>
      <c r="AD434" s="304"/>
      <c r="AE434" s="304"/>
      <c r="AR434" s="304"/>
      <c r="AS434" s="304"/>
      <c r="AT434" s="304"/>
      <c r="AU434" s="304"/>
      <c r="AV434" s="304"/>
      <c r="AW434" s="304"/>
      <c r="AX434" s="304"/>
      <c r="AY434" s="304"/>
      <c r="AZ434" s="304"/>
      <c r="BA434" s="304"/>
      <c r="BB434" s="304"/>
      <c r="BC434" s="304"/>
      <c r="BK434" s="305"/>
      <c r="BL434" s="305"/>
      <c r="BM434" s="305"/>
      <c r="BN434" s="305"/>
      <c r="BO434" s="305"/>
      <c r="BP434" s="305"/>
      <c r="BQ434" s="305"/>
      <c r="BR434" s="305"/>
      <c r="BS434" s="305"/>
      <c r="BT434" s="305"/>
      <c r="BU434" s="305"/>
      <c r="BV434" s="305"/>
      <c r="BX434" s="319"/>
    </row>
    <row r="435" spans="1:76" s="303" customFormat="1" x14ac:dyDescent="0.25">
      <c r="A435" s="275"/>
      <c r="B435" s="275"/>
      <c r="C435" s="275"/>
      <c r="D435" s="275"/>
      <c r="E435" s="275"/>
      <c r="F435" s="275"/>
      <c r="V435" s="304"/>
      <c r="W435" s="304"/>
      <c r="AD435" s="304"/>
      <c r="AE435" s="304"/>
      <c r="AR435" s="304"/>
      <c r="AS435" s="304"/>
      <c r="AT435" s="304"/>
      <c r="AU435" s="304"/>
      <c r="AV435" s="304"/>
      <c r="AW435" s="304"/>
      <c r="AX435" s="304"/>
      <c r="AY435" s="304"/>
      <c r="AZ435" s="304"/>
      <c r="BA435" s="304"/>
      <c r="BB435" s="304"/>
      <c r="BC435" s="304"/>
      <c r="BK435" s="305"/>
      <c r="BL435" s="305"/>
      <c r="BM435" s="305"/>
      <c r="BN435" s="305"/>
      <c r="BO435" s="305"/>
      <c r="BP435" s="305"/>
      <c r="BQ435" s="305"/>
      <c r="BR435" s="305"/>
      <c r="BS435" s="305"/>
      <c r="BT435" s="305"/>
      <c r="BU435" s="305"/>
      <c r="BV435" s="305"/>
      <c r="BX435" s="319"/>
    </row>
    <row r="436" spans="1:76" s="303" customFormat="1" x14ac:dyDescent="0.25">
      <c r="A436" s="275"/>
      <c r="B436" s="275"/>
      <c r="C436" s="275"/>
      <c r="D436" s="275"/>
      <c r="E436" s="275"/>
      <c r="F436" s="275"/>
      <c r="V436" s="304"/>
      <c r="W436" s="304"/>
      <c r="AD436" s="304"/>
      <c r="AE436" s="304"/>
      <c r="AR436" s="304"/>
      <c r="AS436" s="304"/>
      <c r="AT436" s="304"/>
      <c r="AU436" s="304"/>
      <c r="AV436" s="304"/>
      <c r="AW436" s="304"/>
      <c r="AX436" s="304"/>
      <c r="AY436" s="304"/>
      <c r="AZ436" s="304"/>
      <c r="BA436" s="304"/>
      <c r="BB436" s="304"/>
      <c r="BC436" s="304"/>
      <c r="BK436" s="305"/>
      <c r="BL436" s="305"/>
      <c r="BM436" s="305"/>
      <c r="BN436" s="305"/>
      <c r="BO436" s="305"/>
      <c r="BP436" s="305"/>
      <c r="BQ436" s="305"/>
      <c r="BR436" s="305"/>
      <c r="BS436" s="305"/>
      <c r="BT436" s="305"/>
      <c r="BU436" s="305"/>
      <c r="BV436" s="305"/>
      <c r="BX436" s="319"/>
    </row>
    <row r="437" spans="1:76" s="303" customFormat="1" x14ac:dyDescent="0.25">
      <c r="A437" s="275"/>
      <c r="B437" s="275"/>
      <c r="C437" s="275"/>
      <c r="D437" s="275"/>
      <c r="E437" s="275"/>
      <c r="F437" s="275"/>
      <c r="V437" s="304"/>
      <c r="W437" s="304"/>
      <c r="AD437" s="304"/>
      <c r="AE437" s="304"/>
      <c r="AR437" s="304"/>
      <c r="AS437" s="304"/>
      <c r="AT437" s="304"/>
      <c r="AU437" s="304"/>
      <c r="AV437" s="304"/>
      <c r="AW437" s="304"/>
      <c r="AX437" s="304"/>
      <c r="AY437" s="304"/>
      <c r="AZ437" s="304"/>
      <c r="BA437" s="304"/>
      <c r="BB437" s="304"/>
      <c r="BC437" s="304"/>
      <c r="BK437" s="305"/>
      <c r="BL437" s="305"/>
      <c r="BM437" s="305"/>
      <c r="BN437" s="305"/>
      <c r="BO437" s="305"/>
      <c r="BP437" s="305"/>
      <c r="BQ437" s="305"/>
      <c r="BR437" s="305"/>
      <c r="BS437" s="305"/>
      <c r="BT437" s="305"/>
      <c r="BU437" s="305"/>
      <c r="BV437" s="305"/>
      <c r="BX437" s="319"/>
    </row>
    <row r="438" spans="1:76" s="303" customFormat="1" x14ac:dyDescent="0.25">
      <c r="A438" s="275"/>
      <c r="B438" s="275"/>
      <c r="C438" s="275"/>
      <c r="D438" s="275"/>
      <c r="E438" s="275"/>
      <c r="F438" s="275"/>
      <c r="V438" s="304"/>
      <c r="W438" s="304"/>
      <c r="AD438" s="304"/>
      <c r="AE438" s="304"/>
      <c r="AR438" s="304"/>
      <c r="AS438" s="304"/>
      <c r="AT438" s="304"/>
      <c r="AU438" s="304"/>
      <c r="AV438" s="304"/>
      <c r="AW438" s="304"/>
      <c r="AX438" s="304"/>
      <c r="AY438" s="304"/>
      <c r="AZ438" s="304"/>
      <c r="BA438" s="304"/>
      <c r="BB438" s="304"/>
      <c r="BC438" s="304"/>
      <c r="BK438" s="305"/>
      <c r="BL438" s="305"/>
      <c r="BM438" s="305"/>
      <c r="BN438" s="305"/>
      <c r="BO438" s="305"/>
      <c r="BP438" s="305"/>
      <c r="BQ438" s="305"/>
      <c r="BR438" s="305"/>
      <c r="BS438" s="305"/>
      <c r="BT438" s="305"/>
      <c r="BU438" s="305"/>
      <c r="BV438" s="305"/>
      <c r="BX438" s="319"/>
    </row>
    <row r="439" spans="1:76" s="303" customFormat="1" x14ac:dyDescent="0.25">
      <c r="A439" s="275"/>
      <c r="B439" s="275"/>
      <c r="C439" s="275"/>
      <c r="D439" s="275"/>
      <c r="E439" s="275"/>
      <c r="F439" s="275"/>
      <c r="V439" s="304"/>
      <c r="W439" s="304"/>
      <c r="AD439" s="304"/>
      <c r="AE439" s="304"/>
      <c r="AR439" s="304"/>
      <c r="AS439" s="304"/>
      <c r="AT439" s="304"/>
      <c r="AU439" s="304"/>
      <c r="AV439" s="304"/>
      <c r="AW439" s="304"/>
      <c r="AX439" s="304"/>
      <c r="AY439" s="304"/>
      <c r="AZ439" s="304"/>
      <c r="BA439" s="304"/>
      <c r="BB439" s="304"/>
      <c r="BC439" s="304"/>
      <c r="BK439" s="305"/>
      <c r="BL439" s="305"/>
      <c r="BM439" s="305"/>
      <c r="BN439" s="305"/>
      <c r="BO439" s="305"/>
      <c r="BP439" s="305"/>
      <c r="BQ439" s="305"/>
      <c r="BR439" s="305"/>
      <c r="BS439" s="305"/>
      <c r="BT439" s="305"/>
      <c r="BU439" s="305"/>
      <c r="BV439" s="305"/>
      <c r="BX439" s="319"/>
    </row>
    <row r="440" spans="1:76" s="303" customFormat="1" x14ac:dyDescent="0.25">
      <c r="A440" s="275"/>
      <c r="B440" s="275"/>
      <c r="C440" s="275"/>
      <c r="D440" s="275"/>
      <c r="E440" s="275"/>
      <c r="F440" s="275"/>
      <c r="V440" s="304"/>
      <c r="W440" s="304"/>
      <c r="AD440" s="304"/>
      <c r="AE440" s="304"/>
      <c r="AR440" s="304"/>
      <c r="AS440" s="304"/>
      <c r="AT440" s="304"/>
      <c r="AU440" s="304"/>
      <c r="AV440" s="304"/>
      <c r="AW440" s="304"/>
      <c r="AX440" s="304"/>
      <c r="AY440" s="304"/>
      <c r="AZ440" s="304"/>
      <c r="BA440" s="304"/>
      <c r="BB440" s="304"/>
      <c r="BC440" s="304"/>
      <c r="BK440" s="305"/>
      <c r="BL440" s="305"/>
      <c r="BM440" s="305"/>
      <c r="BN440" s="305"/>
      <c r="BO440" s="305"/>
      <c r="BP440" s="305"/>
      <c r="BQ440" s="305"/>
      <c r="BR440" s="305"/>
      <c r="BS440" s="305"/>
      <c r="BT440" s="305"/>
      <c r="BU440" s="305"/>
      <c r="BV440" s="305"/>
      <c r="BX440" s="319"/>
    </row>
    <row r="441" spans="1:76" s="303" customFormat="1" x14ac:dyDescent="0.25">
      <c r="A441" s="275"/>
      <c r="B441" s="275"/>
      <c r="C441" s="275"/>
      <c r="D441" s="275"/>
      <c r="E441" s="275"/>
      <c r="F441" s="275"/>
      <c r="V441" s="304"/>
      <c r="W441" s="304"/>
      <c r="AD441" s="304"/>
      <c r="AE441" s="304"/>
      <c r="AR441" s="304"/>
      <c r="AS441" s="304"/>
      <c r="AT441" s="304"/>
      <c r="AU441" s="304"/>
      <c r="AV441" s="304"/>
      <c r="AW441" s="304"/>
      <c r="AX441" s="304"/>
      <c r="AY441" s="304"/>
      <c r="AZ441" s="304"/>
      <c r="BA441" s="304"/>
      <c r="BB441" s="304"/>
      <c r="BC441" s="304"/>
      <c r="BK441" s="305"/>
      <c r="BL441" s="305"/>
      <c r="BM441" s="305"/>
      <c r="BN441" s="305"/>
      <c r="BO441" s="305"/>
      <c r="BP441" s="305"/>
      <c r="BQ441" s="305"/>
      <c r="BR441" s="305"/>
      <c r="BS441" s="305"/>
      <c r="BT441" s="305"/>
      <c r="BU441" s="305"/>
      <c r="BV441" s="305"/>
      <c r="BX441" s="319"/>
    </row>
    <row r="442" spans="1:76" s="303" customFormat="1" x14ac:dyDescent="0.25">
      <c r="A442" s="275"/>
      <c r="B442" s="275"/>
      <c r="C442" s="275"/>
      <c r="D442" s="275"/>
      <c r="E442" s="275"/>
      <c r="F442" s="275"/>
      <c r="V442" s="304"/>
      <c r="W442" s="304"/>
      <c r="AD442" s="304"/>
      <c r="AE442" s="304"/>
      <c r="AR442" s="304"/>
      <c r="AS442" s="304"/>
      <c r="AT442" s="304"/>
      <c r="AU442" s="304"/>
      <c r="AV442" s="304"/>
      <c r="AW442" s="304"/>
      <c r="AX442" s="304"/>
      <c r="AY442" s="304"/>
      <c r="AZ442" s="304"/>
      <c r="BA442" s="304"/>
      <c r="BB442" s="304"/>
      <c r="BC442" s="304"/>
      <c r="BK442" s="305"/>
      <c r="BL442" s="305"/>
      <c r="BM442" s="305"/>
      <c r="BN442" s="305"/>
      <c r="BO442" s="305"/>
      <c r="BP442" s="305"/>
      <c r="BQ442" s="305"/>
      <c r="BR442" s="305"/>
      <c r="BS442" s="305"/>
      <c r="BT442" s="305"/>
      <c r="BU442" s="305"/>
      <c r="BV442" s="305"/>
      <c r="BX442" s="319"/>
    </row>
    <row r="443" spans="1:76" s="303" customFormat="1" x14ac:dyDescent="0.25">
      <c r="A443" s="275"/>
      <c r="B443" s="275"/>
      <c r="C443" s="275"/>
      <c r="D443" s="275"/>
      <c r="E443" s="275"/>
      <c r="F443" s="275"/>
      <c r="V443" s="304"/>
      <c r="W443" s="304"/>
      <c r="AD443" s="304"/>
      <c r="AE443" s="304"/>
      <c r="AR443" s="304"/>
      <c r="AS443" s="304"/>
      <c r="AT443" s="304"/>
      <c r="AU443" s="304"/>
      <c r="AV443" s="304"/>
      <c r="AW443" s="304"/>
      <c r="AX443" s="304"/>
      <c r="AY443" s="304"/>
      <c r="AZ443" s="304"/>
      <c r="BA443" s="304"/>
      <c r="BB443" s="304"/>
      <c r="BC443" s="304"/>
      <c r="BK443" s="305"/>
      <c r="BL443" s="305"/>
      <c r="BM443" s="305"/>
      <c r="BN443" s="305"/>
      <c r="BO443" s="305"/>
      <c r="BP443" s="305"/>
      <c r="BQ443" s="305"/>
      <c r="BR443" s="305"/>
      <c r="BS443" s="305"/>
      <c r="BT443" s="305"/>
      <c r="BU443" s="305"/>
      <c r="BV443" s="305"/>
      <c r="BX443" s="319"/>
    </row>
    <row r="444" spans="1:76" s="303" customFormat="1" x14ac:dyDescent="0.25">
      <c r="A444" s="275"/>
      <c r="B444" s="275"/>
      <c r="C444" s="275"/>
      <c r="D444" s="275"/>
      <c r="E444" s="275"/>
      <c r="F444" s="275"/>
      <c r="V444" s="304"/>
      <c r="W444" s="304"/>
      <c r="AD444" s="304"/>
      <c r="AE444" s="304"/>
      <c r="AR444" s="304"/>
      <c r="AS444" s="304"/>
      <c r="AT444" s="304"/>
      <c r="AU444" s="304"/>
      <c r="AV444" s="304"/>
      <c r="AW444" s="304"/>
      <c r="AX444" s="304"/>
      <c r="AY444" s="304"/>
      <c r="AZ444" s="304"/>
      <c r="BA444" s="304"/>
      <c r="BB444" s="304"/>
      <c r="BC444" s="304"/>
      <c r="BK444" s="305"/>
      <c r="BL444" s="305"/>
      <c r="BM444" s="305"/>
      <c r="BN444" s="305"/>
      <c r="BO444" s="305"/>
      <c r="BP444" s="305"/>
      <c r="BQ444" s="305"/>
      <c r="BR444" s="305"/>
      <c r="BS444" s="305"/>
      <c r="BT444" s="305"/>
      <c r="BU444" s="305"/>
      <c r="BV444" s="305"/>
      <c r="BX444" s="319"/>
    </row>
    <row r="445" spans="1:76" s="303" customFormat="1" x14ac:dyDescent="0.25">
      <c r="A445" s="275"/>
      <c r="B445" s="275"/>
      <c r="C445" s="275"/>
      <c r="D445" s="275"/>
      <c r="E445" s="275"/>
      <c r="F445" s="275"/>
      <c r="V445" s="304"/>
      <c r="W445" s="304"/>
      <c r="AD445" s="304"/>
      <c r="AE445" s="304"/>
      <c r="AR445" s="304"/>
      <c r="AS445" s="304"/>
      <c r="AT445" s="304"/>
      <c r="AU445" s="304"/>
      <c r="AV445" s="304"/>
      <c r="AW445" s="304"/>
      <c r="AX445" s="304"/>
      <c r="AY445" s="304"/>
      <c r="AZ445" s="304"/>
      <c r="BA445" s="304"/>
      <c r="BB445" s="304"/>
      <c r="BC445" s="304"/>
      <c r="BK445" s="305"/>
      <c r="BL445" s="305"/>
      <c r="BM445" s="305"/>
      <c r="BN445" s="305"/>
      <c r="BO445" s="305"/>
      <c r="BP445" s="305"/>
      <c r="BQ445" s="305"/>
      <c r="BR445" s="305"/>
      <c r="BS445" s="305"/>
      <c r="BT445" s="305"/>
      <c r="BU445" s="305"/>
      <c r="BV445" s="305"/>
      <c r="BX445" s="319"/>
    </row>
    <row r="446" spans="1:76" s="303" customFormat="1" x14ac:dyDescent="0.25">
      <c r="A446" s="275"/>
      <c r="B446" s="275"/>
      <c r="C446" s="275"/>
      <c r="D446" s="275"/>
      <c r="E446" s="275"/>
      <c r="F446" s="275"/>
      <c r="V446" s="304"/>
      <c r="W446" s="304"/>
      <c r="AD446" s="304"/>
      <c r="AE446" s="304"/>
      <c r="AR446" s="304"/>
      <c r="AS446" s="304"/>
      <c r="AT446" s="304"/>
      <c r="AU446" s="304"/>
      <c r="AV446" s="304"/>
      <c r="AW446" s="304"/>
      <c r="AX446" s="304"/>
      <c r="AY446" s="304"/>
      <c r="AZ446" s="304"/>
      <c r="BA446" s="304"/>
      <c r="BB446" s="304"/>
      <c r="BC446" s="304"/>
      <c r="BK446" s="305"/>
      <c r="BL446" s="305"/>
      <c r="BM446" s="305"/>
      <c r="BN446" s="305"/>
      <c r="BO446" s="305"/>
      <c r="BP446" s="305"/>
      <c r="BQ446" s="305"/>
      <c r="BR446" s="305"/>
      <c r="BS446" s="305"/>
      <c r="BT446" s="305"/>
      <c r="BU446" s="305"/>
      <c r="BV446" s="305"/>
      <c r="BX446" s="319"/>
    </row>
    <row r="447" spans="1:76" s="303" customFormat="1" x14ac:dyDescent="0.25">
      <c r="A447" s="275"/>
      <c r="B447" s="275"/>
      <c r="C447" s="275"/>
      <c r="D447" s="275"/>
      <c r="E447" s="275"/>
      <c r="F447" s="275"/>
      <c r="V447" s="304"/>
      <c r="W447" s="304"/>
      <c r="AD447" s="304"/>
      <c r="AE447" s="304"/>
      <c r="AR447" s="304"/>
      <c r="AS447" s="304"/>
      <c r="AT447" s="304"/>
      <c r="AU447" s="304"/>
      <c r="AV447" s="304"/>
      <c r="AW447" s="304"/>
      <c r="AX447" s="304"/>
      <c r="AY447" s="304"/>
      <c r="AZ447" s="304"/>
      <c r="BA447" s="304"/>
      <c r="BB447" s="304"/>
      <c r="BC447" s="304"/>
      <c r="BK447" s="305"/>
      <c r="BL447" s="305"/>
      <c r="BM447" s="305"/>
      <c r="BN447" s="305"/>
      <c r="BO447" s="305"/>
      <c r="BP447" s="305"/>
      <c r="BQ447" s="305"/>
      <c r="BR447" s="305"/>
      <c r="BS447" s="305"/>
      <c r="BT447" s="305"/>
      <c r="BU447" s="305"/>
      <c r="BV447" s="305"/>
      <c r="BX447" s="319"/>
    </row>
    <row r="448" spans="1:76" s="303" customFormat="1" x14ac:dyDescent="0.25">
      <c r="A448" s="275"/>
      <c r="B448" s="275"/>
      <c r="C448" s="275"/>
      <c r="D448" s="275"/>
      <c r="E448" s="275"/>
      <c r="F448" s="275"/>
      <c r="V448" s="304"/>
      <c r="W448" s="304"/>
      <c r="AD448" s="304"/>
      <c r="AE448" s="304"/>
      <c r="AR448" s="304"/>
      <c r="AS448" s="304"/>
      <c r="AT448" s="304"/>
      <c r="AU448" s="304"/>
      <c r="AV448" s="304"/>
      <c r="AW448" s="304"/>
      <c r="AX448" s="304"/>
      <c r="AY448" s="304"/>
      <c r="AZ448" s="304"/>
      <c r="BA448" s="304"/>
      <c r="BB448" s="304"/>
      <c r="BC448" s="304"/>
      <c r="BK448" s="305"/>
      <c r="BL448" s="305"/>
      <c r="BM448" s="305"/>
      <c r="BN448" s="305"/>
      <c r="BO448" s="305"/>
      <c r="BP448" s="305"/>
      <c r="BQ448" s="305"/>
      <c r="BR448" s="305"/>
      <c r="BS448" s="305"/>
      <c r="BT448" s="305"/>
      <c r="BU448" s="305"/>
      <c r="BV448" s="305"/>
      <c r="BX448" s="319"/>
    </row>
    <row r="449" spans="1:76" s="303" customFormat="1" x14ac:dyDescent="0.25">
      <c r="A449" s="275"/>
      <c r="B449" s="275"/>
      <c r="C449" s="275"/>
      <c r="D449" s="275"/>
      <c r="E449" s="275"/>
      <c r="F449" s="275"/>
      <c r="V449" s="304"/>
      <c r="W449" s="304"/>
      <c r="AD449" s="304"/>
      <c r="AE449" s="304"/>
      <c r="AR449" s="304"/>
      <c r="AS449" s="304"/>
      <c r="AT449" s="304"/>
      <c r="AU449" s="304"/>
      <c r="AV449" s="304"/>
      <c r="AW449" s="304"/>
      <c r="AX449" s="304"/>
      <c r="AY449" s="304"/>
      <c r="AZ449" s="304"/>
      <c r="BA449" s="304"/>
      <c r="BB449" s="304"/>
      <c r="BC449" s="304"/>
      <c r="BK449" s="305"/>
      <c r="BL449" s="305"/>
      <c r="BM449" s="305"/>
      <c r="BN449" s="305"/>
      <c r="BO449" s="305"/>
      <c r="BP449" s="305"/>
      <c r="BQ449" s="305"/>
      <c r="BR449" s="305"/>
      <c r="BS449" s="305"/>
      <c r="BT449" s="305"/>
      <c r="BU449" s="305"/>
      <c r="BV449" s="305"/>
      <c r="BX449" s="319"/>
    </row>
    <row r="450" spans="1:76" s="303" customFormat="1" x14ac:dyDescent="0.25">
      <c r="A450" s="275"/>
      <c r="B450" s="275"/>
      <c r="C450" s="275"/>
      <c r="D450" s="275"/>
      <c r="E450" s="275"/>
      <c r="F450" s="275"/>
      <c r="V450" s="304"/>
      <c r="W450" s="304"/>
      <c r="AD450" s="304"/>
      <c r="AE450" s="304"/>
      <c r="AR450" s="304"/>
      <c r="AS450" s="304"/>
      <c r="AT450" s="304"/>
      <c r="AU450" s="304"/>
      <c r="AV450" s="304"/>
      <c r="AW450" s="304"/>
      <c r="AX450" s="304"/>
      <c r="AY450" s="304"/>
      <c r="AZ450" s="304"/>
      <c r="BA450" s="304"/>
      <c r="BB450" s="304"/>
      <c r="BC450" s="304"/>
      <c r="BK450" s="305"/>
      <c r="BL450" s="305"/>
      <c r="BM450" s="305"/>
      <c r="BN450" s="305"/>
      <c r="BO450" s="305"/>
      <c r="BP450" s="305"/>
      <c r="BQ450" s="305"/>
      <c r="BR450" s="305"/>
      <c r="BS450" s="305"/>
      <c r="BT450" s="305"/>
      <c r="BU450" s="305"/>
      <c r="BV450" s="305"/>
      <c r="BX450" s="319"/>
    </row>
    <row r="451" spans="1:76" s="303" customFormat="1" x14ac:dyDescent="0.25">
      <c r="A451" s="275"/>
      <c r="B451" s="275"/>
      <c r="C451" s="275"/>
      <c r="D451" s="275"/>
      <c r="E451" s="275"/>
      <c r="F451" s="275"/>
      <c r="V451" s="304"/>
      <c r="W451" s="304"/>
      <c r="AD451" s="304"/>
      <c r="AE451" s="304"/>
      <c r="AR451" s="304"/>
      <c r="AS451" s="304"/>
      <c r="AT451" s="304"/>
      <c r="AU451" s="304"/>
      <c r="AV451" s="304"/>
      <c r="AW451" s="304"/>
      <c r="AX451" s="304"/>
      <c r="AY451" s="304"/>
      <c r="AZ451" s="304"/>
      <c r="BA451" s="304"/>
      <c r="BB451" s="304"/>
      <c r="BC451" s="304"/>
      <c r="BK451" s="305"/>
      <c r="BL451" s="305"/>
      <c r="BM451" s="305"/>
      <c r="BN451" s="305"/>
      <c r="BO451" s="305"/>
      <c r="BP451" s="305"/>
      <c r="BQ451" s="305"/>
      <c r="BR451" s="305"/>
      <c r="BS451" s="305"/>
      <c r="BT451" s="305"/>
      <c r="BU451" s="305"/>
      <c r="BV451" s="305"/>
      <c r="BX451" s="319"/>
    </row>
    <row r="452" spans="1:76" s="303" customFormat="1" x14ac:dyDescent="0.25">
      <c r="A452" s="275"/>
      <c r="B452" s="275"/>
      <c r="C452" s="275"/>
      <c r="D452" s="275"/>
      <c r="E452" s="275"/>
      <c r="F452" s="275"/>
      <c r="V452" s="304"/>
      <c r="W452" s="304"/>
      <c r="AD452" s="304"/>
      <c r="AE452" s="304"/>
      <c r="AR452" s="304"/>
      <c r="AS452" s="304"/>
      <c r="AT452" s="304"/>
      <c r="AU452" s="304"/>
      <c r="AV452" s="304"/>
      <c r="AW452" s="304"/>
      <c r="AX452" s="304"/>
      <c r="AY452" s="304"/>
      <c r="AZ452" s="304"/>
      <c r="BA452" s="304"/>
      <c r="BB452" s="304"/>
      <c r="BC452" s="304"/>
      <c r="BK452" s="305"/>
      <c r="BL452" s="305"/>
      <c r="BM452" s="305"/>
      <c r="BN452" s="305"/>
      <c r="BO452" s="305"/>
      <c r="BP452" s="305"/>
      <c r="BQ452" s="305"/>
      <c r="BR452" s="305"/>
      <c r="BS452" s="305"/>
      <c r="BT452" s="305"/>
      <c r="BU452" s="305"/>
      <c r="BV452" s="305"/>
      <c r="BX452" s="319"/>
    </row>
    <row r="453" spans="1:76" s="303" customFormat="1" x14ac:dyDescent="0.25">
      <c r="A453" s="275"/>
      <c r="B453" s="275"/>
      <c r="C453" s="275"/>
      <c r="D453" s="275"/>
      <c r="E453" s="275"/>
      <c r="F453" s="275"/>
      <c r="V453" s="304"/>
      <c r="W453" s="304"/>
      <c r="AD453" s="304"/>
      <c r="AE453" s="304"/>
      <c r="AR453" s="304"/>
      <c r="AS453" s="304"/>
      <c r="AT453" s="304"/>
      <c r="AU453" s="304"/>
      <c r="AV453" s="304"/>
      <c r="AW453" s="304"/>
      <c r="AX453" s="304"/>
      <c r="AY453" s="304"/>
      <c r="AZ453" s="304"/>
      <c r="BA453" s="304"/>
      <c r="BB453" s="304"/>
      <c r="BC453" s="304"/>
      <c r="BK453" s="305"/>
      <c r="BL453" s="305"/>
      <c r="BM453" s="305"/>
      <c r="BN453" s="305"/>
      <c r="BO453" s="305"/>
      <c r="BP453" s="305"/>
      <c r="BQ453" s="305"/>
      <c r="BR453" s="305"/>
      <c r="BS453" s="305"/>
      <c r="BT453" s="305"/>
      <c r="BU453" s="305"/>
      <c r="BV453" s="305"/>
      <c r="BX453" s="319"/>
    </row>
    <row r="454" spans="1:76" s="303" customFormat="1" x14ac:dyDescent="0.25">
      <c r="A454" s="275"/>
      <c r="B454" s="275"/>
      <c r="C454" s="275"/>
      <c r="D454" s="275"/>
      <c r="E454" s="275"/>
      <c r="F454" s="275"/>
      <c r="V454" s="304"/>
      <c r="W454" s="304"/>
      <c r="AD454" s="304"/>
      <c r="AE454" s="304"/>
      <c r="AR454" s="304"/>
      <c r="AS454" s="304"/>
      <c r="AT454" s="304"/>
      <c r="AU454" s="304"/>
      <c r="AV454" s="304"/>
      <c r="AW454" s="304"/>
      <c r="AX454" s="304"/>
      <c r="AY454" s="304"/>
      <c r="AZ454" s="304"/>
      <c r="BA454" s="304"/>
      <c r="BB454" s="304"/>
      <c r="BC454" s="304"/>
      <c r="BK454" s="305"/>
      <c r="BL454" s="305"/>
      <c r="BM454" s="305"/>
      <c r="BN454" s="305"/>
      <c r="BO454" s="305"/>
      <c r="BP454" s="305"/>
      <c r="BQ454" s="305"/>
      <c r="BR454" s="305"/>
      <c r="BS454" s="305"/>
      <c r="BT454" s="305"/>
      <c r="BU454" s="305"/>
      <c r="BV454" s="305"/>
      <c r="BX454" s="319"/>
    </row>
    <row r="455" spans="1:76" s="303" customFormat="1" x14ac:dyDescent="0.25">
      <c r="A455" s="275"/>
      <c r="B455" s="275"/>
      <c r="C455" s="275"/>
      <c r="D455" s="275"/>
      <c r="E455" s="275"/>
      <c r="F455" s="275"/>
      <c r="V455" s="304"/>
      <c r="W455" s="304"/>
      <c r="AD455" s="304"/>
      <c r="AE455" s="304"/>
      <c r="AR455" s="304"/>
      <c r="AS455" s="304"/>
      <c r="AT455" s="304"/>
      <c r="AU455" s="304"/>
      <c r="AV455" s="304"/>
      <c r="AW455" s="304"/>
      <c r="AX455" s="304"/>
      <c r="AY455" s="304"/>
      <c r="AZ455" s="304"/>
      <c r="BA455" s="304"/>
      <c r="BB455" s="304"/>
      <c r="BC455" s="304"/>
      <c r="BK455" s="305"/>
      <c r="BL455" s="305"/>
      <c r="BM455" s="305"/>
      <c r="BN455" s="305"/>
      <c r="BO455" s="305"/>
      <c r="BP455" s="305"/>
      <c r="BQ455" s="305"/>
      <c r="BR455" s="305"/>
      <c r="BS455" s="305"/>
      <c r="BT455" s="305"/>
      <c r="BU455" s="305"/>
      <c r="BV455" s="305"/>
      <c r="BX455" s="319"/>
    </row>
    <row r="456" spans="1:76" s="303" customFormat="1" x14ac:dyDescent="0.25">
      <c r="A456" s="275"/>
      <c r="B456" s="275"/>
      <c r="C456" s="275"/>
      <c r="D456" s="275"/>
      <c r="E456" s="275"/>
      <c r="F456" s="275"/>
      <c r="V456" s="304"/>
      <c r="W456" s="304"/>
      <c r="AD456" s="304"/>
      <c r="AE456" s="304"/>
      <c r="AR456" s="304"/>
      <c r="AS456" s="304"/>
      <c r="AT456" s="304"/>
      <c r="AU456" s="304"/>
      <c r="AV456" s="304"/>
      <c r="AW456" s="304"/>
      <c r="AX456" s="304"/>
      <c r="AY456" s="304"/>
      <c r="AZ456" s="304"/>
      <c r="BA456" s="304"/>
      <c r="BB456" s="304"/>
      <c r="BC456" s="304"/>
      <c r="BK456" s="305"/>
      <c r="BL456" s="305"/>
      <c r="BM456" s="305"/>
      <c r="BN456" s="305"/>
      <c r="BO456" s="305"/>
      <c r="BP456" s="305"/>
      <c r="BQ456" s="305"/>
      <c r="BR456" s="305"/>
      <c r="BS456" s="305"/>
      <c r="BT456" s="305"/>
      <c r="BU456" s="305"/>
      <c r="BV456" s="305"/>
      <c r="BX456" s="319"/>
    </row>
    <row r="457" spans="1:76" s="303" customFormat="1" x14ac:dyDescent="0.25">
      <c r="A457" s="275"/>
      <c r="B457" s="275"/>
      <c r="C457" s="275"/>
      <c r="D457" s="275"/>
      <c r="E457" s="275"/>
      <c r="F457" s="275"/>
      <c r="V457" s="304"/>
      <c r="W457" s="304"/>
      <c r="AD457" s="304"/>
      <c r="AE457" s="304"/>
      <c r="AR457" s="304"/>
      <c r="AS457" s="304"/>
      <c r="AT457" s="304"/>
      <c r="AU457" s="304"/>
      <c r="AV457" s="304"/>
      <c r="AW457" s="304"/>
      <c r="AX457" s="304"/>
      <c r="AY457" s="304"/>
      <c r="AZ457" s="304"/>
      <c r="BA457" s="304"/>
      <c r="BB457" s="304"/>
      <c r="BC457" s="304"/>
      <c r="BK457" s="305"/>
      <c r="BL457" s="305"/>
      <c r="BM457" s="305"/>
      <c r="BN457" s="305"/>
      <c r="BO457" s="305"/>
      <c r="BP457" s="305"/>
      <c r="BQ457" s="305"/>
      <c r="BR457" s="305"/>
      <c r="BS457" s="305"/>
      <c r="BT457" s="305"/>
      <c r="BU457" s="305"/>
      <c r="BV457" s="305"/>
      <c r="BX457" s="319"/>
    </row>
    <row r="458" spans="1:76" s="303" customFormat="1" x14ac:dyDescent="0.25">
      <c r="A458" s="275"/>
      <c r="B458" s="275"/>
      <c r="C458" s="275"/>
      <c r="D458" s="275"/>
      <c r="E458" s="275"/>
      <c r="F458" s="275"/>
      <c r="V458" s="304"/>
      <c r="W458" s="304"/>
      <c r="AD458" s="304"/>
      <c r="AE458" s="304"/>
      <c r="AR458" s="304"/>
      <c r="AS458" s="304"/>
      <c r="AT458" s="304"/>
      <c r="AU458" s="304"/>
      <c r="AV458" s="304"/>
      <c r="AW458" s="304"/>
      <c r="AX458" s="304"/>
      <c r="AY458" s="304"/>
      <c r="AZ458" s="304"/>
      <c r="BA458" s="304"/>
      <c r="BB458" s="304"/>
      <c r="BC458" s="304"/>
      <c r="BK458" s="305"/>
      <c r="BL458" s="305"/>
      <c r="BM458" s="305"/>
      <c r="BN458" s="305"/>
      <c r="BO458" s="305"/>
      <c r="BP458" s="305"/>
      <c r="BQ458" s="305"/>
      <c r="BR458" s="305"/>
      <c r="BS458" s="305"/>
      <c r="BT458" s="305"/>
      <c r="BU458" s="305"/>
      <c r="BV458" s="305"/>
      <c r="BX458" s="319"/>
    </row>
    <row r="459" spans="1:76" s="303" customFormat="1" x14ac:dyDescent="0.25">
      <c r="A459" s="275"/>
      <c r="B459" s="275"/>
      <c r="C459" s="275"/>
      <c r="D459" s="275"/>
      <c r="E459" s="275"/>
      <c r="F459" s="275"/>
      <c r="V459" s="304"/>
      <c r="W459" s="304"/>
      <c r="AD459" s="304"/>
      <c r="AE459" s="304"/>
      <c r="AR459" s="304"/>
      <c r="AS459" s="304"/>
      <c r="AT459" s="304"/>
      <c r="AU459" s="304"/>
      <c r="AV459" s="304"/>
      <c r="AW459" s="304"/>
      <c r="AX459" s="304"/>
      <c r="AY459" s="304"/>
      <c r="AZ459" s="304"/>
      <c r="BA459" s="304"/>
      <c r="BB459" s="304"/>
      <c r="BC459" s="304"/>
      <c r="BK459" s="305"/>
      <c r="BL459" s="305"/>
      <c r="BM459" s="305"/>
      <c r="BN459" s="305"/>
      <c r="BO459" s="305"/>
      <c r="BP459" s="305"/>
      <c r="BQ459" s="305"/>
      <c r="BR459" s="305"/>
      <c r="BS459" s="305"/>
      <c r="BT459" s="305"/>
      <c r="BU459" s="305"/>
      <c r="BV459" s="305"/>
      <c r="BX459" s="319"/>
    </row>
    <row r="460" spans="1:76" s="303" customFormat="1" x14ac:dyDescent="0.25">
      <c r="A460" s="275"/>
      <c r="B460" s="275"/>
      <c r="C460" s="275"/>
      <c r="D460" s="275"/>
      <c r="E460" s="275"/>
      <c r="F460" s="275"/>
      <c r="V460" s="304"/>
      <c r="W460" s="304"/>
      <c r="AD460" s="304"/>
      <c r="AE460" s="304"/>
      <c r="AR460" s="304"/>
      <c r="AS460" s="304"/>
      <c r="AT460" s="304"/>
      <c r="AU460" s="304"/>
      <c r="AV460" s="304"/>
      <c r="AW460" s="304"/>
      <c r="AX460" s="304"/>
      <c r="AY460" s="304"/>
      <c r="AZ460" s="304"/>
      <c r="BA460" s="304"/>
      <c r="BB460" s="304"/>
      <c r="BC460" s="304"/>
      <c r="BK460" s="305"/>
      <c r="BL460" s="305"/>
      <c r="BM460" s="305"/>
      <c r="BN460" s="305"/>
      <c r="BO460" s="305"/>
      <c r="BP460" s="305"/>
      <c r="BQ460" s="305"/>
      <c r="BR460" s="305"/>
      <c r="BS460" s="305"/>
      <c r="BT460" s="305"/>
      <c r="BU460" s="305"/>
      <c r="BV460" s="305"/>
      <c r="BX460" s="319"/>
    </row>
    <row r="461" spans="1:76" s="303" customFormat="1" x14ac:dyDescent="0.25">
      <c r="A461" s="275"/>
      <c r="B461" s="275"/>
      <c r="C461" s="275"/>
      <c r="D461" s="275"/>
      <c r="E461" s="275"/>
      <c r="F461" s="275"/>
      <c r="V461" s="304"/>
      <c r="W461" s="304"/>
      <c r="AD461" s="304"/>
      <c r="AE461" s="304"/>
      <c r="AR461" s="304"/>
      <c r="AS461" s="304"/>
      <c r="AT461" s="304"/>
      <c r="AU461" s="304"/>
      <c r="AV461" s="304"/>
      <c r="AW461" s="304"/>
      <c r="AX461" s="304"/>
      <c r="AY461" s="304"/>
      <c r="AZ461" s="304"/>
      <c r="BA461" s="304"/>
      <c r="BB461" s="304"/>
      <c r="BC461" s="304"/>
      <c r="BK461" s="305"/>
      <c r="BL461" s="305"/>
      <c r="BM461" s="305"/>
      <c r="BN461" s="305"/>
      <c r="BO461" s="305"/>
      <c r="BP461" s="305"/>
      <c r="BQ461" s="305"/>
      <c r="BR461" s="305"/>
      <c r="BS461" s="305"/>
      <c r="BT461" s="305"/>
      <c r="BU461" s="305"/>
      <c r="BV461" s="305"/>
      <c r="BX461" s="319"/>
    </row>
    <row r="462" spans="1:76" s="303" customFormat="1" x14ac:dyDescent="0.25">
      <c r="A462" s="275"/>
      <c r="B462" s="275"/>
      <c r="C462" s="275"/>
      <c r="D462" s="275"/>
      <c r="E462" s="275"/>
      <c r="F462" s="275"/>
      <c r="V462" s="304"/>
      <c r="W462" s="304"/>
      <c r="AD462" s="304"/>
      <c r="AE462" s="304"/>
      <c r="AR462" s="304"/>
      <c r="AS462" s="304"/>
      <c r="AT462" s="304"/>
      <c r="AU462" s="304"/>
      <c r="AV462" s="304"/>
      <c r="AW462" s="304"/>
      <c r="AX462" s="304"/>
      <c r="AY462" s="304"/>
      <c r="AZ462" s="304"/>
      <c r="BA462" s="304"/>
      <c r="BB462" s="304"/>
      <c r="BC462" s="304"/>
      <c r="BK462" s="305"/>
      <c r="BL462" s="305"/>
      <c r="BM462" s="305"/>
      <c r="BN462" s="305"/>
      <c r="BO462" s="305"/>
      <c r="BP462" s="305"/>
      <c r="BQ462" s="305"/>
      <c r="BR462" s="305"/>
      <c r="BS462" s="305"/>
      <c r="BT462" s="305"/>
      <c r="BU462" s="305"/>
      <c r="BV462" s="305"/>
      <c r="BX462" s="319"/>
    </row>
    <row r="463" spans="1:76" s="303" customFormat="1" x14ac:dyDescent="0.25">
      <c r="A463" s="275"/>
      <c r="B463" s="275"/>
      <c r="C463" s="275"/>
      <c r="D463" s="275"/>
      <c r="E463" s="275"/>
      <c r="F463" s="275"/>
      <c r="V463" s="304"/>
      <c r="W463" s="304"/>
      <c r="AD463" s="304"/>
      <c r="AE463" s="304"/>
      <c r="AR463" s="304"/>
      <c r="AS463" s="304"/>
      <c r="AT463" s="304"/>
      <c r="AU463" s="304"/>
      <c r="AV463" s="304"/>
      <c r="AW463" s="304"/>
      <c r="AX463" s="304"/>
      <c r="AY463" s="304"/>
      <c r="AZ463" s="304"/>
      <c r="BA463" s="304"/>
      <c r="BB463" s="304"/>
      <c r="BC463" s="304"/>
      <c r="BK463" s="305"/>
      <c r="BL463" s="305"/>
      <c r="BM463" s="305"/>
      <c r="BN463" s="305"/>
      <c r="BO463" s="305"/>
      <c r="BP463" s="305"/>
      <c r="BQ463" s="305"/>
      <c r="BR463" s="305"/>
      <c r="BS463" s="305"/>
      <c r="BT463" s="305"/>
      <c r="BU463" s="305"/>
      <c r="BV463" s="305"/>
      <c r="BX463" s="319"/>
    </row>
    <row r="464" spans="1:76" s="303" customFormat="1" x14ac:dyDescent="0.25">
      <c r="A464" s="275"/>
      <c r="B464" s="275"/>
      <c r="C464" s="275"/>
      <c r="D464" s="275"/>
      <c r="E464" s="275"/>
      <c r="F464" s="275"/>
      <c r="V464" s="304"/>
      <c r="W464" s="304"/>
      <c r="AD464" s="304"/>
      <c r="AE464" s="304"/>
      <c r="AR464" s="304"/>
      <c r="AS464" s="304"/>
      <c r="AT464" s="304"/>
      <c r="AU464" s="304"/>
      <c r="AV464" s="304"/>
      <c r="AW464" s="304"/>
      <c r="AX464" s="304"/>
      <c r="AY464" s="304"/>
      <c r="AZ464" s="304"/>
      <c r="BA464" s="304"/>
      <c r="BB464" s="304"/>
      <c r="BC464" s="304"/>
      <c r="BK464" s="305"/>
      <c r="BL464" s="305"/>
      <c r="BM464" s="305"/>
      <c r="BN464" s="305"/>
      <c r="BO464" s="305"/>
      <c r="BP464" s="305"/>
      <c r="BQ464" s="305"/>
      <c r="BR464" s="305"/>
      <c r="BS464" s="305"/>
      <c r="BT464" s="305"/>
      <c r="BU464" s="305"/>
      <c r="BV464" s="305"/>
      <c r="BX464" s="319"/>
    </row>
    <row r="465" spans="1:76" s="303" customFormat="1" x14ac:dyDescent="0.25">
      <c r="A465" s="275"/>
      <c r="B465" s="275"/>
      <c r="C465" s="275"/>
      <c r="D465" s="275"/>
      <c r="E465" s="275"/>
      <c r="F465" s="275"/>
      <c r="V465" s="304"/>
      <c r="W465" s="304"/>
      <c r="AD465" s="304"/>
      <c r="AE465" s="304"/>
      <c r="AR465" s="304"/>
      <c r="AS465" s="304"/>
      <c r="AT465" s="304"/>
      <c r="AU465" s="304"/>
      <c r="AV465" s="304"/>
      <c r="AW465" s="304"/>
      <c r="AX465" s="304"/>
      <c r="AY465" s="304"/>
      <c r="AZ465" s="304"/>
      <c r="BA465" s="304"/>
      <c r="BB465" s="304"/>
      <c r="BC465" s="304"/>
      <c r="BK465" s="305"/>
      <c r="BL465" s="305"/>
      <c r="BM465" s="305"/>
      <c r="BN465" s="305"/>
      <c r="BO465" s="305"/>
      <c r="BP465" s="305"/>
      <c r="BQ465" s="305"/>
      <c r="BR465" s="305"/>
      <c r="BS465" s="305"/>
      <c r="BT465" s="305"/>
      <c r="BU465" s="305"/>
      <c r="BV465" s="305"/>
      <c r="BX465" s="319"/>
    </row>
    <row r="466" spans="1:76" s="303" customFormat="1" x14ac:dyDescent="0.25">
      <c r="A466" s="275"/>
      <c r="B466" s="275"/>
      <c r="C466" s="275"/>
      <c r="D466" s="275"/>
      <c r="E466" s="275"/>
      <c r="F466" s="275"/>
      <c r="V466" s="304"/>
      <c r="W466" s="304"/>
      <c r="AD466" s="304"/>
      <c r="AE466" s="304"/>
      <c r="AR466" s="304"/>
      <c r="AS466" s="304"/>
      <c r="AT466" s="304"/>
      <c r="AU466" s="304"/>
      <c r="AV466" s="304"/>
      <c r="AW466" s="304"/>
      <c r="AX466" s="304"/>
      <c r="AY466" s="304"/>
      <c r="AZ466" s="304"/>
      <c r="BA466" s="304"/>
      <c r="BB466" s="304"/>
      <c r="BC466" s="304"/>
      <c r="BK466" s="305"/>
      <c r="BL466" s="305"/>
      <c r="BM466" s="305"/>
      <c r="BN466" s="305"/>
      <c r="BO466" s="305"/>
      <c r="BP466" s="305"/>
      <c r="BQ466" s="305"/>
      <c r="BR466" s="305"/>
      <c r="BS466" s="305"/>
      <c r="BT466" s="305"/>
      <c r="BU466" s="305"/>
      <c r="BV466" s="305"/>
      <c r="BX466" s="319"/>
    </row>
    <row r="467" spans="1:76" s="303" customFormat="1" x14ac:dyDescent="0.25">
      <c r="A467" s="275"/>
      <c r="B467" s="275"/>
      <c r="C467" s="275"/>
      <c r="D467" s="275"/>
      <c r="E467" s="275"/>
      <c r="F467" s="275"/>
      <c r="V467" s="304"/>
      <c r="W467" s="304"/>
      <c r="AD467" s="304"/>
      <c r="AE467" s="304"/>
      <c r="AR467" s="304"/>
      <c r="AS467" s="304"/>
      <c r="AT467" s="304"/>
      <c r="AU467" s="304"/>
      <c r="AV467" s="304"/>
      <c r="AW467" s="304"/>
      <c r="AX467" s="304"/>
      <c r="AY467" s="304"/>
      <c r="AZ467" s="304"/>
      <c r="BA467" s="304"/>
      <c r="BB467" s="304"/>
      <c r="BC467" s="304"/>
      <c r="BK467" s="305"/>
      <c r="BL467" s="305"/>
      <c r="BM467" s="305"/>
      <c r="BN467" s="305"/>
      <c r="BO467" s="305"/>
      <c r="BP467" s="305"/>
      <c r="BQ467" s="305"/>
      <c r="BR467" s="305"/>
      <c r="BS467" s="305"/>
      <c r="BT467" s="305"/>
      <c r="BU467" s="305"/>
      <c r="BV467" s="305"/>
      <c r="BX467" s="319"/>
    </row>
    <row r="468" spans="1:76" s="303" customFormat="1" x14ac:dyDescent="0.25">
      <c r="A468" s="275"/>
      <c r="B468" s="275"/>
      <c r="C468" s="275"/>
      <c r="D468" s="275"/>
      <c r="E468" s="275"/>
      <c r="F468" s="275"/>
      <c r="V468" s="304"/>
      <c r="W468" s="304"/>
      <c r="AD468" s="304"/>
      <c r="AE468" s="304"/>
      <c r="AR468" s="304"/>
      <c r="AS468" s="304"/>
      <c r="AT468" s="304"/>
      <c r="AU468" s="304"/>
      <c r="AV468" s="304"/>
      <c r="AW468" s="304"/>
      <c r="AX468" s="304"/>
      <c r="AY468" s="304"/>
      <c r="AZ468" s="304"/>
      <c r="BA468" s="304"/>
      <c r="BB468" s="304"/>
      <c r="BC468" s="304"/>
      <c r="BK468" s="305"/>
      <c r="BL468" s="305"/>
      <c r="BM468" s="305"/>
      <c r="BN468" s="305"/>
      <c r="BO468" s="305"/>
      <c r="BP468" s="305"/>
      <c r="BQ468" s="305"/>
      <c r="BR468" s="305"/>
      <c r="BS468" s="305"/>
      <c r="BT468" s="305"/>
      <c r="BU468" s="305"/>
      <c r="BV468" s="305"/>
      <c r="BX468" s="319"/>
    </row>
    <row r="469" spans="1:76" s="303" customFormat="1" x14ac:dyDescent="0.25">
      <c r="A469" s="275"/>
      <c r="B469" s="275"/>
      <c r="C469" s="275"/>
      <c r="D469" s="275"/>
      <c r="E469" s="275"/>
      <c r="F469" s="275"/>
      <c r="V469" s="304"/>
      <c r="W469" s="304"/>
      <c r="AD469" s="304"/>
      <c r="AE469" s="304"/>
      <c r="AR469" s="304"/>
      <c r="AS469" s="304"/>
      <c r="AT469" s="304"/>
      <c r="AU469" s="304"/>
      <c r="AV469" s="304"/>
      <c r="AW469" s="304"/>
      <c r="AX469" s="304"/>
      <c r="AY469" s="304"/>
      <c r="AZ469" s="304"/>
      <c r="BA469" s="304"/>
      <c r="BB469" s="304"/>
      <c r="BC469" s="304"/>
      <c r="BK469" s="305"/>
      <c r="BL469" s="305"/>
      <c r="BM469" s="305"/>
      <c r="BN469" s="305"/>
      <c r="BO469" s="305"/>
      <c r="BP469" s="305"/>
      <c r="BQ469" s="305"/>
      <c r="BR469" s="305"/>
      <c r="BS469" s="305"/>
      <c r="BT469" s="305"/>
      <c r="BU469" s="305"/>
      <c r="BV469" s="305"/>
      <c r="BX469" s="319"/>
    </row>
    <row r="470" spans="1:76" s="303" customFormat="1" x14ac:dyDescent="0.25">
      <c r="A470" s="275"/>
      <c r="B470" s="275"/>
      <c r="C470" s="275"/>
      <c r="D470" s="275"/>
      <c r="E470" s="275"/>
      <c r="F470" s="275"/>
      <c r="V470" s="304"/>
      <c r="W470" s="304"/>
      <c r="AD470" s="304"/>
      <c r="AE470" s="304"/>
      <c r="AR470" s="304"/>
      <c r="AS470" s="304"/>
      <c r="AT470" s="304"/>
      <c r="AU470" s="304"/>
      <c r="AV470" s="304"/>
      <c r="AW470" s="304"/>
      <c r="AX470" s="304"/>
      <c r="AY470" s="304"/>
      <c r="AZ470" s="304"/>
      <c r="BA470" s="304"/>
      <c r="BB470" s="304"/>
      <c r="BC470" s="304"/>
      <c r="BK470" s="305"/>
      <c r="BL470" s="305"/>
      <c r="BM470" s="305"/>
      <c r="BN470" s="305"/>
      <c r="BO470" s="305"/>
      <c r="BP470" s="305"/>
      <c r="BQ470" s="305"/>
      <c r="BR470" s="305"/>
      <c r="BS470" s="305"/>
      <c r="BT470" s="305"/>
      <c r="BU470" s="305"/>
      <c r="BV470" s="305"/>
      <c r="BX470" s="319"/>
    </row>
    <row r="471" spans="1:76" s="303" customFormat="1" x14ac:dyDescent="0.25">
      <c r="A471" s="275"/>
      <c r="B471" s="275"/>
      <c r="C471" s="275"/>
      <c r="D471" s="275"/>
      <c r="E471" s="275"/>
      <c r="F471" s="275"/>
      <c r="V471" s="304"/>
      <c r="W471" s="304"/>
      <c r="AD471" s="304"/>
      <c r="AE471" s="304"/>
      <c r="AR471" s="304"/>
      <c r="AS471" s="304"/>
      <c r="AT471" s="304"/>
      <c r="AU471" s="304"/>
      <c r="AV471" s="304"/>
      <c r="AW471" s="304"/>
      <c r="AX471" s="304"/>
      <c r="AY471" s="304"/>
      <c r="AZ471" s="304"/>
      <c r="BA471" s="304"/>
      <c r="BB471" s="304"/>
      <c r="BC471" s="304"/>
      <c r="BK471" s="305"/>
      <c r="BL471" s="305"/>
      <c r="BM471" s="305"/>
      <c r="BN471" s="305"/>
      <c r="BO471" s="305"/>
      <c r="BP471" s="305"/>
      <c r="BQ471" s="305"/>
      <c r="BR471" s="305"/>
      <c r="BS471" s="305"/>
      <c r="BT471" s="305"/>
      <c r="BU471" s="305"/>
      <c r="BV471" s="305"/>
      <c r="BX471" s="319"/>
    </row>
    <row r="472" spans="1:76" s="303" customFormat="1" x14ac:dyDescent="0.25">
      <c r="A472" s="275"/>
      <c r="B472" s="275"/>
      <c r="C472" s="275"/>
      <c r="D472" s="275"/>
      <c r="E472" s="275"/>
      <c r="F472" s="275"/>
      <c r="V472" s="304"/>
      <c r="W472" s="304"/>
      <c r="AD472" s="304"/>
      <c r="AE472" s="304"/>
      <c r="AR472" s="304"/>
      <c r="AS472" s="304"/>
      <c r="AT472" s="304"/>
      <c r="AU472" s="304"/>
      <c r="AV472" s="304"/>
      <c r="AW472" s="304"/>
      <c r="AX472" s="304"/>
      <c r="AY472" s="304"/>
      <c r="AZ472" s="304"/>
      <c r="BA472" s="304"/>
      <c r="BB472" s="304"/>
      <c r="BC472" s="304"/>
      <c r="BK472" s="305"/>
      <c r="BL472" s="305"/>
      <c r="BM472" s="305"/>
      <c r="BN472" s="305"/>
      <c r="BO472" s="305"/>
      <c r="BP472" s="305"/>
      <c r="BQ472" s="305"/>
      <c r="BR472" s="305"/>
      <c r="BS472" s="305"/>
      <c r="BT472" s="305"/>
      <c r="BU472" s="305"/>
      <c r="BV472" s="305"/>
      <c r="BX472" s="319"/>
    </row>
    <row r="473" spans="1:76" s="303" customFormat="1" x14ac:dyDescent="0.25">
      <c r="A473" s="275"/>
      <c r="B473" s="275"/>
      <c r="C473" s="275"/>
      <c r="D473" s="275"/>
      <c r="E473" s="275"/>
      <c r="F473" s="275"/>
      <c r="V473" s="304"/>
      <c r="W473" s="304"/>
      <c r="AD473" s="304"/>
      <c r="AE473" s="304"/>
      <c r="AR473" s="304"/>
      <c r="AS473" s="304"/>
      <c r="AT473" s="304"/>
      <c r="AU473" s="304"/>
      <c r="AV473" s="304"/>
      <c r="AW473" s="304"/>
      <c r="AX473" s="304"/>
      <c r="AY473" s="304"/>
      <c r="AZ473" s="304"/>
      <c r="BA473" s="304"/>
      <c r="BB473" s="304"/>
      <c r="BC473" s="304"/>
      <c r="BK473" s="305"/>
      <c r="BL473" s="305"/>
      <c r="BM473" s="305"/>
      <c r="BN473" s="305"/>
      <c r="BO473" s="305"/>
      <c r="BP473" s="305"/>
      <c r="BQ473" s="305"/>
      <c r="BR473" s="305"/>
      <c r="BS473" s="305"/>
      <c r="BT473" s="305"/>
      <c r="BU473" s="305"/>
      <c r="BV473" s="305"/>
      <c r="BX473" s="319"/>
    </row>
    <row r="474" spans="1:76" s="303" customFormat="1" x14ac:dyDescent="0.25">
      <c r="A474" s="275"/>
      <c r="B474" s="275"/>
      <c r="C474" s="275"/>
      <c r="D474" s="275"/>
      <c r="E474" s="275"/>
      <c r="F474" s="275"/>
      <c r="V474" s="304"/>
      <c r="W474" s="304"/>
      <c r="AD474" s="304"/>
      <c r="AE474" s="304"/>
      <c r="AR474" s="304"/>
      <c r="AS474" s="304"/>
      <c r="AT474" s="304"/>
      <c r="AU474" s="304"/>
      <c r="AV474" s="304"/>
      <c r="AW474" s="304"/>
      <c r="AX474" s="304"/>
      <c r="AY474" s="304"/>
      <c r="AZ474" s="304"/>
      <c r="BA474" s="304"/>
      <c r="BB474" s="304"/>
      <c r="BC474" s="304"/>
      <c r="BK474" s="305"/>
      <c r="BL474" s="305"/>
      <c r="BM474" s="305"/>
      <c r="BN474" s="305"/>
      <c r="BO474" s="305"/>
      <c r="BP474" s="305"/>
      <c r="BQ474" s="305"/>
      <c r="BR474" s="305"/>
      <c r="BS474" s="305"/>
      <c r="BT474" s="305"/>
      <c r="BU474" s="305"/>
      <c r="BV474" s="305"/>
      <c r="BX474" s="319"/>
    </row>
    <row r="475" spans="1:76" s="303" customFormat="1" x14ac:dyDescent="0.25">
      <c r="A475" s="275"/>
      <c r="B475" s="275"/>
      <c r="C475" s="275"/>
      <c r="D475" s="275"/>
      <c r="E475" s="275"/>
      <c r="F475" s="275"/>
      <c r="V475" s="304"/>
      <c r="W475" s="304"/>
      <c r="AD475" s="304"/>
      <c r="AE475" s="304"/>
      <c r="AR475" s="304"/>
      <c r="AS475" s="304"/>
      <c r="AT475" s="304"/>
      <c r="AU475" s="304"/>
      <c r="AV475" s="304"/>
      <c r="AW475" s="304"/>
      <c r="AX475" s="304"/>
      <c r="AY475" s="304"/>
      <c r="AZ475" s="304"/>
      <c r="BA475" s="304"/>
      <c r="BB475" s="304"/>
      <c r="BC475" s="304"/>
      <c r="BK475" s="305"/>
      <c r="BL475" s="305"/>
      <c r="BM475" s="305"/>
      <c r="BN475" s="305"/>
      <c r="BO475" s="305"/>
      <c r="BP475" s="305"/>
      <c r="BQ475" s="305"/>
      <c r="BR475" s="305"/>
      <c r="BS475" s="305"/>
      <c r="BT475" s="305"/>
      <c r="BU475" s="305"/>
      <c r="BV475" s="305"/>
      <c r="BX475" s="319"/>
    </row>
    <row r="476" spans="1:76" s="303" customFormat="1" x14ac:dyDescent="0.25">
      <c r="A476" s="275"/>
      <c r="B476" s="275"/>
      <c r="C476" s="275"/>
      <c r="D476" s="275"/>
      <c r="E476" s="275"/>
      <c r="F476" s="275"/>
      <c r="V476" s="304"/>
      <c r="W476" s="304"/>
      <c r="AD476" s="304"/>
      <c r="AE476" s="304"/>
      <c r="AR476" s="304"/>
      <c r="AS476" s="304"/>
      <c r="AT476" s="304"/>
      <c r="AU476" s="304"/>
      <c r="AV476" s="304"/>
      <c r="AW476" s="304"/>
      <c r="AX476" s="304"/>
      <c r="AY476" s="304"/>
      <c r="AZ476" s="304"/>
      <c r="BA476" s="304"/>
      <c r="BB476" s="304"/>
      <c r="BC476" s="304"/>
      <c r="BK476" s="305"/>
      <c r="BL476" s="305"/>
      <c r="BM476" s="305"/>
      <c r="BN476" s="305"/>
      <c r="BO476" s="305"/>
      <c r="BP476" s="305"/>
      <c r="BQ476" s="305"/>
      <c r="BR476" s="305"/>
      <c r="BS476" s="305"/>
      <c r="BT476" s="305"/>
      <c r="BU476" s="305"/>
      <c r="BV476" s="305"/>
      <c r="BX476" s="319"/>
    </row>
    <row r="477" spans="1:76" s="303" customFormat="1" x14ac:dyDescent="0.25">
      <c r="A477" s="275"/>
      <c r="B477" s="275"/>
      <c r="C477" s="275"/>
      <c r="D477" s="275"/>
      <c r="E477" s="275"/>
      <c r="F477" s="275"/>
      <c r="V477" s="304"/>
      <c r="W477" s="304"/>
      <c r="AD477" s="304"/>
      <c r="AE477" s="304"/>
      <c r="AR477" s="304"/>
      <c r="AS477" s="304"/>
      <c r="AT477" s="304"/>
      <c r="AU477" s="304"/>
      <c r="AV477" s="304"/>
      <c r="AW477" s="304"/>
      <c r="AX477" s="304"/>
      <c r="AY477" s="304"/>
      <c r="AZ477" s="304"/>
      <c r="BA477" s="304"/>
      <c r="BB477" s="304"/>
      <c r="BC477" s="304"/>
      <c r="BK477" s="305"/>
      <c r="BL477" s="305"/>
      <c r="BM477" s="305"/>
      <c r="BN477" s="305"/>
      <c r="BO477" s="305"/>
      <c r="BP477" s="305"/>
      <c r="BQ477" s="305"/>
      <c r="BR477" s="305"/>
      <c r="BS477" s="305"/>
      <c r="BT477" s="305"/>
      <c r="BU477" s="305"/>
      <c r="BV477" s="305"/>
      <c r="BX477" s="319"/>
    </row>
    <row r="478" spans="1:76" s="303" customFormat="1" x14ac:dyDescent="0.25">
      <c r="A478" s="275"/>
      <c r="B478" s="275"/>
      <c r="C478" s="275"/>
      <c r="D478" s="275"/>
      <c r="E478" s="275"/>
      <c r="F478" s="275"/>
      <c r="V478" s="304"/>
      <c r="W478" s="304"/>
      <c r="AD478" s="304"/>
      <c r="AE478" s="304"/>
      <c r="AR478" s="304"/>
      <c r="AS478" s="304"/>
      <c r="AT478" s="304"/>
      <c r="AU478" s="304"/>
      <c r="AV478" s="304"/>
      <c r="AW478" s="304"/>
      <c r="AX478" s="304"/>
      <c r="AY478" s="304"/>
      <c r="AZ478" s="304"/>
      <c r="BA478" s="304"/>
      <c r="BB478" s="304"/>
      <c r="BC478" s="304"/>
      <c r="BK478" s="305"/>
      <c r="BL478" s="305"/>
      <c r="BM478" s="305"/>
      <c r="BN478" s="305"/>
      <c r="BO478" s="305"/>
      <c r="BP478" s="305"/>
      <c r="BQ478" s="305"/>
      <c r="BR478" s="305"/>
      <c r="BS478" s="305"/>
      <c r="BT478" s="305"/>
      <c r="BU478" s="305"/>
      <c r="BV478" s="305"/>
      <c r="BX478" s="319"/>
    </row>
    <row r="479" spans="1:76" s="303" customFormat="1" x14ac:dyDescent="0.25">
      <c r="A479" s="275"/>
      <c r="B479" s="275"/>
      <c r="C479" s="275"/>
      <c r="D479" s="275"/>
      <c r="E479" s="275"/>
      <c r="F479" s="275"/>
      <c r="V479" s="304"/>
      <c r="W479" s="304"/>
      <c r="AD479" s="304"/>
      <c r="AE479" s="304"/>
      <c r="AR479" s="304"/>
      <c r="AS479" s="304"/>
      <c r="AT479" s="304"/>
      <c r="AU479" s="304"/>
      <c r="AV479" s="304"/>
      <c r="AW479" s="304"/>
      <c r="AX479" s="304"/>
      <c r="AY479" s="304"/>
      <c r="AZ479" s="304"/>
      <c r="BA479" s="304"/>
      <c r="BB479" s="304"/>
      <c r="BC479" s="304"/>
      <c r="BK479" s="305"/>
      <c r="BL479" s="305"/>
      <c r="BM479" s="305"/>
      <c r="BN479" s="305"/>
      <c r="BO479" s="305"/>
      <c r="BP479" s="305"/>
      <c r="BQ479" s="305"/>
      <c r="BR479" s="305"/>
      <c r="BS479" s="305"/>
      <c r="BT479" s="305"/>
      <c r="BU479" s="305"/>
      <c r="BV479" s="305"/>
      <c r="BX479" s="319"/>
    </row>
    <row r="480" spans="1:76" s="303" customFormat="1" x14ac:dyDescent="0.25">
      <c r="A480" s="275"/>
      <c r="B480" s="275"/>
      <c r="C480" s="275"/>
      <c r="D480" s="275"/>
      <c r="E480" s="275"/>
      <c r="F480" s="275"/>
      <c r="V480" s="304"/>
      <c r="W480" s="304"/>
      <c r="AD480" s="304"/>
      <c r="AE480" s="304"/>
      <c r="AR480" s="304"/>
      <c r="AS480" s="304"/>
      <c r="AT480" s="304"/>
      <c r="AU480" s="304"/>
      <c r="AV480" s="304"/>
      <c r="AW480" s="304"/>
      <c r="AX480" s="304"/>
      <c r="AY480" s="304"/>
      <c r="AZ480" s="304"/>
      <c r="BA480" s="304"/>
      <c r="BB480" s="304"/>
      <c r="BC480" s="304"/>
      <c r="BK480" s="305"/>
      <c r="BL480" s="305"/>
      <c r="BM480" s="305"/>
      <c r="BN480" s="305"/>
      <c r="BO480" s="305"/>
      <c r="BP480" s="305"/>
      <c r="BQ480" s="305"/>
      <c r="BR480" s="305"/>
      <c r="BS480" s="305"/>
      <c r="BT480" s="305"/>
      <c r="BU480" s="305"/>
      <c r="BV480" s="305"/>
      <c r="BX480" s="319"/>
    </row>
    <row r="481" spans="1:76" s="303" customFormat="1" x14ac:dyDescent="0.25">
      <c r="A481" s="275"/>
      <c r="B481" s="275"/>
      <c r="C481" s="275"/>
      <c r="D481" s="275"/>
      <c r="E481" s="275"/>
      <c r="F481" s="275"/>
      <c r="V481" s="304"/>
      <c r="W481" s="304"/>
      <c r="AD481" s="304"/>
      <c r="AE481" s="304"/>
      <c r="AR481" s="304"/>
      <c r="AS481" s="304"/>
      <c r="AT481" s="304"/>
      <c r="AU481" s="304"/>
      <c r="AV481" s="304"/>
      <c r="AW481" s="304"/>
      <c r="AX481" s="304"/>
      <c r="AY481" s="304"/>
      <c r="AZ481" s="304"/>
      <c r="BA481" s="304"/>
      <c r="BB481" s="304"/>
      <c r="BC481" s="304"/>
      <c r="BK481" s="305"/>
      <c r="BL481" s="305"/>
      <c r="BM481" s="305"/>
      <c r="BN481" s="305"/>
      <c r="BO481" s="305"/>
      <c r="BP481" s="305"/>
      <c r="BQ481" s="305"/>
      <c r="BR481" s="305"/>
      <c r="BS481" s="305"/>
      <c r="BT481" s="305"/>
      <c r="BU481" s="305"/>
      <c r="BV481" s="305"/>
      <c r="BX481" s="319"/>
    </row>
    <row r="482" spans="1:76" s="303" customFormat="1" x14ac:dyDescent="0.25">
      <c r="A482" s="275"/>
      <c r="B482" s="275"/>
      <c r="C482" s="275"/>
      <c r="D482" s="275"/>
      <c r="E482" s="275"/>
      <c r="F482" s="275"/>
      <c r="V482" s="304"/>
      <c r="W482" s="304"/>
      <c r="AD482" s="304"/>
      <c r="AE482" s="304"/>
      <c r="AR482" s="304"/>
      <c r="AS482" s="304"/>
      <c r="AT482" s="304"/>
      <c r="AU482" s="304"/>
      <c r="AV482" s="304"/>
      <c r="AW482" s="304"/>
      <c r="AX482" s="304"/>
      <c r="AY482" s="304"/>
      <c r="AZ482" s="304"/>
      <c r="BA482" s="304"/>
      <c r="BB482" s="304"/>
      <c r="BC482" s="304"/>
      <c r="BK482" s="305"/>
      <c r="BL482" s="305"/>
      <c r="BM482" s="305"/>
      <c r="BN482" s="305"/>
      <c r="BO482" s="305"/>
      <c r="BP482" s="305"/>
      <c r="BQ482" s="305"/>
      <c r="BR482" s="305"/>
      <c r="BS482" s="305"/>
      <c r="BT482" s="305"/>
      <c r="BU482" s="305"/>
      <c r="BV482" s="305"/>
      <c r="BX482" s="319"/>
    </row>
    <row r="483" spans="1:76" s="303" customFormat="1" x14ac:dyDescent="0.25">
      <c r="A483" s="275"/>
      <c r="B483" s="275"/>
      <c r="C483" s="275"/>
      <c r="D483" s="275"/>
      <c r="E483" s="275"/>
      <c r="F483" s="275"/>
      <c r="V483" s="304"/>
      <c r="W483" s="304"/>
      <c r="AD483" s="304"/>
      <c r="AE483" s="304"/>
      <c r="AR483" s="304"/>
      <c r="AS483" s="304"/>
      <c r="AT483" s="304"/>
      <c r="AU483" s="304"/>
      <c r="AV483" s="304"/>
      <c r="AW483" s="304"/>
      <c r="AX483" s="304"/>
      <c r="AY483" s="304"/>
      <c r="AZ483" s="304"/>
      <c r="BA483" s="304"/>
      <c r="BB483" s="304"/>
      <c r="BC483" s="304"/>
      <c r="BK483" s="305"/>
      <c r="BL483" s="305"/>
      <c r="BM483" s="305"/>
      <c r="BN483" s="305"/>
      <c r="BO483" s="305"/>
      <c r="BP483" s="305"/>
      <c r="BQ483" s="305"/>
      <c r="BR483" s="305"/>
      <c r="BS483" s="305"/>
      <c r="BT483" s="305"/>
      <c r="BU483" s="305"/>
      <c r="BV483" s="305"/>
      <c r="BX483" s="319"/>
    </row>
    <row r="484" spans="1:76" s="303" customFormat="1" x14ac:dyDescent="0.25">
      <c r="A484" s="275"/>
      <c r="B484" s="275"/>
      <c r="C484" s="275"/>
      <c r="D484" s="275"/>
      <c r="E484" s="275"/>
      <c r="F484" s="275"/>
      <c r="V484" s="304"/>
      <c r="W484" s="304"/>
      <c r="AD484" s="304"/>
      <c r="AE484" s="304"/>
      <c r="AR484" s="304"/>
      <c r="AS484" s="304"/>
      <c r="AT484" s="304"/>
      <c r="AU484" s="304"/>
      <c r="AV484" s="304"/>
      <c r="AW484" s="304"/>
      <c r="AX484" s="304"/>
      <c r="AY484" s="304"/>
      <c r="AZ484" s="304"/>
      <c r="BA484" s="304"/>
      <c r="BB484" s="304"/>
      <c r="BC484" s="304"/>
      <c r="BK484" s="305"/>
      <c r="BL484" s="305"/>
      <c r="BM484" s="305"/>
      <c r="BN484" s="305"/>
      <c r="BO484" s="305"/>
      <c r="BP484" s="305"/>
      <c r="BQ484" s="305"/>
      <c r="BR484" s="305"/>
      <c r="BS484" s="305"/>
      <c r="BT484" s="305"/>
      <c r="BU484" s="305"/>
      <c r="BV484" s="305"/>
      <c r="BX484" s="319"/>
    </row>
    <row r="485" spans="1:76" s="303" customFormat="1" x14ac:dyDescent="0.25">
      <c r="A485" s="275"/>
      <c r="B485" s="275"/>
      <c r="C485" s="275"/>
      <c r="D485" s="275"/>
      <c r="E485" s="275"/>
      <c r="F485" s="275"/>
      <c r="V485" s="304"/>
      <c r="W485" s="304"/>
      <c r="AD485" s="304"/>
      <c r="AE485" s="304"/>
      <c r="AR485" s="304"/>
      <c r="AS485" s="304"/>
      <c r="AT485" s="304"/>
      <c r="AU485" s="304"/>
      <c r="AV485" s="304"/>
      <c r="AW485" s="304"/>
      <c r="AX485" s="304"/>
      <c r="AY485" s="304"/>
      <c r="AZ485" s="304"/>
      <c r="BA485" s="304"/>
      <c r="BB485" s="304"/>
      <c r="BC485" s="304"/>
      <c r="BK485" s="305"/>
      <c r="BL485" s="305"/>
      <c r="BM485" s="305"/>
      <c r="BN485" s="305"/>
      <c r="BO485" s="305"/>
      <c r="BP485" s="305"/>
      <c r="BQ485" s="305"/>
      <c r="BR485" s="305"/>
      <c r="BS485" s="305"/>
      <c r="BT485" s="305"/>
      <c r="BU485" s="305"/>
      <c r="BV485" s="305"/>
      <c r="BX485" s="319"/>
    </row>
    <row r="486" spans="1:76" s="303" customFormat="1" x14ac:dyDescent="0.25">
      <c r="A486" s="275"/>
      <c r="B486" s="275"/>
      <c r="C486" s="275"/>
      <c r="D486" s="275"/>
      <c r="E486" s="275"/>
      <c r="F486" s="275"/>
      <c r="V486" s="304"/>
      <c r="W486" s="304"/>
      <c r="AD486" s="304"/>
      <c r="AE486" s="304"/>
      <c r="AR486" s="304"/>
      <c r="AS486" s="304"/>
      <c r="AT486" s="304"/>
      <c r="AU486" s="304"/>
      <c r="AV486" s="304"/>
      <c r="AW486" s="304"/>
      <c r="AX486" s="304"/>
      <c r="AY486" s="304"/>
      <c r="AZ486" s="304"/>
      <c r="BA486" s="304"/>
      <c r="BB486" s="304"/>
      <c r="BC486" s="304"/>
      <c r="BK486" s="305"/>
      <c r="BL486" s="305"/>
      <c r="BM486" s="305"/>
      <c r="BN486" s="305"/>
      <c r="BO486" s="305"/>
      <c r="BP486" s="305"/>
      <c r="BQ486" s="305"/>
      <c r="BR486" s="305"/>
      <c r="BS486" s="305"/>
      <c r="BT486" s="305"/>
      <c r="BU486" s="305"/>
      <c r="BV486" s="305"/>
      <c r="BX486" s="319"/>
    </row>
    <row r="487" spans="1:76" s="303" customFormat="1" x14ac:dyDescent="0.25">
      <c r="A487" s="275"/>
      <c r="B487" s="275"/>
      <c r="C487" s="275"/>
      <c r="D487" s="275"/>
      <c r="E487" s="275"/>
      <c r="F487" s="275"/>
      <c r="V487" s="304"/>
      <c r="W487" s="304"/>
      <c r="AD487" s="304"/>
      <c r="AE487" s="304"/>
      <c r="AR487" s="304"/>
      <c r="AS487" s="304"/>
      <c r="AT487" s="304"/>
      <c r="AU487" s="304"/>
      <c r="AV487" s="304"/>
      <c r="AW487" s="304"/>
      <c r="AX487" s="304"/>
      <c r="AY487" s="304"/>
      <c r="AZ487" s="304"/>
      <c r="BA487" s="304"/>
      <c r="BB487" s="304"/>
      <c r="BC487" s="304"/>
      <c r="BK487" s="305"/>
      <c r="BL487" s="305"/>
      <c r="BM487" s="305"/>
      <c r="BN487" s="305"/>
      <c r="BO487" s="305"/>
      <c r="BP487" s="305"/>
      <c r="BQ487" s="305"/>
      <c r="BR487" s="305"/>
      <c r="BS487" s="305"/>
      <c r="BT487" s="305"/>
      <c r="BU487" s="305"/>
      <c r="BV487" s="305"/>
      <c r="BX487" s="319"/>
    </row>
    <row r="488" spans="1:76" s="303" customFormat="1" x14ac:dyDescent="0.25">
      <c r="A488" s="275"/>
      <c r="B488" s="275"/>
      <c r="C488" s="275"/>
      <c r="D488" s="275"/>
      <c r="E488" s="275"/>
      <c r="F488" s="275"/>
      <c r="V488" s="304"/>
      <c r="W488" s="304"/>
      <c r="AD488" s="304"/>
      <c r="AE488" s="304"/>
      <c r="AR488" s="304"/>
      <c r="AS488" s="304"/>
      <c r="AT488" s="304"/>
      <c r="AU488" s="304"/>
      <c r="AV488" s="304"/>
      <c r="AW488" s="304"/>
      <c r="AX488" s="304"/>
      <c r="AY488" s="304"/>
      <c r="AZ488" s="304"/>
      <c r="BA488" s="304"/>
      <c r="BB488" s="304"/>
      <c r="BC488" s="304"/>
      <c r="BK488" s="305"/>
      <c r="BL488" s="305"/>
      <c r="BM488" s="305"/>
      <c r="BN488" s="305"/>
      <c r="BO488" s="305"/>
      <c r="BP488" s="305"/>
      <c r="BQ488" s="305"/>
      <c r="BR488" s="305"/>
      <c r="BS488" s="305"/>
      <c r="BT488" s="305"/>
      <c r="BU488" s="305"/>
      <c r="BV488" s="305"/>
      <c r="BX488" s="319"/>
    </row>
    <row r="489" spans="1:76" s="303" customFormat="1" x14ac:dyDescent="0.25">
      <c r="A489" s="275"/>
      <c r="B489" s="275"/>
      <c r="C489" s="275"/>
      <c r="D489" s="275"/>
      <c r="E489" s="275"/>
      <c r="F489" s="275"/>
      <c r="V489" s="304"/>
      <c r="W489" s="304"/>
      <c r="AD489" s="304"/>
      <c r="AE489" s="304"/>
      <c r="AR489" s="304"/>
      <c r="AS489" s="304"/>
      <c r="AT489" s="304"/>
      <c r="AU489" s="304"/>
      <c r="AV489" s="304"/>
      <c r="AW489" s="304"/>
      <c r="AX489" s="304"/>
      <c r="AY489" s="304"/>
      <c r="AZ489" s="304"/>
      <c r="BA489" s="304"/>
      <c r="BB489" s="304"/>
      <c r="BC489" s="304"/>
      <c r="BK489" s="305"/>
      <c r="BL489" s="305"/>
      <c r="BM489" s="305"/>
      <c r="BN489" s="305"/>
      <c r="BO489" s="305"/>
      <c r="BP489" s="305"/>
      <c r="BQ489" s="305"/>
      <c r="BR489" s="305"/>
      <c r="BS489" s="305"/>
      <c r="BT489" s="305"/>
      <c r="BU489" s="305"/>
      <c r="BV489" s="305"/>
      <c r="BX489" s="319"/>
    </row>
    <row r="490" spans="1:76" s="303" customFormat="1" x14ac:dyDescent="0.25">
      <c r="A490" s="275"/>
      <c r="B490" s="275"/>
      <c r="C490" s="275"/>
      <c r="D490" s="275"/>
      <c r="E490" s="275"/>
      <c r="F490" s="275"/>
      <c r="V490" s="304"/>
      <c r="W490" s="304"/>
      <c r="AD490" s="304"/>
      <c r="AE490" s="304"/>
      <c r="AR490" s="304"/>
      <c r="AS490" s="304"/>
      <c r="AT490" s="304"/>
      <c r="AU490" s="304"/>
      <c r="AV490" s="304"/>
      <c r="AW490" s="304"/>
      <c r="AX490" s="304"/>
      <c r="AY490" s="304"/>
      <c r="AZ490" s="304"/>
      <c r="BA490" s="304"/>
      <c r="BB490" s="304"/>
      <c r="BC490" s="304"/>
      <c r="BK490" s="305"/>
      <c r="BL490" s="305"/>
      <c r="BM490" s="305"/>
      <c r="BN490" s="305"/>
      <c r="BO490" s="305"/>
      <c r="BP490" s="305"/>
      <c r="BQ490" s="305"/>
      <c r="BR490" s="305"/>
      <c r="BS490" s="305"/>
      <c r="BT490" s="305"/>
      <c r="BU490" s="305"/>
      <c r="BV490" s="305"/>
      <c r="BX490" s="319"/>
    </row>
    <row r="491" spans="1:76" s="303" customFormat="1" x14ac:dyDescent="0.25">
      <c r="A491" s="275"/>
      <c r="B491" s="275"/>
      <c r="C491" s="275"/>
      <c r="D491" s="275"/>
      <c r="E491" s="275"/>
      <c r="F491" s="275"/>
      <c r="V491" s="304"/>
      <c r="W491" s="304"/>
      <c r="AD491" s="304"/>
      <c r="AE491" s="304"/>
      <c r="AR491" s="304"/>
      <c r="AS491" s="304"/>
      <c r="AT491" s="304"/>
      <c r="AU491" s="304"/>
      <c r="AV491" s="304"/>
      <c r="AW491" s="304"/>
      <c r="AX491" s="304"/>
      <c r="AY491" s="304"/>
      <c r="AZ491" s="304"/>
      <c r="BA491" s="304"/>
      <c r="BB491" s="304"/>
      <c r="BC491" s="304"/>
      <c r="BK491" s="305"/>
      <c r="BL491" s="305"/>
      <c r="BM491" s="305"/>
      <c r="BN491" s="305"/>
      <c r="BO491" s="305"/>
      <c r="BP491" s="305"/>
      <c r="BQ491" s="305"/>
      <c r="BR491" s="305"/>
      <c r="BS491" s="305"/>
      <c r="BT491" s="305"/>
      <c r="BU491" s="305"/>
      <c r="BV491" s="305"/>
      <c r="BX491" s="319"/>
    </row>
    <row r="492" spans="1:76" s="303" customFormat="1" x14ac:dyDescent="0.25">
      <c r="A492" s="275"/>
      <c r="B492" s="275"/>
      <c r="C492" s="275"/>
      <c r="D492" s="275"/>
      <c r="E492" s="275"/>
      <c r="F492" s="275"/>
      <c r="V492" s="304"/>
      <c r="W492" s="304"/>
      <c r="AD492" s="304"/>
      <c r="AE492" s="304"/>
      <c r="AR492" s="304"/>
      <c r="AS492" s="304"/>
      <c r="AT492" s="304"/>
      <c r="AU492" s="304"/>
      <c r="AV492" s="304"/>
      <c r="AW492" s="304"/>
      <c r="AX492" s="304"/>
      <c r="AY492" s="304"/>
      <c r="AZ492" s="304"/>
      <c r="BA492" s="304"/>
      <c r="BB492" s="304"/>
      <c r="BC492" s="304"/>
      <c r="BK492" s="305"/>
      <c r="BL492" s="305"/>
      <c r="BM492" s="305"/>
      <c r="BN492" s="305"/>
      <c r="BO492" s="305"/>
      <c r="BP492" s="305"/>
      <c r="BQ492" s="305"/>
      <c r="BR492" s="305"/>
      <c r="BS492" s="305"/>
      <c r="BT492" s="305"/>
      <c r="BU492" s="305"/>
      <c r="BV492" s="305"/>
      <c r="BX492" s="319"/>
    </row>
    <row r="493" spans="1:76" s="303" customFormat="1" x14ac:dyDescent="0.25">
      <c r="A493" s="275"/>
      <c r="B493" s="275"/>
      <c r="C493" s="275"/>
      <c r="D493" s="275"/>
      <c r="E493" s="275"/>
      <c r="F493" s="275"/>
      <c r="V493" s="304"/>
      <c r="W493" s="304"/>
      <c r="AD493" s="304"/>
      <c r="AE493" s="304"/>
      <c r="AR493" s="304"/>
      <c r="AS493" s="304"/>
      <c r="AT493" s="304"/>
      <c r="AU493" s="304"/>
      <c r="AV493" s="304"/>
      <c r="AW493" s="304"/>
      <c r="AX493" s="304"/>
      <c r="AY493" s="304"/>
      <c r="AZ493" s="304"/>
      <c r="BA493" s="304"/>
      <c r="BB493" s="304"/>
      <c r="BC493" s="304"/>
      <c r="BK493" s="305"/>
      <c r="BL493" s="305"/>
      <c r="BM493" s="305"/>
      <c r="BN493" s="305"/>
      <c r="BO493" s="305"/>
      <c r="BP493" s="305"/>
      <c r="BQ493" s="305"/>
      <c r="BR493" s="305"/>
      <c r="BS493" s="305"/>
      <c r="BT493" s="305"/>
      <c r="BU493" s="305"/>
      <c r="BV493" s="305"/>
      <c r="BX493" s="319"/>
    </row>
    <row r="494" spans="1:76" s="303" customFormat="1" x14ac:dyDescent="0.25">
      <c r="A494" s="275"/>
      <c r="B494" s="275"/>
      <c r="C494" s="275"/>
      <c r="D494" s="275"/>
      <c r="E494" s="275"/>
      <c r="F494" s="275"/>
      <c r="V494" s="304"/>
      <c r="W494" s="304"/>
      <c r="AD494" s="304"/>
      <c r="AE494" s="304"/>
      <c r="AR494" s="304"/>
      <c r="AS494" s="304"/>
      <c r="AT494" s="304"/>
      <c r="AU494" s="304"/>
      <c r="AV494" s="304"/>
      <c r="AW494" s="304"/>
      <c r="AX494" s="304"/>
      <c r="AY494" s="304"/>
      <c r="AZ494" s="304"/>
      <c r="BA494" s="304"/>
      <c r="BB494" s="304"/>
      <c r="BC494" s="304"/>
      <c r="BK494" s="305"/>
      <c r="BL494" s="305"/>
      <c r="BM494" s="305"/>
      <c r="BN494" s="305"/>
      <c r="BO494" s="305"/>
      <c r="BP494" s="305"/>
      <c r="BQ494" s="305"/>
      <c r="BR494" s="305"/>
      <c r="BS494" s="305"/>
      <c r="BT494" s="305"/>
      <c r="BU494" s="305"/>
      <c r="BV494" s="305"/>
      <c r="BX494" s="319"/>
    </row>
    <row r="495" spans="1:76" s="303" customFormat="1" x14ac:dyDescent="0.25">
      <c r="A495" s="275"/>
      <c r="B495" s="275"/>
      <c r="C495" s="275"/>
      <c r="D495" s="275"/>
      <c r="E495" s="275"/>
      <c r="F495" s="275"/>
      <c r="V495" s="304"/>
      <c r="W495" s="304"/>
      <c r="AD495" s="304"/>
      <c r="AE495" s="304"/>
      <c r="AR495" s="304"/>
      <c r="AS495" s="304"/>
      <c r="AT495" s="304"/>
      <c r="AU495" s="304"/>
      <c r="AV495" s="304"/>
      <c r="AW495" s="304"/>
      <c r="AX495" s="304"/>
      <c r="AY495" s="304"/>
      <c r="AZ495" s="304"/>
      <c r="BA495" s="304"/>
      <c r="BB495" s="304"/>
      <c r="BC495" s="304"/>
      <c r="BK495" s="305"/>
      <c r="BL495" s="305"/>
      <c r="BM495" s="305"/>
      <c r="BN495" s="305"/>
      <c r="BO495" s="305"/>
      <c r="BP495" s="305"/>
      <c r="BQ495" s="305"/>
      <c r="BR495" s="305"/>
      <c r="BS495" s="305"/>
      <c r="BT495" s="305"/>
      <c r="BU495" s="305"/>
      <c r="BV495" s="305"/>
      <c r="BX495" s="319"/>
    </row>
    <row r="496" spans="1:76" s="303" customFormat="1" x14ac:dyDescent="0.25">
      <c r="A496" s="275"/>
      <c r="B496" s="275"/>
      <c r="C496" s="275"/>
      <c r="D496" s="275"/>
      <c r="E496" s="275"/>
      <c r="F496" s="275"/>
      <c r="V496" s="304"/>
      <c r="W496" s="304"/>
      <c r="AD496" s="304"/>
      <c r="AE496" s="304"/>
      <c r="AR496" s="304"/>
      <c r="AS496" s="304"/>
      <c r="AT496" s="304"/>
      <c r="AU496" s="304"/>
      <c r="AV496" s="304"/>
      <c r="AW496" s="304"/>
      <c r="AX496" s="304"/>
      <c r="AY496" s="304"/>
      <c r="AZ496" s="304"/>
      <c r="BA496" s="304"/>
      <c r="BB496" s="304"/>
      <c r="BC496" s="304"/>
      <c r="BK496" s="305"/>
      <c r="BL496" s="305"/>
      <c r="BM496" s="305"/>
      <c r="BN496" s="305"/>
      <c r="BO496" s="305"/>
      <c r="BP496" s="305"/>
      <c r="BQ496" s="305"/>
      <c r="BR496" s="305"/>
      <c r="BS496" s="305"/>
      <c r="BT496" s="305"/>
      <c r="BU496" s="305"/>
      <c r="BV496" s="305"/>
      <c r="BX496" s="319"/>
    </row>
    <row r="497" spans="1:76" s="303" customFormat="1" x14ac:dyDescent="0.25">
      <c r="A497" s="275"/>
      <c r="B497" s="275"/>
      <c r="C497" s="275"/>
      <c r="D497" s="275"/>
      <c r="E497" s="275"/>
      <c r="F497" s="275"/>
      <c r="V497" s="304"/>
      <c r="W497" s="304"/>
      <c r="AD497" s="304"/>
      <c r="AE497" s="304"/>
      <c r="AR497" s="304"/>
      <c r="AS497" s="304"/>
      <c r="AT497" s="304"/>
      <c r="AU497" s="304"/>
      <c r="AV497" s="304"/>
      <c r="AW497" s="304"/>
      <c r="AX497" s="304"/>
      <c r="AY497" s="304"/>
      <c r="AZ497" s="304"/>
      <c r="BA497" s="304"/>
      <c r="BB497" s="304"/>
      <c r="BC497" s="304"/>
      <c r="BK497" s="305"/>
      <c r="BL497" s="305"/>
      <c r="BM497" s="305"/>
      <c r="BN497" s="305"/>
      <c r="BO497" s="305"/>
      <c r="BP497" s="305"/>
      <c r="BQ497" s="305"/>
      <c r="BR497" s="305"/>
      <c r="BS497" s="305"/>
      <c r="BT497" s="305"/>
      <c r="BU497" s="305"/>
      <c r="BV497" s="305"/>
      <c r="BX497" s="319"/>
    </row>
    <row r="498" spans="1:76" s="303" customFormat="1" x14ac:dyDescent="0.25">
      <c r="A498" s="275"/>
      <c r="B498" s="275"/>
      <c r="C498" s="275"/>
      <c r="D498" s="275"/>
      <c r="E498" s="275"/>
      <c r="F498" s="275"/>
      <c r="V498" s="304"/>
      <c r="W498" s="304"/>
      <c r="AD498" s="304"/>
      <c r="AE498" s="304"/>
      <c r="AR498" s="304"/>
      <c r="AS498" s="304"/>
      <c r="AT498" s="304"/>
      <c r="AU498" s="304"/>
      <c r="AV498" s="304"/>
      <c r="AW498" s="304"/>
      <c r="AX498" s="304"/>
      <c r="AY498" s="304"/>
      <c r="AZ498" s="304"/>
      <c r="BA498" s="304"/>
      <c r="BB498" s="304"/>
      <c r="BC498" s="304"/>
      <c r="BK498" s="305"/>
      <c r="BL498" s="305"/>
      <c r="BM498" s="305"/>
      <c r="BN498" s="305"/>
      <c r="BO498" s="305"/>
      <c r="BP498" s="305"/>
      <c r="BQ498" s="305"/>
      <c r="BR498" s="305"/>
      <c r="BS498" s="305"/>
      <c r="BT498" s="305"/>
      <c r="BU498" s="305"/>
      <c r="BV498" s="305"/>
      <c r="BX498" s="319"/>
    </row>
    <row r="499" spans="1:76" s="303" customFormat="1" x14ac:dyDescent="0.25">
      <c r="A499" s="275"/>
      <c r="B499" s="275"/>
      <c r="C499" s="275"/>
      <c r="D499" s="275"/>
      <c r="E499" s="275"/>
      <c r="F499" s="275"/>
      <c r="V499" s="304"/>
      <c r="W499" s="304"/>
      <c r="AD499" s="304"/>
      <c r="AE499" s="304"/>
      <c r="AR499" s="304"/>
      <c r="AS499" s="304"/>
      <c r="AT499" s="304"/>
      <c r="AU499" s="304"/>
      <c r="AV499" s="304"/>
      <c r="AW499" s="304"/>
      <c r="AX499" s="304"/>
      <c r="AY499" s="304"/>
      <c r="AZ499" s="304"/>
      <c r="BA499" s="304"/>
      <c r="BB499" s="304"/>
      <c r="BC499" s="304"/>
      <c r="BK499" s="305"/>
      <c r="BL499" s="305"/>
      <c r="BM499" s="305"/>
      <c r="BN499" s="305"/>
      <c r="BO499" s="305"/>
      <c r="BP499" s="305"/>
      <c r="BQ499" s="305"/>
      <c r="BR499" s="305"/>
      <c r="BS499" s="305"/>
      <c r="BT499" s="305"/>
      <c r="BU499" s="305"/>
      <c r="BV499" s="305"/>
      <c r="BX499" s="319"/>
    </row>
    <row r="500" spans="1:76" s="303" customFormat="1" x14ac:dyDescent="0.25">
      <c r="A500" s="275"/>
      <c r="B500" s="275"/>
      <c r="C500" s="275"/>
      <c r="D500" s="275"/>
      <c r="E500" s="275"/>
      <c r="F500" s="275"/>
      <c r="V500" s="304"/>
      <c r="W500" s="304"/>
      <c r="AD500" s="304"/>
      <c r="AE500" s="304"/>
      <c r="AR500" s="304"/>
      <c r="AS500" s="304"/>
      <c r="AT500" s="304"/>
      <c r="AU500" s="304"/>
      <c r="AV500" s="304"/>
      <c r="AW500" s="304"/>
      <c r="AX500" s="304"/>
      <c r="AY500" s="304"/>
      <c r="AZ500" s="304"/>
      <c r="BA500" s="304"/>
      <c r="BB500" s="304"/>
      <c r="BC500" s="304"/>
      <c r="BK500" s="305"/>
      <c r="BL500" s="305"/>
      <c r="BM500" s="305"/>
      <c r="BN500" s="305"/>
      <c r="BO500" s="305"/>
      <c r="BP500" s="305"/>
      <c r="BQ500" s="305"/>
      <c r="BR500" s="305"/>
      <c r="BS500" s="305"/>
      <c r="BT500" s="305"/>
      <c r="BU500" s="305"/>
      <c r="BV500" s="305"/>
      <c r="BX500" s="319"/>
    </row>
    <row r="501" spans="1:76" s="303" customFormat="1" x14ac:dyDescent="0.25">
      <c r="A501" s="275"/>
      <c r="B501" s="275"/>
      <c r="C501" s="275"/>
      <c r="D501" s="275"/>
      <c r="E501" s="275"/>
      <c r="F501" s="275"/>
      <c r="V501" s="304"/>
      <c r="W501" s="304"/>
      <c r="AD501" s="304"/>
      <c r="AE501" s="304"/>
      <c r="AR501" s="304"/>
      <c r="AS501" s="304"/>
      <c r="AT501" s="304"/>
      <c r="AU501" s="304"/>
      <c r="AV501" s="304"/>
      <c r="AW501" s="304"/>
      <c r="AX501" s="304"/>
      <c r="AY501" s="304"/>
      <c r="AZ501" s="304"/>
      <c r="BA501" s="304"/>
      <c r="BB501" s="304"/>
      <c r="BC501" s="304"/>
      <c r="BK501" s="305"/>
      <c r="BL501" s="305"/>
      <c r="BM501" s="305"/>
      <c r="BN501" s="305"/>
      <c r="BO501" s="305"/>
      <c r="BP501" s="305"/>
      <c r="BQ501" s="305"/>
      <c r="BR501" s="305"/>
      <c r="BS501" s="305"/>
      <c r="BT501" s="305"/>
      <c r="BU501" s="305"/>
      <c r="BV501" s="305"/>
      <c r="BX501" s="319"/>
    </row>
    <row r="502" spans="1:76" s="303" customFormat="1" x14ac:dyDescent="0.25">
      <c r="A502" s="275"/>
      <c r="B502" s="275"/>
      <c r="C502" s="275"/>
      <c r="D502" s="275"/>
      <c r="E502" s="275"/>
      <c r="F502" s="275"/>
      <c r="V502" s="304"/>
      <c r="W502" s="304"/>
      <c r="AD502" s="304"/>
      <c r="AE502" s="304"/>
      <c r="AR502" s="304"/>
      <c r="AS502" s="304"/>
      <c r="AT502" s="304"/>
      <c r="AU502" s="304"/>
      <c r="AV502" s="304"/>
      <c r="AW502" s="304"/>
      <c r="AX502" s="304"/>
      <c r="AY502" s="304"/>
      <c r="AZ502" s="304"/>
      <c r="BA502" s="304"/>
      <c r="BB502" s="304"/>
      <c r="BC502" s="304"/>
      <c r="BK502" s="305"/>
      <c r="BL502" s="305"/>
      <c r="BM502" s="305"/>
      <c r="BN502" s="305"/>
      <c r="BO502" s="305"/>
      <c r="BP502" s="305"/>
      <c r="BQ502" s="305"/>
      <c r="BR502" s="305"/>
      <c r="BS502" s="305"/>
      <c r="BT502" s="305"/>
      <c r="BU502" s="305"/>
      <c r="BV502" s="305"/>
      <c r="BX502" s="319"/>
    </row>
    <row r="503" spans="1:76" s="303" customFormat="1" x14ac:dyDescent="0.25">
      <c r="A503" s="275"/>
      <c r="B503" s="275"/>
      <c r="C503" s="275"/>
      <c r="D503" s="275"/>
      <c r="E503" s="275"/>
      <c r="F503" s="275"/>
      <c r="V503" s="304"/>
      <c r="W503" s="304"/>
      <c r="AD503" s="304"/>
      <c r="AE503" s="304"/>
      <c r="AR503" s="304"/>
      <c r="AS503" s="304"/>
      <c r="AT503" s="304"/>
      <c r="AU503" s="304"/>
      <c r="AV503" s="304"/>
      <c r="AW503" s="304"/>
      <c r="AX503" s="304"/>
      <c r="AY503" s="304"/>
      <c r="AZ503" s="304"/>
      <c r="BA503" s="304"/>
      <c r="BB503" s="304"/>
      <c r="BC503" s="304"/>
      <c r="BK503" s="305"/>
      <c r="BL503" s="305"/>
      <c r="BM503" s="305"/>
      <c r="BN503" s="305"/>
      <c r="BO503" s="305"/>
      <c r="BP503" s="305"/>
      <c r="BQ503" s="305"/>
      <c r="BR503" s="305"/>
      <c r="BS503" s="305"/>
      <c r="BT503" s="305"/>
      <c r="BU503" s="305"/>
      <c r="BV503" s="305"/>
      <c r="BX503" s="319"/>
    </row>
    <row r="504" spans="1:76" s="303" customFormat="1" x14ac:dyDescent="0.25">
      <c r="A504" s="275"/>
      <c r="B504" s="275"/>
      <c r="C504" s="275"/>
      <c r="D504" s="275"/>
      <c r="E504" s="275"/>
      <c r="F504" s="275"/>
      <c r="V504" s="304"/>
      <c r="W504" s="304"/>
      <c r="AD504" s="304"/>
      <c r="AE504" s="304"/>
      <c r="AR504" s="304"/>
      <c r="AS504" s="304"/>
      <c r="AT504" s="304"/>
      <c r="AU504" s="304"/>
      <c r="AV504" s="304"/>
      <c r="AW504" s="304"/>
      <c r="AX504" s="304"/>
      <c r="AY504" s="304"/>
      <c r="AZ504" s="304"/>
      <c r="BA504" s="304"/>
      <c r="BB504" s="304"/>
      <c r="BC504" s="304"/>
      <c r="BK504" s="305"/>
      <c r="BL504" s="305"/>
      <c r="BM504" s="305"/>
      <c r="BN504" s="305"/>
      <c r="BO504" s="305"/>
      <c r="BP504" s="305"/>
      <c r="BQ504" s="305"/>
      <c r="BR504" s="305"/>
      <c r="BS504" s="305"/>
      <c r="BT504" s="305"/>
      <c r="BU504" s="305"/>
      <c r="BV504" s="305"/>
      <c r="BX504" s="319"/>
    </row>
    <row r="505" spans="1:76" s="303" customFormat="1" x14ac:dyDescent="0.25">
      <c r="A505" s="275"/>
      <c r="B505" s="275"/>
      <c r="C505" s="275"/>
      <c r="D505" s="275"/>
      <c r="E505" s="275"/>
      <c r="F505" s="275"/>
      <c r="V505" s="304"/>
      <c r="W505" s="304"/>
      <c r="AD505" s="304"/>
      <c r="AE505" s="304"/>
      <c r="AR505" s="304"/>
      <c r="AS505" s="304"/>
      <c r="AT505" s="304"/>
      <c r="AU505" s="304"/>
      <c r="AV505" s="304"/>
      <c r="AW505" s="304"/>
      <c r="AX505" s="304"/>
      <c r="AY505" s="304"/>
      <c r="AZ505" s="304"/>
      <c r="BA505" s="304"/>
      <c r="BB505" s="304"/>
      <c r="BC505" s="304"/>
      <c r="BK505" s="305"/>
      <c r="BL505" s="305"/>
      <c r="BM505" s="305"/>
      <c r="BN505" s="305"/>
      <c r="BO505" s="305"/>
      <c r="BP505" s="305"/>
      <c r="BQ505" s="305"/>
      <c r="BR505" s="305"/>
      <c r="BS505" s="305"/>
      <c r="BT505" s="305"/>
      <c r="BU505" s="305"/>
      <c r="BV505" s="305"/>
      <c r="BX505" s="319"/>
    </row>
    <row r="506" spans="1:76" s="303" customFormat="1" x14ac:dyDescent="0.25">
      <c r="A506" s="275"/>
      <c r="B506" s="275"/>
      <c r="C506" s="275"/>
      <c r="D506" s="275"/>
      <c r="E506" s="275"/>
      <c r="F506" s="275"/>
      <c r="V506" s="304"/>
      <c r="W506" s="304"/>
      <c r="AD506" s="304"/>
      <c r="AE506" s="304"/>
      <c r="AR506" s="304"/>
      <c r="AS506" s="304"/>
      <c r="AT506" s="304"/>
      <c r="AU506" s="304"/>
      <c r="AV506" s="304"/>
      <c r="AW506" s="304"/>
      <c r="AX506" s="304"/>
      <c r="AY506" s="304"/>
      <c r="AZ506" s="304"/>
      <c r="BA506" s="304"/>
      <c r="BB506" s="304"/>
      <c r="BC506" s="304"/>
      <c r="BK506" s="305"/>
      <c r="BL506" s="305"/>
      <c r="BM506" s="305"/>
      <c r="BN506" s="305"/>
      <c r="BO506" s="305"/>
      <c r="BP506" s="305"/>
      <c r="BQ506" s="305"/>
      <c r="BR506" s="305"/>
      <c r="BS506" s="305"/>
      <c r="BT506" s="305"/>
      <c r="BU506" s="305"/>
      <c r="BV506" s="305"/>
      <c r="BX506" s="319"/>
    </row>
    <row r="507" spans="1:76" s="303" customFormat="1" x14ac:dyDescent="0.25">
      <c r="A507" s="275"/>
      <c r="B507" s="275"/>
      <c r="C507" s="275"/>
      <c r="D507" s="275"/>
      <c r="E507" s="275"/>
      <c r="F507" s="275"/>
      <c r="V507" s="304"/>
      <c r="W507" s="304"/>
      <c r="AD507" s="304"/>
      <c r="AE507" s="304"/>
      <c r="AR507" s="304"/>
      <c r="AS507" s="304"/>
      <c r="AT507" s="304"/>
      <c r="AU507" s="304"/>
      <c r="AV507" s="304"/>
      <c r="AW507" s="304"/>
      <c r="AX507" s="304"/>
      <c r="AY507" s="304"/>
      <c r="AZ507" s="304"/>
      <c r="BA507" s="304"/>
      <c r="BB507" s="304"/>
      <c r="BC507" s="304"/>
      <c r="BK507" s="305"/>
      <c r="BL507" s="305"/>
      <c r="BM507" s="305"/>
      <c r="BN507" s="305"/>
      <c r="BO507" s="305"/>
      <c r="BP507" s="305"/>
      <c r="BQ507" s="305"/>
      <c r="BR507" s="305"/>
      <c r="BS507" s="305"/>
      <c r="BT507" s="305"/>
      <c r="BU507" s="305"/>
      <c r="BV507" s="305"/>
      <c r="BX507" s="319"/>
    </row>
    <row r="508" spans="1:76" s="303" customFormat="1" x14ac:dyDescent="0.25">
      <c r="A508" s="275"/>
      <c r="B508" s="275"/>
      <c r="C508" s="275"/>
      <c r="D508" s="275"/>
      <c r="E508" s="275"/>
      <c r="F508" s="275"/>
      <c r="V508" s="304"/>
      <c r="W508" s="304"/>
      <c r="AD508" s="304"/>
      <c r="AE508" s="304"/>
      <c r="AR508" s="304"/>
      <c r="AS508" s="304"/>
      <c r="AT508" s="304"/>
      <c r="AU508" s="304"/>
      <c r="AV508" s="304"/>
      <c r="AW508" s="304"/>
      <c r="AX508" s="304"/>
      <c r="AY508" s="304"/>
      <c r="AZ508" s="304"/>
      <c r="BA508" s="304"/>
      <c r="BB508" s="304"/>
      <c r="BC508" s="304"/>
      <c r="BK508" s="305"/>
      <c r="BL508" s="305"/>
      <c r="BM508" s="305"/>
      <c r="BN508" s="305"/>
      <c r="BO508" s="305"/>
      <c r="BP508" s="305"/>
      <c r="BQ508" s="305"/>
      <c r="BR508" s="305"/>
      <c r="BS508" s="305"/>
      <c r="BT508" s="305"/>
      <c r="BU508" s="305"/>
      <c r="BV508" s="305"/>
      <c r="BX508" s="319"/>
    </row>
    <row r="509" spans="1:76" s="303" customFormat="1" x14ac:dyDescent="0.25">
      <c r="A509" s="275"/>
      <c r="B509" s="275"/>
      <c r="C509" s="275"/>
      <c r="D509" s="275"/>
      <c r="E509" s="275"/>
      <c r="F509" s="275"/>
      <c r="V509" s="304"/>
      <c r="W509" s="304"/>
      <c r="AD509" s="304"/>
      <c r="AE509" s="304"/>
      <c r="AR509" s="304"/>
      <c r="AS509" s="304"/>
      <c r="AT509" s="304"/>
      <c r="AU509" s="304"/>
      <c r="AV509" s="304"/>
      <c r="AW509" s="304"/>
      <c r="AX509" s="304"/>
      <c r="AY509" s="304"/>
      <c r="AZ509" s="304"/>
      <c r="BA509" s="304"/>
      <c r="BB509" s="304"/>
      <c r="BC509" s="304"/>
      <c r="BK509" s="305"/>
      <c r="BL509" s="305"/>
      <c r="BM509" s="305"/>
      <c r="BN509" s="305"/>
      <c r="BO509" s="305"/>
      <c r="BP509" s="305"/>
      <c r="BQ509" s="305"/>
      <c r="BR509" s="305"/>
      <c r="BS509" s="305"/>
      <c r="BT509" s="305"/>
      <c r="BU509" s="305"/>
      <c r="BV509" s="305"/>
      <c r="BX509" s="319"/>
    </row>
    <row r="510" spans="1:76" s="303" customFormat="1" x14ac:dyDescent="0.25">
      <c r="A510" s="275"/>
      <c r="B510" s="275"/>
      <c r="C510" s="275"/>
      <c r="D510" s="275"/>
      <c r="E510" s="275"/>
      <c r="F510" s="275"/>
      <c r="V510" s="304"/>
      <c r="W510" s="304"/>
      <c r="AD510" s="304"/>
      <c r="AE510" s="304"/>
      <c r="AR510" s="304"/>
      <c r="AS510" s="304"/>
      <c r="AT510" s="304"/>
      <c r="AU510" s="304"/>
      <c r="AV510" s="304"/>
      <c r="AW510" s="304"/>
      <c r="AX510" s="304"/>
      <c r="AY510" s="304"/>
      <c r="AZ510" s="304"/>
      <c r="BA510" s="304"/>
      <c r="BB510" s="304"/>
      <c r="BC510" s="304"/>
      <c r="BK510" s="305"/>
      <c r="BL510" s="305"/>
      <c r="BM510" s="305"/>
      <c r="BN510" s="305"/>
      <c r="BO510" s="305"/>
      <c r="BP510" s="305"/>
      <c r="BQ510" s="305"/>
      <c r="BR510" s="305"/>
      <c r="BS510" s="305"/>
      <c r="BT510" s="305"/>
      <c r="BU510" s="305"/>
      <c r="BV510" s="305"/>
      <c r="BX510" s="319"/>
    </row>
    <row r="511" spans="1:76" s="303" customFormat="1" x14ac:dyDescent="0.25">
      <c r="A511" s="275"/>
      <c r="B511" s="275"/>
      <c r="C511" s="275"/>
      <c r="D511" s="275"/>
      <c r="E511" s="275"/>
      <c r="F511" s="275"/>
      <c r="V511" s="304"/>
      <c r="W511" s="304"/>
      <c r="AD511" s="304"/>
      <c r="AE511" s="304"/>
      <c r="AR511" s="304"/>
      <c r="AS511" s="304"/>
      <c r="AT511" s="304"/>
      <c r="AU511" s="304"/>
      <c r="AV511" s="304"/>
      <c r="AW511" s="304"/>
      <c r="AX511" s="304"/>
      <c r="AY511" s="304"/>
      <c r="AZ511" s="304"/>
      <c r="BA511" s="304"/>
      <c r="BB511" s="304"/>
      <c r="BC511" s="304"/>
      <c r="BK511" s="305"/>
      <c r="BL511" s="305"/>
      <c r="BM511" s="305"/>
      <c r="BN511" s="305"/>
      <c r="BO511" s="305"/>
      <c r="BP511" s="305"/>
      <c r="BQ511" s="305"/>
      <c r="BR511" s="305"/>
      <c r="BS511" s="305"/>
      <c r="BT511" s="305"/>
      <c r="BU511" s="305"/>
      <c r="BV511" s="305"/>
      <c r="BX511" s="319"/>
    </row>
    <row r="512" spans="1:76" s="303" customFormat="1" x14ac:dyDescent="0.25">
      <c r="A512" s="275"/>
      <c r="B512" s="275"/>
      <c r="C512" s="275"/>
      <c r="D512" s="275"/>
      <c r="E512" s="275"/>
      <c r="F512" s="275"/>
      <c r="V512" s="304"/>
      <c r="W512" s="304"/>
      <c r="AD512" s="304"/>
      <c r="AE512" s="304"/>
      <c r="AR512" s="304"/>
      <c r="AS512" s="304"/>
      <c r="AT512" s="304"/>
      <c r="AU512" s="304"/>
      <c r="AV512" s="304"/>
      <c r="AW512" s="304"/>
      <c r="AX512" s="304"/>
      <c r="AY512" s="304"/>
      <c r="AZ512" s="304"/>
      <c r="BA512" s="304"/>
      <c r="BB512" s="304"/>
      <c r="BC512" s="304"/>
      <c r="BK512" s="305"/>
      <c r="BL512" s="305"/>
      <c r="BM512" s="305"/>
      <c r="BN512" s="305"/>
      <c r="BO512" s="305"/>
      <c r="BP512" s="305"/>
      <c r="BQ512" s="305"/>
      <c r="BR512" s="305"/>
      <c r="BS512" s="305"/>
      <c r="BT512" s="305"/>
      <c r="BU512" s="305"/>
      <c r="BV512" s="305"/>
      <c r="BX512" s="319"/>
    </row>
    <row r="513" spans="1:76" s="303" customFormat="1" x14ac:dyDescent="0.25">
      <c r="A513" s="275"/>
      <c r="B513" s="275"/>
      <c r="C513" s="275"/>
      <c r="D513" s="275"/>
      <c r="E513" s="275"/>
      <c r="F513" s="275"/>
      <c r="V513" s="304"/>
      <c r="W513" s="304"/>
      <c r="AD513" s="304"/>
      <c r="AE513" s="304"/>
      <c r="AR513" s="304"/>
      <c r="AS513" s="304"/>
      <c r="AT513" s="304"/>
      <c r="AU513" s="304"/>
      <c r="AV513" s="304"/>
      <c r="AW513" s="304"/>
      <c r="AX513" s="304"/>
      <c r="AY513" s="304"/>
      <c r="AZ513" s="304"/>
      <c r="BA513" s="304"/>
      <c r="BB513" s="304"/>
      <c r="BC513" s="304"/>
      <c r="BK513" s="305"/>
      <c r="BL513" s="305"/>
      <c r="BM513" s="305"/>
      <c r="BN513" s="305"/>
      <c r="BO513" s="305"/>
      <c r="BP513" s="305"/>
      <c r="BQ513" s="305"/>
      <c r="BR513" s="305"/>
      <c r="BS513" s="305"/>
      <c r="BT513" s="305"/>
      <c r="BU513" s="305"/>
      <c r="BV513" s="305"/>
      <c r="BX513" s="319"/>
    </row>
    <row r="514" spans="1:76" s="303" customFormat="1" x14ac:dyDescent="0.25">
      <c r="A514" s="275"/>
      <c r="B514" s="275"/>
      <c r="C514" s="275"/>
      <c r="D514" s="275"/>
      <c r="E514" s="275"/>
      <c r="F514" s="275"/>
      <c r="V514" s="304"/>
      <c r="W514" s="304"/>
      <c r="AD514" s="304"/>
      <c r="AE514" s="304"/>
      <c r="AR514" s="304"/>
      <c r="AS514" s="304"/>
      <c r="AT514" s="304"/>
      <c r="AU514" s="304"/>
      <c r="AV514" s="304"/>
      <c r="AW514" s="304"/>
      <c r="AX514" s="304"/>
      <c r="AY514" s="304"/>
      <c r="AZ514" s="304"/>
      <c r="BA514" s="304"/>
      <c r="BB514" s="304"/>
      <c r="BC514" s="304"/>
      <c r="BK514" s="305"/>
      <c r="BL514" s="305"/>
      <c r="BM514" s="305"/>
      <c r="BN514" s="305"/>
      <c r="BO514" s="305"/>
      <c r="BP514" s="305"/>
      <c r="BQ514" s="305"/>
      <c r="BR514" s="305"/>
      <c r="BS514" s="305"/>
      <c r="BT514" s="305"/>
      <c r="BU514" s="305"/>
      <c r="BV514" s="305"/>
      <c r="BX514" s="319"/>
    </row>
    <row r="515" spans="1:76" s="303" customFormat="1" x14ac:dyDescent="0.25">
      <c r="A515" s="275"/>
      <c r="B515" s="275"/>
      <c r="C515" s="275"/>
      <c r="D515" s="275"/>
      <c r="E515" s="275"/>
      <c r="F515" s="275"/>
      <c r="V515" s="304"/>
      <c r="W515" s="304"/>
      <c r="AD515" s="304"/>
      <c r="AE515" s="304"/>
      <c r="AR515" s="304"/>
      <c r="AS515" s="304"/>
      <c r="AT515" s="304"/>
      <c r="AU515" s="304"/>
      <c r="AV515" s="304"/>
      <c r="AW515" s="304"/>
      <c r="AX515" s="304"/>
      <c r="AY515" s="304"/>
      <c r="AZ515" s="304"/>
      <c r="BA515" s="304"/>
      <c r="BB515" s="304"/>
      <c r="BC515" s="304"/>
      <c r="BK515" s="305"/>
      <c r="BL515" s="305"/>
      <c r="BM515" s="305"/>
      <c r="BN515" s="305"/>
      <c r="BO515" s="305"/>
      <c r="BP515" s="305"/>
      <c r="BQ515" s="305"/>
      <c r="BR515" s="305"/>
      <c r="BS515" s="305"/>
      <c r="BT515" s="305"/>
      <c r="BU515" s="305"/>
      <c r="BV515" s="305"/>
      <c r="BX515" s="319"/>
    </row>
    <row r="516" spans="1:76" s="303" customFormat="1" x14ac:dyDescent="0.25">
      <c r="A516" s="275"/>
      <c r="B516" s="275"/>
      <c r="C516" s="275"/>
      <c r="D516" s="275"/>
      <c r="E516" s="275"/>
      <c r="F516" s="275"/>
      <c r="V516" s="304"/>
      <c r="W516" s="304"/>
      <c r="AD516" s="304"/>
      <c r="AE516" s="304"/>
      <c r="AR516" s="304"/>
      <c r="AS516" s="304"/>
      <c r="AT516" s="304"/>
      <c r="AU516" s="304"/>
      <c r="AV516" s="304"/>
      <c r="AW516" s="304"/>
      <c r="AX516" s="304"/>
      <c r="AY516" s="304"/>
      <c r="AZ516" s="304"/>
      <c r="BA516" s="304"/>
      <c r="BB516" s="304"/>
      <c r="BC516" s="304"/>
      <c r="BK516" s="305"/>
      <c r="BL516" s="305"/>
      <c r="BM516" s="305"/>
      <c r="BN516" s="305"/>
      <c r="BO516" s="305"/>
      <c r="BP516" s="305"/>
      <c r="BQ516" s="305"/>
      <c r="BR516" s="305"/>
      <c r="BS516" s="305"/>
      <c r="BT516" s="305"/>
      <c r="BU516" s="305"/>
      <c r="BV516" s="305"/>
      <c r="BX516" s="319"/>
    </row>
    <row r="517" spans="1:76" s="303" customFormat="1" x14ac:dyDescent="0.25">
      <c r="A517" s="275"/>
      <c r="B517" s="275"/>
      <c r="C517" s="275"/>
      <c r="D517" s="275"/>
      <c r="E517" s="275"/>
      <c r="F517" s="275"/>
      <c r="V517" s="304"/>
      <c r="W517" s="304"/>
      <c r="AD517" s="304"/>
      <c r="AE517" s="304"/>
      <c r="AR517" s="304"/>
      <c r="AS517" s="304"/>
      <c r="AT517" s="304"/>
      <c r="AU517" s="304"/>
      <c r="AV517" s="304"/>
      <c r="AW517" s="304"/>
      <c r="AX517" s="304"/>
      <c r="AY517" s="304"/>
      <c r="AZ517" s="304"/>
      <c r="BA517" s="304"/>
      <c r="BB517" s="304"/>
      <c r="BC517" s="304"/>
      <c r="BK517" s="305"/>
      <c r="BL517" s="305"/>
      <c r="BM517" s="305"/>
      <c r="BN517" s="305"/>
      <c r="BO517" s="305"/>
      <c r="BP517" s="305"/>
      <c r="BQ517" s="305"/>
      <c r="BR517" s="305"/>
      <c r="BS517" s="305"/>
      <c r="BT517" s="305"/>
      <c r="BU517" s="305"/>
      <c r="BV517" s="305"/>
      <c r="BX517" s="319"/>
    </row>
    <row r="518" spans="1:76" s="303" customFormat="1" x14ac:dyDescent="0.25">
      <c r="A518" s="275"/>
      <c r="B518" s="275"/>
      <c r="C518" s="275"/>
      <c r="D518" s="275"/>
      <c r="E518" s="275"/>
      <c r="F518" s="275"/>
      <c r="V518" s="304"/>
      <c r="W518" s="304"/>
      <c r="AD518" s="304"/>
      <c r="AE518" s="304"/>
      <c r="AR518" s="304"/>
      <c r="AS518" s="304"/>
      <c r="AT518" s="304"/>
      <c r="AU518" s="304"/>
      <c r="AV518" s="304"/>
      <c r="AW518" s="304"/>
      <c r="AX518" s="304"/>
      <c r="AY518" s="304"/>
      <c r="AZ518" s="304"/>
      <c r="BA518" s="304"/>
      <c r="BB518" s="304"/>
      <c r="BC518" s="304"/>
      <c r="BK518" s="305"/>
      <c r="BL518" s="305"/>
      <c r="BM518" s="305"/>
      <c r="BN518" s="305"/>
      <c r="BO518" s="305"/>
      <c r="BP518" s="305"/>
      <c r="BQ518" s="305"/>
      <c r="BR518" s="305"/>
      <c r="BS518" s="305"/>
      <c r="BT518" s="305"/>
      <c r="BU518" s="305"/>
      <c r="BV518" s="305"/>
      <c r="BX518" s="319"/>
    </row>
    <row r="519" spans="1:76" s="303" customFormat="1" x14ac:dyDescent="0.25">
      <c r="A519" s="275"/>
      <c r="B519" s="275"/>
      <c r="C519" s="275"/>
      <c r="D519" s="275"/>
      <c r="E519" s="275"/>
      <c r="F519" s="275"/>
      <c r="V519" s="304"/>
      <c r="W519" s="304"/>
      <c r="AD519" s="304"/>
      <c r="AE519" s="304"/>
      <c r="AR519" s="304"/>
      <c r="AS519" s="304"/>
      <c r="AT519" s="304"/>
      <c r="AU519" s="304"/>
      <c r="AV519" s="304"/>
      <c r="AW519" s="304"/>
      <c r="AX519" s="304"/>
      <c r="AY519" s="304"/>
      <c r="AZ519" s="304"/>
      <c r="BA519" s="304"/>
      <c r="BB519" s="304"/>
      <c r="BC519" s="304"/>
      <c r="BK519" s="305"/>
      <c r="BL519" s="305"/>
      <c r="BM519" s="305"/>
      <c r="BN519" s="305"/>
      <c r="BO519" s="305"/>
      <c r="BP519" s="305"/>
      <c r="BQ519" s="305"/>
      <c r="BR519" s="305"/>
      <c r="BS519" s="305"/>
      <c r="BT519" s="305"/>
      <c r="BU519" s="305"/>
      <c r="BV519" s="305"/>
      <c r="BX519" s="319"/>
    </row>
    <row r="520" spans="1:76" s="303" customFormat="1" x14ac:dyDescent="0.25">
      <c r="A520" s="275"/>
      <c r="B520" s="275"/>
      <c r="C520" s="275"/>
      <c r="D520" s="275"/>
      <c r="E520" s="275"/>
      <c r="F520" s="275"/>
      <c r="V520" s="304"/>
      <c r="W520" s="304"/>
      <c r="AD520" s="304"/>
      <c r="AE520" s="304"/>
      <c r="AR520" s="304"/>
      <c r="AS520" s="304"/>
      <c r="AT520" s="304"/>
      <c r="AU520" s="304"/>
      <c r="AV520" s="304"/>
      <c r="AW520" s="304"/>
      <c r="AX520" s="304"/>
      <c r="AY520" s="304"/>
      <c r="AZ520" s="304"/>
      <c r="BA520" s="304"/>
      <c r="BB520" s="304"/>
      <c r="BC520" s="304"/>
      <c r="BK520" s="305"/>
      <c r="BL520" s="305"/>
      <c r="BM520" s="305"/>
      <c r="BN520" s="305"/>
      <c r="BO520" s="305"/>
      <c r="BP520" s="305"/>
      <c r="BQ520" s="305"/>
      <c r="BR520" s="305"/>
      <c r="BS520" s="305"/>
      <c r="BT520" s="305"/>
      <c r="BU520" s="305"/>
      <c r="BV520" s="305"/>
      <c r="BX520" s="319"/>
    </row>
    <row r="521" spans="1:76" s="303" customFormat="1" x14ac:dyDescent="0.25">
      <c r="A521" s="275"/>
      <c r="B521" s="275"/>
      <c r="C521" s="275"/>
      <c r="D521" s="275"/>
      <c r="E521" s="275"/>
      <c r="F521" s="275"/>
      <c r="V521" s="304"/>
      <c r="W521" s="304"/>
      <c r="AD521" s="304"/>
      <c r="AE521" s="304"/>
      <c r="AR521" s="304"/>
      <c r="AS521" s="304"/>
      <c r="AT521" s="304"/>
      <c r="AU521" s="304"/>
      <c r="AV521" s="304"/>
      <c r="AW521" s="304"/>
      <c r="AX521" s="304"/>
      <c r="AY521" s="304"/>
      <c r="AZ521" s="304"/>
      <c r="BA521" s="304"/>
      <c r="BB521" s="304"/>
      <c r="BC521" s="304"/>
      <c r="BK521" s="305"/>
      <c r="BL521" s="305"/>
      <c r="BM521" s="305"/>
      <c r="BN521" s="305"/>
      <c r="BO521" s="305"/>
      <c r="BP521" s="305"/>
      <c r="BQ521" s="305"/>
      <c r="BR521" s="305"/>
      <c r="BS521" s="305"/>
      <c r="BT521" s="305"/>
      <c r="BU521" s="305"/>
      <c r="BV521" s="305"/>
      <c r="BX521" s="319"/>
    </row>
    <row r="522" spans="1:76" s="303" customFormat="1" x14ac:dyDescent="0.25">
      <c r="A522" s="275"/>
      <c r="B522" s="275"/>
      <c r="C522" s="275"/>
      <c r="D522" s="275"/>
      <c r="E522" s="275"/>
      <c r="F522" s="275"/>
      <c r="V522" s="304"/>
      <c r="W522" s="304"/>
      <c r="AD522" s="304"/>
      <c r="AE522" s="304"/>
      <c r="AR522" s="304"/>
      <c r="AS522" s="304"/>
      <c r="AT522" s="304"/>
      <c r="AU522" s="304"/>
      <c r="AV522" s="304"/>
      <c r="AW522" s="304"/>
      <c r="AX522" s="304"/>
      <c r="AY522" s="304"/>
      <c r="AZ522" s="304"/>
      <c r="BA522" s="304"/>
      <c r="BB522" s="304"/>
      <c r="BC522" s="304"/>
      <c r="BK522" s="305"/>
      <c r="BL522" s="305"/>
      <c r="BM522" s="305"/>
      <c r="BN522" s="305"/>
      <c r="BO522" s="305"/>
      <c r="BP522" s="305"/>
      <c r="BQ522" s="305"/>
      <c r="BR522" s="305"/>
      <c r="BS522" s="305"/>
      <c r="BT522" s="305"/>
      <c r="BU522" s="305"/>
      <c r="BV522" s="305"/>
      <c r="BX522" s="319"/>
    </row>
    <row r="523" spans="1:76" s="303" customFormat="1" x14ac:dyDescent="0.25">
      <c r="A523" s="275"/>
      <c r="B523" s="275"/>
      <c r="C523" s="275"/>
      <c r="D523" s="275"/>
      <c r="E523" s="275"/>
      <c r="F523" s="275"/>
      <c r="V523" s="304"/>
      <c r="W523" s="304"/>
      <c r="AD523" s="304"/>
      <c r="AE523" s="304"/>
      <c r="AR523" s="304"/>
      <c r="AS523" s="304"/>
      <c r="AT523" s="304"/>
      <c r="AU523" s="304"/>
      <c r="AV523" s="304"/>
      <c r="AW523" s="304"/>
      <c r="AX523" s="304"/>
      <c r="AY523" s="304"/>
      <c r="AZ523" s="304"/>
      <c r="BA523" s="304"/>
      <c r="BB523" s="304"/>
      <c r="BC523" s="304"/>
      <c r="BK523" s="305"/>
      <c r="BL523" s="305"/>
      <c r="BM523" s="305"/>
      <c r="BN523" s="305"/>
      <c r="BO523" s="305"/>
      <c r="BP523" s="305"/>
      <c r="BQ523" s="305"/>
      <c r="BR523" s="305"/>
      <c r="BS523" s="305"/>
      <c r="BT523" s="305"/>
      <c r="BU523" s="305"/>
      <c r="BV523" s="305"/>
      <c r="BX523" s="319"/>
    </row>
    <row r="524" spans="1:76" s="303" customFormat="1" x14ac:dyDescent="0.25">
      <c r="A524" s="275"/>
      <c r="B524" s="275"/>
      <c r="C524" s="275"/>
      <c r="D524" s="275"/>
      <c r="E524" s="275"/>
      <c r="F524" s="275"/>
      <c r="V524" s="304"/>
      <c r="W524" s="304"/>
      <c r="AD524" s="304"/>
      <c r="AE524" s="304"/>
      <c r="AR524" s="304"/>
      <c r="AS524" s="304"/>
      <c r="AT524" s="304"/>
      <c r="AU524" s="304"/>
      <c r="AV524" s="304"/>
      <c r="AW524" s="304"/>
      <c r="AX524" s="304"/>
      <c r="AY524" s="304"/>
      <c r="AZ524" s="304"/>
      <c r="BA524" s="304"/>
      <c r="BB524" s="304"/>
      <c r="BC524" s="304"/>
      <c r="BK524" s="305"/>
      <c r="BL524" s="305"/>
      <c r="BM524" s="305"/>
      <c r="BN524" s="305"/>
      <c r="BO524" s="305"/>
      <c r="BP524" s="305"/>
      <c r="BQ524" s="305"/>
      <c r="BR524" s="305"/>
      <c r="BS524" s="305"/>
      <c r="BT524" s="305"/>
      <c r="BU524" s="305"/>
      <c r="BV524" s="305"/>
      <c r="BX524" s="319"/>
    </row>
    <row r="525" spans="1:76" s="303" customFormat="1" x14ac:dyDescent="0.25">
      <c r="A525" s="275"/>
      <c r="B525" s="275"/>
      <c r="C525" s="275"/>
      <c r="D525" s="275"/>
      <c r="E525" s="275"/>
      <c r="F525" s="275"/>
      <c r="V525" s="304"/>
      <c r="W525" s="304"/>
      <c r="AD525" s="304"/>
      <c r="AE525" s="304"/>
      <c r="AR525" s="304"/>
      <c r="AS525" s="304"/>
      <c r="AT525" s="304"/>
      <c r="AU525" s="304"/>
      <c r="AV525" s="304"/>
      <c r="AW525" s="304"/>
      <c r="AX525" s="304"/>
      <c r="AY525" s="304"/>
      <c r="AZ525" s="304"/>
      <c r="BA525" s="304"/>
      <c r="BB525" s="304"/>
      <c r="BC525" s="304"/>
      <c r="BK525" s="305"/>
      <c r="BL525" s="305"/>
      <c r="BM525" s="305"/>
      <c r="BN525" s="305"/>
      <c r="BO525" s="305"/>
      <c r="BP525" s="305"/>
      <c r="BQ525" s="305"/>
      <c r="BR525" s="305"/>
      <c r="BS525" s="305"/>
      <c r="BT525" s="305"/>
      <c r="BU525" s="305"/>
      <c r="BV525" s="305"/>
      <c r="BX525" s="319"/>
    </row>
    <row r="526" spans="1:76" s="303" customFormat="1" x14ac:dyDescent="0.25">
      <c r="A526" s="275"/>
      <c r="B526" s="275"/>
      <c r="C526" s="275"/>
      <c r="D526" s="275"/>
      <c r="E526" s="275"/>
      <c r="F526" s="275"/>
      <c r="V526" s="304"/>
      <c r="W526" s="304"/>
      <c r="AD526" s="304"/>
      <c r="AE526" s="304"/>
      <c r="AR526" s="304"/>
      <c r="AS526" s="304"/>
      <c r="AT526" s="304"/>
      <c r="AU526" s="304"/>
      <c r="AV526" s="304"/>
      <c r="AW526" s="304"/>
      <c r="AX526" s="304"/>
      <c r="AY526" s="304"/>
      <c r="AZ526" s="304"/>
      <c r="BA526" s="304"/>
      <c r="BB526" s="304"/>
      <c r="BC526" s="304"/>
      <c r="BK526" s="305"/>
      <c r="BL526" s="305"/>
      <c r="BM526" s="305"/>
      <c r="BN526" s="305"/>
      <c r="BO526" s="305"/>
      <c r="BP526" s="305"/>
      <c r="BQ526" s="305"/>
      <c r="BR526" s="305"/>
      <c r="BS526" s="305"/>
      <c r="BT526" s="305"/>
      <c r="BU526" s="305"/>
      <c r="BV526" s="305"/>
      <c r="BX526" s="319"/>
    </row>
    <row r="527" spans="1:76" s="303" customFormat="1" x14ac:dyDescent="0.25">
      <c r="A527" s="275"/>
      <c r="B527" s="275"/>
      <c r="C527" s="275"/>
      <c r="D527" s="275"/>
      <c r="E527" s="275"/>
      <c r="F527" s="275"/>
      <c r="V527" s="304"/>
      <c r="W527" s="304"/>
      <c r="AD527" s="304"/>
      <c r="AE527" s="304"/>
      <c r="AR527" s="304"/>
      <c r="AS527" s="304"/>
      <c r="AT527" s="304"/>
      <c r="AU527" s="304"/>
      <c r="AV527" s="304"/>
      <c r="AW527" s="304"/>
      <c r="AX527" s="304"/>
      <c r="AY527" s="304"/>
      <c r="AZ527" s="304"/>
      <c r="BA527" s="304"/>
      <c r="BB527" s="304"/>
      <c r="BC527" s="304"/>
      <c r="BK527" s="305"/>
      <c r="BL527" s="305"/>
      <c r="BM527" s="305"/>
      <c r="BN527" s="305"/>
      <c r="BO527" s="305"/>
      <c r="BP527" s="305"/>
      <c r="BQ527" s="305"/>
      <c r="BR527" s="305"/>
      <c r="BS527" s="305"/>
      <c r="BT527" s="305"/>
      <c r="BU527" s="305"/>
      <c r="BV527" s="305"/>
      <c r="BX527" s="319"/>
    </row>
    <row r="528" spans="1:76" s="303" customFormat="1" x14ac:dyDescent="0.25">
      <c r="A528" s="275"/>
      <c r="B528" s="275"/>
      <c r="C528" s="275"/>
      <c r="D528" s="275"/>
      <c r="E528" s="275"/>
      <c r="F528" s="275"/>
      <c r="V528" s="304"/>
      <c r="W528" s="304"/>
      <c r="AD528" s="304"/>
      <c r="AE528" s="304"/>
      <c r="AR528" s="304"/>
      <c r="AS528" s="304"/>
      <c r="AT528" s="304"/>
      <c r="AU528" s="304"/>
      <c r="AV528" s="304"/>
      <c r="AW528" s="304"/>
      <c r="AX528" s="304"/>
      <c r="AY528" s="304"/>
      <c r="AZ528" s="304"/>
      <c r="BA528" s="304"/>
      <c r="BB528" s="304"/>
      <c r="BC528" s="304"/>
      <c r="BK528" s="305"/>
      <c r="BL528" s="305"/>
      <c r="BM528" s="305"/>
      <c r="BN528" s="305"/>
      <c r="BO528" s="305"/>
      <c r="BP528" s="305"/>
      <c r="BQ528" s="305"/>
      <c r="BR528" s="305"/>
      <c r="BS528" s="305"/>
      <c r="BT528" s="305"/>
      <c r="BU528" s="305"/>
      <c r="BV528" s="305"/>
      <c r="BX528" s="319"/>
    </row>
    <row r="529" spans="1:76" s="303" customFormat="1" x14ac:dyDescent="0.25">
      <c r="A529" s="275"/>
      <c r="B529" s="275"/>
      <c r="C529" s="275"/>
      <c r="D529" s="275"/>
      <c r="E529" s="275"/>
      <c r="F529" s="275"/>
      <c r="V529" s="304"/>
      <c r="W529" s="304"/>
      <c r="AD529" s="304"/>
      <c r="AE529" s="304"/>
      <c r="AR529" s="304"/>
      <c r="AS529" s="304"/>
      <c r="AT529" s="304"/>
      <c r="AU529" s="304"/>
      <c r="AV529" s="304"/>
      <c r="AW529" s="304"/>
      <c r="AX529" s="304"/>
      <c r="AY529" s="304"/>
      <c r="AZ529" s="304"/>
      <c r="BA529" s="304"/>
      <c r="BB529" s="304"/>
      <c r="BC529" s="304"/>
      <c r="BK529" s="305"/>
      <c r="BL529" s="305"/>
      <c r="BM529" s="305"/>
      <c r="BN529" s="305"/>
      <c r="BO529" s="305"/>
      <c r="BP529" s="305"/>
      <c r="BQ529" s="305"/>
      <c r="BR529" s="305"/>
      <c r="BS529" s="305"/>
      <c r="BT529" s="305"/>
      <c r="BU529" s="305"/>
      <c r="BV529" s="305"/>
      <c r="BX529" s="319"/>
    </row>
    <row r="530" spans="1:76" s="303" customFormat="1" x14ac:dyDescent="0.25">
      <c r="A530" s="275"/>
      <c r="B530" s="275"/>
      <c r="C530" s="275"/>
      <c r="D530" s="275"/>
      <c r="E530" s="275"/>
      <c r="F530" s="275"/>
      <c r="V530" s="304"/>
      <c r="W530" s="304"/>
      <c r="AD530" s="304"/>
      <c r="AE530" s="304"/>
      <c r="AR530" s="304"/>
      <c r="AS530" s="304"/>
      <c r="AT530" s="304"/>
      <c r="AU530" s="304"/>
      <c r="AV530" s="304"/>
      <c r="AW530" s="304"/>
      <c r="AX530" s="304"/>
      <c r="AY530" s="304"/>
      <c r="AZ530" s="304"/>
      <c r="BA530" s="304"/>
      <c r="BB530" s="304"/>
      <c r="BC530" s="304"/>
      <c r="BK530" s="305"/>
      <c r="BL530" s="305"/>
      <c r="BM530" s="305"/>
      <c r="BN530" s="305"/>
      <c r="BO530" s="305"/>
      <c r="BP530" s="305"/>
      <c r="BQ530" s="305"/>
      <c r="BR530" s="305"/>
      <c r="BS530" s="305"/>
      <c r="BT530" s="305"/>
      <c r="BU530" s="305"/>
      <c r="BV530" s="305"/>
      <c r="BX530" s="319"/>
    </row>
    <row r="531" spans="1:76" s="303" customFormat="1" x14ac:dyDescent="0.25">
      <c r="A531" s="275"/>
      <c r="B531" s="275"/>
      <c r="C531" s="275"/>
      <c r="D531" s="275"/>
      <c r="E531" s="275"/>
      <c r="F531" s="275"/>
      <c r="V531" s="304"/>
      <c r="W531" s="304"/>
      <c r="AD531" s="304"/>
      <c r="AE531" s="304"/>
      <c r="AR531" s="304"/>
      <c r="AS531" s="304"/>
      <c r="AT531" s="304"/>
      <c r="AU531" s="304"/>
      <c r="AV531" s="304"/>
      <c r="AW531" s="304"/>
      <c r="AX531" s="304"/>
      <c r="AY531" s="304"/>
      <c r="AZ531" s="304"/>
      <c r="BA531" s="304"/>
      <c r="BB531" s="304"/>
      <c r="BC531" s="304"/>
      <c r="BK531" s="305"/>
      <c r="BL531" s="305"/>
      <c r="BM531" s="305"/>
      <c r="BN531" s="305"/>
      <c r="BO531" s="305"/>
      <c r="BP531" s="305"/>
      <c r="BQ531" s="305"/>
      <c r="BR531" s="305"/>
      <c r="BS531" s="305"/>
      <c r="BT531" s="305"/>
      <c r="BU531" s="305"/>
      <c r="BV531" s="305"/>
      <c r="BX531" s="319"/>
    </row>
    <row r="532" spans="1:76" s="303" customFormat="1" x14ac:dyDescent="0.25">
      <c r="A532" s="275"/>
      <c r="B532" s="275"/>
      <c r="C532" s="275"/>
      <c r="D532" s="275"/>
      <c r="E532" s="275"/>
      <c r="F532" s="275"/>
      <c r="V532" s="304"/>
      <c r="W532" s="304"/>
      <c r="AD532" s="304"/>
      <c r="AE532" s="304"/>
      <c r="AR532" s="304"/>
      <c r="AS532" s="304"/>
      <c r="AT532" s="304"/>
      <c r="AU532" s="304"/>
      <c r="AV532" s="304"/>
      <c r="AW532" s="304"/>
      <c r="AX532" s="304"/>
      <c r="AY532" s="304"/>
      <c r="AZ532" s="304"/>
      <c r="BA532" s="304"/>
      <c r="BB532" s="304"/>
      <c r="BC532" s="304"/>
      <c r="BK532" s="305"/>
      <c r="BL532" s="305"/>
      <c r="BM532" s="305"/>
      <c r="BN532" s="305"/>
      <c r="BO532" s="305"/>
      <c r="BP532" s="305"/>
      <c r="BQ532" s="305"/>
      <c r="BR532" s="305"/>
      <c r="BS532" s="305"/>
      <c r="BT532" s="305"/>
      <c r="BU532" s="305"/>
      <c r="BV532" s="305"/>
      <c r="BX532" s="319"/>
    </row>
    <row r="533" spans="1:76" s="303" customFormat="1" x14ac:dyDescent="0.25">
      <c r="A533" s="275"/>
      <c r="B533" s="275"/>
      <c r="C533" s="275"/>
      <c r="D533" s="275"/>
      <c r="E533" s="275"/>
      <c r="F533" s="275"/>
      <c r="V533" s="304"/>
      <c r="W533" s="304"/>
      <c r="AD533" s="304"/>
      <c r="AE533" s="304"/>
      <c r="AR533" s="304"/>
      <c r="AS533" s="304"/>
      <c r="AT533" s="304"/>
      <c r="AU533" s="304"/>
      <c r="AV533" s="304"/>
      <c r="AW533" s="304"/>
      <c r="AX533" s="304"/>
      <c r="AY533" s="304"/>
      <c r="AZ533" s="304"/>
      <c r="BA533" s="304"/>
      <c r="BB533" s="304"/>
      <c r="BC533" s="304"/>
      <c r="BK533" s="305"/>
      <c r="BL533" s="305"/>
      <c r="BM533" s="305"/>
      <c r="BN533" s="305"/>
      <c r="BO533" s="305"/>
      <c r="BP533" s="305"/>
      <c r="BQ533" s="305"/>
      <c r="BR533" s="305"/>
      <c r="BS533" s="305"/>
      <c r="BT533" s="305"/>
      <c r="BU533" s="305"/>
      <c r="BV533" s="305"/>
      <c r="BX533" s="319"/>
    </row>
    <row r="534" spans="1:76" s="303" customFormat="1" x14ac:dyDescent="0.25">
      <c r="A534" s="275"/>
      <c r="B534" s="275"/>
      <c r="C534" s="275"/>
      <c r="D534" s="275"/>
      <c r="E534" s="275"/>
      <c r="F534" s="275"/>
      <c r="V534" s="304"/>
      <c r="W534" s="304"/>
      <c r="AD534" s="304"/>
      <c r="AE534" s="304"/>
      <c r="AR534" s="304"/>
      <c r="AS534" s="304"/>
      <c r="AT534" s="304"/>
      <c r="AU534" s="304"/>
      <c r="AV534" s="304"/>
      <c r="AW534" s="304"/>
      <c r="AX534" s="304"/>
      <c r="AY534" s="304"/>
      <c r="AZ534" s="304"/>
      <c r="BA534" s="304"/>
      <c r="BB534" s="304"/>
      <c r="BC534" s="304"/>
      <c r="BK534" s="305"/>
      <c r="BL534" s="305"/>
      <c r="BM534" s="305"/>
      <c r="BN534" s="305"/>
      <c r="BO534" s="305"/>
      <c r="BP534" s="305"/>
      <c r="BQ534" s="305"/>
      <c r="BR534" s="305"/>
      <c r="BS534" s="305"/>
      <c r="BT534" s="305"/>
      <c r="BU534" s="305"/>
      <c r="BV534" s="305"/>
      <c r="BX534" s="319"/>
    </row>
    <row r="535" spans="1:76" s="303" customFormat="1" x14ac:dyDescent="0.25">
      <c r="A535" s="275"/>
      <c r="B535" s="275"/>
      <c r="C535" s="275"/>
      <c r="D535" s="275"/>
      <c r="E535" s="275"/>
      <c r="F535" s="275"/>
      <c r="V535" s="304"/>
      <c r="W535" s="304"/>
      <c r="AD535" s="304"/>
      <c r="AE535" s="304"/>
      <c r="AR535" s="304"/>
      <c r="AS535" s="304"/>
      <c r="AT535" s="304"/>
      <c r="AU535" s="304"/>
      <c r="AV535" s="304"/>
      <c r="AW535" s="304"/>
      <c r="AX535" s="304"/>
      <c r="AY535" s="304"/>
      <c r="AZ535" s="304"/>
      <c r="BA535" s="304"/>
      <c r="BB535" s="304"/>
      <c r="BC535" s="304"/>
      <c r="BK535" s="305"/>
      <c r="BL535" s="305"/>
      <c r="BM535" s="305"/>
      <c r="BN535" s="305"/>
      <c r="BO535" s="305"/>
      <c r="BP535" s="305"/>
      <c r="BQ535" s="305"/>
      <c r="BR535" s="305"/>
      <c r="BS535" s="305"/>
      <c r="BT535" s="305"/>
      <c r="BU535" s="305"/>
      <c r="BV535" s="305"/>
      <c r="BX535" s="319"/>
    </row>
    <row r="536" spans="1:76" s="303" customFormat="1" x14ac:dyDescent="0.25">
      <c r="A536" s="275"/>
      <c r="B536" s="275"/>
      <c r="C536" s="275"/>
      <c r="D536" s="275"/>
      <c r="E536" s="275"/>
      <c r="F536" s="275"/>
      <c r="V536" s="304"/>
      <c r="W536" s="304"/>
      <c r="AD536" s="304"/>
      <c r="AE536" s="304"/>
      <c r="AR536" s="304"/>
      <c r="AS536" s="304"/>
      <c r="AT536" s="304"/>
      <c r="AU536" s="304"/>
      <c r="AV536" s="304"/>
      <c r="AW536" s="304"/>
      <c r="AX536" s="304"/>
      <c r="AY536" s="304"/>
      <c r="AZ536" s="304"/>
      <c r="BA536" s="304"/>
      <c r="BB536" s="304"/>
      <c r="BC536" s="304"/>
      <c r="BK536" s="305"/>
      <c r="BL536" s="305"/>
      <c r="BM536" s="305"/>
      <c r="BN536" s="305"/>
      <c r="BO536" s="305"/>
      <c r="BP536" s="305"/>
      <c r="BQ536" s="305"/>
      <c r="BR536" s="305"/>
      <c r="BS536" s="305"/>
      <c r="BT536" s="305"/>
      <c r="BU536" s="305"/>
      <c r="BV536" s="305"/>
      <c r="BX536" s="319"/>
    </row>
    <row r="537" spans="1:76" s="303" customFormat="1" x14ac:dyDescent="0.25">
      <c r="A537" s="275"/>
      <c r="B537" s="275"/>
      <c r="C537" s="275"/>
      <c r="D537" s="275"/>
      <c r="E537" s="275"/>
      <c r="F537" s="275"/>
      <c r="V537" s="304"/>
      <c r="W537" s="304"/>
      <c r="AD537" s="304"/>
      <c r="AE537" s="304"/>
      <c r="AR537" s="304"/>
      <c r="AS537" s="304"/>
      <c r="AT537" s="304"/>
      <c r="AU537" s="304"/>
      <c r="AV537" s="304"/>
      <c r="AW537" s="304"/>
      <c r="AX537" s="304"/>
      <c r="AY537" s="304"/>
      <c r="AZ537" s="304"/>
      <c r="BA537" s="304"/>
      <c r="BB537" s="304"/>
      <c r="BC537" s="304"/>
      <c r="BK537" s="305"/>
      <c r="BL537" s="305"/>
      <c r="BM537" s="305"/>
      <c r="BN537" s="305"/>
      <c r="BO537" s="305"/>
      <c r="BP537" s="305"/>
      <c r="BQ537" s="305"/>
      <c r="BR537" s="305"/>
      <c r="BS537" s="305"/>
      <c r="BT537" s="305"/>
      <c r="BU537" s="305"/>
      <c r="BV537" s="305"/>
      <c r="BX537" s="319"/>
    </row>
    <row r="538" spans="1:76" s="303" customFormat="1" x14ac:dyDescent="0.25">
      <c r="A538" s="275"/>
      <c r="B538" s="275"/>
      <c r="C538" s="275"/>
      <c r="D538" s="275"/>
      <c r="E538" s="275"/>
      <c r="F538" s="275"/>
      <c r="V538" s="304"/>
      <c r="W538" s="304"/>
      <c r="AD538" s="304"/>
      <c r="AE538" s="304"/>
      <c r="AR538" s="304"/>
      <c r="AS538" s="304"/>
      <c r="AT538" s="304"/>
      <c r="AU538" s="304"/>
      <c r="AV538" s="304"/>
      <c r="AW538" s="304"/>
      <c r="AX538" s="304"/>
      <c r="AY538" s="304"/>
      <c r="AZ538" s="304"/>
      <c r="BA538" s="304"/>
      <c r="BB538" s="304"/>
      <c r="BC538" s="304"/>
      <c r="BK538" s="305"/>
      <c r="BL538" s="305"/>
      <c r="BM538" s="305"/>
      <c r="BN538" s="305"/>
      <c r="BO538" s="305"/>
      <c r="BP538" s="305"/>
      <c r="BQ538" s="305"/>
      <c r="BR538" s="305"/>
      <c r="BS538" s="305"/>
      <c r="BT538" s="305"/>
      <c r="BU538" s="305"/>
      <c r="BV538" s="305"/>
      <c r="BX538" s="319"/>
    </row>
    <row r="539" spans="1:76" s="303" customFormat="1" x14ac:dyDescent="0.25">
      <c r="A539" s="275"/>
      <c r="B539" s="275"/>
      <c r="C539" s="275"/>
      <c r="D539" s="275"/>
      <c r="E539" s="275"/>
      <c r="F539" s="275"/>
      <c r="V539" s="304"/>
      <c r="W539" s="304"/>
      <c r="AD539" s="304"/>
      <c r="AE539" s="304"/>
      <c r="AR539" s="304"/>
      <c r="AS539" s="304"/>
      <c r="AT539" s="304"/>
      <c r="AU539" s="304"/>
      <c r="AV539" s="304"/>
      <c r="AW539" s="304"/>
      <c r="AX539" s="304"/>
      <c r="AY539" s="304"/>
      <c r="AZ539" s="304"/>
      <c r="BA539" s="304"/>
      <c r="BB539" s="304"/>
      <c r="BC539" s="304"/>
      <c r="BK539" s="305"/>
      <c r="BL539" s="305"/>
      <c r="BM539" s="305"/>
      <c r="BN539" s="305"/>
      <c r="BO539" s="305"/>
      <c r="BP539" s="305"/>
      <c r="BQ539" s="305"/>
      <c r="BR539" s="305"/>
      <c r="BS539" s="305"/>
      <c r="BT539" s="305"/>
      <c r="BU539" s="305"/>
      <c r="BV539" s="305"/>
      <c r="BX539" s="319"/>
    </row>
    <row r="540" spans="1:76" s="303" customFormat="1" x14ac:dyDescent="0.25">
      <c r="A540" s="275"/>
      <c r="B540" s="275"/>
      <c r="C540" s="275"/>
      <c r="D540" s="275"/>
      <c r="E540" s="275"/>
      <c r="F540" s="275"/>
      <c r="V540" s="304"/>
      <c r="W540" s="304"/>
      <c r="AD540" s="304"/>
      <c r="AE540" s="304"/>
      <c r="AR540" s="304"/>
      <c r="AS540" s="304"/>
      <c r="AT540" s="304"/>
      <c r="AU540" s="304"/>
      <c r="AV540" s="304"/>
      <c r="AW540" s="304"/>
      <c r="AX540" s="304"/>
      <c r="AY540" s="304"/>
      <c r="AZ540" s="304"/>
      <c r="BA540" s="304"/>
      <c r="BB540" s="304"/>
      <c r="BC540" s="304"/>
      <c r="BK540" s="305"/>
      <c r="BL540" s="305"/>
      <c r="BM540" s="305"/>
      <c r="BN540" s="305"/>
      <c r="BO540" s="305"/>
      <c r="BP540" s="305"/>
      <c r="BQ540" s="305"/>
      <c r="BR540" s="305"/>
      <c r="BS540" s="305"/>
      <c r="BT540" s="305"/>
      <c r="BU540" s="305"/>
      <c r="BV540" s="305"/>
      <c r="BX540" s="319"/>
    </row>
    <row r="541" spans="1:76" s="303" customFormat="1" x14ac:dyDescent="0.25">
      <c r="A541" s="275"/>
      <c r="B541" s="275"/>
      <c r="C541" s="275"/>
      <c r="D541" s="275"/>
      <c r="E541" s="275"/>
      <c r="F541" s="275"/>
      <c r="V541" s="304"/>
      <c r="W541" s="304"/>
      <c r="AD541" s="304"/>
      <c r="AE541" s="304"/>
      <c r="AR541" s="304"/>
      <c r="AS541" s="304"/>
      <c r="AT541" s="304"/>
      <c r="AU541" s="304"/>
      <c r="AV541" s="304"/>
      <c r="AW541" s="304"/>
      <c r="AX541" s="304"/>
      <c r="AY541" s="304"/>
      <c r="AZ541" s="304"/>
      <c r="BA541" s="304"/>
      <c r="BB541" s="304"/>
      <c r="BC541" s="304"/>
      <c r="BK541" s="305"/>
      <c r="BL541" s="305"/>
      <c r="BM541" s="305"/>
      <c r="BN541" s="305"/>
      <c r="BO541" s="305"/>
      <c r="BP541" s="305"/>
      <c r="BQ541" s="305"/>
      <c r="BR541" s="305"/>
      <c r="BS541" s="305"/>
      <c r="BT541" s="305"/>
      <c r="BU541" s="305"/>
      <c r="BV541" s="305"/>
      <c r="BX541" s="319"/>
    </row>
    <row r="542" spans="1:76" s="303" customFormat="1" x14ac:dyDescent="0.25">
      <c r="A542" s="275"/>
      <c r="B542" s="275"/>
      <c r="C542" s="275"/>
      <c r="D542" s="275"/>
      <c r="E542" s="275"/>
      <c r="F542" s="275"/>
      <c r="V542" s="304"/>
      <c r="W542" s="304"/>
      <c r="AD542" s="304"/>
      <c r="AE542" s="304"/>
      <c r="AR542" s="304"/>
      <c r="AS542" s="304"/>
      <c r="AT542" s="304"/>
      <c r="AU542" s="304"/>
      <c r="AV542" s="304"/>
      <c r="AW542" s="304"/>
      <c r="AX542" s="304"/>
      <c r="AY542" s="304"/>
      <c r="AZ542" s="304"/>
      <c r="BA542" s="304"/>
      <c r="BB542" s="304"/>
      <c r="BC542" s="304"/>
      <c r="BK542" s="305"/>
      <c r="BL542" s="305"/>
      <c r="BM542" s="305"/>
      <c r="BN542" s="305"/>
      <c r="BO542" s="305"/>
      <c r="BP542" s="305"/>
      <c r="BQ542" s="305"/>
      <c r="BR542" s="305"/>
      <c r="BS542" s="305"/>
      <c r="BT542" s="305"/>
      <c r="BU542" s="305"/>
      <c r="BV542" s="305"/>
      <c r="BX542" s="319"/>
    </row>
    <row r="543" spans="1:76" s="303" customFormat="1" x14ac:dyDescent="0.25">
      <c r="A543" s="275"/>
      <c r="B543" s="275"/>
      <c r="C543" s="275"/>
      <c r="D543" s="275"/>
      <c r="E543" s="275"/>
      <c r="F543" s="275"/>
      <c r="V543" s="304"/>
      <c r="W543" s="304"/>
      <c r="AD543" s="304"/>
      <c r="AE543" s="304"/>
      <c r="AR543" s="304"/>
      <c r="AS543" s="304"/>
      <c r="AT543" s="304"/>
      <c r="AU543" s="304"/>
      <c r="AV543" s="304"/>
      <c r="AW543" s="304"/>
      <c r="AX543" s="304"/>
      <c r="AY543" s="304"/>
      <c r="AZ543" s="304"/>
      <c r="BA543" s="304"/>
      <c r="BB543" s="304"/>
      <c r="BC543" s="304"/>
      <c r="BK543" s="305"/>
      <c r="BL543" s="305"/>
      <c r="BM543" s="305"/>
      <c r="BN543" s="305"/>
      <c r="BO543" s="305"/>
      <c r="BP543" s="305"/>
      <c r="BQ543" s="305"/>
      <c r="BR543" s="305"/>
      <c r="BS543" s="305"/>
      <c r="BT543" s="305"/>
      <c r="BU543" s="305"/>
      <c r="BV543" s="305"/>
      <c r="BX543" s="319"/>
    </row>
    <row r="544" spans="1:76" s="303" customFormat="1" x14ac:dyDescent="0.25">
      <c r="A544" s="275"/>
      <c r="B544" s="275"/>
      <c r="C544" s="275"/>
      <c r="D544" s="275"/>
      <c r="E544" s="275"/>
      <c r="F544" s="275"/>
      <c r="V544" s="304"/>
      <c r="W544" s="304"/>
      <c r="AD544" s="304"/>
      <c r="AE544" s="304"/>
      <c r="AR544" s="304"/>
      <c r="AS544" s="304"/>
      <c r="AT544" s="304"/>
      <c r="AU544" s="304"/>
      <c r="AV544" s="304"/>
      <c r="AW544" s="304"/>
      <c r="AX544" s="304"/>
      <c r="AY544" s="304"/>
      <c r="AZ544" s="304"/>
      <c r="BA544" s="304"/>
      <c r="BB544" s="304"/>
      <c r="BC544" s="304"/>
      <c r="BK544" s="305"/>
      <c r="BL544" s="305"/>
      <c r="BM544" s="305"/>
      <c r="BN544" s="305"/>
      <c r="BO544" s="305"/>
      <c r="BP544" s="305"/>
      <c r="BQ544" s="305"/>
      <c r="BR544" s="305"/>
      <c r="BS544" s="305"/>
      <c r="BT544" s="305"/>
      <c r="BU544" s="305"/>
      <c r="BV544" s="305"/>
      <c r="BX544" s="319"/>
    </row>
    <row r="545" spans="1:76" s="303" customFormat="1" x14ac:dyDescent="0.25">
      <c r="A545" s="275"/>
      <c r="B545" s="275"/>
      <c r="C545" s="275"/>
      <c r="D545" s="275"/>
      <c r="E545" s="275"/>
      <c r="F545" s="275"/>
      <c r="V545" s="304"/>
      <c r="W545" s="304"/>
      <c r="AD545" s="304"/>
      <c r="AE545" s="304"/>
      <c r="AR545" s="304"/>
      <c r="AS545" s="304"/>
      <c r="AT545" s="304"/>
      <c r="AU545" s="304"/>
      <c r="AV545" s="304"/>
      <c r="AW545" s="304"/>
      <c r="AX545" s="304"/>
      <c r="AY545" s="304"/>
      <c r="AZ545" s="304"/>
      <c r="BA545" s="304"/>
      <c r="BB545" s="304"/>
      <c r="BC545" s="304"/>
      <c r="BK545" s="305"/>
      <c r="BL545" s="305"/>
      <c r="BM545" s="305"/>
      <c r="BN545" s="305"/>
      <c r="BO545" s="305"/>
      <c r="BP545" s="305"/>
      <c r="BQ545" s="305"/>
      <c r="BR545" s="305"/>
      <c r="BS545" s="305"/>
      <c r="BT545" s="305"/>
      <c r="BU545" s="305"/>
      <c r="BV545" s="305"/>
      <c r="BX545" s="319"/>
    </row>
    <row r="546" spans="1:76" s="303" customFormat="1" x14ac:dyDescent="0.25">
      <c r="A546" s="275"/>
      <c r="B546" s="275"/>
      <c r="C546" s="275"/>
      <c r="D546" s="275"/>
      <c r="E546" s="275"/>
      <c r="F546" s="275"/>
      <c r="V546" s="304"/>
      <c r="W546" s="304"/>
      <c r="AD546" s="304"/>
      <c r="AE546" s="304"/>
      <c r="AR546" s="304"/>
      <c r="AS546" s="304"/>
      <c r="AT546" s="304"/>
      <c r="AU546" s="304"/>
      <c r="AV546" s="304"/>
      <c r="AW546" s="304"/>
      <c r="AX546" s="304"/>
      <c r="AY546" s="304"/>
      <c r="AZ546" s="304"/>
      <c r="BA546" s="304"/>
      <c r="BB546" s="304"/>
      <c r="BC546" s="304"/>
      <c r="BK546" s="305"/>
      <c r="BL546" s="305"/>
      <c r="BM546" s="305"/>
      <c r="BN546" s="305"/>
      <c r="BO546" s="305"/>
      <c r="BP546" s="305"/>
      <c r="BQ546" s="305"/>
      <c r="BR546" s="305"/>
      <c r="BS546" s="305"/>
      <c r="BT546" s="305"/>
      <c r="BU546" s="305"/>
      <c r="BV546" s="305"/>
      <c r="BX546" s="319"/>
    </row>
    <row r="547" spans="1:76" s="303" customFormat="1" x14ac:dyDescent="0.25">
      <c r="A547" s="275"/>
      <c r="B547" s="275"/>
      <c r="C547" s="275"/>
      <c r="D547" s="275"/>
      <c r="E547" s="275"/>
      <c r="F547" s="275"/>
      <c r="V547" s="304"/>
      <c r="W547" s="304"/>
      <c r="AD547" s="304"/>
      <c r="AE547" s="304"/>
      <c r="AR547" s="304"/>
      <c r="AS547" s="304"/>
      <c r="AT547" s="304"/>
      <c r="AU547" s="304"/>
      <c r="AV547" s="304"/>
      <c r="AW547" s="304"/>
      <c r="AX547" s="304"/>
      <c r="AY547" s="304"/>
      <c r="AZ547" s="304"/>
      <c r="BA547" s="304"/>
      <c r="BB547" s="304"/>
      <c r="BC547" s="304"/>
      <c r="BK547" s="305"/>
      <c r="BL547" s="305"/>
      <c r="BM547" s="305"/>
      <c r="BN547" s="305"/>
      <c r="BO547" s="305"/>
      <c r="BP547" s="305"/>
      <c r="BQ547" s="305"/>
      <c r="BR547" s="305"/>
      <c r="BS547" s="305"/>
      <c r="BT547" s="305"/>
      <c r="BU547" s="305"/>
      <c r="BV547" s="305"/>
      <c r="BX547" s="319"/>
    </row>
    <row r="548" spans="1:76" s="303" customFormat="1" x14ac:dyDescent="0.25">
      <c r="A548" s="275"/>
      <c r="B548" s="275"/>
      <c r="C548" s="275"/>
      <c r="D548" s="275"/>
      <c r="E548" s="275"/>
      <c r="F548" s="275"/>
      <c r="V548" s="304"/>
      <c r="W548" s="304"/>
      <c r="AD548" s="304"/>
      <c r="AE548" s="304"/>
      <c r="AR548" s="304"/>
      <c r="AS548" s="304"/>
      <c r="AT548" s="304"/>
      <c r="AU548" s="304"/>
      <c r="AV548" s="304"/>
      <c r="AW548" s="304"/>
      <c r="AX548" s="304"/>
      <c r="AY548" s="304"/>
      <c r="AZ548" s="304"/>
      <c r="BA548" s="304"/>
      <c r="BB548" s="304"/>
      <c r="BC548" s="304"/>
      <c r="BK548" s="305"/>
      <c r="BL548" s="305"/>
      <c r="BM548" s="305"/>
      <c r="BN548" s="305"/>
      <c r="BO548" s="305"/>
      <c r="BP548" s="305"/>
      <c r="BQ548" s="305"/>
      <c r="BR548" s="305"/>
      <c r="BS548" s="305"/>
      <c r="BT548" s="305"/>
      <c r="BU548" s="305"/>
      <c r="BV548" s="305"/>
      <c r="BX548" s="319"/>
    </row>
    <row r="549" spans="1:76" s="303" customFormat="1" x14ac:dyDescent="0.25">
      <c r="A549" s="275"/>
      <c r="B549" s="275"/>
      <c r="C549" s="275"/>
      <c r="D549" s="275"/>
      <c r="E549" s="275"/>
      <c r="F549" s="275"/>
      <c r="V549" s="304"/>
      <c r="W549" s="304"/>
      <c r="AD549" s="304"/>
      <c r="AE549" s="304"/>
      <c r="AR549" s="304"/>
      <c r="AS549" s="304"/>
      <c r="AT549" s="304"/>
      <c r="AU549" s="304"/>
      <c r="AV549" s="304"/>
      <c r="AW549" s="304"/>
      <c r="AX549" s="304"/>
      <c r="AY549" s="304"/>
      <c r="AZ549" s="304"/>
      <c r="BA549" s="304"/>
      <c r="BB549" s="304"/>
      <c r="BC549" s="304"/>
      <c r="BK549" s="305"/>
      <c r="BL549" s="305"/>
      <c r="BM549" s="305"/>
      <c r="BN549" s="305"/>
      <c r="BO549" s="305"/>
      <c r="BP549" s="305"/>
      <c r="BQ549" s="305"/>
      <c r="BR549" s="305"/>
      <c r="BS549" s="305"/>
      <c r="BT549" s="305"/>
      <c r="BU549" s="305"/>
      <c r="BV549" s="305"/>
      <c r="BX549" s="319"/>
    </row>
    <row r="550" spans="1:76" s="303" customFormat="1" x14ac:dyDescent="0.25">
      <c r="A550" s="275"/>
      <c r="B550" s="275"/>
      <c r="C550" s="275"/>
      <c r="D550" s="275"/>
      <c r="E550" s="275"/>
      <c r="F550" s="275"/>
      <c r="V550" s="304"/>
      <c r="W550" s="304"/>
      <c r="AD550" s="304"/>
      <c r="AE550" s="304"/>
      <c r="AR550" s="304"/>
      <c r="AS550" s="304"/>
      <c r="AT550" s="304"/>
      <c r="AU550" s="304"/>
      <c r="AV550" s="304"/>
      <c r="AW550" s="304"/>
      <c r="AX550" s="304"/>
      <c r="AY550" s="304"/>
      <c r="AZ550" s="304"/>
      <c r="BA550" s="304"/>
      <c r="BB550" s="304"/>
      <c r="BC550" s="304"/>
      <c r="BK550" s="305"/>
      <c r="BL550" s="305"/>
      <c r="BM550" s="305"/>
      <c r="BN550" s="305"/>
      <c r="BO550" s="305"/>
      <c r="BP550" s="305"/>
      <c r="BQ550" s="305"/>
      <c r="BR550" s="305"/>
      <c r="BS550" s="305"/>
      <c r="BT550" s="305"/>
      <c r="BU550" s="305"/>
      <c r="BV550" s="305"/>
      <c r="BX550" s="319"/>
    </row>
    <row r="551" spans="1:76" s="303" customFormat="1" x14ac:dyDescent="0.25">
      <c r="A551" s="275"/>
      <c r="B551" s="275"/>
      <c r="C551" s="275"/>
      <c r="D551" s="275"/>
      <c r="E551" s="275"/>
      <c r="F551" s="275"/>
      <c r="V551" s="304"/>
      <c r="W551" s="304"/>
      <c r="AD551" s="304"/>
      <c r="AE551" s="304"/>
      <c r="AR551" s="304"/>
      <c r="AS551" s="304"/>
      <c r="AT551" s="304"/>
      <c r="AU551" s="304"/>
      <c r="AV551" s="304"/>
      <c r="AW551" s="304"/>
      <c r="AX551" s="304"/>
      <c r="AY551" s="304"/>
      <c r="AZ551" s="304"/>
      <c r="BA551" s="304"/>
      <c r="BB551" s="304"/>
      <c r="BC551" s="304"/>
      <c r="BK551" s="305"/>
      <c r="BL551" s="305"/>
      <c r="BM551" s="305"/>
      <c r="BN551" s="305"/>
      <c r="BO551" s="305"/>
      <c r="BP551" s="305"/>
      <c r="BQ551" s="305"/>
      <c r="BR551" s="305"/>
      <c r="BS551" s="305"/>
      <c r="BT551" s="305"/>
      <c r="BU551" s="305"/>
      <c r="BV551" s="305"/>
      <c r="BX551" s="319"/>
    </row>
    <row r="552" spans="1:76" s="303" customFormat="1" x14ac:dyDescent="0.25">
      <c r="A552" s="275"/>
      <c r="B552" s="275"/>
      <c r="C552" s="275"/>
      <c r="D552" s="275"/>
      <c r="E552" s="275"/>
      <c r="F552" s="275"/>
      <c r="V552" s="304"/>
      <c r="W552" s="304"/>
      <c r="AD552" s="304"/>
      <c r="AE552" s="304"/>
      <c r="AR552" s="304"/>
      <c r="AS552" s="304"/>
      <c r="AT552" s="304"/>
      <c r="AU552" s="304"/>
      <c r="AV552" s="304"/>
      <c r="AW552" s="304"/>
      <c r="AX552" s="304"/>
      <c r="AY552" s="304"/>
      <c r="AZ552" s="304"/>
      <c r="BA552" s="304"/>
      <c r="BB552" s="304"/>
      <c r="BC552" s="304"/>
      <c r="BK552" s="305"/>
      <c r="BL552" s="305"/>
      <c r="BM552" s="305"/>
      <c r="BN552" s="305"/>
      <c r="BO552" s="305"/>
      <c r="BP552" s="305"/>
      <c r="BQ552" s="305"/>
      <c r="BR552" s="305"/>
      <c r="BS552" s="305"/>
      <c r="BT552" s="305"/>
      <c r="BU552" s="305"/>
      <c r="BV552" s="305"/>
      <c r="BX552" s="319"/>
    </row>
    <row r="553" spans="1:76" s="303" customFormat="1" x14ac:dyDescent="0.25">
      <c r="A553" s="275"/>
      <c r="B553" s="275"/>
      <c r="C553" s="275"/>
      <c r="D553" s="275"/>
      <c r="E553" s="275"/>
      <c r="F553" s="275"/>
      <c r="V553" s="304"/>
      <c r="W553" s="304"/>
      <c r="AD553" s="304"/>
      <c r="AE553" s="304"/>
      <c r="AR553" s="304"/>
      <c r="AS553" s="304"/>
      <c r="AT553" s="304"/>
      <c r="AU553" s="304"/>
      <c r="AV553" s="304"/>
      <c r="AW553" s="304"/>
      <c r="AX553" s="304"/>
      <c r="AY553" s="304"/>
      <c r="AZ553" s="304"/>
      <c r="BA553" s="304"/>
      <c r="BB553" s="304"/>
      <c r="BC553" s="304"/>
      <c r="BK553" s="305"/>
      <c r="BL553" s="305"/>
      <c r="BM553" s="305"/>
      <c r="BN553" s="305"/>
      <c r="BO553" s="305"/>
      <c r="BP553" s="305"/>
      <c r="BQ553" s="305"/>
      <c r="BR553" s="305"/>
      <c r="BS553" s="305"/>
      <c r="BT553" s="305"/>
      <c r="BU553" s="305"/>
      <c r="BV553" s="305"/>
      <c r="BX553" s="319"/>
    </row>
    <row r="554" spans="1:76" s="303" customFormat="1" x14ac:dyDescent="0.25">
      <c r="A554" s="275"/>
      <c r="B554" s="275"/>
      <c r="C554" s="275"/>
      <c r="D554" s="275"/>
      <c r="E554" s="275"/>
      <c r="F554" s="275"/>
      <c r="V554" s="304"/>
      <c r="W554" s="304"/>
      <c r="AD554" s="304"/>
      <c r="AE554" s="304"/>
      <c r="AR554" s="304"/>
      <c r="AS554" s="304"/>
      <c r="AT554" s="304"/>
      <c r="AU554" s="304"/>
      <c r="AV554" s="304"/>
      <c r="AW554" s="304"/>
      <c r="AX554" s="304"/>
      <c r="AY554" s="304"/>
      <c r="AZ554" s="304"/>
      <c r="BA554" s="304"/>
      <c r="BB554" s="304"/>
      <c r="BC554" s="304"/>
      <c r="BK554" s="305"/>
      <c r="BL554" s="305"/>
      <c r="BM554" s="305"/>
      <c r="BN554" s="305"/>
      <c r="BO554" s="305"/>
      <c r="BP554" s="305"/>
      <c r="BQ554" s="305"/>
      <c r="BR554" s="305"/>
      <c r="BS554" s="305"/>
      <c r="BT554" s="305"/>
      <c r="BU554" s="305"/>
      <c r="BV554" s="305"/>
      <c r="BX554" s="319"/>
    </row>
    <row r="555" spans="1:76" s="303" customFormat="1" x14ac:dyDescent="0.25">
      <c r="A555" s="275"/>
      <c r="B555" s="275"/>
      <c r="C555" s="275"/>
      <c r="D555" s="275"/>
      <c r="E555" s="275"/>
      <c r="F555" s="275"/>
      <c r="V555" s="304"/>
      <c r="W555" s="304"/>
      <c r="AD555" s="304"/>
      <c r="AE555" s="304"/>
      <c r="AR555" s="304"/>
      <c r="AS555" s="304"/>
      <c r="AT555" s="304"/>
      <c r="AU555" s="304"/>
      <c r="AV555" s="304"/>
      <c r="AW555" s="304"/>
      <c r="AX555" s="304"/>
      <c r="AY555" s="304"/>
      <c r="AZ555" s="304"/>
      <c r="BA555" s="304"/>
      <c r="BB555" s="304"/>
      <c r="BC555" s="304"/>
      <c r="BK555" s="305"/>
      <c r="BL555" s="305"/>
      <c r="BM555" s="305"/>
      <c r="BN555" s="305"/>
      <c r="BO555" s="305"/>
      <c r="BP555" s="305"/>
      <c r="BQ555" s="305"/>
      <c r="BR555" s="305"/>
      <c r="BS555" s="305"/>
      <c r="BT555" s="305"/>
      <c r="BU555" s="305"/>
      <c r="BV555" s="305"/>
      <c r="BX555" s="319"/>
    </row>
    <row r="556" spans="1:76" s="303" customFormat="1" x14ac:dyDescent="0.25">
      <c r="A556" s="275"/>
      <c r="B556" s="275"/>
      <c r="C556" s="275"/>
      <c r="D556" s="275"/>
      <c r="E556" s="275"/>
      <c r="F556" s="275"/>
      <c r="V556" s="304"/>
      <c r="W556" s="304"/>
      <c r="AD556" s="304"/>
      <c r="AE556" s="304"/>
      <c r="AR556" s="304"/>
      <c r="AS556" s="304"/>
      <c r="AT556" s="304"/>
      <c r="AU556" s="304"/>
      <c r="AV556" s="304"/>
      <c r="AW556" s="304"/>
      <c r="AX556" s="304"/>
      <c r="AY556" s="304"/>
      <c r="AZ556" s="304"/>
      <c r="BA556" s="304"/>
      <c r="BB556" s="304"/>
      <c r="BC556" s="304"/>
      <c r="BK556" s="305"/>
      <c r="BL556" s="305"/>
      <c r="BM556" s="305"/>
      <c r="BN556" s="305"/>
      <c r="BO556" s="305"/>
      <c r="BP556" s="305"/>
      <c r="BQ556" s="305"/>
      <c r="BR556" s="305"/>
      <c r="BS556" s="305"/>
      <c r="BT556" s="305"/>
      <c r="BU556" s="305"/>
      <c r="BV556" s="305"/>
      <c r="BX556" s="319"/>
    </row>
    <row r="557" spans="1:76" s="303" customFormat="1" x14ac:dyDescent="0.25">
      <c r="A557" s="275"/>
      <c r="B557" s="275"/>
      <c r="C557" s="275"/>
      <c r="D557" s="275"/>
      <c r="E557" s="275"/>
      <c r="F557" s="275"/>
      <c r="V557" s="304"/>
      <c r="W557" s="304"/>
      <c r="AD557" s="304"/>
      <c r="AE557" s="304"/>
      <c r="AR557" s="304"/>
      <c r="AS557" s="304"/>
      <c r="AT557" s="304"/>
      <c r="AU557" s="304"/>
      <c r="AV557" s="304"/>
      <c r="AW557" s="304"/>
      <c r="AX557" s="304"/>
      <c r="AY557" s="304"/>
      <c r="AZ557" s="304"/>
      <c r="BA557" s="304"/>
      <c r="BB557" s="304"/>
      <c r="BC557" s="304"/>
      <c r="BK557" s="305"/>
      <c r="BL557" s="305"/>
      <c r="BM557" s="305"/>
      <c r="BN557" s="305"/>
      <c r="BO557" s="305"/>
      <c r="BP557" s="305"/>
      <c r="BQ557" s="305"/>
      <c r="BR557" s="305"/>
      <c r="BS557" s="305"/>
      <c r="BT557" s="305"/>
      <c r="BU557" s="305"/>
      <c r="BV557" s="305"/>
      <c r="BX557" s="319"/>
    </row>
    <row r="558" spans="1:76" s="303" customFormat="1" x14ac:dyDescent="0.25">
      <c r="A558" s="275"/>
      <c r="B558" s="275"/>
      <c r="C558" s="275"/>
      <c r="D558" s="275"/>
      <c r="E558" s="275"/>
      <c r="F558" s="275"/>
      <c r="V558" s="304"/>
      <c r="W558" s="304"/>
      <c r="AD558" s="304"/>
      <c r="AE558" s="304"/>
      <c r="AR558" s="304"/>
      <c r="AS558" s="304"/>
      <c r="AT558" s="304"/>
      <c r="AU558" s="304"/>
      <c r="AV558" s="304"/>
      <c r="AW558" s="304"/>
      <c r="AX558" s="304"/>
      <c r="AY558" s="304"/>
      <c r="AZ558" s="304"/>
      <c r="BA558" s="304"/>
      <c r="BB558" s="304"/>
      <c r="BC558" s="304"/>
      <c r="BK558" s="305"/>
      <c r="BL558" s="305"/>
      <c r="BM558" s="305"/>
      <c r="BN558" s="305"/>
      <c r="BO558" s="305"/>
      <c r="BP558" s="305"/>
      <c r="BQ558" s="305"/>
      <c r="BR558" s="305"/>
      <c r="BS558" s="305"/>
      <c r="BT558" s="305"/>
      <c r="BU558" s="305"/>
      <c r="BV558" s="305"/>
      <c r="BX558" s="319"/>
    </row>
    <row r="559" spans="1:76" s="303" customFormat="1" x14ac:dyDescent="0.25">
      <c r="A559" s="275"/>
      <c r="B559" s="275"/>
      <c r="C559" s="275"/>
      <c r="D559" s="275"/>
      <c r="E559" s="275"/>
      <c r="F559" s="275"/>
      <c r="V559" s="304"/>
      <c r="W559" s="304"/>
      <c r="AD559" s="304"/>
      <c r="AE559" s="304"/>
      <c r="AR559" s="304"/>
      <c r="AS559" s="304"/>
      <c r="AT559" s="304"/>
      <c r="AU559" s="304"/>
      <c r="AV559" s="304"/>
      <c r="AW559" s="304"/>
      <c r="AX559" s="304"/>
      <c r="AY559" s="304"/>
      <c r="AZ559" s="304"/>
      <c r="BA559" s="304"/>
      <c r="BB559" s="304"/>
      <c r="BC559" s="304"/>
      <c r="BK559" s="305"/>
      <c r="BL559" s="305"/>
      <c r="BM559" s="305"/>
      <c r="BN559" s="305"/>
      <c r="BO559" s="305"/>
      <c r="BP559" s="305"/>
      <c r="BQ559" s="305"/>
      <c r="BR559" s="305"/>
      <c r="BS559" s="305"/>
      <c r="BT559" s="305"/>
      <c r="BU559" s="305"/>
      <c r="BV559" s="305"/>
      <c r="BX559" s="319"/>
    </row>
    <row r="560" spans="1:76" s="303" customFormat="1" x14ac:dyDescent="0.25">
      <c r="A560" s="275"/>
      <c r="B560" s="275"/>
      <c r="C560" s="275"/>
      <c r="D560" s="275"/>
      <c r="E560" s="275"/>
      <c r="F560" s="275"/>
      <c r="V560" s="304"/>
      <c r="W560" s="304"/>
      <c r="AD560" s="304"/>
      <c r="AE560" s="304"/>
      <c r="AR560" s="304"/>
      <c r="AS560" s="304"/>
      <c r="AT560" s="304"/>
      <c r="AU560" s="304"/>
      <c r="AV560" s="304"/>
      <c r="AW560" s="304"/>
      <c r="AX560" s="304"/>
      <c r="AY560" s="304"/>
      <c r="AZ560" s="304"/>
      <c r="BA560" s="304"/>
      <c r="BB560" s="304"/>
      <c r="BC560" s="304"/>
      <c r="BK560" s="305"/>
      <c r="BL560" s="305"/>
      <c r="BM560" s="305"/>
      <c r="BN560" s="305"/>
      <c r="BO560" s="305"/>
      <c r="BP560" s="305"/>
      <c r="BQ560" s="305"/>
      <c r="BR560" s="305"/>
      <c r="BS560" s="305"/>
      <c r="BT560" s="305"/>
      <c r="BU560" s="305"/>
      <c r="BV560" s="305"/>
      <c r="BX560" s="319"/>
    </row>
    <row r="561" spans="1:76" s="303" customFormat="1" x14ac:dyDescent="0.25">
      <c r="A561" s="275"/>
      <c r="B561" s="275"/>
      <c r="C561" s="275"/>
      <c r="D561" s="275"/>
      <c r="E561" s="275"/>
      <c r="F561" s="275"/>
      <c r="V561" s="304"/>
      <c r="W561" s="304"/>
      <c r="AD561" s="304"/>
      <c r="AE561" s="304"/>
      <c r="AR561" s="304"/>
      <c r="AS561" s="304"/>
      <c r="AT561" s="304"/>
      <c r="AU561" s="304"/>
      <c r="AV561" s="304"/>
      <c r="AW561" s="304"/>
      <c r="AX561" s="304"/>
      <c r="AY561" s="304"/>
      <c r="AZ561" s="304"/>
      <c r="BA561" s="304"/>
      <c r="BB561" s="304"/>
      <c r="BC561" s="304"/>
      <c r="BK561" s="305"/>
      <c r="BL561" s="305"/>
      <c r="BM561" s="305"/>
      <c r="BN561" s="305"/>
      <c r="BO561" s="305"/>
      <c r="BP561" s="305"/>
      <c r="BQ561" s="305"/>
      <c r="BR561" s="305"/>
      <c r="BS561" s="305"/>
      <c r="BT561" s="305"/>
      <c r="BU561" s="305"/>
      <c r="BV561" s="305"/>
      <c r="BX561" s="319"/>
    </row>
    <row r="562" spans="1:76" s="303" customFormat="1" x14ac:dyDescent="0.25">
      <c r="A562" s="275"/>
      <c r="B562" s="275"/>
      <c r="C562" s="275"/>
      <c r="D562" s="275"/>
      <c r="E562" s="275"/>
      <c r="F562" s="275"/>
      <c r="V562" s="304"/>
      <c r="W562" s="304"/>
      <c r="AD562" s="304"/>
      <c r="AE562" s="304"/>
      <c r="AR562" s="304"/>
      <c r="AS562" s="304"/>
      <c r="AT562" s="304"/>
      <c r="AU562" s="304"/>
      <c r="AV562" s="304"/>
      <c r="AW562" s="304"/>
      <c r="AX562" s="304"/>
      <c r="AY562" s="304"/>
      <c r="AZ562" s="304"/>
      <c r="BA562" s="304"/>
      <c r="BB562" s="304"/>
      <c r="BC562" s="304"/>
      <c r="BK562" s="305"/>
      <c r="BL562" s="305"/>
      <c r="BM562" s="305"/>
      <c r="BN562" s="305"/>
      <c r="BO562" s="305"/>
      <c r="BP562" s="305"/>
      <c r="BQ562" s="305"/>
      <c r="BR562" s="305"/>
      <c r="BS562" s="305"/>
      <c r="BT562" s="305"/>
      <c r="BU562" s="305"/>
      <c r="BV562" s="305"/>
      <c r="BX562" s="319"/>
    </row>
    <row r="563" spans="1:76" s="303" customFormat="1" x14ac:dyDescent="0.25">
      <c r="A563" s="275"/>
      <c r="B563" s="275"/>
      <c r="C563" s="275"/>
      <c r="D563" s="275"/>
      <c r="E563" s="275"/>
      <c r="F563" s="275"/>
      <c r="V563" s="304"/>
      <c r="W563" s="304"/>
      <c r="AD563" s="304"/>
      <c r="AE563" s="304"/>
      <c r="AR563" s="304"/>
      <c r="AS563" s="304"/>
      <c r="AT563" s="304"/>
      <c r="AU563" s="304"/>
      <c r="AV563" s="304"/>
      <c r="AW563" s="304"/>
      <c r="AX563" s="304"/>
      <c r="AY563" s="304"/>
      <c r="AZ563" s="304"/>
      <c r="BA563" s="304"/>
      <c r="BB563" s="304"/>
      <c r="BC563" s="304"/>
      <c r="BK563" s="305"/>
      <c r="BL563" s="305"/>
      <c r="BM563" s="305"/>
      <c r="BN563" s="305"/>
      <c r="BO563" s="305"/>
      <c r="BP563" s="305"/>
      <c r="BQ563" s="305"/>
      <c r="BR563" s="305"/>
      <c r="BS563" s="305"/>
      <c r="BT563" s="305"/>
      <c r="BU563" s="305"/>
      <c r="BV563" s="305"/>
      <c r="BX563" s="319"/>
    </row>
    <row r="564" spans="1:76" s="303" customFormat="1" x14ac:dyDescent="0.25">
      <c r="A564" s="275"/>
      <c r="B564" s="275"/>
      <c r="C564" s="275"/>
      <c r="D564" s="275"/>
      <c r="E564" s="275"/>
      <c r="F564" s="275"/>
      <c r="V564" s="304"/>
      <c r="W564" s="304"/>
      <c r="AD564" s="304"/>
      <c r="AE564" s="304"/>
      <c r="AR564" s="304"/>
      <c r="AS564" s="304"/>
      <c r="AT564" s="304"/>
      <c r="AU564" s="304"/>
      <c r="AV564" s="304"/>
      <c r="AW564" s="304"/>
      <c r="AX564" s="304"/>
      <c r="AY564" s="304"/>
      <c r="AZ564" s="304"/>
      <c r="BA564" s="304"/>
      <c r="BB564" s="304"/>
      <c r="BC564" s="304"/>
      <c r="BK564" s="305"/>
      <c r="BL564" s="305"/>
      <c r="BM564" s="305"/>
      <c r="BN564" s="305"/>
      <c r="BO564" s="305"/>
      <c r="BP564" s="305"/>
      <c r="BQ564" s="305"/>
      <c r="BR564" s="305"/>
      <c r="BS564" s="305"/>
      <c r="BT564" s="305"/>
      <c r="BU564" s="305"/>
      <c r="BV564" s="305"/>
      <c r="BX564" s="319"/>
    </row>
    <row r="565" spans="1:76" s="303" customFormat="1" x14ac:dyDescent="0.25">
      <c r="A565" s="275"/>
      <c r="B565" s="275"/>
      <c r="C565" s="275"/>
      <c r="D565" s="275"/>
      <c r="E565" s="275"/>
      <c r="F565" s="275"/>
      <c r="V565" s="304"/>
      <c r="W565" s="304"/>
      <c r="AD565" s="304"/>
      <c r="AE565" s="304"/>
      <c r="AR565" s="304"/>
      <c r="AS565" s="304"/>
      <c r="AT565" s="304"/>
      <c r="AU565" s="304"/>
      <c r="AV565" s="304"/>
      <c r="AW565" s="304"/>
      <c r="AX565" s="304"/>
      <c r="AY565" s="304"/>
      <c r="AZ565" s="304"/>
      <c r="BA565" s="304"/>
      <c r="BB565" s="304"/>
      <c r="BC565" s="304"/>
      <c r="BK565" s="305"/>
      <c r="BL565" s="305"/>
      <c r="BM565" s="305"/>
      <c r="BN565" s="305"/>
      <c r="BO565" s="305"/>
      <c r="BP565" s="305"/>
      <c r="BQ565" s="305"/>
      <c r="BR565" s="305"/>
      <c r="BS565" s="305"/>
      <c r="BT565" s="305"/>
      <c r="BU565" s="305"/>
      <c r="BV565" s="305"/>
      <c r="BX565" s="319"/>
    </row>
    <row r="566" spans="1:76" s="303" customFormat="1" x14ac:dyDescent="0.25">
      <c r="A566" s="275"/>
      <c r="B566" s="275"/>
      <c r="C566" s="275"/>
      <c r="D566" s="275"/>
      <c r="E566" s="275"/>
      <c r="F566" s="275"/>
      <c r="V566" s="304"/>
      <c r="W566" s="304"/>
      <c r="AD566" s="304"/>
      <c r="AE566" s="304"/>
      <c r="AR566" s="304"/>
      <c r="AS566" s="304"/>
      <c r="AT566" s="304"/>
      <c r="AU566" s="304"/>
      <c r="AV566" s="304"/>
      <c r="AW566" s="304"/>
      <c r="AX566" s="304"/>
      <c r="AY566" s="304"/>
      <c r="AZ566" s="304"/>
      <c r="BA566" s="304"/>
      <c r="BB566" s="304"/>
      <c r="BC566" s="304"/>
      <c r="BK566" s="305"/>
      <c r="BL566" s="305"/>
      <c r="BM566" s="305"/>
      <c r="BN566" s="305"/>
      <c r="BO566" s="305"/>
      <c r="BP566" s="305"/>
      <c r="BQ566" s="305"/>
      <c r="BR566" s="305"/>
      <c r="BS566" s="305"/>
      <c r="BT566" s="305"/>
      <c r="BU566" s="305"/>
      <c r="BV566" s="305"/>
      <c r="BX566" s="319"/>
    </row>
    <row r="567" spans="1:76" s="303" customFormat="1" x14ac:dyDescent="0.25">
      <c r="A567" s="275"/>
      <c r="B567" s="275"/>
      <c r="C567" s="275"/>
      <c r="D567" s="275"/>
      <c r="E567" s="275"/>
      <c r="F567" s="275"/>
      <c r="V567" s="304"/>
      <c r="W567" s="304"/>
      <c r="AD567" s="304"/>
      <c r="AE567" s="304"/>
      <c r="AR567" s="304"/>
      <c r="AS567" s="304"/>
      <c r="AT567" s="304"/>
      <c r="AU567" s="304"/>
      <c r="AV567" s="304"/>
      <c r="AW567" s="304"/>
      <c r="AX567" s="304"/>
      <c r="AY567" s="304"/>
      <c r="AZ567" s="304"/>
      <c r="BA567" s="304"/>
      <c r="BB567" s="304"/>
      <c r="BC567" s="304"/>
      <c r="BK567" s="305"/>
      <c r="BL567" s="305"/>
      <c r="BM567" s="305"/>
      <c r="BN567" s="305"/>
      <c r="BO567" s="305"/>
      <c r="BP567" s="305"/>
      <c r="BQ567" s="305"/>
      <c r="BR567" s="305"/>
      <c r="BS567" s="305"/>
      <c r="BT567" s="305"/>
      <c r="BU567" s="305"/>
      <c r="BV567" s="305"/>
      <c r="BX567" s="319"/>
    </row>
    <row r="568" spans="1:76" s="303" customFormat="1" x14ac:dyDescent="0.25">
      <c r="A568" s="275"/>
      <c r="B568" s="275"/>
      <c r="C568" s="275"/>
      <c r="D568" s="275"/>
      <c r="E568" s="275"/>
      <c r="F568" s="275"/>
      <c r="V568" s="304"/>
      <c r="W568" s="304"/>
      <c r="AD568" s="304"/>
      <c r="AE568" s="304"/>
      <c r="AR568" s="304"/>
      <c r="AS568" s="304"/>
      <c r="AT568" s="304"/>
      <c r="AU568" s="304"/>
      <c r="AV568" s="304"/>
      <c r="AW568" s="304"/>
      <c r="AX568" s="304"/>
      <c r="AY568" s="304"/>
      <c r="AZ568" s="304"/>
      <c r="BA568" s="304"/>
      <c r="BB568" s="304"/>
      <c r="BC568" s="304"/>
      <c r="BK568" s="305"/>
      <c r="BL568" s="305"/>
      <c r="BM568" s="305"/>
      <c r="BN568" s="305"/>
      <c r="BO568" s="305"/>
      <c r="BP568" s="305"/>
      <c r="BQ568" s="305"/>
      <c r="BR568" s="305"/>
      <c r="BS568" s="305"/>
      <c r="BT568" s="305"/>
      <c r="BU568" s="305"/>
      <c r="BV568" s="305"/>
      <c r="BX568" s="319"/>
    </row>
    <row r="569" spans="1:76" s="303" customFormat="1" x14ac:dyDescent="0.25">
      <c r="A569" s="275"/>
      <c r="B569" s="275"/>
      <c r="C569" s="275"/>
      <c r="D569" s="275"/>
      <c r="E569" s="275"/>
      <c r="F569" s="275"/>
      <c r="V569" s="304"/>
      <c r="W569" s="304"/>
      <c r="AD569" s="304"/>
      <c r="AE569" s="304"/>
      <c r="AR569" s="304"/>
      <c r="AS569" s="304"/>
      <c r="AT569" s="304"/>
      <c r="AU569" s="304"/>
      <c r="AV569" s="304"/>
      <c r="AW569" s="304"/>
      <c r="AX569" s="304"/>
      <c r="AY569" s="304"/>
      <c r="AZ569" s="304"/>
      <c r="BA569" s="304"/>
      <c r="BB569" s="304"/>
      <c r="BC569" s="304"/>
      <c r="BK569" s="305"/>
      <c r="BL569" s="305"/>
      <c r="BM569" s="305"/>
      <c r="BN569" s="305"/>
      <c r="BO569" s="305"/>
      <c r="BP569" s="305"/>
      <c r="BQ569" s="305"/>
      <c r="BR569" s="305"/>
      <c r="BS569" s="305"/>
      <c r="BT569" s="305"/>
      <c r="BU569" s="305"/>
      <c r="BV569" s="305"/>
      <c r="BX569" s="319"/>
    </row>
    <row r="570" spans="1:76" s="303" customFormat="1" x14ac:dyDescent="0.25">
      <c r="A570" s="275"/>
      <c r="B570" s="275"/>
      <c r="C570" s="275"/>
      <c r="D570" s="275"/>
      <c r="E570" s="275"/>
      <c r="F570" s="275"/>
      <c r="V570" s="304"/>
      <c r="W570" s="304"/>
      <c r="AD570" s="304"/>
      <c r="AE570" s="304"/>
      <c r="AR570" s="304"/>
      <c r="AS570" s="304"/>
      <c r="AT570" s="304"/>
      <c r="AU570" s="304"/>
      <c r="AV570" s="304"/>
      <c r="AW570" s="304"/>
      <c r="AX570" s="304"/>
      <c r="AY570" s="304"/>
      <c r="AZ570" s="304"/>
      <c r="BA570" s="304"/>
      <c r="BB570" s="304"/>
      <c r="BC570" s="304"/>
      <c r="BK570" s="305"/>
      <c r="BL570" s="305"/>
      <c r="BM570" s="305"/>
      <c r="BN570" s="305"/>
      <c r="BO570" s="305"/>
      <c r="BP570" s="305"/>
      <c r="BQ570" s="305"/>
      <c r="BR570" s="305"/>
      <c r="BS570" s="305"/>
      <c r="BT570" s="305"/>
      <c r="BU570" s="305"/>
      <c r="BV570" s="305"/>
      <c r="BX570" s="319"/>
    </row>
    <row r="571" spans="1:76" s="303" customFormat="1" x14ac:dyDescent="0.25">
      <c r="A571" s="275"/>
      <c r="B571" s="275"/>
      <c r="C571" s="275"/>
      <c r="D571" s="275"/>
      <c r="E571" s="275"/>
      <c r="F571" s="275"/>
      <c r="V571" s="304"/>
      <c r="W571" s="304"/>
      <c r="AD571" s="304"/>
      <c r="AE571" s="304"/>
      <c r="AR571" s="304"/>
      <c r="AS571" s="304"/>
      <c r="AT571" s="304"/>
      <c r="AU571" s="304"/>
      <c r="AV571" s="304"/>
      <c r="AW571" s="304"/>
      <c r="AX571" s="304"/>
      <c r="AY571" s="304"/>
      <c r="AZ571" s="304"/>
      <c r="BA571" s="304"/>
      <c r="BB571" s="304"/>
      <c r="BC571" s="304"/>
      <c r="BK571" s="305"/>
      <c r="BL571" s="305"/>
      <c r="BM571" s="305"/>
      <c r="BN571" s="305"/>
      <c r="BO571" s="305"/>
      <c r="BP571" s="305"/>
      <c r="BQ571" s="305"/>
      <c r="BR571" s="305"/>
      <c r="BS571" s="305"/>
      <c r="BT571" s="305"/>
      <c r="BU571" s="305"/>
      <c r="BV571" s="305"/>
      <c r="BX571" s="319"/>
    </row>
    <row r="572" spans="1:76" s="303" customFormat="1" x14ac:dyDescent="0.25">
      <c r="A572" s="275"/>
      <c r="B572" s="275"/>
      <c r="C572" s="275"/>
      <c r="D572" s="275"/>
      <c r="E572" s="275"/>
      <c r="F572" s="275"/>
      <c r="V572" s="304"/>
      <c r="W572" s="304"/>
      <c r="AD572" s="304"/>
      <c r="AE572" s="304"/>
      <c r="AR572" s="304"/>
      <c r="AS572" s="304"/>
      <c r="AT572" s="304"/>
      <c r="AU572" s="304"/>
      <c r="AV572" s="304"/>
      <c r="AW572" s="304"/>
      <c r="AX572" s="304"/>
      <c r="AY572" s="304"/>
      <c r="AZ572" s="304"/>
      <c r="BA572" s="304"/>
      <c r="BB572" s="304"/>
      <c r="BC572" s="304"/>
      <c r="BK572" s="305"/>
      <c r="BL572" s="305"/>
      <c r="BM572" s="305"/>
      <c r="BN572" s="305"/>
      <c r="BO572" s="305"/>
      <c r="BP572" s="305"/>
      <c r="BQ572" s="305"/>
      <c r="BR572" s="305"/>
      <c r="BS572" s="305"/>
      <c r="BT572" s="305"/>
      <c r="BU572" s="305"/>
      <c r="BV572" s="305"/>
      <c r="BX572" s="319"/>
    </row>
    <row r="573" spans="1:76" s="303" customFormat="1" x14ac:dyDescent="0.25">
      <c r="A573" s="275"/>
      <c r="B573" s="275"/>
      <c r="C573" s="275"/>
      <c r="D573" s="275"/>
      <c r="E573" s="275"/>
      <c r="F573" s="275"/>
      <c r="V573" s="304"/>
      <c r="W573" s="304"/>
      <c r="AD573" s="304"/>
      <c r="AE573" s="304"/>
      <c r="AR573" s="304"/>
      <c r="AS573" s="304"/>
      <c r="AT573" s="304"/>
      <c r="AU573" s="304"/>
      <c r="AV573" s="304"/>
      <c r="AW573" s="304"/>
      <c r="AX573" s="304"/>
      <c r="AY573" s="304"/>
      <c r="AZ573" s="304"/>
      <c r="BA573" s="304"/>
      <c r="BB573" s="304"/>
      <c r="BC573" s="304"/>
      <c r="BK573" s="305"/>
      <c r="BL573" s="305"/>
      <c r="BM573" s="305"/>
      <c r="BN573" s="305"/>
      <c r="BO573" s="305"/>
      <c r="BP573" s="305"/>
      <c r="BQ573" s="305"/>
      <c r="BR573" s="305"/>
      <c r="BS573" s="305"/>
      <c r="BT573" s="305"/>
      <c r="BU573" s="305"/>
      <c r="BV573" s="305"/>
      <c r="BX573" s="319"/>
    </row>
    <row r="574" spans="1:76" s="303" customFormat="1" x14ac:dyDescent="0.25">
      <c r="A574" s="275"/>
      <c r="B574" s="275"/>
      <c r="C574" s="275"/>
      <c r="D574" s="275"/>
      <c r="E574" s="275"/>
      <c r="F574" s="275"/>
      <c r="V574" s="304"/>
      <c r="W574" s="304"/>
      <c r="AD574" s="304"/>
      <c r="AE574" s="304"/>
      <c r="AR574" s="304"/>
      <c r="AS574" s="304"/>
      <c r="AT574" s="304"/>
      <c r="AU574" s="304"/>
      <c r="AV574" s="304"/>
      <c r="AW574" s="304"/>
      <c r="AX574" s="304"/>
      <c r="AY574" s="304"/>
      <c r="AZ574" s="304"/>
      <c r="BA574" s="304"/>
      <c r="BB574" s="304"/>
      <c r="BC574" s="304"/>
      <c r="BK574" s="305"/>
      <c r="BL574" s="305"/>
      <c r="BM574" s="305"/>
      <c r="BN574" s="305"/>
      <c r="BO574" s="305"/>
      <c r="BP574" s="305"/>
      <c r="BQ574" s="305"/>
      <c r="BR574" s="305"/>
      <c r="BS574" s="305"/>
      <c r="BT574" s="305"/>
      <c r="BU574" s="305"/>
      <c r="BV574" s="305"/>
      <c r="BX574" s="319"/>
    </row>
    <row r="575" spans="1:76" s="303" customFormat="1" x14ac:dyDescent="0.25">
      <c r="A575" s="275"/>
      <c r="B575" s="275"/>
      <c r="C575" s="275"/>
      <c r="D575" s="275"/>
      <c r="E575" s="275"/>
      <c r="F575" s="275"/>
      <c r="V575" s="304"/>
      <c r="W575" s="304"/>
      <c r="AD575" s="304"/>
      <c r="AE575" s="304"/>
      <c r="AR575" s="304"/>
      <c r="AS575" s="304"/>
      <c r="AT575" s="304"/>
      <c r="AU575" s="304"/>
      <c r="AV575" s="304"/>
      <c r="AW575" s="304"/>
      <c r="AX575" s="304"/>
      <c r="AY575" s="304"/>
      <c r="AZ575" s="304"/>
      <c r="BA575" s="304"/>
      <c r="BB575" s="304"/>
      <c r="BC575" s="304"/>
      <c r="BK575" s="305"/>
      <c r="BL575" s="305"/>
      <c r="BM575" s="305"/>
      <c r="BN575" s="305"/>
      <c r="BO575" s="305"/>
      <c r="BP575" s="305"/>
      <c r="BQ575" s="305"/>
      <c r="BR575" s="305"/>
      <c r="BS575" s="305"/>
      <c r="BT575" s="305"/>
      <c r="BU575" s="305"/>
      <c r="BV575" s="305"/>
      <c r="BX575" s="319"/>
    </row>
    <row r="576" spans="1:76" s="303" customFormat="1" x14ac:dyDescent="0.25">
      <c r="A576" s="275"/>
      <c r="B576" s="275"/>
      <c r="C576" s="275"/>
      <c r="D576" s="275"/>
      <c r="E576" s="275"/>
      <c r="F576" s="275"/>
      <c r="V576" s="304"/>
      <c r="W576" s="304"/>
      <c r="AD576" s="304"/>
      <c r="AE576" s="304"/>
      <c r="AR576" s="304"/>
      <c r="AS576" s="304"/>
      <c r="AT576" s="304"/>
      <c r="AU576" s="304"/>
      <c r="AV576" s="304"/>
      <c r="AW576" s="304"/>
      <c r="AX576" s="304"/>
      <c r="AY576" s="304"/>
      <c r="AZ576" s="304"/>
      <c r="BA576" s="304"/>
      <c r="BB576" s="304"/>
      <c r="BC576" s="304"/>
      <c r="BK576" s="305"/>
      <c r="BL576" s="305"/>
      <c r="BM576" s="305"/>
      <c r="BN576" s="305"/>
      <c r="BO576" s="305"/>
      <c r="BP576" s="305"/>
      <c r="BQ576" s="305"/>
      <c r="BR576" s="305"/>
      <c r="BS576" s="305"/>
      <c r="BT576" s="305"/>
      <c r="BU576" s="305"/>
      <c r="BV576" s="305"/>
      <c r="BX576" s="319"/>
    </row>
    <row r="577" spans="1:76" s="303" customFormat="1" x14ac:dyDescent="0.25">
      <c r="A577" s="275"/>
      <c r="B577" s="275"/>
      <c r="C577" s="275"/>
      <c r="D577" s="275"/>
      <c r="E577" s="275"/>
      <c r="F577" s="275"/>
      <c r="V577" s="304"/>
      <c r="W577" s="304"/>
      <c r="AD577" s="304"/>
      <c r="AE577" s="304"/>
      <c r="AR577" s="304"/>
      <c r="AS577" s="304"/>
      <c r="AT577" s="304"/>
      <c r="AU577" s="304"/>
      <c r="AV577" s="304"/>
      <c r="AW577" s="304"/>
      <c r="AX577" s="304"/>
      <c r="AY577" s="304"/>
      <c r="AZ577" s="304"/>
      <c r="BA577" s="304"/>
      <c r="BB577" s="304"/>
      <c r="BC577" s="304"/>
      <c r="BK577" s="305"/>
      <c r="BL577" s="305"/>
      <c r="BM577" s="305"/>
      <c r="BN577" s="305"/>
      <c r="BO577" s="305"/>
      <c r="BP577" s="305"/>
      <c r="BQ577" s="305"/>
      <c r="BR577" s="305"/>
      <c r="BS577" s="305"/>
      <c r="BT577" s="305"/>
      <c r="BU577" s="305"/>
      <c r="BV577" s="305"/>
      <c r="BX577" s="319"/>
    </row>
    <row r="578" spans="1:76" s="303" customFormat="1" x14ac:dyDescent="0.25">
      <c r="A578" s="275"/>
      <c r="B578" s="275"/>
      <c r="C578" s="275"/>
      <c r="D578" s="275"/>
      <c r="E578" s="275"/>
      <c r="F578" s="275"/>
      <c r="V578" s="304"/>
      <c r="W578" s="304"/>
      <c r="AD578" s="304"/>
      <c r="AE578" s="304"/>
      <c r="AR578" s="304"/>
      <c r="AS578" s="304"/>
      <c r="AT578" s="304"/>
      <c r="AU578" s="304"/>
      <c r="AV578" s="304"/>
      <c r="AW578" s="304"/>
      <c r="AX578" s="304"/>
      <c r="AY578" s="304"/>
      <c r="AZ578" s="304"/>
      <c r="BA578" s="304"/>
      <c r="BB578" s="304"/>
      <c r="BC578" s="304"/>
      <c r="BK578" s="305"/>
      <c r="BL578" s="305"/>
      <c r="BM578" s="305"/>
      <c r="BN578" s="305"/>
      <c r="BO578" s="305"/>
      <c r="BP578" s="305"/>
      <c r="BQ578" s="305"/>
      <c r="BR578" s="305"/>
      <c r="BS578" s="305"/>
      <c r="BT578" s="305"/>
      <c r="BU578" s="305"/>
      <c r="BV578" s="305"/>
      <c r="BX578" s="319"/>
    </row>
    <row r="579" spans="1:76" s="303" customFormat="1" x14ac:dyDescent="0.25">
      <c r="A579" s="275"/>
      <c r="B579" s="275"/>
      <c r="C579" s="275"/>
      <c r="D579" s="275"/>
      <c r="E579" s="275"/>
      <c r="F579" s="275"/>
      <c r="V579" s="304"/>
      <c r="W579" s="304"/>
      <c r="AD579" s="304"/>
      <c r="AE579" s="304"/>
      <c r="AR579" s="304"/>
      <c r="AS579" s="304"/>
      <c r="AT579" s="304"/>
      <c r="AU579" s="304"/>
      <c r="AV579" s="304"/>
      <c r="AW579" s="304"/>
      <c r="AX579" s="304"/>
      <c r="AY579" s="304"/>
      <c r="AZ579" s="304"/>
      <c r="BA579" s="304"/>
      <c r="BB579" s="304"/>
      <c r="BC579" s="304"/>
      <c r="BK579" s="305"/>
      <c r="BL579" s="305"/>
      <c r="BM579" s="305"/>
      <c r="BN579" s="305"/>
      <c r="BO579" s="305"/>
      <c r="BP579" s="305"/>
      <c r="BQ579" s="305"/>
      <c r="BR579" s="305"/>
      <c r="BS579" s="305"/>
      <c r="BT579" s="305"/>
      <c r="BU579" s="305"/>
      <c r="BV579" s="305"/>
      <c r="BX579" s="319"/>
    </row>
    <row r="580" spans="1:76" s="303" customFormat="1" x14ac:dyDescent="0.25">
      <c r="A580" s="275"/>
      <c r="B580" s="275"/>
      <c r="C580" s="275"/>
      <c r="D580" s="275"/>
      <c r="E580" s="275"/>
      <c r="F580" s="275"/>
      <c r="V580" s="304"/>
      <c r="W580" s="304"/>
      <c r="AD580" s="304"/>
      <c r="AE580" s="304"/>
      <c r="AR580" s="304"/>
      <c r="AS580" s="304"/>
      <c r="AT580" s="304"/>
      <c r="AU580" s="304"/>
      <c r="AV580" s="304"/>
      <c r="AW580" s="304"/>
      <c r="AX580" s="304"/>
      <c r="AY580" s="304"/>
      <c r="AZ580" s="304"/>
      <c r="BA580" s="304"/>
      <c r="BB580" s="304"/>
      <c r="BC580" s="304"/>
      <c r="BK580" s="305"/>
      <c r="BL580" s="305"/>
      <c r="BM580" s="305"/>
      <c r="BN580" s="305"/>
      <c r="BO580" s="305"/>
      <c r="BP580" s="305"/>
      <c r="BQ580" s="305"/>
      <c r="BR580" s="305"/>
      <c r="BS580" s="305"/>
      <c r="BT580" s="305"/>
      <c r="BU580" s="305"/>
      <c r="BV580" s="305"/>
      <c r="BX580" s="319"/>
    </row>
    <row r="581" spans="1:76" s="303" customFormat="1" x14ac:dyDescent="0.25">
      <c r="A581" s="275"/>
      <c r="B581" s="275"/>
      <c r="C581" s="275"/>
      <c r="D581" s="275"/>
      <c r="E581" s="275"/>
      <c r="F581" s="275"/>
      <c r="V581" s="304"/>
      <c r="W581" s="304"/>
      <c r="AD581" s="304"/>
      <c r="AE581" s="304"/>
      <c r="AR581" s="304"/>
      <c r="AS581" s="304"/>
      <c r="AT581" s="304"/>
      <c r="AU581" s="304"/>
      <c r="AV581" s="304"/>
      <c r="AW581" s="304"/>
      <c r="AX581" s="304"/>
      <c r="AY581" s="304"/>
      <c r="AZ581" s="304"/>
      <c r="BA581" s="304"/>
      <c r="BB581" s="304"/>
      <c r="BC581" s="304"/>
      <c r="BK581" s="305"/>
      <c r="BL581" s="305"/>
      <c r="BM581" s="305"/>
      <c r="BN581" s="305"/>
      <c r="BO581" s="305"/>
      <c r="BP581" s="305"/>
      <c r="BQ581" s="305"/>
      <c r="BR581" s="305"/>
      <c r="BS581" s="305"/>
      <c r="BT581" s="305"/>
      <c r="BU581" s="305"/>
      <c r="BV581" s="305"/>
      <c r="BX581" s="319"/>
    </row>
    <row r="582" spans="1:76" s="303" customFormat="1" x14ac:dyDescent="0.25">
      <c r="A582" s="275"/>
      <c r="B582" s="275"/>
      <c r="C582" s="275"/>
      <c r="D582" s="275"/>
      <c r="E582" s="275"/>
      <c r="F582" s="275"/>
      <c r="V582" s="304"/>
      <c r="W582" s="304"/>
      <c r="AD582" s="304"/>
      <c r="AE582" s="304"/>
      <c r="AR582" s="304"/>
      <c r="AS582" s="304"/>
      <c r="AT582" s="304"/>
      <c r="AU582" s="304"/>
      <c r="AV582" s="304"/>
      <c r="AW582" s="304"/>
      <c r="AX582" s="304"/>
      <c r="AY582" s="304"/>
      <c r="AZ582" s="304"/>
      <c r="BA582" s="304"/>
      <c r="BB582" s="304"/>
      <c r="BC582" s="304"/>
      <c r="BK582" s="305"/>
      <c r="BL582" s="305"/>
      <c r="BM582" s="305"/>
      <c r="BN582" s="305"/>
      <c r="BO582" s="305"/>
      <c r="BP582" s="305"/>
      <c r="BQ582" s="305"/>
      <c r="BR582" s="305"/>
      <c r="BS582" s="305"/>
      <c r="BT582" s="305"/>
      <c r="BU582" s="305"/>
      <c r="BV582" s="305"/>
      <c r="BX582" s="319"/>
    </row>
    <row r="583" spans="1:76" s="303" customFormat="1" x14ac:dyDescent="0.25">
      <c r="A583" s="275"/>
      <c r="B583" s="275"/>
      <c r="C583" s="275"/>
      <c r="D583" s="275"/>
      <c r="E583" s="275"/>
      <c r="F583" s="275"/>
      <c r="V583" s="304"/>
      <c r="W583" s="304"/>
      <c r="AD583" s="304"/>
      <c r="AE583" s="304"/>
      <c r="AR583" s="304"/>
      <c r="AS583" s="304"/>
      <c r="AT583" s="304"/>
      <c r="AU583" s="304"/>
      <c r="AV583" s="304"/>
      <c r="AW583" s="304"/>
      <c r="AX583" s="304"/>
      <c r="AY583" s="304"/>
      <c r="AZ583" s="304"/>
      <c r="BA583" s="304"/>
      <c r="BB583" s="304"/>
      <c r="BC583" s="304"/>
      <c r="BK583" s="305"/>
      <c r="BL583" s="305"/>
      <c r="BM583" s="305"/>
      <c r="BN583" s="305"/>
      <c r="BO583" s="305"/>
      <c r="BP583" s="305"/>
      <c r="BQ583" s="305"/>
      <c r="BR583" s="305"/>
      <c r="BS583" s="305"/>
      <c r="BT583" s="305"/>
      <c r="BU583" s="305"/>
      <c r="BV583" s="305"/>
      <c r="BX583" s="319"/>
    </row>
    <row r="584" spans="1:76" s="303" customFormat="1" x14ac:dyDescent="0.25">
      <c r="A584" s="275"/>
      <c r="B584" s="275"/>
      <c r="C584" s="275"/>
      <c r="D584" s="275"/>
      <c r="E584" s="275"/>
      <c r="F584" s="275"/>
      <c r="V584" s="304"/>
      <c r="W584" s="304"/>
      <c r="AD584" s="304"/>
      <c r="AE584" s="304"/>
      <c r="AR584" s="304"/>
      <c r="AS584" s="304"/>
      <c r="AT584" s="304"/>
      <c r="AU584" s="304"/>
      <c r="AV584" s="304"/>
      <c r="AW584" s="304"/>
      <c r="AX584" s="304"/>
      <c r="AY584" s="304"/>
      <c r="AZ584" s="304"/>
      <c r="BA584" s="304"/>
      <c r="BB584" s="304"/>
      <c r="BC584" s="304"/>
      <c r="BK584" s="305"/>
      <c r="BL584" s="305"/>
      <c r="BM584" s="305"/>
      <c r="BN584" s="305"/>
      <c r="BO584" s="305"/>
      <c r="BP584" s="305"/>
      <c r="BQ584" s="305"/>
      <c r="BR584" s="305"/>
      <c r="BS584" s="305"/>
      <c r="BT584" s="305"/>
      <c r="BU584" s="305"/>
      <c r="BV584" s="305"/>
      <c r="BX584" s="319"/>
    </row>
    <row r="585" spans="1:76" s="303" customFormat="1" x14ac:dyDescent="0.25">
      <c r="A585" s="275"/>
      <c r="B585" s="275"/>
      <c r="C585" s="275"/>
      <c r="D585" s="275"/>
      <c r="E585" s="275"/>
      <c r="F585" s="275"/>
      <c r="V585" s="304"/>
      <c r="W585" s="304"/>
      <c r="AD585" s="304"/>
      <c r="AE585" s="304"/>
      <c r="AR585" s="304"/>
      <c r="AS585" s="304"/>
      <c r="AT585" s="304"/>
      <c r="AU585" s="304"/>
      <c r="AV585" s="304"/>
      <c r="AW585" s="304"/>
      <c r="AX585" s="304"/>
      <c r="AY585" s="304"/>
      <c r="AZ585" s="304"/>
      <c r="BA585" s="304"/>
      <c r="BB585" s="304"/>
      <c r="BC585" s="304"/>
      <c r="BK585" s="305"/>
      <c r="BL585" s="305"/>
      <c r="BM585" s="305"/>
      <c r="BN585" s="305"/>
      <c r="BO585" s="305"/>
      <c r="BP585" s="305"/>
      <c r="BQ585" s="305"/>
      <c r="BR585" s="305"/>
      <c r="BS585" s="305"/>
      <c r="BT585" s="305"/>
      <c r="BU585" s="305"/>
      <c r="BV585" s="305"/>
      <c r="BX585" s="319"/>
    </row>
    <row r="586" spans="1:76" s="303" customFormat="1" x14ac:dyDescent="0.25">
      <c r="A586" s="275"/>
      <c r="B586" s="275"/>
      <c r="C586" s="275"/>
      <c r="D586" s="275"/>
      <c r="E586" s="275"/>
      <c r="F586" s="275"/>
      <c r="V586" s="304"/>
      <c r="W586" s="304"/>
      <c r="AD586" s="304"/>
      <c r="AE586" s="304"/>
      <c r="AR586" s="304"/>
      <c r="AS586" s="304"/>
      <c r="AT586" s="304"/>
      <c r="AU586" s="304"/>
      <c r="AV586" s="304"/>
      <c r="AW586" s="304"/>
      <c r="AX586" s="304"/>
      <c r="AY586" s="304"/>
      <c r="AZ586" s="304"/>
      <c r="BA586" s="304"/>
      <c r="BB586" s="304"/>
      <c r="BC586" s="304"/>
      <c r="BK586" s="305"/>
      <c r="BL586" s="305"/>
      <c r="BM586" s="305"/>
      <c r="BN586" s="305"/>
      <c r="BO586" s="305"/>
      <c r="BP586" s="305"/>
      <c r="BQ586" s="305"/>
      <c r="BR586" s="305"/>
      <c r="BS586" s="305"/>
      <c r="BT586" s="305"/>
      <c r="BU586" s="305"/>
      <c r="BV586" s="305"/>
      <c r="BX586" s="319"/>
    </row>
    <row r="587" spans="1:76" s="303" customFormat="1" x14ac:dyDescent="0.25">
      <c r="A587" s="275"/>
      <c r="B587" s="275"/>
      <c r="C587" s="275"/>
      <c r="D587" s="275"/>
      <c r="E587" s="275"/>
      <c r="F587" s="275"/>
      <c r="V587" s="304"/>
      <c r="W587" s="304"/>
      <c r="AD587" s="304"/>
      <c r="AE587" s="304"/>
      <c r="AR587" s="304"/>
      <c r="AS587" s="304"/>
      <c r="AT587" s="304"/>
      <c r="AU587" s="304"/>
      <c r="AV587" s="304"/>
      <c r="AW587" s="304"/>
      <c r="AX587" s="304"/>
      <c r="AY587" s="304"/>
      <c r="AZ587" s="304"/>
      <c r="BA587" s="304"/>
      <c r="BB587" s="304"/>
      <c r="BC587" s="304"/>
      <c r="BK587" s="305"/>
      <c r="BL587" s="305"/>
      <c r="BM587" s="305"/>
      <c r="BN587" s="305"/>
      <c r="BO587" s="305"/>
      <c r="BP587" s="305"/>
      <c r="BQ587" s="305"/>
      <c r="BR587" s="305"/>
      <c r="BS587" s="305"/>
      <c r="BT587" s="305"/>
      <c r="BU587" s="305"/>
      <c r="BV587" s="305"/>
      <c r="BX587" s="319"/>
    </row>
    <row r="588" spans="1:76" s="303" customFormat="1" x14ac:dyDescent="0.25">
      <c r="A588" s="275"/>
      <c r="B588" s="275"/>
      <c r="C588" s="275"/>
      <c r="D588" s="275"/>
      <c r="E588" s="275"/>
      <c r="F588" s="275"/>
      <c r="V588" s="304"/>
      <c r="W588" s="304"/>
      <c r="AD588" s="304"/>
      <c r="AE588" s="304"/>
      <c r="AR588" s="304"/>
      <c r="AS588" s="304"/>
      <c r="AT588" s="304"/>
      <c r="AU588" s="304"/>
      <c r="AV588" s="304"/>
      <c r="AW588" s="304"/>
      <c r="AX588" s="304"/>
      <c r="AY588" s="304"/>
      <c r="AZ588" s="304"/>
      <c r="BA588" s="304"/>
      <c r="BB588" s="304"/>
      <c r="BC588" s="304"/>
      <c r="BK588" s="305"/>
      <c r="BL588" s="305"/>
      <c r="BM588" s="305"/>
      <c r="BN588" s="305"/>
      <c r="BO588" s="305"/>
      <c r="BP588" s="305"/>
      <c r="BQ588" s="305"/>
      <c r="BR588" s="305"/>
      <c r="BS588" s="305"/>
      <c r="BT588" s="305"/>
      <c r="BU588" s="305"/>
      <c r="BV588" s="305"/>
      <c r="BX588" s="319"/>
    </row>
    <row r="589" spans="1:76" s="303" customFormat="1" x14ac:dyDescent="0.25">
      <c r="A589" s="275"/>
      <c r="B589" s="275"/>
      <c r="C589" s="275"/>
      <c r="D589" s="275"/>
      <c r="E589" s="275"/>
      <c r="F589" s="275"/>
      <c r="V589" s="304"/>
      <c r="W589" s="304"/>
      <c r="AD589" s="304"/>
      <c r="AE589" s="304"/>
      <c r="AR589" s="304"/>
      <c r="AS589" s="304"/>
      <c r="AT589" s="304"/>
      <c r="AU589" s="304"/>
      <c r="AV589" s="304"/>
      <c r="AW589" s="304"/>
      <c r="AX589" s="304"/>
      <c r="AY589" s="304"/>
      <c r="AZ589" s="304"/>
      <c r="BA589" s="304"/>
      <c r="BB589" s="304"/>
      <c r="BC589" s="304"/>
      <c r="BK589" s="305"/>
      <c r="BL589" s="305"/>
      <c r="BM589" s="305"/>
      <c r="BN589" s="305"/>
      <c r="BO589" s="305"/>
      <c r="BP589" s="305"/>
      <c r="BQ589" s="305"/>
      <c r="BR589" s="305"/>
      <c r="BS589" s="305"/>
      <c r="BT589" s="305"/>
      <c r="BU589" s="305"/>
      <c r="BV589" s="305"/>
      <c r="BX589" s="319"/>
    </row>
    <row r="590" spans="1:76" s="303" customFormat="1" x14ac:dyDescent="0.25">
      <c r="A590" s="275"/>
      <c r="B590" s="275"/>
      <c r="C590" s="275"/>
      <c r="D590" s="275"/>
      <c r="E590" s="275"/>
      <c r="F590" s="275"/>
      <c r="V590" s="304"/>
      <c r="W590" s="304"/>
      <c r="AD590" s="304"/>
      <c r="AE590" s="304"/>
      <c r="AR590" s="304"/>
      <c r="AS590" s="304"/>
      <c r="AT590" s="304"/>
      <c r="AU590" s="304"/>
      <c r="AV590" s="304"/>
      <c r="AW590" s="304"/>
      <c r="AX590" s="304"/>
      <c r="AY590" s="304"/>
      <c r="AZ590" s="304"/>
      <c r="BA590" s="304"/>
      <c r="BB590" s="304"/>
      <c r="BC590" s="304"/>
      <c r="BK590" s="305"/>
      <c r="BL590" s="305"/>
      <c r="BM590" s="305"/>
      <c r="BN590" s="305"/>
      <c r="BO590" s="305"/>
      <c r="BP590" s="305"/>
      <c r="BQ590" s="305"/>
      <c r="BR590" s="305"/>
      <c r="BS590" s="305"/>
      <c r="BT590" s="305"/>
      <c r="BU590" s="305"/>
      <c r="BV590" s="305"/>
      <c r="BX590" s="319"/>
    </row>
    <row r="591" spans="1:76" s="303" customFormat="1" x14ac:dyDescent="0.25">
      <c r="A591" s="275"/>
      <c r="B591" s="275"/>
      <c r="C591" s="275"/>
      <c r="D591" s="275"/>
      <c r="E591" s="275"/>
      <c r="F591" s="275"/>
      <c r="V591" s="304"/>
      <c r="W591" s="304"/>
      <c r="AD591" s="304"/>
      <c r="AE591" s="304"/>
      <c r="AR591" s="304"/>
      <c r="AS591" s="304"/>
      <c r="AT591" s="304"/>
      <c r="AU591" s="304"/>
      <c r="AV591" s="304"/>
      <c r="AW591" s="304"/>
      <c r="AX591" s="304"/>
      <c r="AY591" s="304"/>
      <c r="AZ591" s="304"/>
      <c r="BA591" s="304"/>
      <c r="BB591" s="304"/>
      <c r="BC591" s="304"/>
      <c r="BK591" s="305"/>
      <c r="BL591" s="305"/>
      <c r="BM591" s="305"/>
      <c r="BN591" s="305"/>
      <c r="BO591" s="305"/>
      <c r="BP591" s="305"/>
      <c r="BQ591" s="305"/>
      <c r="BR591" s="305"/>
      <c r="BS591" s="305"/>
      <c r="BT591" s="305"/>
      <c r="BU591" s="305"/>
      <c r="BV591" s="305"/>
      <c r="BX591" s="319"/>
    </row>
    <row r="592" spans="1:76" s="303" customFormat="1" x14ac:dyDescent="0.25">
      <c r="A592" s="275"/>
      <c r="B592" s="275"/>
      <c r="C592" s="275"/>
      <c r="D592" s="275"/>
      <c r="E592" s="275"/>
      <c r="F592" s="275"/>
      <c r="V592" s="304"/>
      <c r="W592" s="304"/>
      <c r="AD592" s="304"/>
      <c r="AE592" s="304"/>
      <c r="AR592" s="304"/>
      <c r="AS592" s="304"/>
      <c r="AT592" s="304"/>
      <c r="AU592" s="304"/>
      <c r="AV592" s="304"/>
      <c r="AW592" s="304"/>
      <c r="AX592" s="304"/>
      <c r="AY592" s="304"/>
      <c r="AZ592" s="304"/>
      <c r="BA592" s="304"/>
      <c r="BB592" s="304"/>
      <c r="BC592" s="304"/>
      <c r="BK592" s="305"/>
      <c r="BL592" s="305"/>
      <c r="BM592" s="305"/>
      <c r="BN592" s="305"/>
      <c r="BO592" s="305"/>
      <c r="BP592" s="305"/>
      <c r="BQ592" s="305"/>
      <c r="BR592" s="305"/>
      <c r="BS592" s="305"/>
      <c r="BT592" s="305"/>
      <c r="BU592" s="305"/>
      <c r="BV592" s="305"/>
      <c r="BX592" s="319"/>
    </row>
    <row r="593" spans="1:76" s="303" customFormat="1" x14ac:dyDescent="0.25">
      <c r="A593" s="275"/>
      <c r="B593" s="275"/>
      <c r="C593" s="275"/>
      <c r="D593" s="275"/>
      <c r="E593" s="275"/>
      <c r="F593" s="275"/>
      <c r="V593" s="304"/>
      <c r="W593" s="304"/>
      <c r="AD593" s="304"/>
      <c r="AE593" s="304"/>
      <c r="AR593" s="304"/>
      <c r="AS593" s="304"/>
      <c r="AT593" s="304"/>
      <c r="AU593" s="304"/>
      <c r="AV593" s="304"/>
      <c r="AW593" s="304"/>
      <c r="AX593" s="304"/>
      <c r="AY593" s="304"/>
      <c r="AZ593" s="304"/>
      <c r="BA593" s="304"/>
      <c r="BB593" s="304"/>
      <c r="BC593" s="304"/>
      <c r="BK593" s="305"/>
      <c r="BL593" s="305"/>
      <c r="BM593" s="305"/>
      <c r="BN593" s="305"/>
      <c r="BO593" s="305"/>
      <c r="BP593" s="305"/>
      <c r="BQ593" s="305"/>
      <c r="BR593" s="305"/>
      <c r="BS593" s="305"/>
      <c r="BT593" s="305"/>
      <c r="BU593" s="305"/>
      <c r="BV593" s="305"/>
      <c r="BX593" s="319"/>
    </row>
    <row r="594" spans="1:76" s="303" customFormat="1" x14ac:dyDescent="0.25">
      <c r="A594" s="275"/>
      <c r="B594" s="275"/>
      <c r="C594" s="275"/>
      <c r="D594" s="275"/>
      <c r="E594" s="275"/>
      <c r="F594" s="275"/>
      <c r="V594" s="304"/>
      <c r="W594" s="304"/>
      <c r="AD594" s="304"/>
      <c r="AE594" s="304"/>
      <c r="AR594" s="304"/>
      <c r="AS594" s="304"/>
      <c r="AT594" s="304"/>
      <c r="AU594" s="304"/>
      <c r="AV594" s="304"/>
      <c r="AW594" s="304"/>
      <c r="AX594" s="304"/>
      <c r="AY594" s="304"/>
      <c r="AZ594" s="304"/>
      <c r="BA594" s="304"/>
      <c r="BB594" s="304"/>
      <c r="BC594" s="304"/>
      <c r="BK594" s="305"/>
      <c r="BL594" s="305"/>
      <c r="BM594" s="305"/>
      <c r="BN594" s="305"/>
      <c r="BO594" s="305"/>
      <c r="BP594" s="305"/>
      <c r="BQ594" s="305"/>
      <c r="BR594" s="305"/>
      <c r="BS594" s="305"/>
      <c r="BT594" s="305"/>
      <c r="BU594" s="305"/>
      <c r="BV594" s="305"/>
      <c r="BX594" s="319"/>
    </row>
    <row r="595" spans="1:76" s="303" customFormat="1" x14ac:dyDescent="0.25">
      <c r="A595" s="275"/>
      <c r="B595" s="275"/>
      <c r="C595" s="275"/>
      <c r="D595" s="275"/>
      <c r="E595" s="275"/>
      <c r="F595" s="275"/>
      <c r="V595" s="304"/>
      <c r="W595" s="304"/>
      <c r="AD595" s="304"/>
      <c r="AE595" s="304"/>
      <c r="AR595" s="304"/>
      <c r="AS595" s="304"/>
      <c r="AT595" s="304"/>
      <c r="AU595" s="304"/>
      <c r="AV595" s="304"/>
      <c r="AW595" s="304"/>
      <c r="AX595" s="304"/>
      <c r="AY595" s="304"/>
      <c r="AZ595" s="304"/>
      <c r="BA595" s="304"/>
      <c r="BB595" s="304"/>
      <c r="BC595" s="304"/>
      <c r="BK595" s="305"/>
      <c r="BL595" s="305"/>
      <c r="BM595" s="305"/>
      <c r="BN595" s="305"/>
      <c r="BO595" s="305"/>
      <c r="BP595" s="305"/>
      <c r="BQ595" s="305"/>
      <c r="BR595" s="305"/>
      <c r="BS595" s="305"/>
      <c r="BT595" s="305"/>
      <c r="BU595" s="305"/>
      <c r="BV595" s="305"/>
      <c r="BX595" s="319"/>
    </row>
    <row r="596" spans="1:76" s="303" customFormat="1" x14ac:dyDescent="0.25">
      <c r="A596" s="275"/>
      <c r="B596" s="275"/>
      <c r="C596" s="275"/>
      <c r="D596" s="275"/>
      <c r="E596" s="275"/>
      <c r="F596" s="275"/>
      <c r="V596" s="304"/>
      <c r="W596" s="304"/>
      <c r="AD596" s="304"/>
      <c r="AE596" s="304"/>
      <c r="AR596" s="304"/>
      <c r="AS596" s="304"/>
      <c r="AT596" s="304"/>
      <c r="AU596" s="304"/>
      <c r="AV596" s="304"/>
      <c r="AW596" s="304"/>
      <c r="AX596" s="304"/>
      <c r="AY596" s="304"/>
      <c r="AZ596" s="304"/>
      <c r="BA596" s="304"/>
      <c r="BB596" s="304"/>
      <c r="BC596" s="304"/>
      <c r="BK596" s="305"/>
      <c r="BL596" s="305"/>
      <c r="BM596" s="305"/>
      <c r="BN596" s="305"/>
      <c r="BO596" s="305"/>
      <c r="BP596" s="305"/>
      <c r="BQ596" s="305"/>
      <c r="BR596" s="305"/>
      <c r="BS596" s="305"/>
      <c r="BT596" s="305"/>
      <c r="BU596" s="305"/>
      <c r="BV596" s="305"/>
      <c r="BX596" s="319"/>
    </row>
    <row r="597" spans="1:76" s="303" customFormat="1" x14ac:dyDescent="0.25">
      <c r="A597" s="275"/>
      <c r="B597" s="275"/>
      <c r="C597" s="275"/>
      <c r="D597" s="275"/>
      <c r="E597" s="275"/>
      <c r="F597" s="275"/>
      <c r="V597" s="304"/>
      <c r="W597" s="304"/>
      <c r="AD597" s="304"/>
      <c r="AE597" s="304"/>
      <c r="AR597" s="304"/>
      <c r="AS597" s="304"/>
      <c r="AT597" s="304"/>
      <c r="AU597" s="304"/>
      <c r="AV597" s="304"/>
      <c r="AW597" s="304"/>
      <c r="AX597" s="304"/>
      <c r="AY597" s="304"/>
      <c r="AZ597" s="304"/>
      <c r="BA597" s="304"/>
      <c r="BB597" s="304"/>
      <c r="BC597" s="304"/>
      <c r="BK597" s="305"/>
      <c r="BL597" s="305"/>
      <c r="BM597" s="305"/>
      <c r="BN597" s="305"/>
      <c r="BO597" s="305"/>
      <c r="BP597" s="305"/>
      <c r="BQ597" s="305"/>
      <c r="BR597" s="305"/>
      <c r="BS597" s="305"/>
      <c r="BT597" s="305"/>
      <c r="BU597" s="305"/>
      <c r="BV597" s="305"/>
      <c r="BX597" s="319"/>
    </row>
    <row r="598" spans="1:76" s="303" customFormat="1" x14ac:dyDescent="0.25">
      <c r="A598" s="275"/>
      <c r="B598" s="275"/>
      <c r="C598" s="275"/>
      <c r="D598" s="275"/>
      <c r="E598" s="275"/>
      <c r="F598" s="275"/>
      <c r="V598" s="304"/>
      <c r="W598" s="304"/>
      <c r="AD598" s="304"/>
      <c r="AE598" s="304"/>
      <c r="AR598" s="304"/>
      <c r="AS598" s="304"/>
      <c r="AT598" s="304"/>
      <c r="AU598" s="304"/>
      <c r="AV598" s="304"/>
      <c r="AW598" s="304"/>
      <c r="AX598" s="304"/>
      <c r="AY598" s="304"/>
      <c r="AZ598" s="304"/>
      <c r="BA598" s="304"/>
      <c r="BB598" s="304"/>
      <c r="BC598" s="304"/>
      <c r="BK598" s="305"/>
      <c r="BL598" s="305"/>
      <c r="BM598" s="305"/>
      <c r="BN598" s="305"/>
      <c r="BO598" s="305"/>
      <c r="BP598" s="305"/>
      <c r="BQ598" s="305"/>
      <c r="BR598" s="305"/>
      <c r="BS598" s="305"/>
      <c r="BT598" s="305"/>
      <c r="BU598" s="305"/>
      <c r="BV598" s="305"/>
      <c r="BX598" s="319"/>
    </row>
    <row r="599" spans="1:76" s="303" customFormat="1" x14ac:dyDescent="0.25">
      <c r="A599" s="275"/>
      <c r="B599" s="275"/>
      <c r="C599" s="275"/>
      <c r="D599" s="275"/>
      <c r="E599" s="275"/>
      <c r="F599" s="275"/>
      <c r="V599" s="304"/>
      <c r="W599" s="304"/>
      <c r="AD599" s="304"/>
      <c r="AE599" s="304"/>
      <c r="AR599" s="304"/>
      <c r="AS599" s="304"/>
      <c r="AT599" s="304"/>
      <c r="AU599" s="304"/>
      <c r="AV599" s="304"/>
      <c r="AW599" s="304"/>
      <c r="AX599" s="304"/>
      <c r="AY599" s="304"/>
      <c r="AZ599" s="304"/>
      <c r="BA599" s="304"/>
      <c r="BB599" s="304"/>
      <c r="BC599" s="304"/>
      <c r="BK599" s="305"/>
      <c r="BL599" s="305"/>
      <c r="BM599" s="305"/>
      <c r="BN599" s="305"/>
      <c r="BO599" s="305"/>
      <c r="BP599" s="305"/>
      <c r="BQ599" s="305"/>
      <c r="BR599" s="305"/>
      <c r="BS599" s="305"/>
      <c r="BT599" s="305"/>
      <c r="BU599" s="305"/>
      <c r="BV599" s="305"/>
      <c r="BX599" s="319"/>
    </row>
    <row r="600" spans="1:76" s="303" customFormat="1" x14ac:dyDescent="0.25">
      <c r="A600" s="275"/>
      <c r="B600" s="275"/>
      <c r="C600" s="275"/>
      <c r="D600" s="275"/>
      <c r="E600" s="275"/>
      <c r="F600" s="275"/>
      <c r="V600" s="304"/>
      <c r="W600" s="304"/>
      <c r="AD600" s="304"/>
      <c r="AE600" s="304"/>
      <c r="AR600" s="304"/>
      <c r="AS600" s="304"/>
      <c r="AT600" s="304"/>
      <c r="AU600" s="304"/>
      <c r="AV600" s="304"/>
      <c r="AW600" s="304"/>
      <c r="AX600" s="304"/>
      <c r="AY600" s="304"/>
      <c r="AZ600" s="304"/>
      <c r="BA600" s="304"/>
      <c r="BB600" s="304"/>
      <c r="BC600" s="304"/>
      <c r="BK600" s="305"/>
      <c r="BL600" s="305"/>
      <c r="BM600" s="305"/>
      <c r="BN600" s="305"/>
      <c r="BO600" s="305"/>
      <c r="BP600" s="305"/>
      <c r="BQ600" s="305"/>
      <c r="BR600" s="305"/>
      <c r="BS600" s="305"/>
      <c r="BT600" s="305"/>
      <c r="BU600" s="305"/>
      <c r="BV600" s="305"/>
      <c r="BX600" s="319"/>
    </row>
    <row r="601" spans="1:76" s="303" customFormat="1" x14ac:dyDescent="0.25">
      <c r="A601" s="275"/>
      <c r="B601" s="275"/>
      <c r="C601" s="275"/>
      <c r="D601" s="275"/>
      <c r="E601" s="275"/>
      <c r="F601" s="275"/>
      <c r="V601" s="304"/>
      <c r="W601" s="304"/>
      <c r="AD601" s="304"/>
      <c r="AE601" s="304"/>
      <c r="AR601" s="304"/>
      <c r="AS601" s="304"/>
      <c r="AT601" s="304"/>
      <c r="AU601" s="304"/>
      <c r="AV601" s="304"/>
      <c r="AW601" s="304"/>
      <c r="AX601" s="304"/>
      <c r="AY601" s="304"/>
      <c r="AZ601" s="304"/>
      <c r="BA601" s="304"/>
      <c r="BB601" s="304"/>
      <c r="BC601" s="304"/>
      <c r="BK601" s="305"/>
      <c r="BL601" s="305"/>
      <c r="BM601" s="305"/>
      <c r="BN601" s="305"/>
      <c r="BO601" s="305"/>
      <c r="BP601" s="305"/>
      <c r="BQ601" s="305"/>
      <c r="BR601" s="305"/>
      <c r="BS601" s="305"/>
      <c r="BT601" s="305"/>
      <c r="BU601" s="305"/>
      <c r="BV601" s="305"/>
      <c r="BX601" s="319"/>
    </row>
    <row r="602" spans="1:76" s="303" customFormat="1" x14ac:dyDescent="0.25">
      <c r="A602" s="275"/>
      <c r="B602" s="275"/>
      <c r="C602" s="275"/>
      <c r="D602" s="275"/>
      <c r="E602" s="275"/>
      <c r="F602" s="275"/>
      <c r="V602" s="304"/>
      <c r="W602" s="304"/>
      <c r="AD602" s="304"/>
      <c r="AE602" s="304"/>
      <c r="AR602" s="304"/>
      <c r="AS602" s="304"/>
      <c r="AT602" s="304"/>
      <c r="AU602" s="304"/>
      <c r="AV602" s="304"/>
      <c r="AW602" s="304"/>
      <c r="AX602" s="304"/>
      <c r="AY602" s="304"/>
      <c r="AZ602" s="304"/>
      <c r="BA602" s="304"/>
      <c r="BB602" s="304"/>
      <c r="BC602" s="304"/>
      <c r="BK602" s="305"/>
      <c r="BL602" s="305"/>
      <c r="BM602" s="305"/>
      <c r="BN602" s="305"/>
      <c r="BO602" s="305"/>
      <c r="BP602" s="305"/>
      <c r="BQ602" s="305"/>
      <c r="BR602" s="305"/>
      <c r="BS602" s="305"/>
      <c r="BT602" s="305"/>
      <c r="BU602" s="305"/>
      <c r="BV602" s="305"/>
      <c r="BX602" s="319"/>
    </row>
    <row r="603" spans="1:76" s="303" customFormat="1" x14ac:dyDescent="0.25">
      <c r="A603" s="275"/>
      <c r="B603" s="275"/>
      <c r="C603" s="275"/>
      <c r="D603" s="275"/>
      <c r="E603" s="275"/>
      <c r="F603" s="275"/>
      <c r="V603" s="304"/>
      <c r="W603" s="304"/>
      <c r="AD603" s="304"/>
      <c r="AE603" s="304"/>
      <c r="AR603" s="304"/>
      <c r="AS603" s="304"/>
      <c r="AT603" s="304"/>
      <c r="AU603" s="304"/>
      <c r="AV603" s="304"/>
      <c r="AW603" s="304"/>
      <c r="AX603" s="304"/>
      <c r="AY603" s="304"/>
      <c r="AZ603" s="304"/>
      <c r="BA603" s="304"/>
      <c r="BB603" s="304"/>
      <c r="BC603" s="304"/>
      <c r="BK603" s="305"/>
      <c r="BL603" s="305"/>
      <c r="BM603" s="305"/>
      <c r="BN603" s="305"/>
      <c r="BO603" s="305"/>
      <c r="BP603" s="305"/>
      <c r="BQ603" s="305"/>
      <c r="BR603" s="305"/>
      <c r="BS603" s="305"/>
      <c r="BT603" s="305"/>
      <c r="BU603" s="305"/>
      <c r="BV603" s="305"/>
      <c r="BX603" s="319"/>
    </row>
    <row r="604" spans="1:76" s="303" customFormat="1" x14ac:dyDescent="0.25">
      <c r="A604" s="275"/>
      <c r="B604" s="275"/>
      <c r="C604" s="275"/>
      <c r="D604" s="275"/>
      <c r="E604" s="275"/>
      <c r="F604" s="275"/>
      <c r="V604" s="304"/>
      <c r="W604" s="304"/>
      <c r="AD604" s="304"/>
      <c r="AE604" s="304"/>
      <c r="AR604" s="304"/>
      <c r="AS604" s="304"/>
      <c r="AT604" s="304"/>
      <c r="AU604" s="304"/>
      <c r="AV604" s="304"/>
      <c r="AW604" s="304"/>
      <c r="AX604" s="304"/>
      <c r="AY604" s="304"/>
      <c r="AZ604" s="304"/>
      <c r="BA604" s="304"/>
      <c r="BB604" s="304"/>
      <c r="BC604" s="304"/>
      <c r="BK604" s="305"/>
      <c r="BL604" s="305"/>
      <c r="BM604" s="305"/>
      <c r="BN604" s="305"/>
      <c r="BO604" s="305"/>
      <c r="BP604" s="305"/>
      <c r="BQ604" s="305"/>
      <c r="BR604" s="305"/>
      <c r="BS604" s="305"/>
      <c r="BT604" s="305"/>
      <c r="BU604" s="305"/>
      <c r="BV604" s="305"/>
      <c r="BX604" s="319"/>
    </row>
    <row r="605" spans="1:76" s="303" customFormat="1" x14ac:dyDescent="0.25">
      <c r="A605" s="275"/>
      <c r="B605" s="275"/>
      <c r="C605" s="275"/>
      <c r="D605" s="275"/>
      <c r="E605" s="275"/>
      <c r="F605" s="275"/>
      <c r="V605" s="304"/>
      <c r="W605" s="304"/>
      <c r="AD605" s="304"/>
      <c r="AE605" s="304"/>
      <c r="AR605" s="304"/>
      <c r="AS605" s="304"/>
      <c r="AT605" s="304"/>
      <c r="AU605" s="304"/>
      <c r="AV605" s="304"/>
      <c r="AW605" s="304"/>
      <c r="AX605" s="304"/>
      <c r="AY605" s="304"/>
      <c r="AZ605" s="304"/>
      <c r="BA605" s="304"/>
      <c r="BB605" s="304"/>
      <c r="BC605" s="304"/>
      <c r="BK605" s="305"/>
      <c r="BL605" s="305"/>
      <c r="BM605" s="305"/>
      <c r="BN605" s="305"/>
      <c r="BO605" s="305"/>
      <c r="BP605" s="305"/>
      <c r="BQ605" s="305"/>
      <c r="BR605" s="305"/>
      <c r="BS605" s="305"/>
      <c r="BT605" s="305"/>
      <c r="BU605" s="305"/>
      <c r="BV605" s="305"/>
      <c r="BX605" s="319"/>
    </row>
    <row r="606" spans="1:76" s="303" customFormat="1" x14ac:dyDescent="0.25">
      <c r="A606" s="275"/>
      <c r="B606" s="275"/>
      <c r="C606" s="275"/>
      <c r="D606" s="275"/>
      <c r="E606" s="275"/>
      <c r="F606" s="275"/>
      <c r="V606" s="304"/>
      <c r="W606" s="304"/>
      <c r="AD606" s="304"/>
      <c r="AE606" s="304"/>
      <c r="AR606" s="304"/>
      <c r="AS606" s="304"/>
      <c r="AT606" s="304"/>
      <c r="AU606" s="304"/>
      <c r="AV606" s="304"/>
      <c r="AW606" s="304"/>
      <c r="AX606" s="304"/>
      <c r="AY606" s="304"/>
      <c r="AZ606" s="304"/>
      <c r="BA606" s="304"/>
      <c r="BB606" s="304"/>
      <c r="BC606" s="304"/>
      <c r="BK606" s="305"/>
      <c r="BL606" s="305"/>
      <c r="BM606" s="305"/>
      <c r="BN606" s="305"/>
      <c r="BO606" s="305"/>
      <c r="BP606" s="305"/>
      <c r="BQ606" s="305"/>
      <c r="BR606" s="305"/>
      <c r="BS606" s="305"/>
      <c r="BT606" s="305"/>
      <c r="BU606" s="305"/>
      <c r="BV606" s="305"/>
      <c r="BX606" s="319"/>
    </row>
    <row r="607" spans="1:76" s="303" customFormat="1" x14ac:dyDescent="0.25">
      <c r="A607" s="275"/>
      <c r="B607" s="275"/>
      <c r="C607" s="275"/>
      <c r="D607" s="275"/>
      <c r="E607" s="275"/>
      <c r="F607" s="275"/>
      <c r="V607" s="304"/>
      <c r="W607" s="304"/>
      <c r="AD607" s="304"/>
      <c r="AE607" s="304"/>
      <c r="AR607" s="304"/>
      <c r="AS607" s="304"/>
      <c r="AT607" s="304"/>
      <c r="AU607" s="304"/>
      <c r="AV607" s="304"/>
      <c r="AW607" s="304"/>
      <c r="AX607" s="304"/>
      <c r="AY607" s="304"/>
      <c r="AZ607" s="304"/>
      <c r="BA607" s="304"/>
      <c r="BB607" s="304"/>
      <c r="BC607" s="304"/>
      <c r="BK607" s="305"/>
      <c r="BL607" s="305"/>
      <c r="BM607" s="305"/>
      <c r="BN607" s="305"/>
      <c r="BO607" s="305"/>
      <c r="BP607" s="305"/>
      <c r="BQ607" s="305"/>
      <c r="BR607" s="305"/>
      <c r="BS607" s="305"/>
      <c r="BT607" s="305"/>
      <c r="BU607" s="305"/>
      <c r="BV607" s="305"/>
      <c r="BX607" s="319"/>
    </row>
    <row r="608" spans="1:76" s="303" customFormat="1" x14ac:dyDescent="0.25">
      <c r="A608" s="275"/>
      <c r="B608" s="275"/>
      <c r="C608" s="275"/>
      <c r="D608" s="275"/>
      <c r="E608" s="275"/>
      <c r="F608" s="275"/>
      <c r="V608" s="304"/>
      <c r="W608" s="304"/>
      <c r="AD608" s="304"/>
      <c r="AE608" s="304"/>
      <c r="AR608" s="304"/>
      <c r="AS608" s="304"/>
      <c r="AT608" s="304"/>
      <c r="AU608" s="304"/>
      <c r="AV608" s="304"/>
      <c r="AW608" s="304"/>
      <c r="AX608" s="304"/>
      <c r="AY608" s="304"/>
      <c r="AZ608" s="304"/>
      <c r="BA608" s="304"/>
      <c r="BB608" s="304"/>
      <c r="BC608" s="304"/>
      <c r="BK608" s="305"/>
      <c r="BL608" s="305"/>
      <c r="BM608" s="305"/>
      <c r="BN608" s="305"/>
      <c r="BO608" s="305"/>
      <c r="BP608" s="305"/>
      <c r="BQ608" s="305"/>
      <c r="BR608" s="305"/>
      <c r="BS608" s="305"/>
      <c r="BT608" s="305"/>
      <c r="BU608" s="305"/>
      <c r="BV608" s="305"/>
      <c r="BX608" s="319"/>
    </row>
    <row r="609" spans="1:76" s="303" customFormat="1" x14ac:dyDescent="0.25">
      <c r="A609" s="275"/>
      <c r="B609" s="275"/>
      <c r="C609" s="275"/>
      <c r="D609" s="275"/>
      <c r="E609" s="275"/>
      <c r="F609" s="275"/>
      <c r="V609" s="304"/>
      <c r="W609" s="304"/>
      <c r="AD609" s="304"/>
      <c r="AE609" s="304"/>
      <c r="AR609" s="304"/>
      <c r="AS609" s="304"/>
      <c r="AT609" s="304"/>
      <c r="AU609" s="304"/>
      <c r="AV609" s="304"/>
      <c r="AW609" s="304"/>
      <c r="AX609" s="304"/>
      <c r="AY609" s="304"/>
      <c r="AZ609" s="304"/>
      <c r="BA609" s="304"/>
      <c r="BB609" s="304"/>
      <c r="BC609" s="304"/>
      <c r="BK609" s="305"/>
      <c r="BL609" s="305"/>
      <c r="BM609" s="305"/>
      <c r="BN609" s="305"/>
      <c r="BO609" s="305"/>
      <c r="BP609" s="305"/>
      <c r="BQ609" s="305"/>
      <c r="BR609" s="305"/>
      <c r="BS609" s="305"/>
      <c r="BT609" s="305"/>
      <c r="BU609" s="305"/>
      <c r="BV609" s="305"/>
      <c r="BX609" s="319"/>
    </row>
    <row r="610" spans="1:76" s="303" customFormat="1" x14ac:dyDescent="0.25">
      <c r="A610" s="275"/>
      <c r="B610" s="275"/>
      <c r="C610" s="275"/>
      <c r="D610" s="275"/>
      <c r="E610" s="275"/>
      <c r="F610" s="275"/>
      <c r="V610" s="304"/>
      <c r="W610" s="304"/>
      <c r="AD610" s="304"/>
      <c r="AE610" s="304"/>
      <c r="AR610" s="304"/>
      <c r="AS610" s="304"/>
      <c r="AT610" s="304"/>
      <c r="AU610" s="304"/>
      <c r="AV610" s="304"/>
      <c r="AW610" s="304"/>
      <c r="AX610" s="304"/>
      <c r="AY610" s="304"/>
      <c r="AZ610" s="304"/>
      <c r="BA610" s="304"/>
      <c r="BB610" s="304"/>
      <c r="BC610" s="304"/>
      <c r="BK610" s="305"/>
      <c r="BL610" s="305"/>
      <c r="BM610" s="305"/>
      <c r="BN610" s="305"/>
      <c r="BO610" s="305"/>
      <c r="BP610" s="305"/>
      <c r="BQ610" s="305"/>
      <c r="BR610" s="305"/>
      <c r="BS610" s="305"/>
      <c r="BT610" s="305"/>
      <c r="BU610" s="305"/>
      <c r="BV610" s="305"/>
      <c r="BX610" s="319"/>
    </row>
    <row r="611" spans="1:76" s="303" customFormat="1" x14ac:dyDescent="0.25">
      <c r="A611" s="275"/>
      <c r="B611" s="275"/>
      <c r="C611" s="275"/>
      <c r="D611" s="275"/>
      <c r="E611" s="275"/>
      <c r="F611" s="275"/>
      <c r="V611" s="304"/>
      <c r="W611" s="304"/>
      <c r="AD611" s="304"/>
      <c r="AE611" s="304"/>
      <c r="AR611" s="304"/>
      <c r="AS611" s="304"/>
      <c r="AT611" s="304"/>
      <c r="AU611" s="304"/>
      <c r="AV611" s="304"/>
      <c r="AW611" s="304"/>
      <c r="AX611" s="304"/>
      <c r="AY611" s="304"/>
      <c r="AZ611" s="304"/>
      <c r="BA611" s="304"/>
      <c r="BB611" s="304"/>
      <c r="BC611" s="304"/>
      <c r="BK611" s="305"/>
      <c r="BL611" s="305"/>
      <c r="BM611" s="305"/>
      <c r="BN611" s="305"/>
      <c r="BO611" s="305"/>
      <c r="BP611" s="305"/>
      <c r="BQ611" s="305"/>
      <c r="BR611" s="305"/>
      <c r="BS611" s="305"/>
      <c r="BT611" s="305"/>
      <c r="BU611" s="305"/>
      <c r="BV611" s="305"/>
      <c r="BX611" s="319"/>
    </row>
    <row r="612" spans="1:76" s="303" customFormat="1" x14ac:dyDescent="0.25">
      <c r="A612" s="275"/>
      <c r="B612" s="275"/>
      <c r="C612" s="275"/>
      <c r="D612" s="275"/>
      <c r="E612" s="275"/>
      <c r="F612" s="275"/>
      <c r="V612" s="304"/>
      <c r="W612" s="304"/>
      <c r="AD612" s="304"/>
      <c r="AE612" s="304"/>
      <c r="AR612" s="304"/>
      <c r="AS612" s="304"/>
      <c r="AT612" s="304"/>
      <c r="AU612" s="304"/>
      <c r="AV612" s="304"/>
      <c r="AW612" s="304"/>
      <c r="AX612" s="304"/>
      <c r="AY612" s="304"/>
      <c r="AZ612" s="304"/>
      <c r="BA612" s="304"/>
      <c r="BB612" s="304"/>
      <c r="BC612" s="304"/>
      <c r="BK612" s="305"/>
      <c r="BL612" s="305"/>
      <c r="BM612" s="305"/>
      <c r="BN612" s="305"/>
      <c r="BO612" s="305"/>
      <c r="BP612" s="305"/>
      <c r="BQ612" s="305"/>
      <c r="BR612" s="305"/>
      <c r="BS612" s="305"/>
      <c r="BT612" s="305"/>
      <c r="BU612" s="305"/>
      <c r="BV612" s="305"/>
      <c r="BX612" s="319"/>
    </row>
    <row r="613" spans="1:76" s="303" customFormat="1" x14ac:dyDescent="0.25">
      <c r="A613" s="275"/>
      <c r="B613" s="275"/>
      <c r="C613" s="275"/>
      <c r="D613" s="275"/>
      <c r="E613" s="275"/>
      <c r="F613" s="275"/>
      <c r="V613" s="304"/>
      <c r="W613" s="304"/>
      <c r="AD613" s="304"/>
      <c r="AE613" s="304"/>
      <c r="AR613" s="304"/>
      <c r="AS613" s="304"/>
      <c r="AT613" s="304"/>
      <c r="AU613" s="304"/>
      <c r="AV613" s="304"/>
      <c r="AW613" s="304"/>
      <c r="AX613" s="304"/>
      <c r="AY613" s="304"/>
      <c r="AZ613" s="304"/>
      <c r="BA613" s="304"/>
      <c r="BB613" s="304"/>
      <c r="BC613" s="304"/>
      <c r="BK613" s="305"/>
      <c r="BL613" s="305"/>
      <c r="BM613" s="305"/>
      <c r="BN613" s="305"/>
      <c r="BO613" s="305"/>
      <c r="BP613" s="305"/>
      <c r="BQ613" s="305"/>
      <c r="BR613" s="305"/>
      <c r="BS613" s="305"/>
      <c r="BT613" s="305"/>
      <c r="BU613" s="305"/>
      <c r="BV613" s="305"/>
      <c r="BX613" s="319"/>
    </row>
    <row r="614" spans="1:76" s="303" customFormat="1" x14ac:dyDescent="0.25">
      <c r="A614" s="275"/>
      <c r="B614" s="275"/>
      <c r="C614" s="275"/>
      <c r="D614" s="275"/>
      <c r="E614" s="275"/>
      <c r="F614" s="275"/>
      <c r="V614" s="304"/>
      <c r="W614" s="304"/>
      <c r="AD614" s="304"/>
      <c r="AE614" s="304"/>
      <c r="AR614" s="304"/>
      <c r="AS614" s="304"/>
      <c r="AT614" s="304"/>
      <c r="AU614" s="304"/>
      <c r="AV614" s="304"/>
      <c r="AW614" s="304"/>
      <c r="AX614" s="304"/>
      <c r="AY614" s="304"/>
      <c r="AZ614" s="304"/>
      <c r="BA614" s="304"/>
      <c r="BB614" s="304"/>
      <c r="BC614" s="304"/>
      <c r="BK614" s="305"/>
      <c r="BL614" s="305"/>
      <c r="BM614" s="305"/>
      <c r="BN614" s="305"/>
      <c r="BO614" s="305"/>
      <c r="BP614" s="305"/>
      <c r="BQ614" s="305"/>
      <c r="BR614" s="305"/>
      <c r="BS614" s="305"/>
      <c r="BT614" s="305"/>
      <c r="BU614" s="305"/>
      <c r="BV614" s="305"/>
      <c r="BX614" s="319"/>
    </row>
    <row r="615" spans="1:76" s="303" customFormat="1" x14ac:dyDescent="0.25">
      <c r="A615" s="275"/>
      <c r="B615" s="275"/>
      <c r="C615" s="275"/>
      <c r="D615" s="275"/>
      <c r="E615" s="275"/>
      <c r="F615" s="275"/>
      <c r="V615" s="304"/>
      <c r="W615" s="304"/>
      <c r="AD615" s="304"/>
      <c r="AE615" s="304"/>
      <c r="AR615" s="304"/>
      <c r="AS615" s="304"/>
      <c r="AT615" s="304"/>
      <c r="AU615" s="304"/>
      <c r="AV615" s="304"/>
      <c r="AW615" s="304"/>
      <c r="AX615" s="304"/>
      <c r="AY615" s="304"/>
      <c r="AZ615" s="304"/>
      <c r="BA615" s="304"/>
      <c r="BB615" s="304"/>
      <c r="BC615" s="304"/>
      <c r="BK615" s="305"/>
      <c r="BL615" s="305"/>
      <c r="BM615" s="305"/>
      <c r="BN615" s="305"/>
      <c r="BO615" s="305"/>
      <c r="BP615" s="305"/>
      <c r="BQ615" s="305"/>
      <c r="BR615" s="305"/>
      <c r="BS615" s="305"/>
      <c r="BT615" s="305"/>
      <c r="BU615" s="305"/>
      <c r="BV615" s="305"/>
      <c r="BX615" s="319"/>
    </row>
    <row r="616" spans="1:76" s="303" customFormat="1" x14ac:dyDescent="0.25">
      <c r="A616" s="275"/>
      <c r="B616" s="275"/>
      <c r="C616" s="275"/>
      <c r="D616" s="275"/>
      <c r="E616" s="275"/>
      <c r="F616" s="275"/>
      <c r="V616" s="304"/>
      <c r="W616" s="304"/>
      <c r="AD616" s="304"/>
      <c r="AE616" s="304"/>
      <c r="AR616" s="304"/>
      <c r="AS616" s="304"/>
      <c r="AT616" s="304"/>
      <c r="AU616" s="304"/>
      <c r="AV616" s="304"/>
      <c r="AW616" s="304"/>
      <c r="AX616" s="304"/>
      <c r="AY616" s="304"/>
      <c r="AZ616" s="304"/>
      <c r="BA616" s="304"/>
      <c r="BB616" s="304"/>
      <c r="BC616" s="304"/>
      <c r="BK616" s="305"/>
      <c r="BL616" s="305"/>
      <c r="BM616" s="305"/>
      <c r="BN616" s="305"/>
      <c r="BO616" s="305"/>
      <c r="BP616" s="305"/>
      <c r="BQ616" s="305"/>
      <c r="BR616" s="305"/>
      <c r="BS616" s="305"/>
      <c r="BT616" s="305"/>
      <c r="BU616" s="305"/>
      <c r="BV616" s="305"/>
      <c r="BX616" s="319"/>
    </row>
    <row r="617" spans="1:76" s="303" customFormat="1" x14ac:dyDescent="0.25">
      <c r="A617" s="275"/>
      <c r="B617" s="275"/>
      <c r="C617" s="275"/>
      <c r="D617" s="275"/>
      <c r="E617" s="275"/>
      <c r="F617" s="275"/>
      <c r="V617" s="304"/>
      <c r="W617" s="304"/>
      <c r="AD617" s="304"/>
      <c r="AE617" s="304"/>
      <c r="AR617" s="304"/>
      <c r="AS617" s="304"/>
      <c r="AT617" s="304"/>
      <c r="AU617" s="304"/>
      <c r="AV617" s="304"/>
      <c r="AW617" s="304"/>
      <c r="AX617" s="304"/>
      <c r="AY617" s="304"/>
      <c r="AZ617" s="304"/>
      <c r="BA617" s="304"/>
      <c r="BB617" s="304"/>
      <c r="BC617" s="304"/>
      <c r="BK617" s="305"/>
      <c r="BL617" s="305"/>
      <c r="BM617" s="305"/>
      <c r="BN617" s="305"/>
      <c r="BO617" s="305"/>
      <c r="BP617" s="305"/>
      <c r="BQ617" s="305"/>
      <c r="BR617" s="305"/>
      <c r="BS617" s="305"/>
      <c r="BT617" s="305"/>
      <c r="BU617" s="305"/>
      <c r="BV617" s="305"/>
      <c r="BX617" s="319"/>
    </row>
    <row r="618" spans="1:76" s="303" customFormat="1" x14ac:dyDescent="0.25">
      <c r="A618" s="275"/>
      <c r="B618" s="275"/>
      <c r="C618" s="275"/>
      <c r="D618" s="275"/>
      <c r="E618" s="275"/>
      <c r="F618" s="275"/>
      <c r="V618" s="304"/>
      <c r="W618" s="304"/>
      <c r="AD618" s="304"/>
      <c r="AE618" s="304"/>
      <c r="AR618" s="304"/>
      <c r="AS618" s="304"/>
      <c r="AT618" s="304"/>
      <c r="AU618" s="304"/>
      <c r="AV618" s="304"/>
      <c r="AW618" s="304"/>
      <c r="AX618" s="304"/>
      <c r="AY618" s="304"/>
      <c r="AZ618" s="304"/>
      <c r="BA618" s="304"/>
      <c r="BB618" s="304"/>
      <c r="BC618" s="304"/>
      <c r="BK618" s="305"/>
      <c r="BL618" s="305"/>
      <c r="BM618" s="305"/>
      <c r="BN618" s="305"/>
      <c r="BO618" s="305"/>
      <c r="BP618" s="305"/>
      <c r="BQ618" s="305"/>
      <c r="BR618" s="305"/>
      <c r="BS618" s="305"/>
      <c r="BT618" s="305"/>
      <c r="BU618" s="305"/>
      <c r="BV618" s="305"/>
      <c r="BX618" s="319"/>
    </row>
    <row r="619" spans="1:76" s="303" customFormat="1" x14ac:dyDescent="0.25">
      <c r="A619" s="275"/>
      <c r="B619" s="275"/>
      <c r="C619" s="275"/>
      <c r="D619" s="275"/>
      <c r="E619" s="275"/>
      <c r="F619" s="275"/>
      <c r="V619" s="304"/>
      <c r="W619" s="304"/>
      <c r="AD619" s="304"/>
      <c r="AE619" s="304"/>
      <c r="AR619" s="304"/>
      <c r="AS619" s="304"/>
      <c r="AT619" s="304"/>
      <c r="AU619" s="304"/>
      <c r="AV619" s="304"/>
      <c r="AW619" s="304"/>
      <c r="AX619" s="304"/>
      <c r="AY619" s="304"/>
      <c r="AZ619" s="304"/>
      <c r="BA619" s="304"/>
      <c r="BB619" s="304"/>
      <c r="BC619" s="304"/>
      <c r="BK619" s="305"/>
      <c r="BL619" s="305"/>
      <c r="BM619" s="305"/>
      <c r="BN619" s="305"/>
      <c r="BO619" s="305"/>
      <c r="BP619" s="305"/>
      <c r="BQ619" s="305"/>
      <c r="BR619" s="305"/>
      <c r="BS619" s="305"/>
      <c r="BT619" s="305"/>
      <c r="BU619" s="305"/>
      <c r="BV619" s="305"/>
      <c r="BX619" s="319"/>
    </row>
    <row r="620" spans="1:76" s="303" customFormat="1" x14ac:dyDescent="0.25">
      <c r="A620" s="275"/>
      <c r="B620" s="275"/>
      <c r="C620" s="275"/>
      <c r="D620" s="275"/>
      <c r="E620" s="275"/>
      <c r="F620" s="275"/>
      <c r="V620" s="304"/>
      <c r="W620" s="304"/>
      <c r="AD620" s="304"/>
      <c r="AE620" s="304"/>
      <c r="AR620" s="304"/>
      <c r="AS620" s="304"/>
      <c r="AT620" s="304"/>
      <c r="AU620" s="304"/>
      <c r="AV620" s="304"/>
      <c r="AW620" s="304"/>
      <c r="AX620" s="304"/>
      <c r="AY620" s="304"/>
      <c r="AZ620" s="304"/>
      <c r="BA620" s="304"/>
      <c r="BB620" s="304"/>
      <c r="BC620" s="304"/>
      <c r="BK620" s="305"/>
      <c r="BL620" s="305"/>
      <c r="BM620" s="305"/>
      <c r="BN620" s="305"/>
      <c r="BO620" s="305"/>
      <c r="BP620" s="305"/>
      <c r="BQ620" s="305"/>
      <c r="BR620" s="305"/>
      <c r="BS620" s="305"/>
      <c r="BT620" s="305"/>
      <c r="BU620" s="305"/>
      <c r="BV620" s="305"/>
      <c r="BX620" s="319"/>
    </row>
    <row r="621" spans="1:76" s="303" customFormat="1" x14ac:dyDescent="0.25">
      <c r="A621" s="275"/>
      <c r="B621" s="275"/>
      <c r="C621" s="275"/>
      <c r="D621" s="275"/>
      <c r="E621" s="275"/>
      <c r="F621" s="275"/>
      <c r="V621" s="304"/>
      <c r="W621" s="304"/>
      <c r="AD621" s="304"/>
      <c r="AE621" s="304"/>
      <c r="AR621" s="304"/>
      <c r="AS621" s="304"/>
      <c r="AT621" s="304"/>
      <c r="AU621" s="304"/>
      <c r="AV621" s="304"/>
      <c r="AW621" s="304"/>
      <c r="AX621" s="304"/>
      <c r="AY621" s="304"/>
      <c r="AZ621" s="304"/>
      <c r="BA621" s="304"/>
      <c r="BB621" s="304"/>
      <c r="BC621" s="304"/>
      <c r="BK621" s="305"/>
      <c r="BL621" s="305"/>
      <c r="BM621" s="305"/>
      <c r="BN621" s="305"/>
      <c r="BO621" s="305"/>
      <c r="BP621" s="305"/>
      <c r="BQ621" s="305"/>
      <c r="BR621" s="305"/>
      <c r="BS621" s="305"/>
      <c r="BT621" s="305"/>
      <c r="BU621" s="305"/>
      <c r="BV621" s="305"/>
      <c r="BX621" s="319"/>
    </row>
    <row r="622" spans="1:76" s="303" customFormat="1" x14ac:dyDescent="0.25">
      <c r="A622" s="275"/>
      <c r="B622" s="275"/>
      <c r="C622" s="275"/>
      <c r="D622" s="275"/>
      <c r="E622" s="275"/>
      <c r="F622" s="275"/>
      <c r="V622" s="304"/>
      <c r="W622" s="304"/>
      <c r="AD622" s="304"/>
      <c r="AE622" s="304"/>
      <c r="AR622" s="304"/>
      <c r="AS622" s="304"/>
      <c r="AT622" s="304"/>
      <c r="AU622" s="304"/>
      <c r="AV622" s="304"/>
      <c r="AW622" s="304"/>
      <c r="AX622" s="304"/>
      <c r="AY622" s="304"/>
      <c r="AZ622" s="304"/>
      <c r="BA622" s="304"/>
      <c r="BB622" s="304"/>
      <c r="BC622" s="304"/>
      <c r="BK622" s="305"/>
      <c r="BL622" s="305"/>
      <c r="BM622" s="305"/>
      <c r="BN622" s="305"/>
      <c r="BO622" s="305"/>
      <c r="BP622" s="305"/>
      <c r="BQ622" s="305"/>
      <c r="BR622" s="305"/>
      <c r="BS622" s="305"/>
      <c r="BT622" s="305"/>
      <c r="BU622" s="305"/>
      <c r="BV622" s="305"/>
      <c r="BX622" s="319"/>
    </row>
    <row r="623" spans="1:76" s="303" customFormat="1" x14ac:dyDescent="0.25">
      <c r="A623" s="275"/>
      <c r="B623" s="275"/>
      <c r="C623" s="275"/>
      <c r="D623" s="275"/>
      <c r="E623" s="275"/>
      <c r="F623" s="275"/>
      <c r="V623" s="304"/>
      <c r="W623" s="304"/>
      <c r="AD623" s="304"/>
      <c r="AE623" s="304"/>
      <c r="AR623" s="304"/>
      <c r="AS623" s="304"/>
      <c r="AT623" s="304"/>
      <c r="AU623" s="304"/>
      <c r="AV623" s="304"/>
      <c r="AW623" s="304"/>
      <c r="AX623" s="304"/>
      <c r="AY623" s="304"/>
      <c r="AZ623" s="304"/>
      <c r="BA623" s="304"/>
      <c r="BB623" s="304"/>
      <c r="BC623" s="304"/>
      <c r="BK623" s="305"/>
      <c r="BL623" s="305"/>
      <c r="BM623" s="305"/>
      <c r="BN623" s="305"/>
      <c r="BO623" s="305"/>
      <c r="BP623" s="305"/>
      <c r="BQ623" s="305"/>
      <c r="BR623" s="305"/>
      <c r="BS623" s="305"/>
      <c r="BT623" s="305"/>
      <c r="BU623" s="305"/>
      <c r="BV623" s="305"/>
      <c r="BX623" s="319"/>
    </row>
    <row r="624" spans="1:76" s="303" customFormat="1" x14ac:dyDescent="0.25">
      <c r="A624" s="275"/>
      <c r="B624" s="275"/>
      <c r="C624" s="275"/>
      <c r="D624" s="275"/>
      <c r="E624" s="275"/>
      <c r="F624" s="275"/>
      <c r="V624" s="304"/>
      <c r="W624" s="304"/>
      <c r="AD624" s="304"/>
      <c r="AE624" s="304"/>
      <c r="AR624" s="304"/>
      <c r="AS624" s="304"/>
      <c r="AT624" s="304"/>
      <c r="AU624" s="304"/>
      <c r="AV624" s="304"/>
      <c r="AW624" s="304"/>
      <c r="AX624" s="304"/>
      <c r="AY624" s="304"/>
      <c r="AZ624" s="304"/>
      <c r="BA624" s="304"/>
      <c r="BB624" s="304"/>
      <c r="BC624" s="304"/>
      <c r="BK624" s="305"/>
      <c r="BL624" s="305"/>
      <c r="BM624" s="305"/>
      <c r="BN624" s="305"/>
      <c r="BO624" s="305"/>
      <c r="BP624" s="305"/>
      <c r="BQ624" s="305"/>
      <c r="BR624" s="305"/>
      <c r="BS624" s="305"/>
      <c r="BT624" s="305"/>
      <c r="BU624" s="305"/>
      <c r="BV624" s="305"/>
      <c r="BX624" s="319"/>
    </row>
    <row r="625" spans="1:76" s="303" customFormat="1" x14ac:dyDescent="0.25">
      <c r="A625" s="275"/>
      <c r="B625" s="275"/>
      <c r="C625" s="275"/>
      <c r="D625" s="275"/>
      <c r="E625" s="275"/>
      <c r="F625" s="275"/>
      <c r="V625" s="304"/>
      <c r="W625" s="304"/>
      <c r="AD625" s="304"/>
      <c r="AE625" s="304"/>
      <c r="AR625" s="304"/>
      <c r="AS625" s="304"/>
      <c r="AT625" s="304"/>
      <c r="AU625" s="304"/>
      <c r="AV625" s="304"/>
      <c r="AW625" s="304"/>
      <c r="AX625" s="304"/>
      <c r="AY625" s="304"/>
      <c r="AZ625" s="304"/>
      <c r="BA625" s="304"/>
      <c r="BB625" s="304"/>
      <c r="BC625" s="304"/>
      <c r="BK625" s="305"/>
      <c r="BL625" s="305"/>
      <c r="BM625" s="305"/>
      <c r="BN625" s="305"/>
      <c r="BO625" s="305"/>
      <c r="BP625" s="305"/>
      <c r="BQ625" s="305"/>
      <c r="BR625" s="305"/>
      <c r="BS625" s="305"/>
      <c r="BT625" s="305"/>
      <c r="BU625" s="305"/>
      <c r="BV625" s="305"/>
      <c r="BX625" s="319"/>
    </row>
    <row r="626" spans="1:76" s="303" customFormat="1" x14ac:dyDescent="0.25">
      <c r="A626" s="275"/>
      <c r="B626" s="275"/>
      <c r="C626" s="275"/>
      <c r="D626" s="275"/>
      <c r="E626" s="275"/>
      <c r="F626" s="275"/>
      <c r="V626" s="304"/>
      <c r="W626" s="304"/>
      <c r="AD626" s="304"/>
      <c r="AE626" s="304"/>
      <c r="AR626" s="304"/>
      <c r="AS626" s="304"/>
      <c r="AT626" s="304"/>
      <c r="AU626" s="304"/>
      <c r="AV626" s="304"/>
      <c r="AW626" s="304"/>
      <c r="AX626" s="304"/>
      <c r="AY626" s="304"/>
      <c r="AZ626" s="304"/>
      <c r="BA626" s="304"/>
      <c r="BB626" s="304"/>
      <c r="BC626" s="304"/>
      <c r="BK626" s="305"/>
      <c r="BL626" s="305"/>
      <c r="BM626" s="305"/>
      <c r="BN626" s="305"/>
      <c r="BO626" s="305"/>
      <c r="BP626" s="305"/>
      <c r="BQ626" s="305"/>
      <c r="BR626" s="305"/>
      <c r="BS626" s="305"/>
      <c r="BT626" s="305"/>
      <c r="BU626" s="305"/>
      <c r="BV626" s="305"/>
      <c r="BX626" s="319"/>
    </row>
    <row r="627" spans="1:76" s="303" customFormat="1" x14ac:dyDescent="0.25">
      <c r="A627" s="275"/>
      <c r="B627" s="275"/>
      <c r="C627" s="275"/>
      <c r="D627" s="275"/>
      <c r="E627" s="275"/>
      <c r="F627" s="275"/>
      <c r="V627" s="304"/>
      <c r="W627" s="304"/>
      <c r="AD627" s="304"/>
      <c r="AE627" s="304"/>
      <c r="AR627" s="304"/>
      <c r="AS627" s="304"/>
      <c r="AT627" s="304"/>
      <c r="AU627" s="304"/>
      <c r="AV627" s="304"/>
      <c r="AW627" s="304"/>
      <c r="AX627" s="304"/>
      <c r="AY627" s="304"/>
      <c r="AZ627" s="304"/>
      <c r="BA627" s="304"/>
      <c r="BB627" s="304"/>
      <c r="BC627" s="304"/>
      <c r="BK627" s="305"/>
      <c r="BL627" s="305"/>
      <c r="BM627" s="305"/>
      <c r="BN627" s="305"/>
      <c r="BO627" s="305"/>
      <c r="BP627" s="305"/>
      <c r="BQ627" s="305"/>
      <c r="BR627" s="305"/>
      <c r="BS627" s="305"/>
      <c r="BT627" s="305"/>
      <c r="BU627" s="305"/>
      <c r="BV627" s="305"/>
      <c r="BX627" s="319"/>
    </row>
    <row r="628" spans="1:76" s="303" customFormat="1" x14ac:dyDescent="0.25">
      <c r="A628" s="275"/>
      <c r="B628" s="275"/>
      <c r="C628" s="275"/>
      <c r="D628" s="275"/>
      <c r="E628" s="275"/>
      <c r="F628" s="275"/>
      <c r="V628" s="304"/>
      <c r="W628" s="304"/>
      <c r="AD628" s="304"/>
      <c r="AE628" s="304"/>
      <c r="AR628" s="304"/>
      <c r="AS628" s="304"/>
      <c r="AT628" s="304"/>
      <c r="AU628" s="304"/>
      <c r="AV628" s="304"/>
      <c r="AW628" s="304"/>
      <c r="AX628" s="304"/>
      <c r="AY628" s="304"/>
      <c r="AZ628" s="304"/>
      <c r="BA628" s="304"/>
      <c r="BB628" s="304"/>
      <c r="BC628" s="304"/>
      <c r="BK628" s="305"/>
      <c r="BL628" s="305"/>
      <c r="BM628" s="305"/>
      <c r="BN628" s="305"/>
      <c r="BO628" s="305"/>
      <c r="BP628" s="305"/>
      <c r="BQ628" s="305"/>
      <c r="BR628" s="305"/>
      <c r="BS628" s="305"/>
      <c r="BT628" s="305"/>
      <c r="BU628" s="305"/>
      <c r="BV628" s="305"/>
      <c r="BX628" s="319"/>
    </row>
    <row r="629" spans="1:76" s="303" customFormat="1" x14ac:dyDescent="0.25">
      <c r="A629" s="275"/>
      <c r="B629" s="275"/>
      <c r="C629" s="275"/>
      <c r="D629" s="275"/>
      <c r="E629" s="275"/>
      <c r="F629" s="275"/>
      <c r="V629" s="304"/>
      <c r="W629" s="304"/>
      <c r="AD629" s="304"/>
      <c r="AE629" s="304"/>
      <c r="AR629" s="304"/>
      <c r="AS629" s="304"/>
      <c r="AT629" s="304"/>
      <c r="AU629" s="304"/>
      <c r="AV629" s="304"/>
      <c r="AW629" s="304"/>
      <c r="AX629" s="304"/>
      <c r="AY629" s="304"/>
      <c r="AZ629" s="304"/>
      <c r="BA629" s="304"/>
      <c r="BB629" s="304"/>
      <c r="BC629" s="304"/>
      <c r="BK629" s="305"/>
      <c r="BL629" s="305"/>
      <c r="BM629" s="305"/>
      <c r="BN629" s="305"/>
      <c r="BO629" s="305"/>
      <c r="BP629" s="305"/>
      <c r="BQ629" s="305"/>
      <c r="BR629" s="305"/>
      <c r="BS629" s="305"/>
      <c r="BT629" s="305"/>
      <c r="BU629" s="305"/>
      <c r="BV629" s="305"/>
      <c r="BX629" s="319"/>
    </row>
    <row r="630" spans="1:76" s="303" customFormat="1" x14ac:dyDescent="0.25">
      <c r="A630" s="275"/>
      <c r="B630" s="275"/>
      <c r="C630" s="275"/>
      <c r="D630" s="275"/>
      <c r="E630" s="275"/>
      <c r="F630" s="275"/>
      <c r="V630" s="304"/>
      <c r="W630" s="304"/>
      <c r="AD630" s="304"/>
      <c r="AE630" s="304"/>
      <c r="AR630" s="304"/>
      <c r="AS630" s="304"/>
      <c r="AT630" s="304"/>
      <c r="AU630" s="304"/>
      <c r="AV630" s="304"/>
      <c r="AW630" s="304"/>
      <c r="AX630" s="304"/>
      <c r="AY630" s="304"/>
      <c r="AZ630" s="304"/>
      <c r="BA630" s="304"/>
      <c r="BB630" s="304"/>
      <c r="BC630" s="304"/>
      <c r="BK630" s="305"/>
      <c r="BL630" s="305"/>
      <c r="BM630" s="305"/>
      <c r="BN630" s="305"/>
      <c r="BO630" s="305"/>
      <c r="BP630" s="305"/>
      <c r="BQ630" s="305"/>
      <c r="BR630" s="305"/>
      <c r="BS630" s="305"/>
      <c r="BT630" s="305"/>
      <c r="BU630" s="305"/>
      <c r="BV630" s="305"/>
      <c r="BX630" s="319"/>
    </row>
    <row r="631" spans="1:76" s="303" customFormat="1" x14ac:dyDescent="0.25">
      <c r="A631" s="275"/>
      <c r="B631" s="275"/>
      <c r="C631" s="275"/>
      <c r="D631" s="275"/>
      <c r="E631" s="275"/>
      <c r="F631" s="275"/>
      <c r="V631" s="304"/>
      <c r="W631" s="304"/>
      <c r="AD631" s="304"/>
      <c r="AE631" s="304"/>
      <c r="AR631" s="304"/>
      <c r="AS631" s="304"/>
      <c r="AT631" s="304"/>
      <c r="AU631" s="304"/>
      <c r="AV631" s="304"/>
      <c r="AW631" s="304"/>
      <c r="AX631" s="304"/>
      <c r="AY631" s="304"/>
      <c r="AZ631" s="304"/>
      <c r="BA631" s="304"/>
      <c r="BB631" s="304"/>
      <c r="BC631" s="304"/>
      <c r="BK631" s="305"/>
      <c r="BL631" s="305"/>
      <c r="BM631" s="305"/>
      <c r="BN631" s="305"/>
      <c r="BO631" s="305"/>
      <c r="BP631" s="305"/>
      <c r="BQ631" s="305"/>
      <c r="BR631" s="305"/>
      <c r="BS631" s="305"/>
      <c r="BT631" s="305"/>
      <c r="BU631" s="305"/>
      <c r="BV631" s="305"/>
      <c r="BX631" s="319"/>
    </row>
    <row r="632" spans="1:76" s="303" customFormat="1" x14ac:dyDescent="0.25">
      <c r="A632" s="275"/>
      <c r="B632" s="275"/>
      <c r="C632" s="275"/>
      <c r="D632" s="275"/>
      <c r="E632" s="275"/>
      <c r="F632" s="275"/>
      <c r="V632" s="304"/>
      <c r="W632" s="304"/>
      <c r="AD632" s="304"/>
      <c r="AE632" s="304"/>
      <c r="AR632" s="304"/>
      <c r="AS632" s="304"/>
      <c r="AT632" s="304"/>
      <c r="AU632" s="304"/>
      <c r="AV632" s="304"/>
      <c r="AW632" s="304"/>
      <c r="AX632" s="304"/>
      <c r="AY632" s="304"/>
      <c r="AZ632" s="304"/>
      <c r="BA632" s="304"/>
      <c r="BB632" s="304"/>
      <c r="BC632" s="304"/>
      <c r="BK632" s="305"/>
      <c r="BL632" s="305"/>
      <c r="BM632" s="305"/>
      <c r="BN632" s="305"/>
      <c r="BO632" s="305"/>
      <c r="BP632" s="305"/>
      <c r="BQ632" s="305"/>
      <c r="BR632" s="305"/>
      <c r="BS632" s="305"/>
      <c r="BT632" s="305"/>
      <c r="BU632" s="305"/>
      <c r="BV632" s="305"/>
      <c r="BX632" s="319"/>
    </row>
    <row r="633" spans="1:76" s="303" customFormat="1" x14ac:dyDescent="0.25">
      <c r="A633" s="275"/>
      <c r="B633" s="275"/>
      <c r="C633" s="275"/>
      <c r="D633" s="275"/>
      <c r="E633" s="275"/>
      <c r="F633" s="275"/>
      <c r="V633" s="304"/>
      <c r="W633" s="304"/>
      <c r="AD633" s="304"/>
      <c r="AE633" s="304"/>
      <c r="AR633" s="304"/>
      <c r="AS633" s="304"/>
      <c r="AT633" s="304"/>
      <c r="AU633" s="304"/>
      <c r="AV633" s="304"/>
      <c r="AW633" s="304"/>
      <c r="AX633" s="304"/>
      <c r="AY633" s="304"/>
      <c r="AZ633" s="304"/>
      <c r="BA633" s="304"/>
      <c r="BB633" s="304"/>
      <c r="BC633" s="304"/>
      <c r="BK633" s="305"/>
      <c r="BL633" s="305"/>
      <c r="BM633" s="305"/>
      <c r="BN633" s="305"/>
      <c r="BO633" s="305"/>
      <c r="BP633" s="305"/>
      <c r="BQ633" s="305"/>
      <c r="BR633" s="305"/>
      <c r="BS633" s="305"/>
      <c r="BT633" s="305"/>
      <c r="BU633" s="305"/>
      <c r="BV633" s="305"/>
      <c r="BX633" s="319"/>
    </row>
    <row r="634" spans="1:76" s="303" customFormat="1" x14ac:dyDescent="0.25">
      <c r="A634" s="275"/>
      <c r="B634" s="275"/>
      <c r="C634" s="275"/>
      <c r="D634" s="275"/>
      <c r="E634" s="275"/>
      <c r="F634" s="275"/>
      <c r="V634" s="304"/>
      <c r="W634" s="304"/>
      <c r="AD634" s="304"/>
      <c r="AE634" s="304"/>
      <c r="AR634" s="304"/>
      <c r="AS634" s="304"/>
      <c r="AT634" s="304"/>
      <c r="AU634" s="304"/>
      <c r="AV634" s="304"/>
      <c r="AW634" s="304"/>
      <c r="AX634" s="304"/>
      <c r="AY634" s="304"/>
      <c r="AZ634" s="304"/>
      <c r="BA634" s="304"/>
      <c r="BB634" s="304"/>
      <c r="BC634" s="304"/>
      <c r="BK634" s="305"/>
      <c r="BL634" s="305"/>
      <c r="BM634" s="305"/>
      <c r="BN634" s="305"/>
      <c r="BO634" s="305"/>
      <c r="BP634" s="305"/>
      <c r="BQ634" s="305"/>
      <c r="BR634" s="305"/>
      <c r="BS634" s="305"/>
      <c r="BT634" s="305"/>
      <c r="BU634" s="305"/>
      <c r="BV634" s="305"/>
      <c r="BX634" s="319"/>
    </row>
    <row r="635" spans="1:76" s="303" customFormat="1" x14ac:dyDescent="0.25">
      <c r="A635" s="275"/>
      <c r="B635" s="275"/>
      <c r="C635" s="275"/>
      <c r="D635" s="275"/>
      <c r="E635" s="275"/>
      <c r="F635" s="275"/>
      <c r="V635" s="304"/>
      <c r="W635" s="304"/>
      <c r="AD635" s="304"/>
      <c r="AE635" s="304"/>
      <c r="AR635" s="304"/>
      <c r="AS635" s="304"/>
      <c r="AT635" s="304"/>
      <c r="AU635" s="304"/>
      <c r="AV635" s="304"/>
      <c r="AW635" s="304"/>
      <c r="AX635" s="304"/>
      <c r="AY635" s="304"/>
      <c r="AZ635" s="304"/>
      <c r="BA635" s="304"/>
      <c r="BB635" s="304"/>
      <c r="BC635" s="304"/>
      <c r="BK635" s="305"/>
      <c r="BL635" s="305"/>
      <c r="BM635" s="305"/>
      <c r="BN635" s="305"/>
      <c r="BO635" s="305"/>
      <c r="BP635" s="305"/>
      <c r="BQ635" s="305"/>
      <c r="BR635" s="305"/>
      <c r="BS635" s="305"/>
      <c r="BT635" s="305"/>
      <c r="BU635" s="305"/>
      <c r="BV635" s="305"/>
      <c r="BX635" s="319"/>
    </row>
    <row r="636" spans="1:76" s="303" customFormat="1" x14ac:dyDescent="0.25">
      <c r="A636" s="275"/>
      <c r="B636" s="275"/>
      <c r="C636" s="275"/>
      <c r="D636" s="275"/>
      <c r="E636" s="275"/>
      <c r="F636" s="275"/>
      <c r="V636" s="304"/>
      <c r="W636" s="304"/>
      <c r="AD636" s="304"/>
      <c r="AE636" s="304"/>
      <c r="AR636" s="304"/>
      <c r="AS636" s="304"/>
      <c r="AT636" s="304"/>
      <c r="AU636" s="304"/>
      <c r="AV636" s="304"/>
      <c r="AW636" s="304"/>
      <c r="AX636" s="304"/>
      <c r="AY636" s="304"/>
      <c r="AZ636" s="304"/>
      <c r="BA636" s="304"/>
      <c r="BB636" s="304"/>
      <c r="BC636" s="304"/>
      <c r="BK636" s="305"/>
      <c r="BL636" s="305"/>
      <c r="BM636" s="305"/>
      <c r="BN636" s="305"/>
      <c r="BO636" s="305"/>
      <c r="BP636" s="305"/>
      <c r="BQ636" s="305"/>
      <c r="BR636" s="305"/>
      <c r="BS636" s="305"/>
      <c r="BT636" s="305"/>
      <c r="BU636" s="305"/>
      <c r="BV636" s="305"/>
      <c r="BX636" s="319"/>
    </row>
    <row r="637" spans="1:76" s="303" customFormat="1" x14ac:dyDescent="0.25">
      <c r="A637" s="275"/>
      <c r="B637" s="275"/>
      <c r="C637" s="275"/>
      <c r="D637" s="275"/>
      <c r="E637" s="275"/>
      <c r="F637" s="275"/>
      <c r="V637" s="304"/>
      <c r="W637" s="304"/>
      <c r="AD637" s="304"/>
      <c r="AE637" s="304"/>
      <c r="AR637" s="304"/>
      <c r="AS637" s="304"/>
      <c r="AT637" s="304"/>
      <c r="AU637" s="304"/>
      <c r="AV637" s="304"/>
      <c r="AW637" s="304"/>
      <c r="AX637" s="304"/>
      <c r="AY637" s="304"/>
      <c r="AZ637" s="304"/>
      <c r="BA637" s="304"/>
      <c r="BB637" s="304"/>
      <c r="BC637" s="304"/>
      <c r="BK637" s="305"/>
      <c r="BL637" s="305"/>
      <c r="BM637" s="305"/>
      <c r="BN637" s="305"/>
      <c r="BO637" s="305"/>
      <c r="BP637" s="305"/>
      <c r="BQ637" s="305"/>
      <c r="BR637" s="305"/>
      <c r="BS637" s="305"/>
      <c r="BT637" s="305"/>
      <c r="BU637" s="305"/>
      <c r="BV637" s="305"/>
      <c r="BX637" s="319"/>
    </row>
    <row r="638" spans="1:76" s="303" customFormat="1" x14ac:dyDescent="0.25">
      <c r="A638" s="275"/>
      <c r="B638" s="275"/>
      <c r="C638" s="275"/>
      <c r="D638" s="275"/>
      <c r="E638" s="275"/>
      <c r="F638" s="275"/>
      <c r="V638" s="304"/>
      <c r="W638" s="304"/>
      <c r="AD638" s="304"/>
      <c r="AE638" s="304"/>
      <c r="AR638" s="304"/>
      <c r="AS638" s="304"/>
      <c r="AT638" s="304"/>
      <c r="AU638" s="304"/>
      <c r="AV638" s="304"/>
      <c r="AW638" s="304"/>
      <c r="AX638" s="304"/>
      <c r="AY638" s="304"/>
      <c r="AZ638" s="304"/>
      <c r="BA638" s="304"/>
      <c r="BB638" s="304"/>
      <c r="BC638" s="304"/>
      <c r="BK638" s="305"/>
      <c r="BL638" s="305"/>
      <c r="BM638" s="305"/>
      <c r="BN638" s="305"/>
      <c r="BO638" s="305"/>
      <c r="BP638" s="305"/>
      <c r="BQ638" s="305"/>
      <c r="BR638" s="305"/>
      <c r="BS638" s="305"/>
      <c r="BT638" s="305"/>
      <c r="BU638" s="305"/>
      <c r="BV638" s="305"/>
      <c r="BX638" s="319"/>
    </row>
    <row r="639" spans="1:76" s="303" customFormat="1" x14ac:dyDescent="0.25">
      <c r="A639" s="275"/>
      <c r="B639" s="275"/>
      <c r="C639" s="275"/>
      <c r="D639" s="275"/>
      <c r="E639" s="275"/>
      <c r="F639" s="275"/>
      <c r="V639" s="304"/>
      <c r="W639" s="304"/>
      <c r="AD639" s="304"/>
      <c r="AE639" s="304"/>
      <c r="AR639" s="304"/>
      <c r="AS639" s="304"/>
      <c r="AT639" s="304"/>
      <c r="AU639" s="304"/>
      <c r="AV639" s="304"/>
      <c r="AW639" s="304"/>
      <c r="AX639" s="304"/>
      <c r="AY639" s="304"/>
      <c r="AZ639" s="304"/>
      <c r="BA639" s="304"/>
      <c r="BB639" s="304"/>
      <c r="BC639" s="304"/>
      <c r="BK639" s="305"/>
      <c r="BL639" s="305"/>
      <c r="BM639" s="305"/>
      <c r="BN639" s="305"/>
      <c r="BO639" s="305"/>
      <c r="BP639" s="305"/>
      <c r="BQ639" s="305"/>
      <c r="BR639" s="305"/>
      <c r="BS639" s="305"/>
      <c r="BT639" s="305"/>
      <c r="BU639" s="305"/>
      <c r="BV639" s="305"/>
      <c r="BX639" s="319"/>
    </row>
    <row r="640" spans="1:76" s="303" customFormat="1" x14ac:dyDescent="0.25">
      <c r="A640" s="275"/>
      <c r="B640" s="275"/>
      <c r="C640" s="275"/>
      <c r="D640" s="275"/>
      <c r="E640" s="275"/>
      <c r="F640" s="275"/>
      <c r="V640" s="304"/>
      <c r="W640" s="304"/>
      <c r="AD640" s="304"/>
      <c r="AE640" s="304"/>
      <c r="AR640" s="304"/>
      <c r="AS640" s="304"/>
      <c r="AT640" s="304"/>
      <c r="AU640" s="304"/>
      <c r="AV640" s="304"/>
      <c r="AW640" s="304"/>
      <c r="AX640" s="304"/>
      <c r="AY640" s="304"/>
      <c r="AZ640" s="304"/>
      <c r="BA640" s="304"/>
      <c r="BB640" s="304"/>
      <c r="BC640" s="304"/>
      <c r="BK640" s="305"/>
      <c r="BL640" s="305"/>
      <c r="BM640" s="305"/>
      <c r="BN640" s="305"/>
      <c r="BO640" s="305"/>
      <c r="BP640" s="305"/>
      <c r="BQ640" s="305"/>
      <c r="BR640" s="305"/>
      <c r="BS640" s="305"/>
      <c r="BT640" s="305"/>
      <c r="BU640" s="305"/>
      <c r="BV640" s="305"/>
      <c r="BX640" s="319"/>
    </row>
    <row r="641" spans="1:76" s="303" customFormat="1" x14ac:dyDescent="0.25">
      <c r="A641" s="275"/>
      <c r="B641" s="275"/>
      <c r="C641" s="275"/>
      <c r="D641" s="275"/>
      <c r="E641" s="275"/>
      <c r="F641" s="275"/>
      <c r="V641" s="304"/>
      <c r="W641" s="304"/>
      <c r="AD641" s="304"/>
      <c r="AE641" s="304"/>
      <c r="AR641" s="304"/>
      <c r="AS641" s="304"/>
      <c r="AT641" s="304"/>
      <c r="AU641" s="304"/>
      <c r="AV641" s="304"/>
      <c r="AW641" s="304"/>
      <c r="AX641" s="304"/>
      <c r="AY641" s="304"/>
      <c r="AZ641" s="304"/>
      <c r="BA641" s="304"/>
      <c r="BB641" s="304"/>
      <c r="BC641" s="304"/>
      <c r="BK641" s="305"/>
      <c r="BL641" s="305"/>
      <c r="BM641" s="305"/>
      <c r="BN641" s="305"/>
      <c r="BO641" s="305"/>
      <c r="BP641" s="305"/>
      <c r="BQ641" s="305"/>
      <c r="BR641" s="305"/>
      <c r="BS641" s="305"/>
      <c r="BT641" s="305"/>
      <c r="BU641" s="305"/>
      <c r="BV641" s="305"/>
      <c r="BX641" s="319"/>
    </row>
    <row r="642" spans="1:76" s="303" customFormat="1" x14ac:dyDescent="0.25">
      <c r="A642" s="275"/>
      <c r="B642" s="275"/>
      <c r="C642" s="275"/>
      <c r="D642" s="275"/>
      <c r="E642" s="275"/>
      <c r="F642" s="275"/>
      <c r="V642" s="304"/>
      <c r="W642" s="304"/>
      <c r="AD642" s="304"/>
      <c r="AE642" s="304"/>
      <c r="AR642" s="304"/>
      <c r="AS642" s="304"/>
      <c r="AT642" s="304"/>
      <c r="AU642" s="304"/>
      <c r="AV642" s="304"/>
      <c r="AW642" s="304"/>
      <c r="AX642" s="304"/>
      <c r="AY642" s="304"/>
      <c r="AZ642" s="304"/>
      <c r="BA642" s="304"/>
      <c r="BB642" s="304"/>
      <c r="BC642" s="304"/>
      <c r="BK642" s="305"/>
      <c r="BL642" s="305"/>
      <c r="BM642" s="305"/>
      <c r="BN642" s="305"/>
      <c r="BO642" s="305"/>
      <c r="BP642" s="305"/>
      <c r="BQ642" s="305"/>
      <c r="BR642" s="305"/>
      <c r="BS642" s="305"/>
      <c r="BT642" s="305"/>
      <c r="BU642" s="305"/>
      <c r="BV642" s="305"/>
      <c r="BX642" s="319"/>
    </row>
    <row r="643" spans="1:76" s="303" customFormat="1" x14ac:dyDescent="0.25">
      <c r="A643" s="275"/>
      <c r="B643" s="275"/>
      <c r="C643" s="275"/>
      <c r="D643" s="275"/>
      <c r="E643" s="275"/>
      <c r="F643" s="275"/>
      <c r="V643" s="304"/>
      <c r="W643" s="304"/>
      <c r="AD643" s="304"/>
      <c r="AE643" s="304"/>
      <c r="AR643" s="304"/>
      <c r="AS643" s="304"/>
      <c r="AT643" s="304"/>
      <c r="AU643" s="304"/>
      <c r="AV643" s="304"/>
      <c r="AW643" s="304"/>
      <c r="AX643" s="304"/>
      <c r="AY643" s="304"/>
      <c r="AZ643" s="304"/>
      <c r="BA643" s="304"/>
      <c r="BB643" s="304"/>
      <c r="BC643" s="304"/>
      <c r="BK643" s="305"/>
      <c r="BL643" s="305"/>
      <c r="BM643" s="305"/>
      <c r="BN643" s="305"/>
      <c r="BO643" s="305"/>
      <c r="BP643" s="305"/>
      <c r="BQ643" s="305"/>
      <c r="BR643" s="305"/>
      <c r="BS643" s="305"/>
      <c r="BT643" s="305"/>
      <c r="BU643" s="305"/>
      <c r="BV643" s="305"/>
      <c r="BX643" s="319"/>
    </row>
    <row r="644" spans="1:76" s="303" customFormat="1" x14ac:dyDescent="0.25">
      <c r="A644" s="275"/>
      <c r="B644" s="275"/>
      <c r="C644" s="275"/>
      <c r="D644" s="275"/>
      <c r="E644" s="275"/>
      <c r="F644" s="275"/>
      <c r="V644" s="304"/>
      <c r="W644" s="304"/>
      <c r="AD644" s="304"/>
      <c r="AE644" s="304"/>
      <c r="AR644" s="304"/>
      <c r="AS644" s="304"/>
      <c r="AT644" s="304"/>
      <c r="AU644" s="304"/>
      <c r="AV644" s="304"/>
      <c r="AW644" s="304"/>
      <c r="AX644" s="304"/>
      <c r="AY644" s="304"/>
      <c r="AZ644" s="304"/>
      <c r="BA644" s="304"/>
      <c r="BB644" s="304"/>
      <c r="BC644" s="304"/>
      <c r="BK644" s="305"/>
      <c r="BL644" s="305"/>
      <c r="BM644" s="305"/>
      <c r="BN644" s="305"/>
      <c r="BO644" s="305"/>
      <c r="BP644" s="305"/>
      <c r="BQ644" s="305"/>
      <c r="BR644" s="305"/>
      <c r="BS644" s="305"/>
      <c r="BT644" s="305"/>
      <c r="BU644" s="305"/>
      <c r="BV644" s="305"/>
      <c r="BX644" s="319"/>
    </row>
    <row r="645" spans="1:76" s="303" customFormat="1" x14ac:dyDescent="0.25">
      <c r="A645" s="275"/>
      <c r="B645" s="275"/>
      <c r="C645" s="275"/>
      <c r="D645" s="275"/>
      <c r="E645" s="275"/>
      <c r="F645" s="275"/>
      <c r="V645" s="304"/>
      <c r="W645" s="304"/>
      <c r="AD645" s="304"/>
      <c r="AE645" s="304"/>
      <c r="AR645" s="304"/>
      <c r="AS645" s="304"/>
      <c r="AT645" s="304"/>
      <c r="AU645" s="304"/>
      <c r="AV645" s="304"/>
      <c r="AW645" s="304"/>
      <c r="AX645" s="304"/>
      <c r="AY645" s="304"/>
      <c r="AZ645" s="304"/>
      <c r="BA645" s="304"/>
      <c r="BB645" s="304"/>
      <c r="BC645" s="304"/>
      <c r="BK645" s="305"/>
      <c r="BL645" s="305"/>
      <c r="BM645" s="305"/>
      <c r="BN645" s="305"/>
      <c r="BO645" s="305"/>
      <c r="BP645" s="305"/>
      <c r="BQ645" s="305"/>
      <c r="BR645" s="305"/>
      <c r="BS645" s="305"/>
      <c r="BT645" s="305"/>
      <c r="BU645" s="305"/>
      <c r="BV645" s="305"/>
      <c r="BX645" s="319"/>
    </row>
    <row r="646" spans="1:76" s="303" customFormat="1" x14ac:dyDescent="0.25">
      <c r="A646" s="275"/>
      <c r="B646" s="275"/>
      <c r="C646" s="275"/>
      <c r="D646" s="275"/>
      <c r="E646" s="275"/>
      <c r="F646" s="275"/>
      <c r="V646" s="304"/>
      <c r="W646" s="304"/>
      <c r="AD646" s="304"/>
      <c r="AE646" s="304"/>
      <c r="AR646" s="304"/>
      <c r="AS646" s="304"/>
      <c r="AT646" s="304"/>
      <c r="AU646" s="304"/>
      <c r="AV646" s="304"/>
      <c r="AW646" s="304"/>
      <c r="AX646" s="304"/>
      <c r="AY646" s="304"/>
      <c r="AZ646" s="304"/>
      <c r="BA646" s="304"/>
      <c r="BB646" s="304"/>
      <c r="BC646" s="304"/>
      <c r="BK646" s="305"/>
      <c r="BL646" s="305"/>
      <c r="BM646" s="305"/>
      <c r="BN646" s="305"/>
      <c r="BO646" s="305"/>
      <c r="BP646" s="305"/>
      <c r="BQ646" s="305"/>
      <c r="BR646" s="305"/>
      <c r="BS646" s="305"/>
      <c r="BT646" s="305"/>
      <c r="BU646" s="305"/>
      <c r="BV646" s="305"/>
      <c r="BX646" s="319"/>
    </row>
    <row r="647" spans="1:76" s="303" customFormat="1" x14ac:dyDescent="0.25">
      <c r="A647" s="275"/>
      <c r="B647" s="275"/>
      <c r="C647" s="275"/>
      <c r="D647" s="275"/>
      <c r="E647" s="275"/>
      <c r="F647" s="275"/>
      <c r="V647" s="304"/>
      <c r="W647" s="304"/>
      <c r="AD647" s="304"/>
      <c r="AE647" s="304"/>
      <c r="AR647" s="304"/>
      <c r="AS647" s="304"/>
      <c r="AT647" s="304"/>
      <c r="AU647" s="304"/>
      <c r="AV647" s="304"/>
      <c r="AW647" s="304"/>
      <c r="AX647" s="304"/>
      <c r="AY647" s="304"/>
      <c r="AZ647" s="304"/>
      <c r="BA647" s="304"/>
      <c r="BB647" s="304"/>
      <c r="BC647" s="304"/>
      <c r="BK647" s="305"/>
      <c r="BL647" s="305"/>
      <c r="BM647" s="305"/>
      <c r="BN647" s="305"/>
      <c r="BO647" s="305"/>
      <c r="BP647" s="305"/>
      <c r="BQ647" s="305"/>
      <c r="BR647" s="305"/>
      <c r="BS647" s="305"/>
      <c r="BT647" s="305"/>
      <c r="BU647" s="305"/>
      <c r="BV647" s="305"/>
      <c r="BX647" s="319"/>
    </row>
    <row r="648" spans="1:76" s="303" customFormat="1" x14ac:dyDescent="0.25">
      <c r="A648" s="275"/>
      <c r="B648" s="275"/>
      <c r="C648" s="275"/>
      <c r="D648" s="275"/>
      <c r="E648" s="275"/>
      <c r="F648" s="275"/>
      <c r="V648" s="304"/>
      <c r="W648" s="304"/>
      <c r="AD648" s="304"/>
      <c r="AE648" s="304"/>
      <c r="AR648" s="304"/>
      <c r="AS648" s="304"/>
      <c r="AT648" s="304"/>
      <c r="AU648" s="304"/>
      <c r="AV648" s="304"/>
      <c r="AW648" s="304"/>
      <c r="AX648" s="304"/>
      <c r="AY648" s="304"/>
      <c r="AZ648" s="304"/>
      <c r="BA648" s="304"/>
      <c r="BB648" s="304"/>
      <c r="BC648" s="304"/>
      <c r="BK648" s="305"/>
      <c r="BL648" s="305"/>
      <c r="BM648" s="305"/>
      <c r="BN648" s="305"/>
      <c r="BO648" s="305"/>
      <c r="BP648" s="305"/>
      <c r="BQ648" s="305"/>
      <c r="BR648" s="305"/>
      <c r="BS648" s="305"/>
      <c r="BT648" s="305"/>
      <c r="BU648" s="305"/>
      <c r="BV648" s="305"/>
      <c r="BX648" s="319"/>
    </row>
    <row r="649" spans="1:76" s="303" customFormat="1" x14ac:dyDescent="0.25">
      <c r="A649" s="275"/>
      <c r="B649" s="275"/>
      <c r="C649" s="275"/>
      <c r="D649" s="275"/>
      <c r="E649" s="275"/>
      <c r="F649" s="275"/>
      <c r="V649" s="304"/>
      <c r="W649" s="304"/>
      <c r="AD649" s="304"/>
      <c r="AE649" s="304"/>
      <c r="AR649" s="304"/>
      <c r="AS649" s="304"/>
      <c r="AT649" s="304"/>
      <c r="AU649" s="304"/>
      <c r="AV649" s="304"/>
      <c r="AW649" s="304"/>
      <c r="AX649" s="304"/>
      <c r="AY649" s="304"/>
      <c r="AZ649" s="304"/>
      <c r="BA649" s="304"/>
      <c r="BB649" s="304"/>
      <c r="BC649" s="304"/>
      <c r="BK649" s="305"/>
      <c r="BL649" s="305"/>
      <c r="BM649" s="305"/>
      <c r="BN649" s="305"/>
      <c r="BO649" s="305"/>
      <c r="BP649" s="305"/>
      <c r="BQ649" s="305"/>
      <c r="BR649" s="305"/>
      <c r="BS649" s="305"/>
      <c r="BT649" s="305"/>
      <c r="BU649" s="305"/>
      <c r="BV649" s="305"/>
      <c r="BX649" s="319"/>
    </row>
    <row r="650" spans="1:76" s="303" customFormat="1" x14ac:dyDescent="0.25">
      <c r="A650" s="275"/>
      <c r="B650" s="275"/>
      <c r="C650" s="275"/>
      <c r="D650" s="275"/>
      <c r="E650" s="275"/>
      <c r="F650" s="275"/>
      <c r="V650" s="304"/>
      <c r="W650" s="304"/>
      <c r="AD650" s="304"/>
      <c r="AE650" s="304"/>
      <c r="AR650" s="304"/>
      <c r="AS650" s="304"/>
      <c r="AT650" s="304"/>
      <c r="AU650" s="304"/>
      <c r="AV650" s="304"/>
      <c r="AW650" s="304"/>
      <c r="AX650" s="304"/>
      <c r="AY650" s="304"/>
      <c r="AZ650" s="304"/>
      <c r="BA650" s="304"/>
      <c r="BB650" s="304"/>
      <c r="BC650" s="304"/>
      <c r="BK650" s="305"/>
      <c r="BL650" s="305"/>
      <c r="BM650" s="305"/>
      <c r="BN650" s="305"/>
      <c r="BO650" s="305"/>
      <c r="BP650" s="305"/>
      <c r="BQ650" s="305"/>
      <c r="BR650" s="305"/>
      <c r="BS650" s="305"/>
      <c r="BT650" s="305"/>
      <c r="BU650" s="305"/>
      <c r="BV650" s="305"/>
      <c r="BX650" s="319"/>
    </row>
    <row r="651" spans="1:76" s="303" customFormat="1" x14ac:dyDescent="0.25">
      <c r="A651" s="275"/>
      <c r="B651" s="275"/>
      <c r="C651" s="275"/>
      <c r="D651" s="275"/>
      <c r="E651" s="275"/>
      <c r="F651" s="275"/>
      <c r="V651" s="304"/>
      <c r="W651" s="304"/>
      <c r="AD651" s="304"/>
      <c r="AE651" s="304"/>
      <c r="AR651" s="304"/>
      <c r="AS651" s="304"/>
      <c r="AT651" s="304"/>
      <c r="AU651" s="304"/>
      <c r="AV651" s="304"/>
      <c r="AW651" s="304"/>
      <c r="AX651" s="304"/>
      <c r="AY651" s="304"/>
      <c r="AZ651" s="304"/>
      <c r="BA651" s="304"/>
      <c r="BB651" s="304"/>
      <c r="BC651" s="304"/>
      <c r="BK651" s="305"/>
      <c r="BL651" s="305"/>
      <c r="BM651" s="305"/>
      <c r="BN651" s="305"/>
      <c r="BO651" s="305"/>
      <c r="BP651" s="305"/>
      <c r="BQ651" s="305"/>
      <c r="BR651" s="305"/>
      <c r="BS651" s="305"/>
      <c r="BT651" s="305"/>
      <c r="BU651" s="305"/>
      <c r="BV651" s="305"/>
      <c r="BX651" s="319"/>
    </row>
    <row r="652" spans="1:76" s="303" customFormat="1" x14ac:dyDescent="0.25">
      <c r="A652" s="275"/>
      <c r="B652" s="275"/>
      <c r="C652" s="275"/>
      <c r="D652" s="275"/>
      <c r="E652" s="275"/>
      <c r="F652" s="275"/>
      <c r="V652" s="304"/>
      <c r="W652" s="304"/>
      <c r="AD652" s="304"/>
      <c r="AE652" s="304"/>
      <c r="AR652" s="304"/>
      <c r="AS652" s="304"/>
      <c r="AT652" s="304"/>
      <c r="AU652" s="304"/>
      <c r="AV652" s="304"/>
      <c r="AW652" s="304"/>
      <c r="AX652" s="304"/>
      <c r="AY652" s="304"/>
      <c r="AZ652" s="304"/>
      <c r="BA652" s="304"/>
      <c r="BB652" s="304"/>
      <c r="BC652" s="304"/>
      <c r="BK652" s="305"/>
      <c r="BL652" s="305"/>
      <c r="BM652" s="305"/>
      <c r="BN652" s="305"/>
      <c r="BO652" s="305"/>
      <c r="BP652" s="305"/>
      <c r="BQ652" s="305"/>
      <c r="BR652" s="305"/>
      <c r="BS652" s="305"/>
      <c r="BT652" s="305"/>
      <c r="BU652" s="305"/>
      <c r="BV652" s="305"/>
      <c r="BX652" s="319"/>
    </row>
    <row r="653" spans="1:76" s="303" customFormat="1" x14ac:dyDescent="0.25">
      <c r="A653" s="275"/>
      <c r="B653" s="275"/>
      <c r="C653" s="275"/>
      <c r="D653" s="275"/>
      <c r="E653" s="275"/>
      <c r="F653" s="275"/>
      <c r="V653" s="304"/>
      <c r="W653" s="304"/>
      <c r="AD653" s="304"/>
      <c r="AE653" s="304"/>
      <c r="AR653" s="304"/>
      <c r="AS653" s="304"/>
      <c r="AT653" s="304"/>
      <c r="AU653" s="304"/>
      <c r="AV653" s="304"/>
      <c r="AW653" s="304"/>
      <c r="AX653" s="304"/>
      <c r="AY653" s="304"/>
      <c r="AZ653" s="304"/>
      <c r="BA653" s="304"/>
      <c r="BB653" s="304"/>
      <c r="BC653" s="304"/>
      <c r="BK653" s="305"/>
      <c r="BL653" s="305"/>
      <c r="BM653" s="305"/>
      <c r="BN653" s="305"/>
      <c r="BO653" s="305"/>
      <c r="BP653" s="305"/>
      <c r="BQ653" s="305"/>
      <c r="BR653" s="305"/>
      <c r="BS653" s="305"/>
      <c r="BT653" s="305"/>
      <c r="BU653" s="305"/>
      <c r="BV653" s="305"/>
      <c r="BX653" s="319"/>
    </row>
    <row r="654" spans="1:76" s="303" customFormat="1" x14ac:dyDescent="0.25">
      <c r="A654" s="275"/>
      <c r="B654" s="275"/>
      <c r="C654" s="275"/>
      <c r="D654" s="275"/>
      <c r="E654" s="275"/>
      <c r="F654" s="275"/>
      <c r="V654" s="304"/>
      <c r="W654" s="304"/>
      <c r="AD654" s="304"/>
      <c r="AE654" s="304"/>
      <c r="AR654" s="304"/>
      <c r="AS654" s="304"/>
      <c r="AT654" s="304"/>
      <c r="AU654" s="304"/>
      <c r="AV654" s="304"/>
      <c r="AW654" s="304"/>
      <c r="AX654" s="304"/>
      <c r="AY654" s="304"/>
      <c r="AZ654" s="304"/>
      <c r="BA654" s="304"/>
      <c r="BB654" s="304"/>
      <c r="BC654" s="304"/>
      <c r="BK654" s="305"/>
      <c r="BL654" s="305"/>
      <c r="BM654" s="305"/>
      <c r="BN654" s="305"/>
      <c r="BO654" s="305"/>
      <c r="BP654" s="305"/>
      <c r="BQ654" s="305"/>
      <c r="BR654" s="305"/>
      <c r="BS654" s="305"/>
      <c r="BT654" s="305"/>
      <c r="BU654" s="305"/>
      <c r="BV654" s="305"/>
      <c r="BX654" s="319"/>
    </row>
    <row r="655" spans="1:76" s="303" customFormat="1" x14ac:dyDescent="0.25">
      <c r="A655" s="275"/>
      <c r="B655" s="275"/>
      <c r="C655" s="275"/>
      <c r="D655" s="275"/>
      <c r="E655" s="275"/>
      <c r="F655" s="275"/>
      <c r="V655" s="304"/>
      <c r="W655" s="304"/>
      <c r="AD655" s="304"/>
      <c r="AE655" s="304"/>
      <c r="AR655" s="304"/>
      <c r="AS655" s="304"/>
      <c r="AT655" s="304"/>
      <c r="AU655" s="304"/>
      <c r="AV655" s="304"/>
      <c r="AW655" s="304"/>
      <c r="AX655" s="304"/>
      <c r="AY655" s="304"/>
      <c r="AZ655" s="304"/>
      <c r="BA655" s="304"/>
      <c r="BB655" s="304"/>
      <c r="BC655" s="304"/>
      <c r="BK655" s="305"/>
      <c r="BL655" s="305"/>
      <c r="BM655" s="305"/>
      <c r="BN655" s="305"/>
      <c r="BO655" s="305"/>
      <c r="BP655" s="305"/>
      <c r="BQ655" s="305"/>
      <c r="BR655" s="305"/>
      <c r="BS655" s="305"/>
      <c r="BT655" s="305"/>
      <c r="BU655" s="305"/>
      <c r="BV655" s="305"/>
      <c r="BX655" s="319"/>
    </row>
    <row r="656" spans="1:76" s="303" customFormat="1" x14ac:dyDescent="0.25">
      <c r="A656" s="275"/>
      <c r="B656" s="275"/>
      <c r="C656" s="275"/>
      <c r="D656" s="275"/>
      <c r="E656" s="275"/>
      <c r="F656" s="275"/>
      <c r="V656" s="304"/>
      <c r="W656" s="304"/>
      <c r="AD656" s="304"/>
      <c r="AE656" s="304"/>
      <c r="AR656" s="304"/>
      <c r="AS656" s="304"/>
      <c r="AT656" s="304"/>
      <c r="AU656" s="304"/>
      <c r="AV656" s="304"/>
      <c r="AW656" s="304"/>
      <c r="AX656" s="304"/>
      <c r="AY656" s="304"/>
      <c r="AZ656" s="304"/>
      <c r="BA656" s="304"/>
      <c r="BB656" s="304"/>
      <c r="BC656" s="304"/>
      <c r="BK656" s="305"/>
      <c r="BL656" s="305"/>
      <c r="BM656" s="305"/>
      <c r="BN656" s="305"/>
      <c r="BO656" s="305"/>
      <c r="BP656" s="305"/>
      <c r="BQ656" s="305"/>
      <c r="BR656" s="305"/>
      <c r="BS656" s="305"/>
      <c r="BT656" s="305"/>
      <c r="BU656" s="305"/>
      <c r="BV656" s="305"/>
      <c r="BX656" s="319"/>
    </row>
    <row r="657" spans="1:76" s="303" customFormat="1" x14ac:dyDescent="0.25">
      <c r="A657" s="275"/>
      <c r="B657" s="275"/>
      <c r="C657" s="275"/>
      <c r="D657" s="275"/>
      <c r="E657" s="275"/>
      <c r="F657" s="275"/>
      <c r="V657" s="304"/>
      <c r="W657" s="304"/>
      <c r="AD657" s="304"/>
      <c r="AE657" s="304"/>
      <c r="AR657" s="304"/>
      <c r="AS657" s="304"/>
      <c r="AT657" s="304"/>
      <c r="AU657" s="304"/>
      <c r="AV657" s="304"/>
      <c r="AW657" s="304"/>
      <c r="AX657" s="304"/>
      <c r="AY657" s="304"/>
      <c r="AZ657" s="304"/>
      <c r="BA657" s="304"/>
      <c r="BB657" s="304"/>
      <c r="BC657" s="304"/>
      <c r="BK657" s="305"/>
      <c r="BL657" s="305"/>
      <c r="BM657" s="305"/>
      <c r="BN657" s="305"/>
      <c r="BO657" s="305"/>
      <c r="BP657" s="305"/>
      <c r="BQ657" s="305"/>
      <c r="BR657" s="305"/>
      <c r="BS657" s="305"/>
      <c r="BT657" s="305"/>
      <c r="BU657" s="305"/>
      <c r="BV657" s="305"/>
      <c r="BX657" s="319"/>
    </row>
    <row r="658" spans="1:76" s="303" customFormat="1" x14ac:dyDescent="0.25">
      <c r="A658" s="275"/>
      <c r="B658" s="275"/>
      <c r="C658" s="275"/>
      <c r="D658" s="275"/>
      <c r="E658" s="275"/>
      <c r="F658" s="275"/>
      <c r="V658" s="304"/>
      <c r="W658" s="304"/>
      <c r="AD658" s="304"/>
      <c r="AE658" s="304"/>
      <c r="AR658" s="304"/>
      <c r="AS658" s="304"/>
      <c r="AT658" s="304"/>
      <c r="AU658" s="304"/>
      <c r="AV658" s="304"/>
      <c r="AW658" s="304"/>
      <c r="AX658" s="304"/>
      <c r="AY658" s="304"/>
      <c r="AZ658" s="304"/>
      <c r="BA658" s="304"/>
      <c r="BB658" s="304"/>
      <c r="BC658" s="304"/>
      <c r="BK658" s="305"/>
      <c r="BL658" s="305"/>
      <c r="BM658" s="305"/>
      <c r="BN658" s="305"/>
      <c r="BO658" s="305"/>
      <c r="BP658" s="305"/>
      <c r="BQ658" s="305"/>
      <c r="BR658" s="305"/>
      <c r="BS658" s="305"/>
      <c r="BT658" s="305"/>
      <c r="BU658" s="305"/>
      <c r="BV658" s="305"/>
      <c r="BX658" s="319"/>
    </row>
    <row r="659" spans="1:76" s="303" customFormat="1" x14ac:dyDescent="0.25">
      <c r="A659" s="275"/>
      <c r="B659" s="275"/>
      <c r="C659" s="275"/>
      <c r="D659" s="275"/>
      <c r="E659" s="275"/>
      <c r="F659" s="275"/>
      <c r="V659" s="304"/>
      <c r="W659" s="304"/>
      <c r="AD659" s="304"/>
      <c r="AE659" s="304"/>
      <c r="AR659" s="304"/>
      <c r="AS659" s="304"/>
      <c r="AT659" s="304"/>
      <c r="AU659" s="304"/>
      <c r="AV659" s="304"/>
      <c r="AW659" s="304"/>
      <c r="AX659" s="304"/>
      <c r="AY659" s="304"/>
      <c r="AZ659" s="304"/>
      <c r="BA659" s="304"/>
      <c r="BB659" s="304"/>
      <c r="BC659" s="304"/>
      <c r="BK659" s="305"/>
      <c r="BL659" s="305"/>
      <c r="BM659" s="305"/>
      <c r="BN659" s="305"/>
      <c r="BO659" s="305"/>
      <c r="BP659" s="305"/>
      <c r="BQ659" s="305"/>
      <c r="BR659" s="305"/>
      <c r="BS659" s="305"/>
      <c r="BT659" s="305"/>
      <c r="BU659" s="305"/>
      <c r="BV659" s="305"/>
      <c r="BX659" s="319"/>
    </row>
    <row r="660" spans="1:76" s="303" customFormat="1" x14ac:dyDescent="0.25">
      <c r="A660" s="275"/>
      <c r="B660" s="275"/>
      <c r="C660" s="275"/>
      <c r="D660" s="275"/>
      <c r="E660" s="275"/>
      <c r="F660" s="275"/>
      <c r="V660" s="304"/>
      <c r="W660" s="304"/>
      <c r="AD660" s="304"/>
      <c r="AE660" s="304"/>
      <c r="AR660" s="304"/>
      <c r="AS660" s="304"/>
      <c r="AT660" s="304"/>
      <c r="AU660" s="304"/>
      <c r="AV660" s="304"/>
      <c r="AW660" s="304"/>
      <c r="AX660" s="304"/>
      <c r="AY660" s="304"/>
      <c r="AZ660" s="304"/>
      <c r="BA660" s="304"/>
      <c r="BB660" s="304"/>
      <c r="BC660" s="304"/>
      <c r="BK660" s="305"/>
      <c r="BL660" s="305"/>
      <c r="BM660" s="305"/>
      <c r="BN660" s="305"/>
      <c r="BO660" s="305"/>
      <c r="BP660" s="305"/>
      <c r="BQ660" s="305"/>
      <c r="BR660" s="305"/>
      <c r="BS660" s="305"/>
      <c r="BT660" s="305"/>
      <c r="BU660" s="305"/>
      <c r="BV660" s="305"/>
      <c r="BX660" s="319"/>
    </row>
    <row r="661" spans="1:76" s="303" customFormat="1" x14ac:dyDescent="0.25">
      <c r="A661" s="275"/>
      <c r="B661" s="275"/>
      <c r="C661" s="275"/>
      <c r="D661" s="275"/>
      <c r="E661" s="275"/>
      <c r="F661" s="275"/>
      <c r="V661" s="304"/>
      <c r="W661" s="304"/>
      <c r="AD661" s="304"/>
      <c r="AE661" s="304"/>
      <c r="AR661" s="304"/>
      <c r="AS661" s="304"/>
      <c r="AT661" s="304"/>
      <c r="AU661" s="304"/>
      <c r="AV661" s="304"/>
      <c r="AW661" s="304"/>
      <c r="AX661" s="304"/>
      <c r="AY661" s="304"/>
      <c r="AZ661" s="304"/>
      <c r="BA661" s="304"/>
      <c r="BB661" s="304"/>
      <c r="BC661" s="304"/>
      <c r="BK661" s="305"/>
      <c r="BL661" s="305"/>
      <c r="BM661" s="305"/>
      <c r="BN661" s="305"/>
      <c r="BO661" s="305"/>
      <c r="BP661" s="305"/>
      <c r="BQ661" s="305"/>
      <c r="BR661" s="305"/>
      <c r="BS661" s="305"/>
      <c r="BT661" s="305"/>
      <c r="BU661" s="305"/>
      <c r="BV661" s="305"/>
      <c r="BX661" s="319"/>
    </row>
    <row r="662" spans="1:76" s="303" customFormat="1" x14ac:dyDescent="0.25">
      <c r="A662" s="275"/>
      <c r="B662" s="275"/>
      <c r="C662" s="275"/>
      <c r="D662" s="275"/>
      <c r="E662" s="275"/>
      <c r="F662" s="275"/>
      <c r="V662" s="304"/>
      <c r="W662" s="304"/>
      <c r="AD662" s="304"/>
      <c r="AE662" s="304"/>
      <c r="AR662" s="304"/>
      <c r="AS662" s="304"/>
      <c r="AT662" s="304"/>
      <c r="AU662" s="304"/>
      <c r="AV662" s="304"/>
      <c r="AW662" s="304"/>
      <c r="AX662" s="304"/>
      <c r="AY662" s="304"/>
      <c r="AZ662" s="304"/>
      <c r="BA662" s="304"/>
      <c r="BB662" s="304"/>
      <c r="BC662" s="304"/>
      <c r="BK662" s="305"/>
      <c r="BL662" s="305"/>
      <c r="BM662" s="305"/>
      <c r="BN662" s="305"/>
      <c r="BO662" s="305"/>
      <c r="BP662" s="305"/>
      <c r="BQ662" s="305"/>
      <c r="BR662" s="305"/>
      <c r="BS662" s="305"/>
      <c r="BT662" s="305"/>
      <c r="BU662" s="305"/>
      <c r="BV662" s="305"/>
      <c r="BX662" s="319"/>
    </row>
    <row r="663" spans="1:76" s="303" customFormat="1" x14ac:dyDescent="0.25">
      <c r="A663" s="275"/>
      <c r="B663" s="275"/>
      <c r="C663" s="275"/>
      <c r="D663" s="275"/>
      <c r="E663" s="275"/>
      <c r="F663" s="275"/>
      <c r="V663" s="304"/>
      <c r="W663" s="304"/>
      <c r="AD663" s="304"/>
      <c r="AE663" s="304"/>
      <c r="AR663" s="304"/>
      <c r="AS663" s="304"/>
      <c r="AT663" s="304"/>
      <c r="AU663" s="304"/>
      <c r="AV663" s="304"/>
      <c r="AW663" s="304"/>
      <c r="AX663" s="304"/>
      <c r="AY663" s="304"/>
      <c r="AZ663" s="304"/>
      <c r="BA663" s="304"/>
      <c r="BB663" s="304"/>
      <c r="BC663" s="304"/>
      <c r="BK663" s="305"/>
      <c r="BL663" s="305"/>
      <c r="BM663" s="305"/>
      <c r="BN663" s="305"/>
      <c r="BO663" s="305"/>
      <c r="BP663" s="305"/>
      <c r="BQ663" s="305"/>
      <c r="BR663" s="305"/>
      <c r="BS663" s="305"/>
      <c r="BT663" s="305"/>
      <c r="BU663" s="305"/>
      <c r="BV663" s="305"/>
      <c r="BX663" s="319"/>
    </row>
    <row r="664" spans="1:76" s="303" customFormat="1" x14ac:dyDescent="0.25">
      <c r="A664" s="275"/>
      <c r="B664" s="275"/>
      <c r="C664" s="275"/>
      <c r="D664" s="275"/>
      <c r="E664" s="275"/>
      <c r="F664" s="275"/>
      <c r="V664" s="304"/>
      <c r="W664" s="304"/>
      <c r="AD664" s="304"/>
      <c r="AE664" s="304"/>
      <c r="AR664" s="304"/>
      <c r="AS664" s="304"/>
      <c r="AT664" s="304"/>
      <c r="AU664" s="304"/>
      <c r="AV664" s="304"/>
      <c r="AW664" s="304"/>
      <c r="AX664" s="304"/>
      <c r="AY664" s="304"/>
      <c r="AZ664" s="304"/>
      <c r="BA664" s="304"/>
      <c r="BB664" s="304"/>
      <c r="BC664" s="304"/>
      <c r="BK664" s="305"/>
      <c r="BL664" s="305"/>
      <c r="BM664" s="305"/>
      <c r="BN664" s="305"/>
      <c r="BO664" s="305"/>
      <c r="BP664" s="305"/>
      <c r="BQ664" s="305"/>
      <c r="BR664" s="305"/>
      <c r="BS664" s="305"/>
      <c r="BT664" s="305"/>
      <c r="BU664" s="305"/>
      <c r="BV664" s="305"/>
      <c r="BX664" s="319"/>
    </row>
    <row r="665" spans="1:76" s="303" customFormat="1" x14ac:dyDescent="0.25">
      <c r="A665" s="275"/>
      <c r="B665" s="275"/>
      <c r="C665" s="275"/>
      <c r="D665" s="275"/>
      <c r="E665" s="275"/>
      <c r="F665" s="275"/>
      <c r="V665" s="304"/>
      <c r="W665" s="304"/>
      <c r="AD665" s="304"/>
      <c r="AE665" s="304"/>
      <c r="AR665" s="304"/>
      <c r="AS665" s="304"/>
      <c r="AT665" s="304"/>
      <c r="AU665" s="304"/>
      <c r="AV665" s="304"/>
      <c r="AW665" s="304"/>
      <c r="AX665" s="304"/>
      <c r="AY665" s="304"/>
      <c r="AZ665" s="304"/>
      <c r="BA665" s="304"/>
      <c r="BB665" s="304"/>
      <c r="BC665" s="304"/>
      <c r="BK665" s="305"/>
      <c r="BL665" s="305"/>
      <c r="BM665" s="305"/>
      <c r="BN665" s="305"/>
      <c r="BO665" s="305"/>
      <c r="BP665" s="305"/>
      <c r="BQ665" s="305"/>
      <c r="BR665" s="305"/>
      <c r="BS665" s="305"/>
      <c r="BT665" s="305"/>
      <c r="BU665" s="305"/>
      <c r="BV665" s="305"/>
      <c r="BX665" s="319"/>
    </row>
    <row r="666" spans="1:76" s="303" customFormat="1" x14ac:dyDescent="0.25">
      <c r="A666" s="275"/>
      <c r="B666" s="275"/>
      <c r="C666" s="275"/>
      <c r="D666" s="275"/>
      <c r="E666" s="275"/>
      <c r="F666" s="275"/>
      <c r="V666" s="304"/>
      <c r="W666" s="304"/>
      <c r="AD666" s="304"/>
      <c r="AE666" s="304"/>
      <c r="AR666" s="304"/>
      <c r="AS666" s="304"/>
      <c r="AT666" s="304"/>
      <c r="AU666" s="304"/>
      <c r="AV666" s="304"/>
      <c r="AW666" s="304"/>
      <c r="AX666" s="304"/>
      <c r="AY666" s="304"/>
      <c r="AZ666" s="304"/>
      <c r="BA666" s="304"/>
      <c r="BB666" s="304"/>
      <c r="BC666" s="304"/>
      <c r="BK666" s="305"/>
      <c r="BL666" s="305"/>
      <c r="BM666" s="305"/>
      <c r="BN666" s="305"/>
      <c r="BO666" s="305"/>
      <c r="BP666" s="305"/>
      <c r="BQ666" s="305"/>
      <c r="BR666" s="305"/>
      <c r="BS666" s="305"/>
      <c r="BT666" s="305"/>
      <c r="BU666" s="305"/>
      <c r="BV666" s="305"/>
      <c r="BX666" s="319"/>
    </row>
    <row r="667" spans="1:76" s="303" customFormat="1" x14ac:dyDescent="0.25">
      <c r="A667" s="275"/>
      <c r="B667" s="275"/>
      <c r="C667" s="275"/>
      <c r="D667" s="275"/>
      <c r="E667" s="275"/>
      <c r="F667" s="275"/>
      <c r="V667" s="304"/>
      <c r="W667" s="304"/>
      <c r="AD667" s="304"/>
      <c r="AE667" s="304"/>
      <c r="AR667" s="304"/>
      <c r="AS667" s="304"/>
      <c r="AT667" s="304"/>
      <c r="AU667" s="304"/>
      <c r="AV667" s="304"/>
      <c r="AW667" s="304"/>
      <c r="AX667" s="304"/>
      <c r="AY667" s="304"/>
      <c r="AZ667" s="304"/>
      <c r="BA667" s="304"/>
      <c r="BB667" s="304"/>
      <c r="BC667" s="304"/>
      <c r="BK667" s="305"/>
      <c r="BL667" s="305"/>
      <c r="BM667" s="305"/>
      <c r="BN667" s="305"/>
      <c r="BO667" s="305"/>
      <c r="BP667" s="305"/>
      <c r="BQ667" s="305"/>
      <c r="BR667" s="305"/>
      <c r="BS667" s="305"/>
      <c r="BT667" s="305"/>
      <c r="BU667" s="305"/>
      <c r="BV667" s="305"/>
      <c r="BX667" s="319"/>
    </row>
    <row r="668" spans="1:76" s="303" customFormat="1" x14ac:dyDescent="0.25">
      <c r="A668" s="275"/>
      <c r="B668" s="275"/>
      <c r="C668" s="275"/>
      <c r="D668" s="275"/>
      <c r="E668" s="275"/>
      <c r="F668" s="275"/>
      <c r="V668" s="304"/>
      <c r="W668" s="304"/>
      <c r="AD668" s="304"/>
      <c r="AE668" s="304"/>
      <c r="AR668" s="304"/>
      <c r="AS668" s="304"/>
      <c r="AT668" s="304"/>
      <c r="AU668" s="304"/>
      <c r="AV668" s="304"/>
      <c r="AW668" s="304"/>
      <c r="AX668" s="304"/>
      <c r="AY668" s="304"/>
      <c r="AZ668" s="304"/>
      <c r="BA668" s="304"/>
      <c r="BB668" s="304"/>
      <c r="BC668" s="304"/>
      <c r="BK668" s="305"/>
      <c r="BL668" s="305"/>
      <c r="BM668" s="305"/>
      <c r="BN668" s="305"/>
      <c r="BO668" s="305"/>
      <c r="BP668" s="305"/>
      <c r="BQ668" s="305"/>
      <c r="BR668" s="305"/>
      <c r="BS668" s="305"/>
      <c r="BT668" s="305"/>
      <c r="BU668" s="305"/>
      <c r="BV668" s="305"/>
      <c r="BX668" s="319"/>
    </row>
    <row r="669" spans="1:76" s="303" customFormat="1" x14ac:dyDescent="0.25">
      <c r="A669" s="275"/>
      <c r="B669" s="275"/>
      <c r="C669" s="275"/>
      <c r="D669" s="275"/>
      <c r="E669" s="275"/>
      <c r="F669" s="275"/>
      <c r="V669" s="304"/>
      <c r="W669" s="304"/>
      <c r="AD669" s="304"/>
      <c r="AE669" s="304"/>
      <c r="AR669" s="304"/>
      <c r="AS669" s="304"/>
      <c r="AT669" s="304"/>
      <c r="AU669" s="304"/>
      <c r="AV669" s="304"/>
      <c r="AW669" s="304"/>
      <c r="AX669" s="304"/>
      <c r="AY669" s="304"/>
      <c r="AZ669" s="304"/>
      <c r="BA669" s="304"/>
      <c r="BB669" s="304"/>
      <c r="BC669" s="304"/>
      <c r="BK669" s="305"/>
      <c r="BL669" s="305"/>
      <c r="BM669" s="305"/>
      <c r="BN669" s="305"/>
      <c r="BO669" s="305"/>
      <c r="BP669" s="305"/>
      <c r="BQ669" s="305"/>
      <c r="BR669" s="305"/>
      <c r="BS669" s="305"/>
      <c r="BT669" s="305"/>
      <c r="BU669" s="305"/>
      <c r="BV669" s="305"/>
      <c r="BX669" s="319"/>
    </row>
    <row r="670" spans="1:76" s="303" customFormat="1" x14ac:dyDescent="0.25">
      <c r="A670" s="275"/>
      <c r="B670" s="275"/>
      <c r="C670" s="275"/>
      <c r="D670" s="275"/>
      <c r="E670" s="275"/>
      <c r="F670" s="275"/>
      <c r="V670" s="304"/>
      <c r="W670" s="304"/>
      <c r="AD670" s="304"/>
      <c r="AE670" s="304"/>
      <c r="AR670" s="304"/>
      <c r="AS670" s="304"/>
      <c r="AT670" s="304"/>
      <c r="AU670" s="304"/>
      <c r="AV670" s="304"/>
      <c r="AW670" s="304"/>
      <c r="AX670" s="304"/>
      <c r="AY670" s="304"/>
      <c r="AZ670" s="304"/>
      <c r="BA670" s="304"/>
      <c r="BB670" s="304"/>
      <c r="BC670" s="304"/>
      <c r="BK670" s="305"/>
      <c r="BL670" s="305"/>
      <c r="BM670" s="305"/>
      <c r="BN670" s="305"/>
      <c r="BO670" s="305"/>
      <c r="BP670" s="305"/>
      <c r="BQ670" s="305"/>
      <c r="BR670" s="305"/>
      <c r="BS670" s="305"/>
      <c r="BT670" s="305"/>
      <c r="BU670" s="305"/>
      <c r="BV670" s="305"/>
      <c r="BX670" s="319"/>
    </row>
    <row r="671" spans="1:76" s="303" customFormat="1" x14ac:dyDescent="0.25">
      <c r="A671" s="275"/>
      <c r="B671" s="275"/>
      <c r="C671" s="275"/>
      <c r="D671" s="275"/>
      <c r="E671" s="275"/>
      <c r="F671" s="275"/>
      <c r="V671" s="304"/>
      <c r="W671" s="304"/>
      <c r="AD671" s="304"/>
      <c r="AE671" s="304"/>
      <c r="AR671" s="304"/>
      <c r="AS671" s="304"/>
      <c r="AT671" s="304"/>
      <c r="AU671" s="304"/>
      <c r="AV671" s="304"/>
      <c r="AW671" s="304"/>
      <c r="AX671" s="304"/>
      <c r="AY671" s="304"/>
      <c r="AZ671" s="304"/>
      <c r="BA671" s="304"/>
      <c r="BB671" s="304"/>
      <c r="BC671" s="304"/>
      <c r="BK671" s="305"/>
      <c r="BL671" s="305"/>
      <c r="BM671" s="305"/>
      <c r="BN671" s="305"/>
      <c r="BO671" s="305"/>
      <c r="BP671" s="305"/>
      <c r="BQ671" s="305"/>
      <c r="BR671" s="305"/>
      <c r="BS671" s="305"/>
      <c r="BT671" s="305"/>
      <c r="BU671" s="305"/>
      <c r="BV671" s="305"/>
      <c r="BX671" s="319"/>
    </row>
    <row r="672" spans="1:76" s="303" customFormat="1" x14ac:dyDescent="0.25">
      <c r="A672" s="275"/>
      <c r="B672" s="275"/>
      <c r="C672" s="275"/>
      <c r="D672" s="275"/>
      <c r="E672" s="275"/>
      <c r="F672" s="275"/>
      <c r="V672" s="304"/>
      <c r="W672" s="304"/>
      <c r="AD672" s="304"/>
      <c r="AE672" s="304"/>
      <c r="AR672" s="304"/>
      <c r="AS672" s="304"/>
      <c r="AT672" s="304"/>
      <c r="AU672" s="304"/>
      <c r="AV672" s="304"/>
      <c r="AW672" s="304"/>
      <c r="AX672" s="304"/>
      <c r="AY672" s="304"/>
      <c r="AZ672" s="304"/>
      <c r="BA672" s="304"/>
      <c r="BB672" s="304"/>
      <c r="BC672" s="304"/>
      <c r="BK672" s="305"/>
      <c r="BL672" s="305"/>
      <c r="BM672" s="305"/>
      <c r="BN672" s="305"/>
      <c r="BO672" s="305"/>
      <c r="BP672" s="305"/>
      <c r="BQ672" s="305"/>
      <c r="BR672" s="305"/>
      <c r="BS672" s="305"/>
      <c r="BT672" s="305"/>
      <c r="BU672" s="305"/>
      <c r="BV672" s="305"/>
      <c r="BX672" s="319"/>
    </row>
    <row r="673" spans="1:76" s="303" customFormat="1" x14ac:dyDescent="0.25">
      <c r="A673" s="275"/>
      <c r="B673" s="275"/>
      <c r="C673" s="275"/>
      <c r="D673" s="275"/>
      <c r="E673" s="275"/>
      <c r="F673" s="275"/>
      <c r="V673" s="304"/>
      <c r="W673" s="304"/>
      <c r="AD673" s="304"/>
      <c r="AE673" s="304"/>
      <c r="AR673" s="304"/>
      <c r="AS673" s="304"/>
      <c r="AT673" s="304"/>
      <c r="AU673" s="304"/>
      <c r="AV673" s="304"/>
      <c r="AW673" s="304"/>
      <c r="AX673" s="304"/>
      <c r="AY673" s="304"/>
      <c r="AZ673" s="304"/>
      <c r="BA673" s="304"/>
      <c r="BB673" s="304"/>
      <c r="BC673" s="304"/>
      <c r="BK673" s="305"/>
      <c r="BL673" s="305"/>
      <c r="BM673" s="305"/>
      <c r="BN673" s="305"/>
      <c r="BO673" s="305"/>
      <c r="BP673" s="305"/>
      <c r="BQ673" s="305"/>
      <c r="BR673" s="305"/>
      <c r="BS673" s="305"/>
      <c r="BT673" s="305"/>
      <c r="BU673" s="305"/>
      <c r="BV673" s="305"/>
      <c r="BX673" s="319"/>
    </row>
    <row r="674" spans="1:76" s="303" customFormat="1" x14ac:dyDescent="0.25">
      <c r="A674" s="275"/>
      <c r="B674" s="275"/>
      <c r="C674" s="275"/>
      <c r="D674" s="275"/>
      <c r="E674" s="275"/>
      <c r="F674" s="275"/>
      <c r="V674" s="304"/>
      <c r="W674" s="304"/>
      <c r="AD674" s="304"/>
      <c r="AE674" s="304"/>
      <c r="AR674" s="304"/>
      <c r="AS674" s="304"/>
      <c r="AT674" s="304"/>
      <c r="AU674" s="304"/>
      <c r="AV674" s="304"/>
      <c r="AW674" s="304"/>
      <c r="AX674" s="304"/>
      <c r="AY674" s="304"/>
      <c r="AZ674" s="304"/>
      <c r="BA674" s="304"/>
      <c r="BB674" s="304"/>
      <c r="BC674" s="304"/>
      <c r="BK674" s="305"/>
      <c r="BL674" s="305"/>
      <c r="BM674" s="305"/>
      <c r="BN674" s="305"/>
      <c r="BO674" s="305"/>
      <c r="BP674" s="305"/>
      <c r="BQ674" s="305"/>
      <c r="BR674" s="305"/>
      <c r="BS674" s="305"/>
      <c r="BT674" s="305"/>
      <c r="BU674" s="305"/>
      <c r="BV674" s="305"/>
      <c r="BX674" s="319"/>
    </row>
    <row r="675" spans="1:76" s="303" customFormat="1" x14ac:dyDescent="0.25">
      <c r="A675" s="275"/>
      <c r="B675" s="275"/>
      <c r="C675" s="275"/>
      <c r="D675" s="275"/>
      <c r="E675" s="275"/>
      <c r="F675" s="275"/>
      <c r="V675" s="304"/>
      <c r="W675" s="304"/>
      <c r="AD675" s="304"/>
      <c r="AE675" s="304"/>
      <c r="AR675" s="304"/>
      <c r="AS675" s="304"/>
      <c r="AT675" s="304"/>
      <c r="AU675" s="304"/>
      <c r="AV675" s="304"/>
      <c r="AW675" s="304"/>
      <c r="AX675" s="304"/>
      <c r="AY675" s="304"/>
      <c r="AZ675" s="304"/>
      <c r="BA675" s="304"/>
      <c r="BB675" s="304"/>
      <c r="BC675" s="304"/>
      <c r="BK675" s="305"/>
      <c r="BL675" s="305"/>
      <c r="BM675" s="305"/>
      <c r="BN675" s="305"/>
      <c r="BO675" s="305"/>
      <c r="BP675" s="305"/>
      <c r="BQ675" s="305"/>
      <c r="BR675" s="305"/>
      <c r="BS675" s="305"/>
      <c r="BT675" s="305"/>
      <c r="BU675" s="305"/>
      <c r="BV675" s="305"/>
      <c r="BX675" s="319"/>
    </row>
    <row r="676" spans="1:76" s="303" customFormat="1" x14ac:dyDescent="0.25">
      <c r="A676" s="275"/>
      <c r="B676" s="275"/>
      <c r="C676" s="275"/>
      <c r="D676" s="275"/>
      <c r="E676" s="275"/>
      <c r="F676" s="275"/>
      <c r="V676" s="304"/>
      <c r="W676" s="304"/>
      <c r="AD676" s="304"/>
      <c r="AE676" s="304"/>
      <c r="AR676" s="304"/>
      <c r="AS676" s="304"/>
      <c r="AT676" s="304"/>
      <c r="AU676" s="304"/>
      <c r="AV676" s="304"/>
      <c r="AW676" s="304"/>
      <c r="AX676" s="304"/>
      <c r="AY676" s="304"/>
      <c r="AZ676" s="304"/>
      <c r="BA676" s="304"/>
      <c r="BB676" s="304"/>
      <c r="BC676" s="304"/>
      <c r="BK676" s="305"/>
      <c r="BL676" s="305"/>
      <c r="BM676" s="305"/>
      <c r="BN676" s="305"/>
      <c r="BO676" s="305"/>
      <c r="BP676" s="305"/>
      <c r="BQ676" s="305"/>
      <c r="BR676" s="305"/>
      <c r="BS676" s="305"/>
      <c r="BT676" s="305"/>
      <c r="BU676" s="305"/>
      <c r="BV676" s="305"/>
      <c r="BX676" s="319"/>
    </row>
    <row r="677" spans="1:76" s="303" customFormat="1" x14ac:dyDescent="0.25">
      <c r="A677" s="275"/>
      <c r="B677" s="275"/>
      <c r="C677" s="275"/>
      <c r="D677" s="275"/>
      <c r="E677" s="275"/>
      <c r="F677" s="275"/>
      <c r="V677" s="304"/>
      <c r="W677" s="304"/>
      <c r="AD677" s="304"/>
      <c r="AE677" s="304"/>
      <c r="AR677" s="304"/>
      <c r="AS677" s="304"/>
      <c r="AT677" s="304"/>
      <c r="AU677" s="304"/>
      <c r="AV677" s="304"/>
      <c r="AW677" s="304"/>
      <c r="AX677" s="304"/>
      <c r="AY677" s="304"/>
      <c r="AZ677" s="304"/>
      <c r="BA677" s="304"/>
      <c r="BB677" s="304"/>
      <c r="BC677" s="304"/>
      <c r="BK677" s="305"/>
      <c r="BL677" s="305"/>
      <c r="BM677" s="305"/>
      <c r="BN677" s="305"/>
      <c r="BO677" s="305"/>
      <c r="BP677" s="305"/>
      <c r="BQ677" s="305"/>
      <c r="BR677" s="305"/>
      <c r="BS677" s="305"/>
      <c r="BT677" s="305"/>
      <c r="BU677" s="305"/>
      <c r="BV677" s="305"/>
      <c r="BX677" s="319"/>
    </row>
    <row r="678" spans="1:76" s="303" customFormat="1" x14ac:dyDescent="0.25">
      <c r="A678" s="275"/>
      <c r="B678" s="275"/>
      <c r="C678" s="275"/>
      <c r="D678" s="275"/>
      <c r="E678" s="275"/>
      <c r="F678" s="275"/>
      <c r="V678" s="304"/>
      <c r="W678" s="304"/>
      <c r="AD678" s="304"/>
      <c r="AE678" s="304"/>
      <c r="AR678" s="304"/>
      <c r="AS678" s="304"/>
      <c r="AT678" s="304"/>
      <c r="AU678" s="304"/>
      <c r="AV678" s="304"/>
      <c r="AW678" s="304"/>
      <c r="AX678" s="304"/>
      <c r="AY678" s="304"/>
      <c r="AZ678" s="304"/>
      <c r="BA678" s="304"/>
      <c r="BB678" s="304"/>
      <c r="BC678" s="304"/>
      <c r="BK678" s="305"/>
      <c r="BL678" s="305"/>
      <c r="BM678" s="305"/>
      <c r="BN678" s="305"/>
      <c r="BO678" s="305"/>
      <c r="BP678" s="305"/>
      <c r="BQ678" s="305"/>
      <c r="BR678" s="305"/>
      <c r="BS678" s="305"/>
      <c r="BT678" s="305"/>
      <c r="BU678" s="305"/>
      <c r="BV678" s="305"/>
      <c r="BX678" s="319"/>
    </row>
    <row r="679" spans="1:76" s="303" customFormat="1" x14ac:dyDescent="0.25">
      <c r="A679" s="275"/>
      <c r="B679" s="275"/>
      <c r="C679" s="275"/>
      <c r="D679" s="275"/>
      <c r="E679" s="275"/>
      <c r="F679" s="275"/>
      <c r="V679" s="304"/>
      <c r="W679" s="304"/>
      <c r="AD679" s="304"/>
      <c r="AE679" s="304"/>
      <c r="AR679" s="304"/>
      <c r="AS679" s="304"/>
      <c r="AT679" s="304"/>
      <c r="AU679" s="304"/>
      <c r="AV679" s="304"/>
      <c r="AW679" s="304"/>
      <c r="AX679" s="304"/>
      <c r="AY679" s="304"/>
      <c r="AZ679" s="304"/>
      <c r="BA679" s="304"/>
      <c r="BB679" s="304"/>
      <c r="BC679" s="304"/>
      <c r="BK679" s="305"/>
      <c r="BL679" s="305"/>
      <c r="BM679" s="305"/>
      <c r="BN679" s="305"/>
      <c r="BO679" s="305"/>
      <c r="BP679" s="305"/>
      <c r="BQ679" s="305"/>
      <c r="BR679" s="305"/>
      <c r="BS679" s="305"/>
      <c r="BT679" s="305"/>
      <c r="BU679" s="305"/>
      <c r="BV679" s="305"/>
      <c r="BX679" s="319"/>
    </row>
    <row r="680" spans="1:76" s="303" customFormat="1" x14ac:dyDescent="0.25">
      <c r="A680" s="275"/>
      <c r="B680" s="275"/>
      <c r="C680" s="275"/>
      <c r="D680" s="275"/>
      <c r="E680" s="275"/>
      <c r="F680" s="275"/>
      <c r="V680" s="304"/>
      <c r="W680" s="304"/>
      <c r="AD680" s="304"/>
      <c r="AE680" s="304"/>
      <c r="AR680" s="304"/>
      <c r="AS680" s="304"/>
      <c r="AT680" s="304"/>
      <c r="AU680" s="304"/>
      <c r="AV680" s="304"/>
      <c r="AW680" s="304"/>
      <c r="AX680" s="304"/>
      <c r="AY680" s="304"/>
      <c r="AZ680" s="304"/>
      <c r="BA680" s="304"/>
      <c r="BB680" s="304"/>
      <c r="BC680" s="304"/>
      <c r="BK680" s="305"/>
      <c r="BL680" s="305"/>
      <c r="BM680" s="305"/>
      <c r="BN680" s="305"/>
      <c r="BO680" s="305"/>
      <c r="BP680" s="305"/>
      <c r="BQ680" s="305"/>
      <c r="BR680" s="305"/>
      <c r="BS680" s="305"/>
      <c r="BT680" s="305"/>
      <c r="BU680" s="305"/>
      <c r="BV680" s="305"/>
      <c r="BX680" s="319"/>
    </row>
    <row r="681" spans="1:76" s="303" customFormat="1" x14ac:dyDescent="0.25">
      <c r="A681" s="275"/>
      <c r="B681" s="275"/>
      <c r="C681" s="275"/>
      <c r="D681" s="275"/>
      <c r="E681" s="275"/>
      <c r="F681" s="275"/>
      <c r="V681" s="304"/>
      <c r="W681" s="304"/>
      <c r="AD681" s="304"/>
      <c r="AE681" s="304"/>
      <c r="AR681" s="304"/>
      <c r="AS681" s="304"/>
      <c r="AT681" s="304"/>
      <c r="AU681" s="304"/>
      <c r="AV681" s="304"/>
      <c r="AW681" s="304"/>
      <c r="AX681" s="304"/>
      <c r="AY681" s="304"/>
      <c r="AZ681" s="304"/>
      <c r="BA681" s="304"/>
      <c r="BB681" s="304"/>
      <c r="BC681" s="304"/>
      <c r="BK681" s="305"/>
      <c r="BL681" s="305"/>
      <c r="BM681" s="305"/>
      <c r="BN681" s="305"/>
      <c r="BO681" s="305"/>
      <c r="BP681" s="305"/>
      <c r="BQ681" s="305"/>
      <c r="BR681" s="305"/>
      <c r="BS681" s="305"/>
      <c r="BT681" s="305"/>
      <c r="BU681" s="305"/>
      <c r="BV681" s="305"/>
      <c r="BX681" s="319"/>
    </row>
    <row r="682" spans="1:76" s="303" customFormat="1" x14ac:dyDescent="0.25">
      <c r="A682" s="275"/>
      <c r="B682" s="275"/>
      <c r="C682" s="275"/>
      <c r="D682" s="275"/>
      <c r="E682" s="275"/>
      <c r="F682" s="275"/>
      <c r="V682" s="304"/>
      <c r="W682" s="304"/>
      <c r="AD682" s="304"/>
      <c r="AE682" s="304"/>
      <c r="AR682" s="304"/>
      <c r="AS682" s="304"/>
      <c r="AT682" s="304"/>
      <c r="AU682" s="304"/>
      <c r="AV682" s="304"/>
      <c r="AW682" s="304"/>
      <c r="AX682" s="304"/>
      <c r="AY682" s="304"/>
      <c r="AZ682" s="304"/>
      <c r="BA682" s="304"/>
      <c r="BB682" s="304"/>
      <c r="BC682" s="304"/>
      <c r="BK682" s="305"/>
      <c r="BL682" s="305"/>
      <c r="BM682" s="305"/>
      <c r="BN682" s="305"/>
      <c r="BO682" s="305"/>
      <c r="BP682" s="305"/>
      <c r="BQ682" s="305"/>
      <c r="BR682" s="305"/>
      <c r="BS682" s="305"/>
      <c r="BT682" s="305"/>
      <c r="BU682" s="305"/>
      <c r="BV682" s="305"/>
      <c r="BX682" s="319"/>
    </row>
    <row r="683" spans="1:76" s="303" customFormat="1" x14ac:dyDescent="0.25">
      <c r="A683" s="275"/>
      <c r="B683" s="275"/>
      <c r="C683" s="275"/>
      <c r="D683" s="275"/>
      <c r="E683" s="275"/>
      <c r="F683" s="275"/>
      <c r="V683" s="304"/>
      <c r="W683" s="304"/>
      <c r="AD683" s="304"/>
      <c r="AE683" s="304"/>
      <c r="AR683" s="304"/>
      <c r="AS683" s="304"/>
      <c r="AT683" s="304"/>
      <c r="AU683" s="304"/>
      <c r="AV683" s="304"/>
      <c r="AW683" s="304"/>
      <c r="AX683" s="304"/>
      <c r="AY683" s="304"/>
      <c r="AZ683" s="304"/>
      <c r="BA683" s="304"/>
      <c r="BB683" s="304"/>
      <c r="BC683" s="304"/>
      <c r="BK683" s="305"/>
      <c r="BL683" s="305"/>
      <c r="BM683" s="305"/>
      <c r="BN683" s="305"/>
      <c r="BO683" s="305"/>
      <c r="BP683" s="305"/>
      <c r="BQ683" s="305"/>
      <c r="BR683" s="305"/>
      <c r="BS683" s="305"/>
      <c r="BT683" s="305"/>
      <c r="BU683" s="305"/>
      <c r="BV683" s="305"/>
      <c r="BX683" s="319"/>
    </row>
    <row r="684" spans="1:76" s="303" customFormat="1" x14ac:dyDescent="0.25">
      <c r="A684" s="275"/>
      <c r="B684" s="275"/>
      <c r="C684" s="275"/>
      <c r="D684" s="275"/>
      <c r="E684" s="275"/>
      <c r="F684" s="275"/>
      <c r="V684" s="304"/>
      <c r="W684" s="304"/>
      <c r="AD684" s="304"/>
      <c r="AE684" s="304"/>
      <c r="AR684" s="304"/>
      <c r="AS684" s="304"/>
      <c r="AT684" s="304"/>
      <c r="AU684" s="304"/>
      <c r="AV684" s="304"/>
      <c r="AW684" s="304"/>
      <c r="AX684" s="304"/>
      <c r="AY684" s="304"/>
      <c r="AZ684" s="304"/>
      <c r="BA684" s="304"/>
      <c r="BB684" s="304"/>
      <c r="BC684" s="304"/>
      <c r="BK684" s="305"/>
      <c r="BL684" s="305"/>
      <c r="BM684" s="305"/>
      <c r="BN684" s="305"/>
      <c r="BO684" s="305"/>
      <c r="BP684" s="305"/>
      <c r="BQ684" s="305"/>
      <c r="BR684" s="305"/>
      <c r="BS684" s="305"/>
      <c r="BT684" s="305"/>
      <c r="BU684" s="305"/>
      <c r="BV684" s="305"/>
      <c r="BX684" s="319"/>
    </row>
    <row r="685" spans="1:76" s="303" customFormat="1" x14ac:dyDescent="0.25">
      <c r="A685" s="275"/>
      <c r="B685" s="275"/>
      <c r="C685" s="275"/>
      <c r="D685" s="275"/>
      <c r="E685" s="275"/>
      <c r="F685" s="275"/>
      <c r="V685" s="304"/>
      <c r="W685" s="304"/>
      <c r="AD685" s="304"/>
      <c r="AE685" s="304"/>
      <c r="AR685" s="304"/>
      <c r="AS685" s="304"/>
      <c r="AT685" s="304"/>
      <c r="AU685" s="304"/>
      <c r="AV685" s="304"/>
      <c r="AW685" s="304"/>
      <c r="AX685" s="304"/>
      <c r="AY685" s="304"/>
      <c r="AZ685" s="304"/>
      <c r="BA685" s="304"/>
      <c r="BB685" s="304"/>
      <c r="BC685" s="304"/>
      <c r="BK685" s="305"/>
      <c r="BL685" s="305"/>
      <c r="BM685" s="305"/>
      <c r="BN685" s="305"/>
      <c r="BO685" s="305"/>
      <c r="BP685" s="305"/>
      <c r="BQ685" s="305"/>
      <c r="BR685" s="305"/>
      <c r="BS685" s="305"/>
      <c r="BT685" s="305"/>
      <c r="BU685" s="305"/>
      <c r="BV685" s="305"/>
      <c r="BX685" s="319"/>
    </row>
    <row r="686" spans="1:76" s="303" customFormat="1" x14ac:dyDescent="0.25">
      <c r="A686" s="275"/>
      <c r="B686" s="275"/>
      <c r="C686" s="275"/>
      <c r="D686" s="275"/>
      <c r="E686" s="275"/>
      <c r="F686" s="275"/>
      <c r="V686" s="304"/>
      <c r="W686" s="304"/>
      <c r="AD686" s="304"/>
      <c r="AE686" s="304"/>
      <c r="AR686" s="304"/>
      <c r="AS686" s="304"/>
      <c r="AT686" s="304"/>
      <c r="AU686" s="304"/>
      <c r="AV686" s="304"/>
      <c r="AW686" s="304"/>
      <c r="AX686" s="304"/>
      <c r="AY686" s="304"/>
      <c r="AZ686" s="304"/>
      <c r="BA686" s="304"/>
      <c r="BB686" s="304"/>
      <c r="BC686" s="304"/>
      <c r="BK686" s="305"/>
      <c r="BL686" s="305"/>
      <c r="BM686" s="305"/>
      <c r="BN686" s="305"/>
      <c r="BO686" s="305"/>
      <c r="BP686" s="305"/>
      <c r="BQ686" s="305"/>
      <c r="BR686" s="305"/>
      <c r="BS686" s="305"/>
      <c r="BT686" s="305"/>
      <c r="BU686" s="305"/>
      <c r="BV686" s="305"/>
      <c r="BX686" s="319"/>
    </row>
    <row r="687" spans="1:76" s="303" customFormat="1" x14ac:dyDescent="0.25">
      <c r="A687" s="275"/>
      <c r="B687" s="275"/>
      <c r="C687" s="275"/>
      <c r="D687" s="275"/>
      <c r="E687" s="275"/>
      <c r="F687" s="275"/>
      <c r="V687" s="304"/>
      <c r="W687" s="304"/>
      <c r="AD687" s="304"/>
      <c r="AE687" s="304"/>
      <c r="AR687" s="304"/>
      <c r="AS687" s="304"/>
      <c r="AT687" s="304"/>
      <c r="AU687" s="304"/>
      <c r="AV687" s="304"/>
      <c r="AW687" s="304"/>
      <c r="AX687" s="304"/>
      <c r="AY687" s="304"/>
      <c r="AZ687" s="304"/>
      <c r="BA687" s="304"/>
      <c r="BB687" s="304"/>
      <c r="BC687" s="304"/>
      <c r="BK687" s="305"/>
      <c r="BL687" s="305"/>
      <c r="BM687" s="305"/>
      <c r="BN687" s="305"/>
      <c r="BO687" s="305"/>
      <c r="BP687" s="305"/>
      <c r="BQ687" s="305"/>
      <c r="BR687" s="305"/>
      <c r="BS687" s="305"/>
      <c r="BT687" s="305"/>
      <c r="BU687" s="305"/>
      <c r="BV687" s="305"/>
      <c r="BX687" s="319"/>
    </row>
    <row r="688" spans="1:76" s="303" customFormat="1" x14ac:dyDescent="0.25">
      <c r="A688" s="275"/>
      <c r="B688" s="275"/>
      <c r="C688" s="275"/>
      <c r="D688" s="275"/>
      <c r="E688" s="275"/>
      <c r="F688" s="275"/>
      <c r="V688" s="304"/>
      <c r="W688" s="304"/>
      <c r="AD688" s="304"/>
      <c r="AE688" s="304"/>
      <c r="AR688" s="304"/>
      <c r="AS688" s="304"/>
      <c r="AT688" s="304"/>
      <c r="AU688" s="304"/>
      <c r="AV688" s="304"/>
      <c r="AW688" s="304"/>
      <c r="AX688" s="304"/>
      <c r="AY688" s="304"/>
      <c r="AZ688" s="304"/>
      <c r="BA688" s="304"/>
      <c r="BB688" s="304"/>
      <c r="BC688" s="304"/>
      <c r="BK688" s="305"/>
      <c r="BL688" s="305"/>
      <c r="BM688" s="305"/>
      <c r="BN688" s="305"/>
      <c r="BO688" s="305"/>
      <c r="BP688" s="305"/>
      <c r="BQ688" s="305"/>
      <c r="BR688" s="305"/>
      <c r="BS688" s="305"/>
      <c r="BT688" s="305"/>
      <c r="BU688" s="305"/>
      <c r="BV688" s="305"/>
      <c r="BX688" s="319"/>
    </row>
    <row r="689" spans="1:76" s="303" customFormat="1" x14ac:dyDescent="0.25">
      <c r="A689" s="275"/>
      <c r="B689" s="275"/>
      <c r="C689" s="275"/>
      <c r="D689" s="275"/>
      <c r="E689" s="275"/>
      <c r="F689" s="275"/>
      <c r="V689" s="304"/>
      <c r="W689" s="304"/>
      <c r="AD689" s="304"/>
      <c r="AE689" s="304"/>
      <c r="AR689" s="304"/>
      <c r="AS689" s="304"/>
      <c r="AT689" s="304"/>
      <c r="AU689" s="304"/>
      <c r="AV689" s="304"/>
      <c r="AW689" s="304"/>
      <c r="AX689" s="304"/>
      <c r="AY689" s="304"/>
      <c r="AZ689" s="304"/>
      <c r="BA689" s="304"/>
      <c r="BB689" s="304"/>
      <c r="BC689" s="304"/>
      <c r="BK689" s="305"/>
      <c r="BL689" s="305"/>
      <c r="BM689" s="305"/>
      <c r="BN689" s="305"/>
      <c r="BO689" s="305"/>
      <c r="BP689" s="305"/>
      <c r="BQ689" s="305"/>
      <c r="BR689" s="305"/>
      <c r="BS689" s="305"/>
      <c r="BT689" s="305"/>
      <c r="BU689" s="305"/>
      <c r="BV689" s="305"/>
      <c r="BX689" s="319"/>
    </row>
    <row r="690" spans="1:76" s="303" customFormat="1" x14ac:dyDescent="0.25">
      <c r="A690" s="275"/>
      <c r="B690" s="275"/>
      <c r="C690" s="275"/>
      <c r="D690" s="275"/>
      <c r="E690" s="275"/>
      <c r="F690" s="275"/>
      <c r="V690" s="304"/>
      <c r="W690" s="304"/>
      <c r="AD690" s="304"/>
      <c r="AE690" s="304"/>
      <c r="AR690" s="304"/>
      <c r="AS690" s="304"/>
      <c r="AT690" s="304"/>
      <c r="AU690" s="304"/>
      <c r="AV690" s="304"/>
      <c r="AW690" s="304"/>
      <c r="AX690" s="304"/>
      <c r="AY690" s="304"/>
      <c r="AZ690" s="304"/>
      <c r="BA690" s="304"/>
      <c r="BB690" s="304"/>
      <c r="BC690" s="304"/>
      <c r="BK690" s="305"/>
      <c r="BL690" s="305"/>
      <c r="BM690" s="305"/>
      <c r="BN690" s="305"/>
      <c r="BO690" s="305"/>
      <c r="BP690" s="305"/>
      <c r="BQ690" s="305"/>
      <c r="BR690" s="305"/>
      <c r="BS690" s="305"/>
      <c r="BT690" s="305"/>
      <c r="BU690" s="305"/>
      <c r="BV690" s="305"/>
      <c r="BX690" s="319"/>
    </row>
    <row r="691" spans="1:76" s="303" customFormat="1" x14ac:dyDescent="0.25">
      <c r="A691" s="275"/>
      <c r="B691" s="275"/>
      <c r="C691" s="275"/>
      <c r="D691" s="275"/>
      <c r="E691" s="275"/>
      <c r="F691" s="275"/>
      <c r="V691" s="304"/>
      <c r="W691" s="304"/>
      <c r="AD691" s="304"/>
      <c r="AE691" s="304"/>
      <c r="AR691" s="304"/>
      <c r="AS691" s="304"/>
      <c r="AT691" s="304"/>
      <c r="AU691" s="304"/>
      <c r="AV691" s="304"/>
      <c r="AW691" s="304"/>
      <c r="AX691" s="304"/>
      <c r="AY691" s="304"/>
      <c r="AZ691" s="304"/>
      <c r="BA691" s="304"/>
      <c r="BB691" s="304"/>
      <c r="BC691" s="304"/>
      <c r="BK691" s="305"/>
      <c r="BL691" s="305"/>
      <c r="BM691" s="305"/>
      <c r="BN691" s="305"/>
      <c r="BO691" s="305"/>
      <c r="BP691" s="305"/>
      <c r="BQ691" s="305"/>
      <c r="BR691" s="305"/>
      <c r="BS691" s="305"/>
      <c r="BT691" s="305"/>
      <c r="BU691" s="305"/>
      <c r="BV691" s="305"/>
      <c r="BX691" s="319"/>
    </row>
    <row r="692" spans="1:76" s="303" customFormat="1" x14ac:dyDescent="0.25">
      <c r="A692" s="275"/>
      <c r="B692" s="275"/>
      <c r="C692" s="275"/>
      <c r="D692" s="275"/>
      <c r="E692" s="275"/>
      <c r="F692" s="275"/>
      <c r="V692" s="304"/>
      <c r="W692" s="304"/>
      <c r="AD692" s="304"/>
      <c r="AE692" s="304"/>
      <c r="AR692" s="304"/>
      <c r="AS692" s="304"/>
      <c r="AT692" s="304"/>
      <c r="AU692" s="304"/>
      <c r="AV692" s="304"/>
      <c r="AW692" s="304"/>
      <c r="AX692" s="304"/>
      <c r="AY692" s="304"/>
      <c r="AZ692" s="304"/>
      <c r="BA692" s="304"/>
      <c r="BB692" s="304"/>
      <c r="BC692" s="304"/>
      <c r="BK692" s="305"/>
      <c r="BL692" s="305"/>
      <c r="BM692" s="305"/>
      <c r="BN692" s="305"/>
      <c r="BO692" s="305"/>
      <c r="BP692" s="305"/>
      <c r="BQ692" s="305"/>
      <c r="BR692" s="305"/>
      <c r="BS692" s="305"/>
      <c r="BT692" s="305"/>
      <c r="BU692" s="305"/>
      <c r="BV692" s="305"/>
      <c r="BX692" s="319"/>
    </row>
    <row r="693" spans="1:76" s="303" customFormat="1" x14ac:dyDescent="0.25">
      <c r="A693" s="275"/>
      <c r="B693" s="275"/>
      <c r="C693" s="275"/>
      <c r="D693" s="275"/>
      <c r="E693" s="275"/>
      <c r="F693" s="275"/>
      <c r="V693" s="304"/>
      <c r="W693" s="304"/>
      <c r="AD693" s="304"/>
      <c r="AE693" s="304"/>
      <c r="AR693" s="304"/>
      <c r="AS693" s="304"/>
      <c r="AT693" s="304"/>
      <c r="AU693" s="304"/>
      <c r="AV693" s="304"/>
      <c r="AW693" s="304"/>
      <c r="AX693" s="304"/>
      <c r="AY693" s="304"/>
      <c r="AZ693" s="304"/>
      <c r="BA693" s="304"/>
      <c r="BB693" s="304"/>
      <c r="BC693" s="304"/>
      <c r="BK693" s="305"/>
      <c r="BL693" s="305"/>
      <c r="BM693" s="305"/>
      <c r="BN693" s="305"/>
      <c r="BO693" s="305"/>
      <c r="BP693" s="305"/>
      <c r="BQ693" s="305"/>
      <c r="BR693" s="305"/>
      <c r="BS693" s="305"/>
      <c r="BT693" s="305"/>
      <c r="BU693" s="305"/>
      <c r="BV693" s="305"/>
      <c r="BX693" s="319"/>
    </row>
    <row r="694" spans="1:76" s="303" customFormat="1" x14ac:dyDescent="0.25">
      <c r="A694" s="275"/>
      <c r="B694" s="275"/>
      <c r="C694" s="275"/>
      <c r="D694" s="275"/>
      <c r="E694" s="275"/>
      <c r="F694" s="275"/>
      <c r="V694" s="304"/>
      <c r="W694" s="304"/>
      <c r="AD694" s="304"/>
      <c r="AE694" s="304"/>
      <c r="AR694" s="304"/>
      <c r="AS694" s="304"/>
      <c r="AT694" s="304"/>
      <c r="AU694" s="304"/>
      <c r="AV694" s="304"/>
      <c r="AW694" s="304"/>
      <c r="AX694" s="304"/>
      <c r="AY694" s="304"/>
      <c r="AZ694" s="304"/>
      <c r="BA694" s="304"/>
      <c r="BB694" s="304"/>
      <c r="BC694" s="304"/>
      <c r="BK694" s="305"/>
      <c r="BL694" s="305"/>
      <c r="BM694" s="305"/>
      <c r="BN694" s="305"/>
      <c r="BO694" s="305"/>
      <c r="BP694" s="305"/>
      <c r="BQ694" s="305"/>
      <c r="BR694" s="305"/>
      <c r="BS694" s="305"/>
      <c r="BT694" s="305"/>
      <c r="BU694" s="305"/>
      <c r="BV694" s="305"/>
      <c r="BX694" s="319"/>
    </row>
    <row r="695" spans="1:76" s="303" customFormat="1" x14ac:dyDescent="0.25">
      <c r="A695" s="275"/>
      <c r="B695" s="275"/>
      <c r="C695" s="275"/>
      <c r="D695" s="275"/>
      <c r="E695" s="275"/>
      <c r="F695" s="275"/>
      <c r="V695" s="304"/>
      <c r="W695" s="304"/>
      <c r="AD695" s="304"/>
      <c r="AE695" s="304"/>
      <c r="AR695" s="304"/>
      <c r="AS695" s="304"/>
      <c r="AT695" s="304"/>
      <c r="AU695" s="304"/>
      <c r="AV695" s="304"/>
      <c r="AW695" s="304"/>
      <c r="AX695" s="304"/>
      <c r="AY695" s="304"/>
      <c r="AZ695" s="304"/>
      <c r="BA695" s="304"/>
      <c r="BB695" s="304"/>
      <c r="BC695" s="304"/>
      <c r="BK695" s="305"/>
      <c r="BL695" s="305"/>
      <c r="BM695" s="305"/>
      <c r="BN695" s="305"/>
      <c r="BO695" s="305"/>
      <c r="BP695" s="305"/>
      <c r="BQ695" s="305"/>
      <c r="BR695" s="305"/>
      <c r="BS695" s="305"/>
      <c r="BT695" s="305"/>
      <c r="BU695" s="305"/>
      <c r="BV695" s="305"/>
      <c r="BX695" s="319"/>
    </row>
    <row r="696" spans="1:76" s="303" customFormat="1" x14ac:dyDescent="0.25">
      <c r="A696" s="275"/>
      <c r="B696" s="275"/>
      <c r="C696" s="275"/>
      <c r="D696" s="275"/>
      <c r="E696" s="275"/>
      <c r="F696" s="275"/>
      <c r="V696" s="304"/>
      <c r="W696" s="304"/>
      <c r="AD696" s="304"/>
      <c r="AE696" s="304"/>
      <c r="AR696" s="304"/>
      <c r="AS696" s="304"/>
      <c r="AT696" s="304"/>
      <c r="AU696" s="304"/>
      <c r="AV696" s="304"/>
      <c r="AW696" s="304"/>
      <c r="AX696" s="304"/>
      <c r="AY696" s="304"/>
      <c r="AZ696" s="304"/>
      <c r="BA696" s="304"/>
      <c r="BB696" s="304"/>
      <c r="BC696" s="304"/>
      <c r="BK696" s="305"/>
      <c r="BL696" s="305"/>
      <c r="BM696" s="305"/>
      <c r="BN696" s="305"/>
      <c r="BO696" s="305"/>
      <c r="BP696" s="305"/>
      <c r="BQ696" s="305"/>
      <c r="BR696" s="305"/>
      <c r="BS696" s="305"/>
      <c r="BT696" s="305"/>
      <c r="BU696" s="305"/>
      <c r="BV696" s="305"/>
      <c r="BX696" s="319"/>
    </row>
    <row r="697" spans="1:76" s="303" customFormat="1" x14ac:dyDescent="0.25">
      <c r="A697" s="275"/>
      <c r="B697" s="275"/>
      <c r="C697" s="275"/>
      <c r="D697" s="275"/>
      <c r="E697" s="275"/>
      <c r="F697" s="275"/>
      <c r="V697" s="304"/>
      <c r="W697" s="304"/>
      <c r="AD697" s="304"/>
      <c r="AE697" s="304"/>
      <c r="AR697" s="304"/>
      <c r="AS697" s="304"/>
      <c r="AT697" s="304"/>
      <c r="AU697" s="304"/>
      <c r="AV697" s="304"/>
      <c r="AW697" s="304"/>
      <c r="AX697" s="304"/>
      <c r="AY697" s="304"/>
      <c r="AZ697" s="304"/>
      <c r="BA697" s="304"/>
      <c r="BB697" s="304"/>
      <c r="BC697" s="304"/>
      <c r="BK697" s="305"/>
      <c r="BL697" s="305"/>
      <c r="BM697" s="305"/>
      <c r="BN697" s="305"/>
      <c r="BO697" s="305"/>
      <c r="BP697" s="305"/>
      <c r="BQ697" s="305"/>
      <c r="BR697" s="305"/>
      <c r="BS697" s="305"/>
      <c r="BT697" s="305"/>
      <c r="BU697" s="305"/>
      <c r="BV697" s="305"/>
      <c r="BX697" s="319"/>
    </row>
    <row r="698" spans="1:76" s="303" customFormat="1" x14ac:dyDescent="0.25">
      <c r="A698" s="275"/>
      <c r="B698" s="275"/>
      <c r="C698" s="275"/>
      <c r="D698" s="275"/>
      <c r="E698" s="275"/>
      <c r="F698" s="275"/>
      <c r="V698" s="304"/>
      <c r="W698" s="304"/>
      <c r="AD698" s="304"/>
      <c r="AE698" s="304"/>
      <c r="AR698" s="304"/>
      <c r="AS698" s="304"/>
      <c r="AT698" s="304"/>
      <c r="AU698" s="304"/>
      <c r="AV698" s="304"/>
      <c r="AW698" s="304"/>
      <c r="AX698" s="304"/>
      <c r="AY698" s="304"/>
      <c r="AZ698" s="304"/>
      <c r="BA698" s="304"/>
      <c r="BB698" s="304"/>
      <c r="BC698" s="304"/>
      <c r="BK698" s="305"/>
      <c r="BL698" s="305"/>
      <c r="BM698" s="305"/>
      <c r="BN698" s="305"/>
      <c r="BO698" s="305"/>
      <c r="BP698" s="305"/>
      <c r="BQ698" s="305"/>
      <c r="BR698" s="305"/>
      <c r="BS698" s="305"/>
      <c r="BT698" s="305"/>
      <c r="BU698" s="305"/>
      <c r="BV698" s="305"/>
      <c r="BX698" s="319"/>
    </row>
    <row r="699" spans="1:76" s="303" customFormat="1" x14ac:dyDescent="0.25">
      <c r="A699" s="275"/>
      <c r="B699" s="275"/>
      <c r="C699" s="275"/>
      <c r="D699" s="275"/>
      <c r="E699" s="275"/>
      <c r="F699" s="275"/>
      <c r="V699" s="304"/>
      <c r="W699" s="304"/>
      <c r="AD699" s="304"/>
      <c r="AE699" s="304"/>
      <c r="AR699" s="304"/>
      <c r="AS699" s="304"/>
      <c r="AT699" s="304"/>
      <c r="AU699" s="304"/>
      <c r="AV699" s="304"/>
      <c r="AW699" s="304"/>
      <c r="AX699" s="304"/>
      <c r="AY699" s="304"/>
      <c r="AZ699" s="304"/>
      <c r="BA699" s="304"/>
      <c r="BB699" s="304"/>
      <c r="BC699" s="304"/>
      <c r="BK699" s="305"/>
      <c r="BL699" s="305"/>
      <c r="BM699" s="305"/>
      <c r="BN699" s="305"/>
      <c r="BO699" s="305"/>
      <c r="BP699" s="305"/>
      <c r="BQ699" s="305"/>
      <c r="BR699" s="305"/>
      <c r="BS699" s="305"/>
      <c r="BT699" s="305"/>
      <c r="BU699" s="305"/>
      <c r="BV699" s="305"/>
      <c r="BX699" s="319"/>
    </row>
    <row r="700" spans="1:76" s="303" customFormat="1" x14ac:dyDescent="0.25">
      <c r="A700" s="275"/>
      <c r="B700" s="275"/>
      <c r="C700" s="275"/>
      <c r="D700" s="275"/>
      <c r="E700" s="275"/>
      <c r="F700" s="275"/>
      <c r="V700" s="304"/>
      <c r="W700" s="304"/>
      <c r="AD700" s="304"/>
      <c r="AE700" s="304"/>
      <c r="AR700" s="304"/>
      <c r="AS700" s="304"/>
      <c r="AT700" s="304"/>
      <c r="AU700" s="304"/>
      <c r="AV700" s="304"/>
      <c r="AW700" s="304"/>
      <c r="AX700" s="304"/>
      <c r="AY700" s="304"/>
      <c r="AZ700" s="304"/>
      <c r="BA700" s="304"/>
      <c r="BB700" s="304"/>
      <c r="BC700" s="304"/>
      <c r="BK700" s="305"/>
      <c r="BL700" s="305"/>
      <c r="BM700" s="305"/>
      <c r="BN700" s="305"/>
      <c r="BO700" s="305"/>
      <c r="BP700" s="305"/>
      <c r="BQ700" s="305"/>
      <c r="BR700" s="305"/>
      <c r="BS700" s="305"/>
      <c r="BT700" s="305"/>
      <c r="BU700" s="305"/>
      <c r="BV700" s="305"/>
      <c r="BX700" s="319"/>
    </row>
    <row r="701" spans="1:76" s="303" customFormat="1" x14ac:dyDescent="0.25">
      <c r="A701" s="275"/>
      <c r="B701" s="275"/>
      <c r="C701" s="275"/>
      <c r="D701" s="275"/>
      <c r="E701" s="275"/>
      <c r="F701" s="275"/>
      <c r="V701" s="304"/>
      <c r="W701" s="304"/>
      <c r="AD701" s="304"/>
      <c r="AE701" s="304"/>
      <c r="AR701" s="304"/>
      <c r="AS701" s="304"/>
      <c r="AT701" s="304"/>
      <c r="AU701" s="304"/>
      <c r="AV701" s="304"/>
      <c r="AW701" s="304"/>
      <c r="AX701" s="304"/>
      <c r="AY701" s="304"/>
      <c r="AZ701" s="304"/>
      <c r="BA701" s="304"/>
      <c r="BB701" s="304"/>
      <c r="BC701" s="304"/>
      <c r="BK701" s="305"/>
      <c r="BL701" s="305"/>
      <c r="BM701" s="305"/>
      <c r="BN701" s="305"/>
      <c r="BO701" s="305"/>
      <c r="BP701" s="305"/>
      <c r="BQ701" s="305"/>
      <c r="BR701" s="305"/>
      <c r="BS701" s="305"/>
      <c r="BT701" s="305"/>
      <c r="BU701" s="305"/>
      <c r="BV701" s="305"/>
      <c r="BX701" s="319"/>
    </row>
    <row r="702" spans="1:76" s="303" customFormat="1" x14ac:dyDescent="0.25">
      <c r="A702" s="275"/>
      <c r="B702" s="275"/>
      <c r="C702" s="275"/>
      <c r="D702" s="275"/>
      <c r="E702" s="275"/>
      <c r="F702" s="275"/>
      <c r="V702" s="304"/>
      <c r="W702" s="304"/>
      <c r="AD702" s="304"/>
      <c r="AE702" s="304"/>
      <c r="AR702" s="304"/>
      <c r="AS702" s="304"/>
      <c r="AT702" s="304"/>
      <c r="AU702" s="304"/>
      <c r="AV702" s="304"/>
      <c r="AW702" s="304"/>
      <c r="AX702" s="304"/>
      <c r="AY702" s="304"/>
      <c r="AZ702" s="304"/>
      <c r="BA702" s="304"/>
      <c r="BB702" s="304"/>
      <c r="BC702" s="304"/>
      <c r="BK702" s="305"/>
      <c r="BL702" s="305"/>
      <c r="BM702" s="305"/>
      <c r="BN702" s="305"/>
      <c r="BO702" s="305"/>
      <c r="BP702" s="305"/>
      <c r="BQ702" s="305"/>
      <c r="BR702" s="305"/>
      <c r="BS702" s="305"/>
      <c r="BT702" s="305"/>
      <c r="BU702" s="305"/>
      <c r="BV702" s="305"/>
      <c r="BX702" s="319"/>
    </row>
    <row r="703" spans="1:76" s="303" customFormat="1" x14ac:dyDescent="0.25">
      <c r="A703" s="275"/>
      <c r="B703" s="275"/>
      <c r="C703" s="275"/>
      <c r="D703" s="275"/>
      <c r="E703" s="275"/>
      <c r="F703" s="275"/>
      <c r="V703" s="304"/>
      <c r="W703" s="304"/>
      <c r="AD703" s="304"/>
      <c r="AE703" s="304"/>
      <c r="AR703" s="304"/>
      <c r="AS703" s="304"/>
      <c r="AT703" s="304"/>
      <c r="AU703" s="304"/>
      <c r="AV703" s="304"/>
      <c r="AW703" s="304"/>
      <c r="AX703" s="304"/>
      <c r="AY703" s="304"/>
      <c r="AZ703" s="304"/>
      <c r="BA703" s="304"/>
      <c r="BB703" s="304"/>
      <c r="BC703" s="304"/>
      <c r="BK703" s="305"/>
      <c r="BL703" s="305"/>
      <c r="BM703" s="305"/>
      <c r="BN703" s="305"/>
      <c r="BO703" s="305"/>
      <c r="BP703" s="305"/>
      <c r="BQ703" s="305"/>
      <c r="BR703" s="305"/>
      <c r="BS703" s="305"/>
      <c r="BT703" s="305"/>
      <c r="BU703" s="305"/>
      <c r="BV703" s="305"/>
      <c r="BX703" s="319"/>
    </row>
    <row r="704" spans="1:76" s="303" customFormat="1" x14ac:dyDescent="0.25">
      <c r="A704" s="275"/>
      <c r="B704" s="275"/>
      <c r="C704" s="275"/>
      <c r="D704" s="275"/>
      <c r="E704" s="275"/>
      <c r="F704" s="275"/>
      <c r="V704" s="304"/>
      <c r="W704" s="304"/>
      <c r="AD704" s="304"/>
      <c r="AE704" s="304"/>
      <c r="AR704" s="304"/>
      <c r="AS704" s="304"/>
      <c r="AT704" s="304"/>
      <c r="AU704" s="304"/>
      <c r="AV704" s="304"/>
      <c r="AW704" s="304"/>
      <c r="AX704" s="304"/>
      <c r="AY704" s="304"/>
      <c r="AZ704" s="304"/>
      <c r="BA704" s="304"/>
      <c r="BB704" s="304"/>
      <c r="BC704" s="304"/>
      <c r="BK704" s="305"/>
      <c r="BL704" s="305"/>
      <c r="BM704" s="305"/>
      <c r="BN704" s="305"/>
      <c r="BO704" s="305"/>
      <c r="BP704" s="305"/>
      <c r="BQ704" s="305"/>
      <c r="BR704" s="305"/>
      <c r="BS704" s="305"/>
      <c r="BT704" s="305"/>
      <c r="BU704" s="305"/>
      <c r="BV704" s="305"/>
      <c r="BX704" s="319"/>
    </row>
    <row r="705" spans="1:76" s="303" customFormat="1" x14ac:dyDescent="0.25">
      <c r="A705" s="275"/>
      <c r="B705" s="275"/>
      <c r="C705" s="275"/>
      <c r="D705" s="275"/>
      <c r="E705" s="275"/>
      <c r="F705" s="275"/>
      <c r="V705" s="304"/>
      <c r="W705" s="304"/>
      <c r="AD705" s="304"/>
      <c r="AE705" s="304"/>
      <c r="AR705" s="304"/>
      <c r="AS705" s="304"/>
      <c r="AT705" s="304"/>
      <c r="AU705" s="304"/>
      <c r="AV705" s="304"/>
      <c r="AW705" s="304"/>
      <c r="AX705" s="304"/>
      <c r="AY705" s="304"/>
      <c r="AZ705" s="304"/>
      <c r="BA705" s="304"/>
      <c r="BB705" s="304"/>
      <c r="BC705" s="304"/>
      <c r="BK705" s="305"/>
      <c r="BL705" s="305"/>
      <c r="BM705" s="305"/>
      <c r="BN705" s="305"/>
      <c r="BO705" s="305"/>
      <c r="BP705" s="305"/>
      <c r="BQ705" s="305"/>
      <c r="BR705" s="305"/>
      <c r="BS705" s="305"/>
      <c r="BT705" s="305"/>
      <c r="BU705" s="305"/>
      <c r="BV705" s="305"/>
      <c r="BX705" s="319"/>
    </row>
    <row r="706" spans="1:76" s="303" customFormat="1" x14ac:dyDescent="0.25">
      <c r="A706" s="275"/>
      <c r="B706" s="275"/>
      <c r="C706" s="275"/>
      <c r="D706" s="275"/>
      <c r="E706" s="275"/>
      <c r="F706" s="275"/>
      <c r="V706" s="304"/>
      <c r="W706" s="304"/>
      <c r="AD706" s="304"/>
      <c r="AE706" s="304"/>
      <c r="AR706" s="304"/>
      <c r="AS706" s="304"/>
      <c r="AT706" s="304"/>
      <c r="AU706" s="304"/>
      <c r="AV706" s="304"/>
      <c r="AW706" s="304"/>
      <c r="AX706" s="304"/>
      <c r="AY706" s="304"/>
      <c r="AZ706" s="304"/>
      <c r="BA706" s="304"/>
      <c r="BB706" s="304"/>
      <c r="BC706" s="304"/>
      <c r="BK706" s="305"/>
      <c r="BL706" s="305"/>
      <c r="BM706" s="305"/>
      <c r="BN706" s="305"/>
      <c r="BO706" s="305"/>
      <c r="BP706" s="305"/>
      <c r="BQ706" s="305"/>
      <c r="BR706" s="305"/>
      <c r="BS706" s="305"/>
      <c r="BT706" s="305"/>
      <c r="BU706" s="305"/>
      <c r="BV706" s="305"/>
      <c r="BX706" s="319"/>
    </row>
    <row r="707" spans="1:76" s="303" customFormat="1" x14ac:dyDescent="0.25">
      <c r="A707" s="275"/>
      <c r="B707" s="275"/>
      <c r="C707" s="275"/>
      <c r="D707" s="275"/>
      <c r="E707" s="275"/>
      <c r="F707" s="275"/>
      <c r="V707" s="304"/>
      <c r="W707" s="304"/>
      <c r="AD707" s="304"/>
      <c r="AE707" s="304"/>
      <c r="AR707" s="304"/>
      <c r="AS707" s="304"/>
      <c r="AT707" s="304"/>
      <c r="AU707" s="304"/>
      <c r="AV707" s="304"/>
      <c r="AW707" s="304"/>
      <c r="AX707" s="304"/>
      <c r="AY707" s="304"/>
      <c r="AZ707" s="304"/>
      <c r="BA707" s="304"/>
      <c r="BB707" s="304"/>
      <c r="BC707" s="304"/>
      <c r="BK707" s="305"/>
      <c r="BL707" s="305"/>
      <c r="BM707" s="305"/>
      <c r="BN707" s="305"/>
      <c r="BO707" s="305"/>
      <c r="BP707" s="305"/>
      <c r="BQ707" s="305"/>
      <c r="BR707" s="305"/>
      <c r="BS707" s="305"/>
      <c r="BT707" s="305"/>
      <c r="BU707" s="305"/>
      <c r="BV707" s="305"/>
      <c r="BX707" s="319"/>
    </row>
    <row r="708" spans="1:76" s="303" customFormat="1" x14ac:dyDescent="0.25">
      <c r="A708" s="275"/>
      <c r="B708" s="275"/>
      <c r="C708" s="275"/>
      <c r="D708" s="275"/>
      <c r="E708" s="275"/>
      <c r="F708" s="275"/>
      <c r="V708" s="304"/>
      <c r="W708" s="304"/>
      <c r="AD708" s="304"/>
      <c r="AE708" s="304"/>
      <c r="AR708" s="304"/>
      <c r="AS708" s="304"/>
      <c r="AT708" s="304"/>
      <c r="AU708" s="304"/>
      <c r="AV708" s="304"/>
      <c r="AW708" s="304"/>
      <c r="AX708" s="304"/>
      <c r="AY708" s="304"/>
      <c r="AZ708" s="304"/>
      <c r="BA708" s="304"/>
      <c r="BB708" s="304"/>
      <c r="BC708" s="304"/>
      <c r="BK708" s="305"/>
      <c r="BL708" s="305"/>
      <c r="BM708" s="305"/>
      <c r="BN708" s="305"/>
      <c r="BO708" s="305"/>
      <c r="BP708" s="305"/>
      <c r="BQ708" s="305"/>
      <c r="BR708" s="305"/>
      <c r="BS708" s="305"/>
      <c r="BT708" s="305"/>
      <c r="BU708" s="305"/>
      <c r="BV708" s="305"/>
      <c r="BX708" s="319"/>
    </row>
    <row r="709" spans="1:76" s="303" customFormat="1" x14ac:dyDescent="0.25">
      <c r="A709" s="275"/>
      <c r="B709" s="275"/>
      <c r="C709" s="275"/>
      <c r="D709" s="275"/>
      <c r="E709" s="275"/>
      <c r="F709" s="275"/>
      <c r="V709" s="304"/>
      <c r="W709" s="304"/>
      <c r="AD709" s="304"/>
      <c r="AE709" s="304"/>
      <c r="AR709" s="304"/>
      <c r="AS709" s="304"/>
      <c r="AT709" s="304"/>
      <c r="AU709" s="304"/>
      <c r="AV709" s="304"/>
      <c r="AW709" s="304"/>
      <c r="AX709" s="304"/>
      <c r="AY709" s="304"/>
      <c r="AZ709" s="304"/>
      <c r="BA709" s="304"/>
      <c r="BB709" s="304"/>
      <c r="BC709" s="304"/>
      <c r="BK709" s="305"/>
      <c r="BL709" s="305"/>
      <c r="BM709" s="305"/>
      <c r="BN709" s="305"/>
      <c r="BO709" s="305"/>
      <c r="BP709" s="305"/>
      <c r="BQ709" s="305"/>
      <c r="BR709" s="305"/>
      <c r="BS709" s="305"/>
      <c r="BT709" s="305"/>
      <c r="BU709" s="305"/>
      <c r="BV709" s="305"/>
      <c r="BX709" s="319"/>
    </row>
    <row r="710" spans="1:76" s="303" customFormat="1" x14ac:dyDescent="0.25">
      <c r="A710" s="275"/>
      <c r="B710" s="275"/>
      <c r="C710" s="275"/>
      <c r="D710" s="275"/>
      <c r="E710" s="275"/>
      <c r="F710" s="275"/>
      <c r="V710" s="304"/>
      <c r="W710" s="304"/>
      <c r="AD710" s="304"/>
      <c r="AE710" s="304"/>
      <c r="AR710" s="304"/>
      <c r="AS710" s="304"/>
      <c r="AT710" s="304"/>
      <c r="AU710" s="304"/>
      <c r="AV710" s="304"/>
      <c r="AW710" s="304"/>
      <c r="AX710" s="304"/>
      <c r="AY710" s="304"/>
      <c r="AZ710" s="304"/>
      <c r="BA710" s="304"/>
      <c r="BB710" s="304"/>
      <c r="BC710" s="304"/>
      <c r="BK710" s="305"/>
      <c r="BL710" s="305"/>
      <c r="BM710" s="305"/>
      <c r="BN710" s="305"/>
      <c r="BO710" s="305"/>
      <c r="BP710" s="305"/>
      <c r="BQ710" s="305"/>
      <c r="BR710" s="305"/>
      <c r="BS710" s="305"/>
      <c r="BT710" s="305"/>
      <c r="BU710" s="305"/>
      <c r="BV710" s="305"/>
      <c r="BX710" s="319"/>
    </row>
    <row r="711" spans="1:76" s="303" customFormat="1" x14ac:dyDescent="0.25">
      <c r="A711" s="275"/>
      <c r="B711" s="275"/>
      <c r="C711" s="275"/>
      <c r="D711" s="275"/>
      <c r="E711" s="275"/>
      <c r="F711" s="275"/>
      <c r="V711" s="304"/>
      <c r="W711" s="304"/>
      <c r="AD711" s="304"/>
      <c r="AE711" s="304"/>
      <c r="AR711" s="304"/>
      <c r="AS711" s="304"/>
      <c r="AT711" s="304"/>
      <c r="AU711" s="304"/>
      <c r="AV711" s="304"/>
      <c r="AW711" s="304"/>
      <c r="AX711" s="304"/>
      <c r="AY711" s="304"/>
      <c r="AZ711" s="304"/>
      <c r="BA711" s="304"/>
      <c r="BB711" s="304"/>
      <c r="BC711" s="304"/>
      <c r="BK711" s="305"/>
      <c r="BL711" s="305"/>
      <c r="BM711" s="305"/>
      <c r="BN711" s="305"/>
      <c r="BO711" s="305"/>
      <c r="BP711" s="305"/>
      <c r="BQ711" s="305"/>
      <c r="BR711" s="305"/>
      <c r="BS711" s="305"/>
      <c r="BT711" s="305"/>
      <c r="BU711" s="305"/>
      <c r="BV711" s="305"/>
      <c r="BX711" s="319"/>
    </row>
    <row r="712" spans="1:76" s="303" customFormat="1" x14ac:dyDescent="0.25">
      <c r="A712" s="275"/>
      <c r="B712" s="275"/>
      <c r="C712" s="275"/>
      <c r="D712" s="275"/>
      <c r="E712" s="275"/>
      <c r="F712" s="275"/>
      <c r="V712" s="304"/>
      <c r="W712" s="304"/>
      <c r="AD712" s="304"/>
      <c r="AE712" s="304"/>
      <c r="AR712" s="304"/>
      <c r="AS712" s="304"/>
      <c r="AT712" s="304"/>
      <c r="AU712" s="304"/>
      <c r="AV712" s="304"/>
      <c r="AW712" s="304"/>
      <c r="AX712" s="304"/>
      <c r="AY712" s="304"/>
      <c r="AZ712" s="304"/>
      <c r="BA712" s="304"/>
      <c r="BB712" s="304"/>
      <c r="BC712" s="304"/>
      <c r="BK712" s="305"/>
      <c r="BL712" s="305"/>
      <c r="BM712" s="305"/>
      <c r="BN712" s="305"/>
      <c r="BO712" s="305"/>
      <c r="BP712" s="305"/>
      <c r="BQ712" s="305"/>
      <c r="BR712" s="305"/>
      <c r="BS712" s="305"/>
      <c r="BT712" s="305"/>
      <c r="BU712" s="305"/>
      <c r="BV712" s="305"/>
      <c r="BX712" s="319"/>
    </row>
    <row r="713" spans="1:76" s="303" customFormat="1" x14ac:dyDescent="0.25">
      <c r="A713" s="275"/>
      <c r="B713" s="275"/>
      <c r="C713" s="275"/>
      <c r="D713" s="275"/>
      <c r="E713" s="275"/>
      <c r="F713" s="275"/>
      <c r="V713" s="304"/>
      <c r="W713" s="304"/>
      <c r="AD713" s="304"/>
      <c r="AE713" s="304"/>
      <c r="AR713" s="304"/>
      <c r="AS713" s="304"/>
      <c r="AT713" s="304"/>
      <c r="AU713" s="304"/>
      <c r="AV713" s="304"/>
      <c r="AW713" s="304"/>
      <c r="AX713" s="304"/>
      <c r="AY713" s="304"/>
      <c r="AZ713" s="304"/>
      <c r="BA713" s="304"/>
      <c r="BB713" s="304"/>
      <c r="BC713" s="304"/>
      <c r="BK713" s="305"/>
      <c r="BL713" s="305"/>
      <c r="BM713" s="305"/>
      <c r="BN713" s="305"/>
      <c r="BO713" s="305"/>
      <c r="BP713" s="305"/>
      <c r="BQ713" s="305"/>
      <c r="BR713" s="305"/>
      <c r="BS713" s="305"/>
      <c r="BT713" s="305"/>
      <c r="BU713" s="305"/>
      <c r="BV713" s="305"/>
      <c r="BX713" s="319"/>
    </row>
    <row r="714" spans="1:76" s="303" customFormat="1" x14ac:dyDescent="0.25">
      <c r="A714" s="275"/>
      <c r="B714" s="275"/>
      <c r="C714" s="275"/>
      <c r="D714" s="275"/>
      <c r="E714" s="275"/>
      <c r="F714" s="275"/>
      <c r="V714" s="304"/>
      <c r="W714" s="304"/>
      <c r="AD714" s="304"/>
      <c r="AE714" s="304"/>
      <c r="AR714" s="304"/>
      <c r="AS714" s="304"/>
      <c r="AT714" s="304"/>
      <c r="AU714" s="304"/>
      <c r="AV714" s="304"/>
      <c r="AW714" s="304"/>
      <c r="AX714" s="304"/>
      <c r="AY714" s="304"/>
      <c r="AZ714" s="304"/>
      <c r="BA714" s="304"/>
      <c r="BB714" s="304"/>
      <c r="BC714" s="304"/>
      <c r="BK714" s="305"/>
      <c r="BL714" s="305"/>
      <c r="BM714" s="305"/>
      <c r="BN714" s="305"/>
      <c r="BO714" s="305"/>
      <c r="BP714" s="305"/>
      <c r="BQ714" s="305"/>
      <c r="BR714" s="305"/>
      <c r="BS714" s="305"/>
      <c r="BT714" s="305"/>
      <c r="BU714" s="305"/>
      <c r="BV714" s="305"/>
      <c r="BX714" s="319"/>
    </row>
    <row r="715" spans="1:76" s="303" customFormat="1" x14ac:dyDescent="0.25">
      <c r="A715" s="275"/>
      <c r="B715" s="275"/>
      <c r="C715" s="275"/>
      <c r="D715" s="275"/>
      <c r="E715" s="275"/>
      <c r="F715" s="275"/>
      <c r="V715" s="304"/>
      <c r="W715" s="304"/>
      <c r="AD715" s="304"/>
      <c r="AE715" s="304"/>
      <c r="AR715" s="304"/>
      <c r="AS715" s="304"/>
      <c r="AT715" s="304"/>
      <c r="AU715" s="304"/>
      <c r="AV715" s="304"/>
      <c r="AW715" s="304"/>
      <c r="AX715" s="304"/>
      <c r="AY715" s="304"/>
      <c r="AZ715" s="304"/>
      <c r="BA715" s="304"/>
      <c r="BB715" s="304"/>
      <c r="BC715" s="304"/>
      <c r="BK715" s="305"/>
      <c r="BL715" s="305"/>
      <c r="BM715" s="305"/>
      <c r="BN715" s="305"/>
      <c r="BO715" s="305"/>
      <c r="BP715" s="305"/>
      <c r="BQ715" s="305"/>
      <c r="BR715" s="305"/>
      <c r="BS715" s="305"/>
      <c r="BT715" s="305"/>
      <c r="BU715" s="305"/>
      <c r="BV715" s="305"/>
      <c r="BX715" s="319"/>
    </row>
    <row r="716" spans="1:76" s="303" customFormat="1" x14ac:dyDescent="0.25">
      <c r="A716" s="275"/>
      <c r="B716" s="275"/>
      <c r="C716" s="275"/>
      <c r="D716" s="275"/>
      <c r="E716" s="275"/>
      <c r="F716" s="275"/>
      <c r="V716" s="304"/>
      <c r="W716" s="304"/>
      <c r="AD716" s="304"/>
      <c r="AE716" s="304"/>
      <c r="AR716" s="304"/>
      <c r="AS716" s="304"/>
      <c r="AT716" s="304"/>
      <c r="AU716" s="304"/>
      <c r="AV716" s="304"/>
      <c r="AW716" s="304"/>
      <c r="AX716" s="304"/>
      <c r="AY716" s="304"/>
      <c r="AZ716" s="304"/>
      <c r="BA716" s="304"/>
      <c r="BB716" s="304"/>
      <c r="BC716" s="304"/>
      <c r="BK716" s="305"/>
      <c r="BL716" s="305"/>
      <c r="BM716" s="305"/>
      <c r="BN716" s="305"/>
      <c r="BO716" s="305"/>
      <c r="BP716" s="305"/>
      <c r="BQ716" s="305"/>
      <c r="BR716" s="305"/>
      <c r="BS716" s="305"/>
      <c r="BT716" s="305"/>
      <c r="BU716" s="305"/>
      <c r="BV716" s="305"/>
      <c r="BX716" s="319"/>
    </row>
    <row r="717" spans="1:76" s="303" customFormat="1" x14ac:dyDescent="0.25">
      <c r="A717" s="275"/>
      <c r="B717" s="275"/>
      <c r="C717" s="275"/>
      <c r="D717" s="275"/>
      <c r="E717" s="275"/>
      <c r="F717" s="275"/>
      <c r="V717" s="304"/>
      <c r="W717" s="304"/>
      <c r="AD717" s="304"/>
      <c r="AE717" s="304"/>
      <c r="AR717" s="304"/>
      <c r="AS717" s="304"/>
      <c r="AT717" s="304"/>
      <c r="AU717" s="304"/>
      <c r="AV717" s="304"/>
      <c r="AW717" s="304"/>
      <c r="AX717" s="304"/>
      <c r="AY717" s="304"/>
      <c r="AZ717" s="304"/>
      <c r="BA717" s="304"/>
      <c r="BB717" s="304"/>
      <c r="BC717" s="304"/>
      <c r="BK717" s="305"/>
      <c r="BL717" s="305"/>
      <c r="BM717" s="305"/>
      <c r="BN717" s="305"/>
      <c r="BO717" s="305"/>
      <c r="BP717" s="305"/>
      <c r="BQ717" s="305"/>
      <c r="BR717" s="305"/>
      <c r="BS717" s="305"/>
      <c r="BT717" s="305"/>
      <c r="BU717" s="305"/>
      <c r="BV717" s="305"/>
      <c r="BX717" s="319"/>
    </row>
    <row r="718" spans="1:76" s="303" customFormat="1" x14ac:dyDescent="0.25">
      <c r="A718" s="275"/>
      <c r="B718" s="275"/>
      <c r="C718" s="275"/>
      <c r="D718" s="275"/>
      <c r="E718" s="275"/>
      <c r="F718" s="275"/>
      <c r="V718" s="304"/>
      <c r="W718" s="304"/>
      <c r="AD718" s="304"/>
      <c r="AE718" s="304"/>
      <c r="AR718" s="304"/>
      <c r="AS718" s="304"/>
      <c r="AT718" s="304"/>
      <c r="AU718" s="304"/>
      <c r="AV718" s="304"/>
      <c r="AW718" s="304"/>
      <c r="AX718" s="304"/>
      <c r="AY718" s="304"/>
      <c r="AZ718" s="304"/>
      <c r="BA718" s="304"/>
      <c r="BB718" s="304"/>
      <c r="BC718" s="304"/>
      <c r="BK718" s="305"/>
      <c r="BL718" s="305"/>
      <c r="BM718" s="305"/>
      <c r="BN718" s="305"/>
      <c r="BO718" s="305"/>
      <c r="BP718" s="305"/>
      <c r="BQ718" s="305"/>
      <c r="BR718" s="305"/>
      <c r="BS718" s="305"/>
      <c r="BT718" s="305"/>
      <c r="BU718" s="305"/>
      <c r="BV718" s="305"/>
      <c r="BX718" s="319"/>
    </row>
    <row r="719" spans="1:76" s="303" customFormat="1" x14ac:dyDescent="0.25">
      <c r="A719" s="275"/>
      <c r="B719" s="275"/>
      <c r="C719" s="275"/>
      <c r="D719" s="275"/>
      <c r="E719" s="275"/>
      <c r="F719" s="275"/>
      <c r="V719" s="304"/>
      <c r="W719" s="304"/>
      <c r="AD719" s="304"/>
      <c r="AE719" s="304"/>
      <c r="AR719" s="304"/>
      <c r="AS719" s="304"/>
      <c r="AT719" s="304"/>
      <c r="AU719" s="304"/>
      <c r="AV719" s="304"/>
      <c r="AW719" s="304"/>
      <c r="AX719" s="304"/>
      <c r="AY719" s="304"/>
      <c r="AZ719" s="304"/>
      <c r="BA719" s="304"/>
      <c r="BB719" s="304"/>
      <c r="BC719" s="304"/>
      <c r="BK719" s="305"/>
      <c r="BL719" s="305"/>
      <c r="BM719" s="305"/>
      <c r="BN719" s="305"/>
      <c r="BO719" s="305"/>
      <c r="BP719" s="305"/>
      <c r="BQ719" s="305"/>
      <c r="BR719" s="305"/>
      <c r="BS719" s="305"/>
      <c r="BT719" s="305"/>
      <c r="BU719" s="305"/>
      <c r="BV719" s="305"/>
      <c r="BX719" s="319"/>
    </row>
    <row r="720" spans="1:76" s="303" customFormat="1" x14ac:dyDescent="0.25">
      <c r="A720" s="275"/>
      <c r="B720" s="275"/>
      <c r="C720" s="275"/>
      <c r="D720" s="275"/>
      <c r="E720" s="275"/>
      <c r="F720" s="275"/>
      <c r="V720" s="304"/>
      <c r="W720" s="304"/>
      <c r="AD720" s="304"/>
      <c r="AE720" s="304"/>
      <c r="AR720" s="304"/>
      <c r="AS720" s="304"/>
      <c r="AT720" s="304"/>
      <c r="AU720" s="304"/>
      <c r="AV720" s="304"/>
      <c r="AW720" s="304"/>
      <c r="AX720" s="304"/>
      <c r="AY720" s="304"/>
      <c r="AZ720" s="304"/>
      <c r="BA720" s="304"/>
      <c r="BB720" s="304"/>
      <c r="BC720" s="304"/>
      <c r="BK720" s="305"/>
      <c r="BL720" s="305"/>
      <c r="BM720" s="305"/>
      <c r="BN720" s="305"/>
      <c r="BO720" s="305"/>
      <c r="BP720" s="305"/>
      <c r="BQ720" s="305"/>
      <c r="BR720" s="305"/>
      <c r="BS720" s="305"/>
      <c r="BT720" s="305"/>
      <c r="BU720" s="305"/>
      <c r="BV720" s="305"/>
      <c r="BX720" s="319"/>
    </row>
    <row r="721" spans="1:76" s="303" customFormat="1" x14ac:dyDescent="0.25">
      <c r="A721" s="275"/>
      <c r="B721" s="275"/>
      <c r="C721" s="275"/>
      <c r="D721" s="275"/>
      <c r="E721" s="275"/>
      <c r="F721" s="275"/>
      <c r="V721" s="304"/>
      <c r="W721" s="304"/>
      <c r="AD721" s="304"/>
      <c r="AE721" s="304"/>
      <c r="AR721" s="304"/>
      <c r="AS721" s="304"/>
      <c r="AT721" s="304"/>
      <c r="AU721" s="304"/>
      <c r="AV721" s="304"/>
      <c r="AW721" s="304"/>
      <c r="AX721" s="304"/>
      <c r="AY721" s="304"/>
      <c r="AZ721" s="304"/>
      <c r="BA721" s="304"/>
      <c r="BB721" s="304"/>
      <c r="BC721" s="304"/>
      <c r="BK721" s="305"/>
      <c r="BL721" s="305"/>
      <c r="BM721" s="305"/>
      <c r="BN721" s="305"/>
      <c r="BO721" s="305"/>
      <c r="BP721" s="305"/>
      <c r="BQ721" s="305"/>
      <c r="BR721" s="305"/>
      <c r="BS721" s="305"/>
      <c r="BT721" s="305"/>
      <c r="BU721" s="305"/>
      <c r="BV721" s="305"/>
      <c r="BX721" s="319"/>
    </row>
    <row r="722" spans="1:76" s="303" customFormat="1" x14ac:dyDescent="0.25">
      <c r="A722" s="275"/>
      <c r="B722" s="275"/>
      <c r="C722" s="275"/>
      <c r="D722" s="275"/>
      <c r="E722" s="275"/>
      <c r="F722" s="275"/>
      <c r="V722" s="304"/>
      <c r="W722" s="304"/>
      <c r="AD722" s="304"/>
      <c r="AE722" s="304"/>
      <c r="AR722" s="304"/>
      <c r="AS722" s="304"/>
      <c r="AT722" s="304"/>
      <c r="AU722" s="304"/>
      <c r="AV722" s="304"/>
      <c r="AW722" s="304"/>
      <c r="AX722" s="304"/>
      <c r="AY722" s="304"/>
      <c r="AZ722" s="304"/>
      <c r="BA722" s="304"/>
      <c r="BB722" s="304"/>
      <c r="BC722" s="304"/>
      <c r="BK722" s="305"/>
      <c r="BL722" s="305"/>
      <c r="BM722" s="305"/>
      <c r="BN722" s="305"/>
      <c r="BO722" s="305"/>
      <c r="BP722" s="305"/>
      <c r="BQ722" s="305"/>
      <c r="BR722" s="305"/>
      <c r="BS722" s="305"/>
      <c r="BT722" s="305"/>
      <c r="BU722" s="305"/>
      <c r="BV722" s="305"/>
      <c r="BX722" s="319"/>
    </row>
    <row r="723" spans="1:76" s="303" customFormat="1" x14ac:dyDescent="0.25">
      <c r="A723" s="275"/>
      <c r="B723" s="275"/>
      <c r="C723" s="275"/>
      <c r="D723" s="275"/>
      <c r="E723" s="275"/>
      <c r="F723" s="275"/>
      <c r="V723" s="304"/>
      <c r="W723" s="304"/>
      <c r="AD723" s="304"/>
      <c r="AE723" s="304"/>
      <c r="AR723" s="304"/>
      <c r="AS723" s="304"/>
      <c r="AT723" s="304"/>
      <c r="AU723" s="304"/>
      <c r="AV723" s="304"/>
      <c r="AW723" s="304"/>
      <c r="AX723" s="304"/>
      <c r="AY723" s="304"/>
      <c r="AZ723" s="304"/>
      <c r="BA723" s="304"/>
      <c r="BB723" s="304"/>
      <c r="BC723" s="304"/>
      <c r="BK723" s="305"/>
      <c r="BL723" s="305"/>
      <c r="BM723" s="305"/>
      <c r="BN723" s="305"/>
      <c r="BO723" s="305"/>
      <c r="BP723" s="305"/>
      <c r="BQ723" s="305"/>
      <c r="BR723" s="305"/>
      <c r="BS723" s="305"/>
      <c r="BT723" s="305"/>
      <c r="BU723" s="305"/>
      <c r="BV723" s="305"/>
      <c r="BX723" s="319"/>
    </row>
    <row r="724" spans="1:76" s="303" customFormat="1" x14ac:dyDescent="0.25">
      <c r="A724" s="275"/>
      <c r="B724" s="275"/>
      <c r="C724" s="275"/>
      <c r="D724" s="275"/>
      <c r="E724" s="275"/>
      <c r="F724" s="275"/>
      <c r="V724" s="304"/>
      <c r="W724" s="304"/>
      <c r="AD724" s="304"/>
      <c r="AE724" s="304"/>
      <c r="AR724" s="304"/>
      <c r="AS724" s="304"/>
      <c r="AT724" s="304"/>
      <c r="AU724" s="304"/>
      <c r="AV724" s="304"/>
      <c r="AW724" s="304"/>
      <c r="AX724" s="304"/>
      <c r="AY724" s="304"/>
      <c r="AZ724" s="304"/>
      <c r="BA724" s="304"/>
      <c r="BB724" s="304"/>
      <c r="BC724" s="304"/>
      <c r="BK724" s="305"/>
      <c r="BL724" s="305"/>
      <c r="BM724" s="305"/>
      <c r="BN724" s="305"/>
      <c r="BO724" s="305"/>
      <c r="BP724" s="305"/>
      <c r="BQ724" s="305"/>
      <c r="BR724" s="305"/>
      <c r="BS724" s="305"/>
      <c r="BT724" s="305"/>
      <c r="BU724" s="305"/>
      <c r="BV724" s="305"/>
      <c r="BX724" s="319"/>
    </row>
    <row r="725" spans="1:76" s="303" customFormat="1" x14ac:dyDescent="0.25">
      <c r="A725" s="275"/>
      <c r="B725" s="275"/>
      <c r="C725" s="275"/>
      <c r="D725" s="275"/>
      <c r="E725" s="275"/>
      <c r="F725" s="275"/>
      <c r="V725" s="304"/>
      <c r="W725" s="304"/>
      <c r="AD725" s="304"/>
      <c r="AE725" s="304"/>
      <c r="AR725" s="304"/>
      <c r="AS725" s="304"/>
      <c r="AT725" s="304"/>
      <c r="AU725" s="304"/>
      <c r="AV725" s="304"/>
      <c r="AW725" s="304"/>
      <c r="AX725" s="304"/>
      <c r="AY725" s="304"/>
      <c r="AZ725" s="304"/>
      <c r="BA725" s="304"/>
      <c r="BB725" s="304"/>
      <c r="BC725" s="304"/>
      <c r="BK725" s="305"/>
      <c r="BL725" s="305"/>
      <c r="BM725" s="305"/>
      <c r="BN725" s="305"/>
      <c r="BO725" s="305"/>
      <c r="BP725" s="305"/>
      <c r="BQ725" s="305"/>
      <c r="BR725" s="305"/>
      <c r="BS725" s="305"/>
      <c r="BT725" s="305"/>
      <c r="BU725" s="305"/>
      <c r="BV725" s="305"/>
      <c r="BX725" s="319"/>
    </row>
    <row r="726" spans="1:76" s="303" customFormat="1" x14ac:dyDescent="0.25">
      <c r="A726" s="275"/>
      <c r="B726" s="275"/>
      <c r="C726" s="275"/>
      <c r="D726" s="275"/>
      <c r="E726" s="275"/>
      <c r="F726" s="275"/>
      <c r="V726" s="304"/>
      <c r="W726" s="304"/>
      <c r="AD726" s="304"/>
      <c r="AE726" s="304"/>
      <c r="AR726" s="304"/>
      <c r="AS726" s="304"/>
      <c r="AT726" s="304"/>
      <c r="AU726" s="304"/>
      <c r="AV726" s="304"/>
      <c r="AW726" s="304"/>
      <c r="AX726" s="304"/>
      <c r="AY726" s="304"/>
      <c r="AZ726" s="304"/>
      <c r="BA726" s="304"/>
      <c r="BB726" s="304"/>
      <c r="BC726" s="304"/>
      <c r="BK726" s="305"/>
      <c r="BL726" s="305"/>
      <c r="BM726" s="305"/>
      <c r="BN726" s="305"/>
      <c r="BO726" s="305"/>
      <c r="BP726" s="305"/>
      <c r="BQ726" s="305"/>
      <c r="BR726" s="305"/>
      <c r="BS726" s="305"/>
      <c r="BT726" s="305"/>
      <c r="BU726" s="305"/>
      <c r="BV726" s="305"/>
      <c r="BX726" s="319"/>
    </row>
    <row r="727" spans="1:76" s="303" customFormat="1" x14ac:dyDescent="0.25">
      <c r="A727" s="275"/>
      <c r="B727" s="275"/>
      <c r="C727" s="275"/>
      <c r="D727" s="275"/>
      <c r="E727" s="275"/>
      <c r="F727" s="275"/>
      <c r="V727" s="304"/>
      <c r="W727" s="304"/>
      <c r="AD727" s="304"/>
      <c r="AE727" s="304"/>
      <c r="AR727" s="304"/>
      <c r="AS727" s="304"/>
      <c r="AT727" s="304"/>
      <c r="AU727" s="304"/>
      <c r="AV727" s="304"/>
      <c r="AW727" s="304"/>
      <c r="AX727" s="304"/>
      <c r="AY727" s="304"/>
      <c r="AZ727" s="304"/>
      <c r="BA727" s="304"/>
      <c r="BB727" s="304"/>
      <c r="BC727" s="304"/>
      <c r="BK727" s="305"/>
      <c r="BL727" s="305"/>
      <c r="BM727" s="305"/>
      <c r="BN727" s="305"/>
      <c r="BO727" s="305"/>
      <c r="BP727" s="305"/>
      <c r="BQ727" s="305"/>
      <c r="BR727" s="305"/>
      <c r="BS727" s="305"/>
      <c r="BT727" s="305"/>
      <c r="BU727" s="305"/>
      <c r="BV727" s="305"/>
      <c r="BX727" s="319"/>
    </row>
    <row r="728" spans="1:76" s="303" customFormat="1" x14ac:dyDescent="0.25">
      <c r="A728" s="275"/>
      <c r="B728" s="275"/>
      <c r="C728" s="275"/>
      <c r="D728" s="275"/>
      <c r="E728" s="275"/>
      <c r="F728" s="275"/>
      <c r="V728" s="304"/>
      <c r="W728" s="304"/>
      <c r="AD728" s="304"/>
      <c r="AE728" s="304"/>
      <c r="AR728" s="304"/>
      <c r="AS728" s="304"/>
      <c r="AT728" s="304"/>
      <c r="AU728" s="304"/>
      <c r="AV728" s="304"/>
      <c r="AW728" s="304"/>
      <c r="AX728" s="304"/>
      <c r="AY728" s="304"/>
      <c r="AZ728" s="304"/>
      <c r="BA728" s="304"/>
      <c r="BB728" s="304"/>
      <c r="BC728" s="304"/>
      <c r="BK728" s="305"/>
      <c r="BL728" s="305"/>
      <c r="BM728" s="305"/>
      <c r="BN728" s="305"/>
      <c r="BO728" s="305"/>
      <c r="BP728" s="305"/>
      <c r="BQ728" s="305"/>
      <c r="BR728" s="305"/>
      <c r="BS728" s="305"/>
      <c r="BT728" s="305"/>
      <c r="BU728" s="305"/>
      <c r="BV728" s="305"/>
      <c r="BX728" s="319"/>
    </row>
    <row r="729" spans="1:76" s="303" customFormat="1" x14ac:dyDescent="0.25">
      <c r="A729" s="275"/>
      <c r="B729" s="275"/>
      <c r="C729" s="275"/>
      <c r="D729" s="275"/>
      <c r="E729" s="275"/>
      <c r="F729" s="275"/>
      <c r="V729" s="304"/>
      <c r="W729" s="304"/>
      <c r="AD729" s="304"/>
      <c r="AE729" s="304"/>
      <c r="AR729" s="304"/>
      <c r="AS729" s="304"/>
      <c r="AT729" s="304"/>
      <c r="AU729" s="304"/>
      <c r="AV729" s="304"/>
      <c r="AW729" s="304"/>
      <c r="AX729" s="304"/>
      <c r="AY729" s="304"/>
      <c r="AZ729" s="304"/>
      <c r="BA729" s="304"/>
      <c r="BB729" s="304"/>
      <c r="BC729" s="304"/>
      <c r="BK729" s="305"/>
      <c r="BL729" s="305"/>
      <c r="BM729" s="305"/>
      <c r="BN729" s="305"/>
      <c r="BO729" s="305"/>
      <c r="BP729" s="305"/>
      <c r="BQ729" s="305"/>
      <c r="BR729" s="305"/>
      <c r="BS729" s="305"/>
      <c r="BT729" s="305"/>
      <c r="BU729" s="305"/>
      <c r="BV729" s="305"/>
      <c r="BX729" s="319"/>
    </row>
    <row r="730" spans="1:76" s="303" customFormat="1" x14ac:dyDescent="0.25">
      <c r="A730" s="275"/>
      <c r="B730" s="275"/>
      <c r="C730" s="275"/>
      <c r="D730" s="275"/>
      <c r="E730" s="275"/>
      <c r="F730" s="275"/>
      <c r="V730" s="304"/>
      <c r="W730" s="304"/>
      <c r="AD730" s="304"/>
      <c r="AE730" s="304"/>
      <c r="AR730" s="304"/>
      <c r="AS730" s="304"/>
      <c r="AT730" s="304"/>
      <c r="AU730" s="304"/>
      <c r="AV730" s="304"/>
      <c r="AW730" s="304"/>
      <c r="AX730" s="304"/>
      <c r="AY730" s="304"/>
      <c r="AZ730" s="304"/>
      <c r="BA730" s="304"/>
      <c r="BB730" s="304"/>
      <c r="BC730" s="304"/>
      <c r="BK730" s="305"/>
      <c r="BL730" s="305"/>
      <c r="BM730" s="305"/>
      <c r="BN730" s="305"/>
      <c r="BO730" s="305"/>
      <c r="BP730" s="305"/>
      <c r="BQ730" s="305"/>
      <c r="BR730" s="305"/>
      <c r="BS730" s="305"/>
      <c r="BT730" s="305"/>
      <c r="BU730" s="305"/>
      <c r="BV730" s="305"/>
      <c r="BX730" s="319"/>
    </row>
    <row r="731" spans="1:76" s="303" customFormat="1" x14ac:dyDescent="0.25">
      <c r="A731" s="275"/>
      <c r="B731" s="275"/>
      <c r="C731" s="275"/>
      <c r="D731" s="275"/>
      <c r="E731" s="275"/>
      <c r="F731" s="275"/>
      <c r="V731" s="304"/>
      <c r="W731" s="304"/>
      <c r="AD731" s="304"/>
      <c r="AE731" s="304"/>
      <c r="AR731" s="304"/>
      <c r="AS731" s="304"/>
      <c r="AT731" s="304"/>
      <c r="AU731" s="304"/>
      <c r="AV731" s="304"/>
      <c r="AW731" s="304"/>
      <c r="AX731" s="304"/>
      <c r="AY731" s="304"/>
      <c r="AZ731" s="304"/>
      <c r="BA731" s="304"/>
      <c r="BB731" s="304"/>
      <c r="BC731" s="304"/>
      <c r="BK731" s="305"/>
      <c r="BL731" s="305"/>
      <c r="BM731" s="305"/>
      <c r="BN731" s="305"/>
      <c r="BO731" s="305"/>
      <c r="BP731" s="305"/>
      <c r="BQ731" s="305"/>
      <c r="BR731" s="305"/>
      <c r="BS731" s="305"/>
      <c r="BT731" s="305"/>
      <c r="BU731" s="305"/>
      <c r="BV731" s="305"/>
      <c r="BX731" s="319"/>
    </row>
    <row r="732" spans="1:76" s="303" customFormat="1" x14ac:dyDescent="0.25">
      <c r="A732" s="275"/>
      <c r="B732" s="275"/>
      <c r="C732" s="275"/>
      <c r="D732" s="275"/>
      <c r="E732" s="275"/>
      <c r="F732" s="275"/>
      <c r="V732" s="304"/>
      <c r="W732" s="304"/>
      <c r="AD732" s="304"/>
      <c r="AE732" s="304"/>
      <c r="AR732" s="304"/>
      <c r="AS732" s="304"/>
      <c r="AT732" s="304"/>
      <c r="AU732" s="304"/>
      <c r="AV732" s="304"/>
      <c r="AW732" s="304"/>
      <c r="AX732" s="304"/>
      <c r="AY732" s="304"/>
      <c r="AZ732" s="304"/>
      <c r="BA732" s="304"/>
      <c r="BB732" s="304"/>
      <c r="BC732" s="304"/>
      <c r="BK732" s="305"/>
      <c r="BL732" s="305"/>
      <c r="BM732" s="305"/>
      <c r="BN732" s="305"/>
      <c r="BO732" s="305"/>
      <c r="BP732" s="305"/>
      <c r="BQ732" s="305"/>
      <c r="BR732" s="305"/>
      <c r="BS732" s="305"/>
      <c r="BT732" s="305"/>
      <c r="BU732" s="305"/>
      <c r="BV732" s="305"/>
      <c r="BX732" s="319"/>
    </row>
    <row r="733" spans="1:76" s="303" customFormat="1" x14ac:dyDescent="0.25">
      <c r="A733" s="275"/>
      <c r="B733" s="275"/>
      <c r="C733" s="275"/>
      <c r="D733" s="275"/>
      <c r="E733" s="275"/>
      <c r="F733" s="275"/>
      <c r="V733" s="304"/>
      <c r="W733" s="304"/>
      <c r="AD733" s="304"/>
      <c r="AE733" s="304"/>
      <c r="AR733" s="304"/>
      <c r="AS733" s="304"/>
      <c r="AT733" s="304"/>
      <c r="AU733" s="304"/>
      <c r="AV733" s="304"/>
      <c r="AW733" s="304"/>
      <c r="AX733" s="304"/>
      <c r="AY733" s="304"/>
      <c r="AZ733" s="304"/>
      <c r="BA733" s="304"/>
      <c r="BB733" s="304"/>
      <c r="BC733" s="304"/>
      <c r="BK733" s="305"/>
      <c r="BL733" s="305"/>
      <c r="BM733" s="305"/>
      <c r="BN733" s="305"/>
      <c r="BO733" s="305"/>
      <c r="BP733" s="305"/>
      <c r="BQ733" s="305"/>
      <c r="BR733" s="305"/>
      <c r="BS733" s="305"/>
      <c r="BT733" s="305"/>
      <c r="BU733" s="305"/>
      <c r="BV733" s="305"/>
      <c r="BX733" s="319"/>
    </row>
    <row r="734" spans="1:76" s="303" customFormat="1" x14ac:dyDescent="0.25">
      <c r="A734" s="275"/>
      <c r="B734" s="275"/>
      <c r="C734" s="275"/>
      <c r="D734" s="275"/>
      <c r="E734" s="275"/>
      <c r="F734" s="275"/>
      <c r="V734" s="304"/>
      <c r="W734" s="304"/>
      <c r="AD734" s="304"/>
      <c r="AE734" s="304"/>
      <c r="AR734" s="304"/>
      <c r="AS734" s="304"/>
      <c r="AT734" s="304"/>
      <c r="AU734" s="304"/>
      <c r="AV734" s="304"/>
      <c r="AW734" s="304"/>
      <c r="AX734" s="304"/>
      <c r="AY734" s="304"/>
      <c r="AZ734" s="304"/>
      <c r="BA734" s="304"/>
      <c r="BB734" s="304"/>
      <c r="BC734" s="304"/>
      <c r="BK734" s="305"/>
      <c r="BL734" s="305"/>
      <c r="BM734" s="305"/>
      <c r="BN734" s="305"/>
      <c r="BO734" s="305"/>
      <c r="BP734" s="305"/>
      <c r="BQ734" s="305"/>
      <c r="BR734" s="305"/>
      <c r="BS734" s="305"/>
      <c r="BT734" s="305"/>
      <c r="BU734" s="305"/>
      <c r="BV734" s="305"/>
      <c r="BX734" s="319"/>
    </row>
    <row r="735" spans="1:76" s="303" customFormat="1" x14ac:dyDescent="0.25">
      <c r="A735" s="275"/>
      <c r="B735" s="275"/>
      <c r="C735" s="275"/>
      <c r="D735" s="275"/>
      <c r="E735" s="275"/>
      <c r="F735" s="275"/>
      <c r="V735" s="304"/>
      <c r="W735" s="304"/>
      <c r="AD735" s="304"/>
      <c r="AE735" s="304"/>
      <c r="AR735" s="304"/>
      <c r="AS735" s="304"/>
      <c r="AT735" s="304"/>
      <c r="AU735" s="304"/>
      <c r="AV735" s="304"/>
      <c r="AW735" s="304"/>
      <c r="AX735" s="304"/>
      <c r="AY735" s="304"/>
      <c r="AZ735" s="304"/>
      <c r="BA735" s="304"/>
      <c r="BB735" s="304"/>
      <c r="BC735" s="304"/>
      <c r="BK735" s="305"/>
      <c r="BL735" s="305"/>
      <c r="BM735" s="305"/>
      <c r="BN735" s="305"/>
      <c r="BO735" s="305"/>
      <c r="BP735" s="305"/>
      <c r="BQ735" s="305"/>
      <c r="BR735" s="305"/>
      <c r="BS735" s="305"/>
      <c r="BT735" s="305"/>
      <c r="BU735" s="305"/>
      <c r="BV735" s="305"/>
      <c r="BX735" s="319"/>
    </row>
    <row r="736" spans="1:76" s="303" customFormat="1" x14ac:dyDescent="0.25">
      <c r="A736" s="275"/>
      <c r="B736" s="275"/>
      <c r="C736" s="275"/>
      <c r="D736" s="275"/>
      <c r="E736" s="275"/>
      <c r="F736" s="275"/>
      <c r="V736" s="304"/>
      <c r="W736" s="304"/>
      <c r="AD736" s="304"/>
      <c r="AE736" s="304"/>
      <c r="AR736" s="304"/>
      <c r="AS736" s="304"/>
      <c r="AT736" s="304"/>
      <c r="AU736" s="304"/>
      <c r="AV736" s="304"/>
      <c r="AW736" s="304"/>
      <c r="AX736" s="304"/>
      <c r="AY736" s="304"/>
      <c r="AZ736" s="304"/>
      <c r="BA736" s="304"/>
      <c r="BB736" s="304"/>
      <c r="BC736" s="304"/>
      <c r="BK736" s="305"/>
      <c r="BL736" s="305"/>
      <c r="BM736" s="305"/>
      <c r="BN736" s="305"/>
      <c r="BO736" s="305"/>
      <c r="BP736" s="305"/>
      <c r="BQ736" s="305"/>
      <c r="BR736" s="305"/>
      <c r="BS736" s="305"/>
      <c r="BT736" s="305"/>
      <c r="BU736" s="305"/>
      <c r="BV736" s="305"/>
      <c r="BX736" s="319"/>
    </row>
    <row r="737" spans="1:76" s="303" customFormat="1" x14ac:dyDescent="0.25">
      <c r="A737" s="275"/>
      <c r="B737" s="275"/>
      <c r="C737" s="275"/>
      <c r="D737" s="275"/>
      <c r="E737" s="275"/>
      <c r="F737" s="275"/>
      <c r="V737" s="304"/>
      <c r="W737" s="304"/>
      <c r="AD737" s="304"/>
      <c r="AE737" s="304"/>
      <c r="AR737" s="304"/>
      <c r="AS737" s="304"/>
      <c r="AT737" s="304"/>
      <c r="AU737" s="304"/>
      <c r="AV737" s="304"/>
      <c r="AW737" s="304"/>
      <c r="AX737" s="304"/>
      <c r="AY737" s="304"/>
      <c r="AZ737" s="304"/>
      <c r="BA737" s="304"/>
      <c r="BB737" s="304"/>
      <c r="BC737" s="304"/>
      <c r="BK737" s="305"/>
      <c r="BL737" s="305"/>
      <c r="BM737" s="305"/>
      <c r="BN737" s="305"/>
      <c r="BO737" s="305"/>
      <c r="BP737" s="305"/>
      <c r="BQ737" s="305"/>
      <c r="BR737" s="305"/>
      <c r="BS737" s="305"/>
      <c r="BT737" s="305"/>
      <c r="BU737" s="305"/>
      <c r="BV737" s="305"/>
      <c r="BX737" s="319"/>
    </row>
    <row r="738" spans="1:76" s="303" customFormat="1" x14ac:dyDescent="0.25">
      <c r="A738" s="275"/>
      <c r="B738" s="275"/>
      <c r="C738" s="275"/>
      <c r="D738" s="275"/>
      <c r="E738" s="275"/>
      <c r="F738" s="275"/>
      <c r="V738" s="304"/>
      <c r="W738" s="304"/>
      <c r="AD738" s="304"/>
      <c r="AE738" s="304"/>
      <c r="AR738" s="304"/>
      <c r="AS738" s="304"/>
      <c r="AT738" s="304"/>
      <c r="AU738" s="304"/>
      <c r="AV738" s="304"/>
      <c r="AW738" s="304"/>
      <c r="AX738" s="304"/>
      <c r="AY738" s="304"/>
      <c r="AZ738" s="304"/>
      <c r="BA738" s="304"/>
      <c r="BB738" s="304"/>
      <c r="BC738" s="304"/>
      <c r="BK738" s="305"/>
      <c r="BL738" s="305"/>
      <c r="BM738" s="305"/>
      <c r="BN738" s="305"/>
      <c r="BO738" s="305"/>
      <c r="BP738" s="305"/>
      <c r="BQ738" s="305"/>
      <c r="BR738" s="305"/>
      <c r="BS738" s="305"/>
      <c r="BT738" s="305"/>
      <c r="BU738" s="305"/>
      <c r="BV738" s="305"/>
      <c r="BX738" s="319"/>
    </row>
    <row r="739" spans="1:76" s="303" customFormat="1" x14ac:dyDescent="0.25">
      <c r="A739" s="275"/>
      <c r="B739" s="275"/>
      <c r="C739" s="275"/>
      <c r="D739" s="275"/>
      <c r="E739" s="275"/>
      <c r="F739" s="275"/>
      <c r="V739" s="304"/>
      <c r="W739" s="304"/>
      <c r="AD739" s="304"/>
      <c r="AE739" s="304"/>
      <c r="AR739" s="304"/>
      <c r="AS739" s="304"/>
      <c r="AT739" s="304"/>
      <c r="AU739" s="304"/>
      <c r="AV739" s="304"/>
      <c r="AW739" s="304"/>
      <c r="AX739" s="304"/>
      <c r="AY739" s="304"/>
      <c r="AZ739" s="304"/>
      <c r="BA739" s="304"/>
      <c r="BB739" s="304"/>
      <c r="BC739" s="304"/>
      <c r="BK739" s="305"/>
      <c r="BL739" s="305"/>
      <c r="BM739" s="305"/>
      <c r="BN739" s="305"/>
      <c r="BO739" s="305"/>
      <c r="BP739" s="305"/>
      <c r="BQ739" s="305"/>
      <c r="BR739" s="305"/>
      <c r="BS739" s="305"/>
      <c r="BT739" s="305"/>
      <c r="BU739" s="305"/>
      <c r="BV739" s="305"/>
      <c r="BX739" s="319"/>
    </row>
    <row r="740" spans="1:76" s="303" customFormat="1" x14ac:dyDescent="0.25">
      <c r="A740" s="275"/>
      <c r="B740" s="275"/>
      <c r="C740" s="275"/>
      <c r="D740" s="275"/>
      <c r="E740" s="275"/>
      <c r="F740" s="275"/>
      <c r="V740" s="304"/>
      <c r="W740" s="304"/>
      <c r="AD740" s="304"/>
      <c r="AE740" s="304"/>
      <c r="AR740" s="304"/>
      <c r="AS740" s="304"/>
      <c r="AT740" s="304"/>
      <c r="AU740" s="304"/>
      <c r="AV740" s="304"/>
      <c r="AW740" s="304"/>
      <c r="AX740" s="304"/>
      <c r="AY740" s="304"/>
      <c r="AZ740" s="304"/>
      <c r="BA740" s="304"/>
      <c r="BB740" s="304"/>
      <c r="BC740" s="304"/>
      <c r="BK740" s="305"/>
      <c r="BL740" s="305"/>
      <c r="BM740" s="305"/>
      <c r="BN740" s="305"/>
      <c r="BO740" s="305"/>
      <c r="BP740" s="305"/>
      <c r="BQ740" s="305"/>
      <c r="BR740" s="305"/>
      <c r="BS740" s="305"/>
      <c r="BT740" s="305"/>
      <c r="BU740" s="305"/>
      <c r="BV740" s="305"/>
      <c r="BX740" s="319"/>
    </row>
    <row r="741" spans="1:76" s="303" customFormat="1" x14ac:dyDescent="0.25">
      <c r="A741" s="275"/>
      <c r="B741" s="275"/>
      <c r="C741" s="275"/>
      <c r="D741" s="275"/>
      <c r="E741" s="275"/>
      <c r="F741" s="275"/>
      <c r="V741" s="304"/>
      <c r="W741" s="304"/>
      <c r="AD741" s="304"/>
      <c r="AE741" s="304"/>
      <c r="AR741" s="304"/>
      <c r="AS741" s="304"/>
      <c r="AT741" s="304"/>
      <c r="AU741" s="304"/>
      <c r="AV741" s="304"/>
      <c r="AW741" s="304"/>
      <c r="AX741" s="304"/>
      <c r="AY741" s="304"/>
      <c r="AZ741" s="304"/>
      <c r="BA741" s="304"/>
      <c r="BB741" s="304"/>
      <c r="BC741" s="304"/>
      <c r="BK741" s="305"/>
      <c r="BL741" s="305"/>
      <c r="BM741" s="305"/>
      <c r="BN741" s="305"/>
      <c r="BO741" s="305"/>
      <c r="BP741" s="305"/>
      <c r="BQ741" s="305"/>
      <c r="BR741" s="305"/>
      <c r="BS741" s="305"/>
      <c r="BT741" s="305"/>
      <c r="BU741" s="305"/>
      <c r="BV741" s="305"/>
      <c r="BX741" s="319"/>
    </row>
    <row r="742" spans="1:76" s="303" customFormat="1" x14ac:dyDescent="0.25">
      <c r="A742" s="275"/>
      <c r="B742" s="275"/>
      <c r="C742" s="275"/>
      <c r="D742" s="275"/>
      <c r="E742" s="275"/>
      <c r="F742" s="275"/>
      <c r="V742" s="304"/>
      <c r="W742" s="304"/>
      <c r="AD742" s="304"/>
      <c r="AE742" s="304"/>
      <c r="AR742" s="304"/>
      <c r="AS742" s="304"/>
      <c r="AT742" s="304"/>
      <c r="AU742" s="304"/>
      <c r="AV742" s="304"/>
      <c r="AW742" s="304"/>
      <c r="AX742" s="304"/>
      <c r="AY742" s="304"/>
      <c r="AZ742" s="304"/>
      <c r="BA742" s="304"/>
      <c r="BB742" s="304"/>
      <c r="BC742" s="304"/>
      <c r="BK742" s="305"/>
      <c r="BL742" s="305"/>
      <c r="BM742" s="305"/>
      <c r="BN742" s="305"/>
      <c r="BO742" s="305"/>
      <c r="BP742" s="305"/>
      <c r="BQ742" s="305"/>
      <c r="BR742" s="305"/>
      <c r="BS742" s="305"/>
      <c r="BT742" s="305"/>
      <c r="BU742" s="305"/>
      <c r="BV742" s="305"/>
      <c r="BX742" s="319"/>
    </row>
    <row r="743" spans="1:76" s="303" customFormat="1" x14ac:dyDescent="0.25">
      <c r="A743" s="275"/>
      <c r="B743" s="275"/>
      <c r="C743" s="275"/>
      <c r="D743" s="275"/>
      <c r="E743" s="275"/>
      <c r="F743" s="275"/>
      <c r="V743" s="304"/>
      <c r="W743" s="304"/>
      <c r="AD743" s="304"/>
      <c r="AE743" s="304"/>
      <c r="AR743" s="304"/>
      <c r="AS743" s="304"/>
      <c r="AT743" s="304"/>
      <c r="AU743" s="304"/>
      <c r="AV743" s="304"/>
      <c r="AW743" s="304"/>
      <c r="AX743" s="304"/>
      <c r="AY743" s="304"/>
      <c r="AZ743" s="304"/>
      <c r="BA743" s="304"/>
      <c r="BB743" s="304"/>
      <c r="BC743" s="304"/>
      <c r="BK743" s="305"/>
      <c r="BL743" s="305"/>
      <c r="BM743" s="305"/>
      <c r="BN743" s="305"/>
      <c r="BO743" s="305"/>
      <c r="BP743" s="305"/>
      <c r="BQ743" s="305"/>
      <c r="BR743" s="305"/>
      <c r="BS743" s="305"/>
      <c r="BT743" s="305"/>
      <c r="BU743" s="305"/>
      <c r="BV743" s="305"/>
      <c r="BX743" s="319"/>
    </row>
    <row r="744" spans="1:76" s="303" customFormat="1" x14ac:dyDescent="0.25">
      <c r="A744" s="275"/>
      <c r="B744" s="275"/>
      <c r="C744" s="275"/>
      <c r="D744" s="275"/>
      <c r="E744" s="275"/>
      <c r="F744" s="275"/>
      <c r="V744" s="304"/>
      <c r="W744" s="304"/>
      <c r="AD744" s="304"/>
      <c r="AE744" s="304"/>
      <c r="AR744" s="304"/>
      <c r="AS744" s="304"/>
      <c r="AT744" s="304"/>
      <c r="AU744" s="304"/>
      <c r="AV744" s="304"/>
      <c r="AW744" s="304"/>
      <c r="AX744" s="304"/>
      <c r="AY744" s="304"/>
      <c r="AZ744" s="304"/>
      <c r="BA744" s="304"/>
      <c r="BB744" s="304"/>
      <c r="BC744" s="304"/>
      <c r="BK744" s="305"/>
      <c r="BL744" s="305"/>
      <c r="BM744" s="305"/>
      <c r="BN744" s="305"/>
      <c r="BO744" s="305"/>
      <c r="BP744" s="305"/>
      <c r="BQ744" s="305"/>
      <c r="BR744" s="305"/>
      <c r="BS744" s="305"/>
      <c r="BT744" s="305"/>
      <c r="BU744" s="305"/>
      <c r="BV744" s="305"/>
      <c r="BX744" s="319"/>
    </row>
    <row r="745" spans="1:76" s="303" customFormat="1" x14ac:dyDescent="0.25">
      <c r="A745" s="275"/>
      <c r="B745" s="275"/>
      <c r="C745" s="275"/>
      <c r="D745" s="275"/>
      <c r="E745" s="275"/>
      <c r="F745" s="275"/>
      <c r="V745" s="304"/>
      <c r="W745" s="304"/>
      <c r="AD745" s="304"/>
      <c r="AE745" s="304"/>
      <c r="AR745" s="304"/>
      <c r="AS745" s="304"/>
      <c r="AT745" s="304"/>
      <c r="AU745" s="304"/>
      <c r="AV745" s="304"/>
      <c r="AW745" s="304"/>
      <c r="AX745" s="304"/>
      <c r="AY745" s="304"/>
      <c r="AZ745" s="304"/>
      <c r="BA745" s="304"/>
      <c r="BB745" s="304"/>
      <c r="BC745" s="304"/>
      <c r="BK745" s="305"/>
      <c r="BL745" s="305"/>
      <c r="BM745" s="305"/>
      <c r="BN745" s="305"/>
      <c r="BO745" s="305"/>
      <c r="BP745" s="305"/>
      <c r="BQ745" s="305"/>
      <c r="BR745" s="305"/>
      <c r="BS745" s="305"/>
      <c r="BT745" s="305"/>
      <c r="BU745" s="305"/>
      <c r="BV745" s="305"/>
      <c r="BX745" s="319"/>
    </row>
    <row r="746" spans="1:76" s="303" customFormat="1" x14ac:dyDescent="0.25">
      <c r="A746" s="275"/>
      <c r="B746" s="275"/>
      <c r="C746" s="275"/>
      <c r="D746" s="275"/>
      <c r="E746" s="275"/>
      <c r="F746" s="275"/>
      <c r="V746" s="304"/>
      <c r="W746" s="304"/>
      <c r="AD746" s="304"/>
      <c r="AE746" s="304"/>
      <c r="AR746" s="304"/>
      <c r="AS746" s="304"/>
      <c r="AT746" s="304"/>
      <c r="AU746" s="304"/>
      <c r="AV746" s="304"/>
      <c r="AW746" s="304"/>
      <c r="AX746" s="304"/>
      <c r="AY746" s="304"/>
      <c r="AZ746" s="304"/>
      <c r="BA746" s="304"/>
      <c r="BB746" s="304"/>
      <c r="BC746" s="304"/>
      <c r="BK746" s="305"/>
      <c r="BL746" s="305"/>
      <c r="BM746" s="305"/>
      <c r="BN746" s="305"/>
      <c r="BO746" s="305"/>
      <c r="BP746" s="305"/>
      <c r="BQ746" s="305"/>
      <c r="BR746" s="305"/>
      <c r="BS746" s="305"/>
      <c r="BT746" s="305"/>
      <c r="BU746" s="305"/>
      <c r="BV746" s="305"/>
      <c r="BX746" s="319"/>
    </row>
    <row r="747" spans="1:76" s="303" customFormat="1" x14ac:dyDescent="0.25">
      <c r="A747" s="275"/>
      <c r="B747" s="275"/>
      <c r="C747" s="275"/>
      <c r="D747" s="275"/>
      <c r="E747" s="275"/>
      <c r="F747" s="275"/>
      <c r="V747" s="304"/>
      <c r="W747" s="304"/>
      <c r="AD747" s="304"/>
      <c r="AE747" s="304"/>
      <c r="AR747" s="304"/>
      <c r="AS747" s="304"/>
      <c r="AT747" s="304"/>
      <c r="AU747" s="304"/>
      <c r="AV747" s="304"/>
      <c r="AW747" s="304"/>
      <c r="AX747" s="304"/>
      <c r="AY747" s="304"/>
      <c r="AZ747" s="304"/>
      <c r="BA747" s="304"/>
      <c r="BB747" s="304"/>
      <c r="BC747" s="304"/>
      <c r="BK747" s="305"/>
      <c r="BL747" s="305"/>
      <c r="BM747" s="305"/>
      <c r="BN747" s="305"/>
      <c r="BO747" s="305"/>
      <c r="BP747" s="305"/>
      <c r="BQ747" s="305"/>
      <c r="BR747" s="305"/>
      <c r="BS747" s="305"/>
      <c r="BT747" s="305"/>
      <c r="BU747" s="305"/>
      <c r="BV747" s="305"/>
      <c r="BX747" s="319"/>
    </row>
    <row r="748" spans="1:76" s="303" customFormat="1" x14ac:dyDescent="0.25">
      <c r="A748" s="275"/>
      <c r="B748" s="275"/>
      <c r="C748" s="275"/>
      <c r="D748" s="275"/>
      <c r="E748" s="275"/>
      <c r="F748" s="275"/>
      <c r="V748" s="304"/>
      <c r="W748" s="304"/>
      <c r="AD748" s="304"/>
      <c r="AE748" s="304"/>
      <c r="AR748" s="304"/>
      <c r="AS748" s="304"/>
      <c r="AT748" s="304"/>
      <c r="AU748" s="304"/>
      <c r="AV748" s="304"/>
      <c r="AW748" s="304"/>
      <c r="AX748" s="304"/>
      <c r="AY748" s="304"/>
      <c r="AZ748" s="304"/>
      <c r="BA748" s="304"/>
      <c r="BB748" s="304"/>
      <c r="BC748" s="304"/>
      <c r="BK748" s="305"/>
      <c r="BL748" s="305"/>
      <c r="BM748" s="305"/>
      <c r="BN748" s="305"/>
      <c r="BO748" s="305"/>
      <c r="BP748" s="305"/>
      <c r="BQ748" s="305"/>
      <c r="BR748" s="305"/>
      <c r="BS748" s="305"/>
      <c r="BT748" s="305"/>
      <c r="BU748" s="305"/>
      <c r="BV748" s="305"/>
      <c r="BX748" s="319"/>
    </row>
    <row r="749" spans="1:76" s="303" customFormat="1" x14ac:dyDescent="0.25">
      <c r="A749" s="275"/>
      <c r="B749" s="275"/>
      <c r="C749" s="275"/>
      <c r="D749" s="275"/>
      <c r="E749" s="275"/>
      <c r="F749" s="275"/>
      <c r="V749" s="304"/>
      <c r="W749" s="304"/>
      <c r="AD749" s="304"/>
      <c r="AE749" s="304"/>
      <c r="AR749" s="304"/>
      <c r="AS749" s="304"/>
      <c r="AT749" s="304"/>
      <c r="AU749" s="304"/>
      <c r="AV749" s="304"/>
      <c r="AW749" s="304"/>
      <c r="AX749" s="304"/>
      <c r="AY749" s="304"/>
      <c r="AZ749" s="304"/>
      <c r="BA749" s="304"/>
      <c r="BB749" s="304"/>
      <c r="BC749" s="304"/>
      <c r="BK749" s="305"/>
      <c r="BL749" s="305"/>
      <c r="BM749" s="305"/>
      <c r="BN749" s="305"/>
      <c r="BO749" s="305"/>
      <c r="BP749" s="305"/>
      <c r="BQ749" s="305"/>
      <c r="BR749" s="305"/>
      <c r="BS749" s="305"/>
      <c r="BT749" s="305"/>
      <c r="BU749" s="305"/>
      <c r="BV749" s="305"/>
      <c r="BX749" s="319"/>
    </row>
    <row r="750" spans="1:76" s="303" customFormat="1" x14ac:dyDescent="0.25">
      <c r="A750" s="275"/>
      <c r="B750" s="275"/>
      <c r="C750" s="275"/>
      <c r="D750" s="275"/>
      <c r="E750" s="275"/>
      <c r="F750" s="275"/>
      <c r="V750" s="304"/>
      <c r="W750" s="304"/>
      <c r="AD750" s="304"/>
      <c r="AE750" s="304"/>
      <c r="AR750" s="304"/>
      <c r="AS750" s="304"/>
      <c r="AT750" s="304"/>
      <c r="AU750" s="304"/>
      <c r="AV750" s="304"/>
      <c r="AW750" s="304"/>
      <c r="AX750" s="304"/>
      <c r="AY750" s="304"/>
      <c r="AZ750" s="304"/>
      <c r="BA750" s="304"/>
      <c r="BB750" s="304"/>
      <c r="BC750" s="304"/>
      <c r="BK750" s="305"/>
      <c r="BL750" s="305"/>
      <c r="BM750" s="305"/>
      <c r="BN750" s="305"/>
      <c r="BO750" s="305"/>
      <c r="BP750" s="305"/>
      <c r="BQ750" s="305"/>
      <c r="BR750" s="305"/>
      <c r="BS750" s="305"/>
      <c r="BT750" s="305"/>
      <c r="BU750" s="305"/>
      <c r="BV750" s="305"/>
      <c r="BX750" s="319"/>
    </row>
    <row r="751" spans="1:76" s="303" customFormat="1" x14ac:dyDescent="0.25">
      <c r="A751" s="275"/>
      <c r="B751" s="275"/>
      <c r="C751" s="275"/>
      <c r="D751" s="275"/>
      <c r="E751" s="275"/>
      <c r="F751" s="275"/>
      <c r="V751" s="304"/>
      <c r="W751" s="304"/>
      <c r="AD751" s="304"/>
      <c r="AE751" s="304"/>
      <c r="AR751" s="304"/>
      <c r="AS751" s="304"/>
      <c r="AT751" s="304"/>
      <c r="AU751" s="304"/>
      <c r="AV751" s="304"/>
      <c r="AW751" s="304"/>
      <c r="AX751" s="304"/>
      <c r="AY751" s="304"/>
      <c r="AZ751" s="304"/>
      <c r="BA751" s="304"/>
      <c r="BB751" s="304"/>
      <c r="BC751" s="304"/>
      <c r="BK751" s="305"/>
      <c r="BL751" s="305"/>
      <c r="BM751" s="305"/>
      <c r="BN751" s="305"/>
      <c r="BO751" s="305"/>
      <c r="BP751" s="305"/>
      <c r="BQ751" s="305"/>
      <c r="BR751" s="305"/>
      <c r="BS751" s="305"/>
      <c r="BT751" s="305"/>
      <c r="BU751" s="305"/>
      <c r="BV751" s="305"/>
      <c r="BX751" s="319"/>
    </row>
    <row r="752" spans="1:76" s="303" customFormat="1" x14ac:dyDescent="0.25">
      <c r="A752" s="275"/>
      <c r="B752" s="275"/>
      <c r="C752" s="275"/>
      <c r="D752" s="275"/>
      <c r="E752" s="275"/>
      <c r="F752" s="275"/>
      <c r="V752" s="304"/>
      <c r="W752" s="304"/>
      <c r="AD752" s="304"/>
      <c r="AE752" s="304"/>
      <c r="AR752" s="304"/>
      <c r="AS752" s="304"/>
      <c r="AT752" s="304"/>
      <c r="AU752" s="304"/>
      <c r="AV752" s="304"/>
      <c r="AW752" s="304"/>
      <c r="AX752" s="304"/>
      <c r="AY752" s="304"/>
      <c r="AZ752" s="304"/>
      <c r="BA752" s="304"/>
      <c r="BB752" s="304"/>
      <c r="BC752" s="304"/>
      <c r="BK752" s="305"/>
      <c r="BL752" s="305"/>
      <c r="BM752" s="305"/>
      <c r="BN752" s="305"/>
      <c r="BO752" s="305"/>
      <c r="BP752" s="305"/>
      <c r="BQ752" s="305"/>
      <c r="BR752" s="305"/>
      <c r="BS752" s="305"/>
      <c r="BT752" s="305"/>
      <c r="BU752" s="305"/>
      <c r="BV752" s="305"/>
      <c r="BX752" s="319"/>
    </row>
    <row r="753" spans="1:76" s="303" customFormat="1" x14ac:dyDescent="0.25">
      <c r="A753" s="275"/>
      <c r="B753" s="275"/>
      <c r="C753" s="275"/>
      <c r="D753" s="275"/>
      <c r="E753" s="275"/>
      <c r="F753" s="275"/>
      <c r="V753" s="304"/>
      <c r="W753" s="304"/>
      <c r="AD753" s="304"/>
      <c r="AE753" s="304"/>
      <c r="AR753" s="304"/>
      <c r="AS753" s="304"/>
      <c r="AT753" s="304"/>
      <c r="AU753" s="304"/>
      <c r="AV753" s="304"/>
      <c r="AW753" s="304"/>
      <c r="AX753" s="304"/>
      <c r="AY753" s="304"/>
      <c r="AZ753" s="304"/>
      <c r="BA753" s="304"/>
      <c r="BB753" s="304"/>
      <c r="BC753" s="304"/>
      <c r="BK753" s="305"/>
      <c r="BL753" s="305"/>
      <c r="BM753" s="305"/>
      <c r="BN753" s="305"/>
      <c r="BO753" s="305"/>
      <c r="BP753" s="305"/>
      <c r="BQ753" s="305"/>
      <c r="BR753" s="305"/>
      <c r="BS753" s="305"/>
      <c r="BT753" s="305"/>
      <c r="BU753" s="305"/>
      <c r="BV753" s="305"/>
      <c r="BX753" s="319"/>
    </row>
    <row r="754" spans="1:76" s="303" customFormat="1" x14ac:dyDescent="0.25">
      <c r="A754" s="275"/>
      <c r="B754" s="275"/>
      <c r="C754" s="275"/>
      <c r="D754" s="275"/>
      <c r="E754" s="275"/>
      <c r="F754" s="275"/>
      <c r="V754" s="304"/>
      <c r="W754" s="304"/>
      <c r="AD754" s="304"/>
      <c r="AE754" s="304"/>
      <c r="AR754" s="304"/>
      <c r="AS754" s="304"/>
      <c r="AT754" s="304"/>
      <c r="AU754" s="304"/>
      <c r="AV754" s="304"/>
      <c r="AW754" s="304"/>
      <c r="AX754" s="304"/>
      <c r="AY754" s="304"/>
      <c r="AZ754" s="304"/>
      <c r="BA754" s="304"/>
      <c r="BB754" s="304"/>
      <c r="BC754" s="304"/>
      <c r="BK754" s="305"/>
      <c r="BL754" s="305"/>
      <c r="BM754" s="305"/>
      <c r="BN754" s="305"/>
      <c r="BO754" s="305"/>
      <c r="BP754" s="305"/>
      <c r="BQ754" s="305"/>
      <c r="BR754" s="305"/>
      <c r="BS754" s="305"/>
      <c r="BT754" s="305"/>
      <c r="BU754" s="305"/>
      <c r="BV754" s="305"/>
      <c r="BX754" s="319"/>
    </row>
    <row r="755" spans="1:76" s="303" customFormat="1" x14ac:dyDescent="0.25">
      <c r="A755" s="275"/>
      <c r="B755" s="275"/>
      <c r="C755" s="275"/>
      <c r="D755" s="275"/>
      <c r="E755" s="275"/>
      <c r="F755" s="275"/>
      <c r="V755" s="304"/>
      <c r="W755" s="304"/>
      <c r="AD755" s="304"/>
      <c r="AE755" s="304"/>
      <c r="AR755" s="304"/>
      <c r="AS755" s="304"/>
      <c r="AT755" s="304"/>
      <c r="AU755" s="304"/>
      <c r="AV755" s="304"/>
      <c r="AW755" s="304"/>
      <c r="AX755" s="304"/>
      <c r="AY755" s="304"/>
      <c r="AZ755" s="304"/>
      <c r="BA755" s="304"/>
      <c r="BB755" s="304"/>
      <c r="BC755" s="304"/>
      <c r="BK755" s="305"/>
      <c r="BL755" s="305"/>
      <c r="BM755" s="305"/>
      <c r="BN755" s="305"/>
      <c r="BO755" s="305"/>
      <c r="BP755" s="305"/>
      <c r="BQ755" s="305"/>
      <c r="BR755" s="305"/>
      <c r="BS755" s="305"/>
      <c r="BT755" s="305"/>
      <c r="BU755" s="305"/>
      <c r="BV755" s="305"/>
      <c r="BX755" s="319"/>
    </row>
    <row r="756" spans="1:76" s="303" customFormat="1" x14ac:dyDescent="0.25">
      <c r="A756" s="275"/>
      <c r="B756" s="275"/>
      <c r="C756" s="275"/>
      <c r="D756" s="275"/>
      <c r="E756" s="275"/>
      <c r="F756" s="275"/>
      <c r="V756" s="304"/>
      <c r="W756" s="304"/>
      <c r="AD756" s="304"/>
      <c r="AE756" s="304"/>
      <c r="AR756" s="304"/>
      <c r="AS756" s="304"/>
      <c r="AT756" s="304"/>
      <c r="AU756" s="304"/>
      <c r="AV756" s="304"/>
      <c r="AW756" s="304"/>
      <c r="AX756" s="304"/>
      <c r="AY756" s="304"/>
      <c r="AZ756" s="304"/>
      <c r="BA756" s="304"/>
      <c r="BB756" s="304"/>
      <c r="BC756" s="304"/>
      <c r="BK756" s="305"/>
      <c r="BL756" s="305"/>
      <c r="BM756" s="305"/>
      <c r="BN756" s="305"/>
      <c r="BO756" s="305"/>
      <c r="BP756" s="305"/>
      <c r="BQ756" s="305"/>
      <c r="BR756" s="305"/>
      <c r="BS756" s="305"/>
      <c r="BT756" s="305"/>
      <c r="BU756" s="305"/>
      <c r="BV756" s="305"/>
      <c r="BX756" s="319"/>
    </row>
    <row r="757" spans="1:76" s="303" customFormat="1" x14ac:dyDescent="0.25">
      <c r="A757" s="275"/>
      <c r="B757" s="275"/>
      <c r="C757" s="275"/>
      <c r="D757" s="275"/>
      <c r="E757" s="275"/>
      <c r="F757" s="275"/>
      <c r="V757" s="304"/>
      <c r="W757" s="304"/>
      <c r="AD757" s="304"/>
      <c r="AE757" s="304"/>
      <c r="AR757" s="304"/>
      <c r="AS757" s="304"/>
      <c r="AT757" s="304"/>
      <c r="AU757" s="304"/>
      <c r="AV757" s="304"/>
      <c r="AW757" s="304"/>
      <c r="AX757" s="304"/>
      <c r="AY757" s="304"/>
      <c r="AZ757" s="304"/>
      <c r="BA757" s="304"/>
      <c r="BB757" s="304"/>
      <c r="BC757" s="304"/>
      <c r="BK757" s="305"/>
      <c r="BL757" s="305"/>
      <c r="BM757" s="305"/>
      <c r="BN757" s="305"/>
      <c r="BO757" s="305"/>
      <c r="BP757" s="305"/>
      <c r="BQ757" s="305"/>
      <c r="BR757" s="305"/>
      <c r="BS757" s="305"/>
      <c r="BT757" s="305"/>
      <c r="BU757" s="305"/>
      <c r="BV757" s="305"/>
      <c r="BX757" s="319"/>
    </row>
    <row r="758" spans="1:76" s="303" customFormat="1" x14ac:dyDescent="0.25">
      <c r="A758" s="275"/>
      <c r="B758" s="275"/>
      <c r="C758" s="275"/>
      <c r="D758" s="275"/>
      <c r="E758" s="275"/>
      <c r="F758" s="275"/>
      <c r="V758" s="304"/>
      <c r="W758" s="304"/>
      <c r="AD758" s="304"/>
      <c r="AE758" s="304"/>
      <c r="AR758" s="304"/>
      <c r="AS758" s="304"/>
      <c r="AT758" s="304"/>
      <c r="AU758" s="304"/>
      <c r="AV758" s="304"/>
      <c r="AW758" s="304"/>
      <c r="AX758" s="304"/>
      <c r="AY758" s="304"/>
      <c r="AZ758" s="304"/>
      <c r="BA758" s="304"/>
      <c r="BB758" s="304"/>
      <c r="BC758" s="304"/>
      <c r="BK758" s="305"/>
      <c r="BL758" s="305"/>
      <c r="BM758" s="305"/>
      <c r="BN758" s="305"/>
      <c r="BO758" s="305"/>
      <c r="BP758" s="305"/>
      <c r="BQ758" s="305"/>
      <c r="BR758" s="305"/>
      <c r="BS758" s="305"/>
      <c r="BT758" s="305"/>
      <c r="BU758" s="305"/>
      <c r="BV758" s="305"/>
      <c r="BX758" s="319"/>
    </row>
    <row r="759" spans="1:76" s="303" customFormat="1" x14ac:dyDescent="0.25">
      <c r="A759" s="275"/>
      <c r="B759" s="275"/>
      <c r="C759" s="275"/>
      <c r="D759" s="275"/>
      <c r="E759" s="275"/>
      <c r="F759" s="275"/>
      <c r="V759" s="304"/>
      <c r="W759" s="304"/>
      <c r="AD759" s="304"/>
      <c r="AE759" s="304"/>
      <c r="AR759" s="304"/>
      <c r="AS759" s="304"/>
      <c r="AT759" s="304"/>
      <c r="AU759" s="304"/>
      <c r="AV759" s="304"/>
      <c r="AW759" s="304"/>
      <c r="AX759" s="304"/>
      <c r="AY759" s="304"/>
      <c r="AZ759" s="304"/>
      <c r="BA759" s="304"/>
      <c r="BB759" s="304"/>
      <c r="BC759" s="304"/>
      <c r="BK759" s="305"/>
      <c r="BL759" s="305"/>
      <c r="BM759" s="305"/>
      <c r="BN759" s="305"/>
      <c r="BO759" s="305"/>
      <c r="BP759" s="305"/>
      <c r="BQ759" s="305"/>
      <c r="BR759" s="305"/>
      <c r="BS759" s="305"/>
      <c r="BT759" s="305"/>
      <c r="BU759" s="305"/>
      <c r="BV759" s="305"/>
      <c r="BX759" s="319"/>
    </row>
    <row r="760" spans="1:76" s="303" customFormat="1" x14ac:dyDescent="0.25">
      <c r="A760" s="275"/>
      <c r="B760" s="275"/>
      <c r="C760" s="275"/>
      <c r="D760" s="275"/>
      <c r="E760" s="275"/>
      <c r="F760" s="275"/>
      <c r="V760" s="304"/>
      <c r="W760" s="304"/>
      <c r="AD760" s="304"/>
      <c r="AE760" s="304"/>
      <c r="AR760" s="304"/>
      <c r="AS760" s="304"/>
      <c r="AT760" s="304"/>
      <c r="AU760" s="304"/>
      <c r="AV760" s="304"/>
      <c r="AW760" s="304"/>
      <c r="AX760" s="304"/>
      <c r="AY760" s="304"/>
      <c r="AZ760" s="304"/>
      <c r="BA760" s="304"/>
      <c r="BB760" s="304"/>
      <c r="BC760" s="304"/>
      <c r="BK760" s="305"/>
      <c r="BL760" s="305"/>
      <c r="BM760" s="305"/>
      <c r="BN760" s="305"/>
      <c r="BO760" s="305"/>
      <c r="BP760" s="305"/>
      <c r="BQ760" s="305"/>
      <c r="BR760" s="305"/>
      <c r="BS760" s="305"/>
      <c r="BT760" s="305"/>
      <c r="BU760" s="305"/>
      <c r="BV760" s="305"/>
      <c r="BX760" s="319"/>
    </row>
    <row r="761" spans="1:76" s="303" customFormat="1" x14ac:dyDescent="0.25">
      <c r="A761" s="275"/>
      <c r="B761" s="275"/>
      <c r="C761" s="275"/>
      <c r="D761" s="275"/>
      <c r="E761" s="275"/>
      <c r="F761" s="275"/>
      <c r="V761" s="304"/>
      <c r="W761" s="304"/>
      <c r="AD761" s="304"/>
      <c r="AE761" s="304"/>
      <c r="AR761" s="304"/>
      <c r="AS761" s="304"/>
      <c r="AT761" s="304"/>
      <c r="AU761" s="304"/>
      <c r="AV761" s="304"/>
      <c r="AW761" s="304"/>
      <c r="AX761" s="304"/>
      <c r="AY761" s="304"/>
      <c r="AZ761" s="304"/>
      <c r="BA761" s="304"/>
      <c r="BB761" s="304"/>
      <c r="BC761" s="304"/>
      <c r="BK761" s="305"/>
      <c r="BL761" s="305"/>
      <c r="BM761" s="305"/>
      <c r="BN761" s="305"/>
      <c r="BO761" s="305"/>
      <c r="BP761" s="305"/>
      <c r="BQ761" s="305"/>
      <c r="BR761" s="305"/>
      <c r="BS761" s="305"/>
      <c r="BT761" s="305"/>
      <c r="BU761" s="305"/>
      <c r="BV761" s="305"/>
      <c r="BX761" s="319"/>
    </row>
    <row r="762" spans="1:76" s="303" customFormat="1" x14ac:dyDescent="0.25">
      <c r="A762" s="275"/>
      <c r="B762" s="275"/>
      <c r="C762" s="275"/>
      <c r="D762" s="275"/>
      <c r="E762" s="275"/>
      <c r="F762" s="275"/>
      <c r="V762" s="304"/>
      <c r="W762" s="304"/>
      <c r="AD762" s="304"/>
      <c r="AE762" s="304"/>
      <c r="AR762" s="304"/>
      <c r="AS762" s="304"/>
      <c r="AT762" s="304"/>
      <c r="AU762" s="304"/>
      <c r="AV762" s="304"/>
      <c r="AW762" s="304"/>
      <c r="AX762" s="304"/>
      <c r="AY762" s="304"/>
      <c r="AZ762" s="304"/>
      <c r="BA762" s="304"/>
      <c r="BB762" s="304"/>
      <c r="BC762" s="304"/>
      <c r="BK762" s="305"/>
      <c r="BL762" s="305"/>
      <c r="BM762" s="305"/>
      <c r="BN762" s="305"/>
      <c r="BO762" s="305"/>
      <c r="BP762" s="305"/>
      <c r="BQ762" s="305"/>
      <c r="BR762" s="305"/>
      <c r="BS762" s="305"/>
      <c r="BT762" s="305"/>
      <c r="BU762" s="305"/>
      <c r="BV762" s="305"/>
      <c r="BX762" s="319"/>
    </row>
    <row r="763" spans="1:76" s="303" customFormat="1" x14ac:dyDescent="0.25">
      <c r="A763" s="275"/>
      <c r="B763" s="275"/>
      <c r="C763" s="275"/>
      <c r="D763" s="275"/>
      <c r="E763" s="275"/>
      <c r="F763" s="275"/>
      <c r="V763" s="304"/>
      <c r="W763" s="304"/>
      <c r="AD763" s="304"/>
      <c r="AE763" s="304"/>
      <c r="AR763" s="304"/>
      <c r="AS763" s="304"/>
      <c r="AT763" s="304"/>
      <c r="AU763" s="304"/>
      <c r="AV763" s="304"/>
      <c r="AW763" s="304"/>
      <c r="AX763" s="304"/>
      <c r="AY763" s="304"/>
      <c r="AZ763" s="304"/>
      <c r="BA763" s="304"/>
      <c r="BB763" s="304"/>
      <c r="BC763" s="304"/>
      <c r="BK763" s="305"/>
      <c r="BL763" s="305"/>
      <c r="BM763" s="305"/>
      <c r="BN763" s="305"/>
      <c r="BO763" s="305"/>
      <c r="BP763" s="305"/>
      <c r="BQ763" s="305"/>
      <c r="BR763" s="305"/>
      <c r="BS763" s="305"/>
      <c r="BT763" s="305"/>
      <c r="BU763" s="305"/>
      <c r="BV763" s="305"/>
      <c r="BX763" s="319"/>
    </row>
    <row r="764" spans="1:76" s="303" customFormat="1" x14ac:dyDescent="0.25">
      <c r="A764" s="275"/>
      <c r="B764" s="275"/>
      <c r="C764" s="275"/>
      <c r="D764" s="275"/>
      <c r="E764" s="275"/>
      <c r="F764" s="275"/>
      <c r="V764" s="304"/>
      <c r="W764" s="304"/>
      <c r="AD764" s="304"/>
      <c r="AE764" s="304"/>
      <c r="AR764" s="304"/>
      <c r="AS764" s="304"/>
      <c r="AT764" s="304"/>
      <c r="AU764" s="304"/>
      <c r="AV764" s="304"/>
      <c r="AW764" s="304"/>
      <c r="AX764" s="304"/>
      <c r="AY764" s="304"/>
      <c r="AZ764" s="304"/>
      <c r="BA764" s="304"/>
      <c r="BB764" s="304"/>
      <c r="BC764" s="304"/>
      <c r="BK764" s="305"/>
      <c r="BL764" s="305"/>
      <c r="BM764" s="305"/>
      <c r="BN764" s="305"/>
      <c r="BO764" s="305"/>
      <c r="BP764" s="305"/>
      <c r="BQ764" s="305"/>
      <c r="BR764" s="305"/>
      <c r="BS764" s="305"/>
      <c r="BT764" s="305"/>
      <c r="BU764" s="305"/>
      <c r="BV764" s="305"/>
      <c r="BX764" s="319"/>
    </row>
    <row r="765" spans="1:76" s="303" customFormat="1" x14ac:dyDescent="0.25">
      <c r="A765" s="275"/>
      <c r="B765" s="275"/>
      <c r="C765" s="275"/>
      <c r="D765" s="275"/>
      <c r="E765" s="275"/>
      <c r="F765" s="275"/>
      <c r="V765" s="304"/>
      <c r="W765" s="304"/>
      <c r="AD765" s="304"/>
      <c r="AE765" s="304"/>
      <c r="AR765" s="304"/>
      <c r="AS765" s="304"/>
      <c r="AT765" s="304"/>
      <c r="AU765" s="304"/>
      <c r="AV765" s="304"/>
      <c r="AW765" s="304"/>
      <c r="AX765" s="304"/>
      <c r="AY765" s="304"/>
      <c r="AZ765" s="304"/>
      <c r="BA765" s="304"/>
      <c r="BB765" s="304"/>
      <c r="BC765" s="304"/>
      <c r="BK765" s="305"/>
      <c r="BL765" s="305"/>
      <c r="BM765" s="305"/>
      <c r="BN765" s="305"/>
      <c r="BO765" s="305"/>
      <c r="BP765" s="305"/>
      <c r="BQ765" s="305"/>
      <c r="BR765" s="305"/>
      <c r="BS765" s="305"/>
      <c r="BT765" s="305"/>
      <c r="BU765" s="305"/>
      <c r="BV765" s="305"/>
      <c r="BX765" s="319"/>
    </row>
    <row r="766" spans="1:76" s="303" customFormat="1" x14ac:dyDescent="0.25">
      <c r="A766" s="275"/>
      <c r="B766" s="275"/>
      <c r="C766" s="275"/>
      <c r="D766" s="275"/>
      <c r="E766" s="275"/>
      <c r="F766" s="275"/>
      <c r="V766" s="304"/>
      <c r="W766" s="304"/>
      <c r="AD766" s="304"/>
      <c r="AE766" s="304"/>
      <c r="AR766" s="304"/>
      <c r="AS766" s="304"/>
      <c r="AT766" s="304"/>
      <c r="AU766" s="304"/>
      <c r="AV766" s="304"/>
      <c r="AW766" s="304"/>
      <c r="AX766" s="304"/>
      <c r="AY766" s="304"/>
      <c r="AZ766" s="304"/>
      <c r="BA766" s="304"/>
      <c r="BB766" s="304"/>
      <c r="BC766" s="304"/>
      <c r="BK766" s="305"/>
      <c r="BL766" s="305"/>
      <c r="BM766" s="305"/>
      <c r="BN766" s="305"/>
      <c r="BO766" s="305"/>
      <c r="BP766" s="305"/>
      <c r="BQ766" s="305"/>
      <c r="BR766" s="305"/>
      <c r="BS766" s="305"/>
      <c r="BT766" s="305"/>
      <c r="BU766" s="305"/>
      <c r="BV766" s="305"/>
      <c r="BX766" s="319"/>
    </row>
    <row r="767" spans="1:76" s="303" customFormat="1" x14ac:dyDescent="0.25">
      <c r="A767" s="275"/>
      <c r="B767" s="275"/>
      <c r="C767" s="275"/>
      <c r="D767" s="275"/>
      <c r="E767" s="275"/>
      <c r="F767" s="275"/>
      <c r="V767" s="304"/>
      <c r="W767" s="304"/>
      <c r="AD767" s="304"/>
      <c r="AE767" s="304"/>
      <c r="AR767" s="304"/>
      <c r="AS767" s="304"/>
      <c r="AT767" s="304"/>
      <c r="AU767" s="304"/>
      <c r="AV767" s="304"/>
      <c r="AW767" s="304"/>
      <c r="AX767" s="304"/>
      <c r="AY767" s="304"/>
      <c r="AZ767" s="304"/>
      <c r="BA767" s="304"/>
      <c r="BB767" s="304"/>
      <c r="BC767" s="304"/>
      <c r="BK767" s="305"/>
      <c r="BL767" s="305"/>
      <c r="BM767" s="305"/>
      <c r="BN767" s="305"/>
      <c r="BO767" s="305"/>
      <c r="BP767" s="305"/>
      <c r="BQ767" s="305"/>
      <c r="BR767" s="305"/>
      <c r="BS767" s="305"/>
      <c r="BT767" s="305"/>
      <c r="BU767" s="305"/>
      <c r="BV767" s="305"/>
      <c r="BX767" s="319"/>
    </row>
    <row r="768" spans="1:76" s="303" customFormat="1" x14ac:dyDescent="0.25">
      <c r="A768" s="275"/>
      <c r="B768" s="275"/>
      <c r="C768" s="275"/>
      <c r="D768" s="275"/>
      <c r="E768" s="275"/>
      <c r="F768" s="275"/>
      <c r="V768" s="304"/>
      <c r="W768" s="304"/>
      <c r="AD768" s="304"/>
      <c r="AE768" s="304"/>
      <c r="AR768" s="304"/>
      <c r="AS768" s="304"/>
      <c r="AT768" s="304"/>
      <c r="AU768" s="304"/>
      <c r="AV768" s="304"/>
      <c r="AW768" s="304"/>
      <c r="AX768" s="304"/>
      <c r="AY768" s="304"/>
      <c r="AZ768" s="304"/>
      <c r="BA768" s="304"/>
      <c r="BB768" s="304"/>
      <c r="BC768" s="304"/>
      <c r="BK768" s="305"/>
      <c r="BL768" s="305"/>
      <c r="BM768" s="305"/>
      <c r="BN768" s="305"/>
      <c r="BO768" s="305"/>
      <c r="BP768" s="305"/>
      <c r="BQ768" s="305"/>
      <c r="BR768" s="305"/>
      <c r="BS768" s="305"/>
      <c r="BT768" s="305"/>
      <c r="BU768" s="305"/>
      <c r="BV768" s="305"/>
      <c r="BX768" s="319"/>
    </row>
    <row r="769" spans="1:76" s="303" customFormat="1" x14ac:dyDescent="0.25">
      <c r="A769" s="275"/>
      <c r="B769" s="275"/>
      <c r="C769" s="275"/>
      <c r="D769" s="275"/>
      <c r="E769" s="275"/>
      <c r="F769" s="275"/>
      <c r="V769" s="304"/>
      <c r="W769" s="304"/>
      <c r="AD769" s="304"/>
      <c r="AE769" s="304"/>
      <c r="AR769" s="304"/>
      <c r="AS769" s="304"/>
      <c r="AT769" s="304"/>
      <c r="AU769" s="304"/>
      <c r="AV769" s="304"/>
      <c r="AW769" s="304"/>
      <c r="AX769" s="304"/>
      <c r="AY769" s="304"/>
      <c r="AZ769" s="304"/>
      <c r="BA769" s="304"/>
      <c r="BB769" s="304"/>
      <c r="BC769" s="304"/>
      <c r="BK769" s="305"/>
      <c r="BL769" s="305"/>
      <c r="BM769" s="305"/>
      <c r="BN769" s="305"/>
      <c r="BO769" s="305"/>
      <c r="BP769" s="305"/>
      <c r="BQ769" s="305"/>
      <c r="BR769" s="305"/>
      <c r="BS769" s="305"/>
      <c r="BT769" s="305"/>
      <c r="BU769" s="305"/>
      <c r="BV769" s="305"/>
      <c r="BX769" s="319"/>
    </row>
    <row r="770" spans="1:76" s="303" customFormat="1" x14ac:dyDescent="0.25">
      <c r="A770" s="275"/>
      <c r="B770" s="275"/>
      <c r="C770" s="275"/>
      <c r="D770" s="275"/>
      <c r="E770" s="275"/>
      <c r="F770" s="275"/>
      <c r="V770" s="304"/>
      <c r="W770" s="304"/>
      <c r="AD770" s="304"/>
      <c r="AE770" s="304"/>
      <c r="AR770" s="304"/>
      <c r="AS770" s="304"/>
      <c r="AT770" s="304"/>
      <c r="AU770" s="304"/>
      <c r="AV770" s="304"/>
      <c r="AW770" s="304"/>
      <c r="AX770" s="304"/>
      <c r="AY770" s="304"/>
      <c r="AZ770" s="304"/>
      <c r="BA770" s="304"/>
      <c r="BB770" s="304"/>
      <c r="BC770" s="304"/>
      <c r="BK770" s="305"/>
      <c r="BL770" s="305"/>
      <c r="BM770" s="305"/>
      <c r="BN770" s="305"/>
      <c r="BO770" s="305"/>
      <c r="BP770" s="305"/>
      <c r="BQ770" s="305"/>
      <c r="BR770" s="305"/>
      <c r="BS770" s="305"/>
      <c r="BT770" s="305"/>
      <c r="BU770" s="305"/>
      <c r="BV770" s="305"/>
      <c r="BX770" s="319"/>
    </row>
    <row r="771" spans="1:76" s="303" customFormat="1" x14ac:dyDescent="0.25">
      <c r="A771" s="275"/>
      <c r="B771" s="275"/>
      <c r="C771" s="275"/>
      <c r="D771" s="275"/>
      <c r="E771" s="275"/>
      <c r="F771" s="275"/>
      <c r="V771" s="304"/>
      <c r="W771" s="304"/>
      <c r="AD771" s="304"/>
      <c r="AE771" s="304"/>
      <c r="AR771" s="304"/>
      <c r="AS771" s="304"/>
      <c r="AT771" s="304"/>
      <c r="AU771" s="304"/>
      <c r="AV771" s="304"/>
      <c r="AW771" s="304"/>
      <c r="AX771" s="304"/>
      <c r="AY771" s="304"/>
      <c r="AZ771" s="304"/>
      <c r="BA771" s="304"/>
      <c r="BB771" s="304"/>
      <c r="BC771" s="304"/>
      <c r="BK771" s="305"/>
      <c r="BL771" s="305"/>
      <c r="BM771" s="305"/>
      <c r="BN771" s="305"/>
      <c r="BO771" s="305"/>
      <c r="BP771" s="305"/>
      <c r="BQ771" s="305"/>
      <c r="BR771" s="305"/>
      <c r="BS771" s="305"/>
      <c r="BT771" s="305"/>
      <c r="BU771" s="305"/>
      <c r="BV771" s="305"/>
      <c r="BX771" s="319"/>
    </row>
    <row r="772" spans="1:76" s="303" customFormat="1" x14ac:dyDescent="0.25">
      <c r="A772" s="275"/>
      <c r="B772" s="275"/>
      <c r="C772" s="275"/>
      <c r="D772" s="275"/>
      <c r="E772" s="275"/>
      <c r="F772" s="275"/>
      <c r="V772" s="304"/>
      <c r="W772" s="304"/>
      <c r="AD772" s="304"/>
      <c r="AE772" s="304"/>
      <c r="AR772" s="304"/>
      <c r="AS772" s="304"/>
      <c r="AT772" s="304"/>
      <c r="AU772" s="304"/>
      <c r="AV772" s="304"/>
      <c r="AW772" s="304"/>
      <c r="AX772" s="304"/>
      <c r="AY772" s="304"/>
      <c r="AZ772" s="304"/>
      <c r="BA772" s="304"/>
      <c r="BB772" s="304"/>
      <c r="BC772" s="304"/>
      <c r="BK772" s="305"/>
      <c r="BL772" s="305"/>
      <c r="BM772" s="305"/>
      <c r="BN772" s="305"/>
      <c r="BO772" s="305"/>
      <c r="BP772" s="305"/>
      <c r="BQ772" s="305"/>
      <c r="BR772" s="305"/>
      <c r="BS772" s="305"/>
      <c r="BT772" s="305"/>
      <c r="BU772" s="305"/>
      <c r="BV772" s="305"/>
      <c r="BX772" s="319"/>
    </row>
    <row r="773" spans="1:76" s="303" customFormat="1" x14ac:dyDescent="0.25">
      <c r="A773" s="275"/>
      <c r="B773" s="275"/>
      <c r="C773" s="275"/>
      <c r="D773" s="275"/>
      <c r="E773" s="275"/>
      <c r="F773" s="275"/>
      <c r="V773" s="304"/>
      <c r="W773" s="304"/>
      <c r="AD773" s="304"/>
      <c r="AE773" s="304"/>
      <c r="AR773" s="304"/>
      <c r="AS773" s="304"/>
      <c r="AT773" s="304"/>
      <c r="AU773" s="304"/>
      <c r="AV773" s="304"/>
      <c r="AW773" s="304"/>
      <c r="AX773" s="304"/>
      <c r="AY773" s="304"/>
      <c r="AZ773" s="304"/>
      <c r="BA773" s="304"/>
      <c r="BB773" s="304"/>
      <c r="BC773" s="304"/>
      <c r="BK773" s="305"/>
      <c r="BL773" s="305"/>
      <c r="BM773" s="305"/>
      <c r="BN773" s="305"/>
      <c r="BO773" s="305"/>
      <c r="BP773" s="305"/>
      <c r="BQ773" s="305"/>
      <c r="BR773" s="305"/>
      <c r="BS773" s="305"/>
      <c r="BT773" s="305"/>
      <c r="BU773" s="305"/>
      <c r="BV773" s="305"/>
      <c r="BX773" s="319"/>
    </row>
    <row r="774" spans="1:76" s="303" customFormat="1" x14ac:dyDescent="0.25">
      <c r="A774" s="275"/>
      <c r="B774" s="275"/>
      <c r="C774" s="275"/>
      <c r="D774" s="275"/>
      <c r="E774" s="275"/>
      <c r="F774" s="275"/>
      <c r="V774" s="304"/>
      <c r="W774" s="304"/>
      <c r="AD774" s="304"/>
      <c r="AE774" s="304"/>
      <c r="AR774" s="304"/>
      <c r="AS774" s="304"/>
      <c r="AT774" s="304"/>
      <c r="AU774" s="304"/>
      <c r="AV774" s="304"/>
      <c r="AW774" s="304"/>
      <c r="AX774" s="304"/>
      <c r="AY774" s="304"/>
      <c r="AZ774" s="304"/>
      <c r="BA774" s="304"/>
      <c r="BB774" s="304"/>
      <c r="BC774" s="304"/>
      <c r="BK774" s="305"/>
      <c r="BL774" s="305"/>
      <c r="BM774" s="305"/>
      <c r="BN774" s="305"/>
      <c r="BO774" s="305"/>
      <c r="BP774" s="305"/>
      <c r="BQ774" s="305"/>
      <c r="BR774" s="305"/>
      <c r="BS774" s="305"/>
      <c r="BT774" s="305"/>
      <c r="BU774" s="305"/>
      <c r="BV774" s="305"/>
      <c r="BX774" s="319"/>
    </row>
    <row r="775" spans="1:76" s="303" customFormat="1" x14ac:dyDescent="0.25">
      <c r="A775" s="275"/>
      <c r="B775" s="275"/>
      <c r="C775" s="275"/>
      <c r="D775" s="275"/>
      <c r="E775" s="275"/>
      <c r="F775" s="275"/>
      <c r="V775" s="304"/>
      <c r="W775" s="304"/>
      <c r="AD775" s="304"/>
      <c r="AE775" s="304"/>
      <c r="AR775" s="304"/>
      <c r="AS775" s="304"/>
      <c r="AT775" s="304"/>
      <c r="AU775" s="304"/>
      <c r="AV775" s="304"/>
      <c r="AW775" s="304"/>
      <c r="AX775" s="304"/>
      <c r="AY775" s="304"/>
      <c r="AZ775" s="304"/>
      <c r="BA775" s="304"/>
      <c r="BB775" s="304"/>
      <c r="BC775" s="304"/>
      <c r="BK775" s="305"/>
      <c r="BL775" s="305"/>
      <c r="BM775" s="305"/>
      <c r="BN775" s="305"/>
      <c r="BO775" s="305"/>
      <c r="BP775" s="305"/>
      <c r="BQ775" s="305"/>
      <c r="BR775" s="305"/>
      <c r="BS775" s="305"/>
      <c r="BT775" s="305"/>
      <c r="BU775" s="305"/>
      <c r="BV775" s="305"/>
      <c r="BX775" s="319"/>
    </row>
    <row r="776" spans="1:76" s="303" customFormat="1" x14ac:dyDescent="0.25">
      <c r="A776" s="275"/>
      <c r="B776" s="275"/>
      <c r="C776" s="275"/>
      <c r="D776" s="275"/>
      <c r="E776" s="275"/>
      <c r="F776" s="275"/>
      <c r="V776" s="304"/>
      <c r="W776" s="304"/>
      <c r="AD776" s="304"/>
      <c r="AE776" s="304"/>
      <c r="AR776" s="304"/>
      <c r="AS776" s="304"/>
      <c r="AT776" s="304"/>
      <c r="AU776" s="304"/>
      <c r="AV776" s="304"/>
      <c r="AW776" s="304"/>
      <c r="AX776" s="304"/>
      <c r="AY776" s="304"/>
      <c r="AZ776" s="304"/>
      <c r="BA776" s="304"/>
      <c r="BB776" s="304"/>
      <c r="BC776" s="304"/>
      <c r="BK776" s="305"/>
      <c r="BL776" s="305"/>
      <c r="BM776" s="305"/>
      <c r="BN776" s="305"/>
      <c r="BO776" s="305"/>
      <c r="BP776" s="305"/>
      <c r="BQ776" s="305"/>
      <c r="BR776" s="305"/>
      <c r="BS776" s="305"/>
      <c r="BT776" s="305"/>
      <c r="BU776" s="305"/>
      <c r="BV776" s="305"/>
      <c r="BX776" s="319"/>
    </row>
    <row r="777" spans="1:76" s="303" customFormat="1" x14ac:dyDescent="0.25">
      <c r="A777" s="275"/>
      <c r="B777" s="275"/>
      <c r="C777" s="275"/>
      <c r="D777" s="275"/>
      <c r="E777" s="275"/>
      <c r="F777" s="275"/>
      <c r="V777" s="304"/>
      <c r="W777" s="304"/>
      <c r="AD777" s="304"/>
      <c r="AE777" s="304"/>
      <c r="AR777" s="304"/>
      <c r="AS777" s="304"/>
      <c r="AT777" s="304"/>
      <c r="AU777" s="304"/>
      <c r="AV777" s="304"/>
      <c r="AW777" s="304"/>
      <c r="AX777" s="304"/>
      <c r="AY777" s="304"/>
      <c r="AZ777" s="304"/>
      <c r="BA777" s="304"/>
      <c r="BB777" s="304"/>
      <c r="BC777" s="304"/>
      <c r="BK777" s="305"/>
      <c r="BL777" s="305"/>
      <c r="BM777" s="305"/>
      <c r="BN777" s="305"/>
      <c r="BO777" s="305"/>
      <c r="BP777" s="305"/>
      <c r="BQ777" s="305"/>
      <c r="BR777" s="305"/>
      <c r="BS777" s="305"/>
      <c r="BT777" s="305"/>
      <c r="BU777" s="305"/>
      <c r="BV777" s="305"/>
      <c r="BX777" s="319"/>
    </row>
    <row r="778" spans="1:76" s="303" customFormat="1" x14ac:dyDescent="0.25">
      <c r="A778" s="275"/>
      <c r="B778" s="275"/>
      <c r="C778" s="275"/>
      <c r="D778" s="275"/>
      <c r="E778" s="275"/>
      <c r="F778" s="275"/>
      <c r="V778" s="304"/>
      <c r="W778" s="304"/>
      <c r="AD778" s="304"/>
      <c r="AE778" s="304"/>
      <c r="AR778" s="304"/>
      <c r="AS778" s="304"/>
      <c r="AT778" s="304"/>
      <c r="AU778" s="304"/>
      <c r="AV778" s="304"/>
      <c r="AW778" s="304"/>
      <c r="AX778" s="304"/>
      <c r="AY778" s="304"/>
      <c r="AZ778" s="304"/>
      <c r="BA778" s="304"/>
      <c r="BB778" s="304"/>
      <c r="BC778" s="304"/>
      <c r="BK778" s="305"/>
      <c r="BL778" s="305"/>
      <c r="BM778" s="305"/>
      <c r="BN778" s="305"/>
      <c r="BO778" s="305"/>
      <c r="BP778" s="305"/>
      <c r="BQ778" s="305"/>
      <c r="BR778" s="305"/>
      <c r="BS778" s="305"/>
      <c r="BT778" s="305"/>
      <c r="BU778" s="305"/>
      <c r="BV778" s="305"/>
      <c r="BX778" s="319"/>
    </row>
    <row r="779" spans="1:76" s="303" customFormat="1" x14ac:dyDescent="0.25">
      <c r="A779" s="275"/>
      <c r="B779" s="275"/>
      <c r="C779" s="275"/>
      <c r="D779" s="275"/>
      <c r="E779" s="275"/>
      <c r="F779" s="275"/>
      <c r="V779" s="304"/>
      <c r="W779" s="304"/>
      <c r="AD779" s="304"/>
      <c r="AE779" s="304"/>
      <c r="AR779" s="304"/>
      <c r="AS779" s="304"/>
      <c r="AT779" s="304"/>
      <c r="AU779" s="304"/>
      <c r="AV779" s="304"/>
      <c r="AW779" s="304"/>
      <c r="AX779" s="304"/>
      <c r="AY779" s="304"/>
      <c r="AZ779" s="304"/>
      <c r="BA779" s="304"/>
      <c r="BB779" s="304"/>
      <c r="BC779" s="304"/>
      <c r="BK779" s="305"/>
      <c r="BL779" s="305"/>
      <c r="BM779" s="305"/>
      <c r="BN779" s="305"/>
      <c r="BO779" s="305"/>
      <c r="BP779" s="305"/>
      <c r="BQ779" s="305"/>
      <c r="BR779" s="305"/>
      <c r="BS779" s="305"/>
      <c r="BT779" s="305"/>
      <c r="BU779" s="305"/>
      <c r="BV779" s="305"/>
      <c r="BX779" s="319"/>
    </row>
    <row r="780" spans="1:76" s="303" customFormat="1" x14ac:dyDescent="0.25">
      <c r="A780" s="275"/>
      <c r="B780" s="275"/>
      <c r="C780" s="275"/>
      <c r="D780" s="275"/>
      <c r="E780" s="275"/>
      <c r="F780" s="275"/>
      <c r="V780" s="304"/>
      <c r="W780" s="304"/>
      <c r="AD780" s="304"/>
      <c r="AE780" s="304"/>
      <c r="AR780" s="304"/>
      <c r="AS780" s="304"/>
      <c r="AT780" s="304"/>
      <c r="AU780" s="304"/>
      <c r="AV780" s="304"/>
      <c r="AW780" s="304"/>
      <c r="AX780" s="304"/>
      <c r="AY780" s="304"/>
      <c r="AZ780" s="304"/>
      <c r="BA780" s="304"/>
      <c r="BB780" s="304"/>
      <c r="BC780" s="304"/>
      <c r="BK780" s="305"/>
      <c r="BL780" s="305"/>
      <c r="BM780" s="305"/>
      <c r="BN780" s="305"/>
      <c r="BO780" s="305"/>
      <c r="BP780" s="305"/>
      <c r="BQ780" s="305"/>
      <c r="BR780" s="305"/>
      <c r="BS780" s="305"/>
      <c r="BT780" s="305"/>
      <c r="BU780" s="305"/>
      <c r="BV780" s="305"/>
      <c r="BX780" s="319"/>
    </row>
    <row r="781" spans="1:76" s="303" customFormat="1" x14ac:dyDescent="0.25">
      <c r="A781" s="275"/>
      <c r="B781" s="275"/>
      <c r="C781" s="275"/>
      <c r="D781" s="275"/>
      <c r="E781" s="275"/>
      <c r="F781" s="275"/>
      <c r="V781" s="304"/>
      <c r="W781" s="304"/>
      <c r="AD781" s="304"/>
      <c r="AE781" s="304"/>
      <c r="AR781" s="304"/>
      <c r="AS781" s="304"/>
      <c r="AT781" s="304"/>
      <c r="AU781" s="304"/>
      <c r="AV781" s="304"/>
      <c r="AW781" s="304"/>
      <c r="AX781" s="304"/>
      <c r="AY781" s="304"/>
      <c r="AZ781" s="304"/>
      <c r="BA781" s="304"/>
      <c r="BB781" s="304"/>
      <c r="BC781" s="304"/>
      <c r="BK781" s="305"/>
      <c r="BL781" s="305"/>
      <c r="BM781" s="305"/>
      <c r="BN781" s="305"/>
      <c r="BO781" s="305"/>
      <c r="BP781" s="305"/>
      <c r="BQ781" s="305"/>
      <c r="BR781" s="305"/>
      <c r="BS781" s="305"/>
      <c r="BT781" s="305"/>
      <c r="BU781" s="305"/>
      <c r="BV781" s="305"/>
      <c r="BX781" s="319"/>
    </row>
    <row r="782" spans="1:76" s="303" customFormat="1" x14ac:dyDescent="0.25">
      <c r="A782" s="275"/>
      <c r="B782" s="275"/>
      <c r="C782" s="275"/>
      <c r="D782" s="275"/>
      <c r="E782" s="275"/>
      <c r="F782" s="275"/>
      <c r="V782" s="304"/>
      <c r="W782" s="304"/>
      <c r="AD782" s="304"/>
      <c r="AE782" s="304"/>
      <c r="AR782" s="304"/>
      <c r="AS782" s="304"/>
      <c r="AT782" s="304"/>
      <c r="AU782" s="304"/>
      <c r="AV782" s="304"/>
      <c r="AW782" s="304"/>
      <c r="AX782" s="304"/>
      <c r="AY782" s="304"/>
      <c r="AZ782" s="304"/>
      <c r="BA782" s="304"/>
      <c r="BB782" s="304"/>
      <c r="BC782" s="304"/>
      <c r="BK782" s="305"/>
      <c r="BL782" s="305"/>
      <c r="BM782" s="305"/>
      <c r="BN782" s="305"/>
      <c r="BO782" s="305"/>
      <c r="BP782" s="305"/>
      <c r="BQ782" s="305"/>
      <c r="BR782" s="305"/>
      <c r="BS782" s="305"/>
      <c r="BT782" s="305"/>
      <c r="BU782" s="305"/>
      <c r="BV782" s="305"/>
      <c r="BX782" s="319"/>
    </row>
    <row r="783" spans="1:76" s="303" customFormat="1" x14ac:dyDescent="0.25">
      <c r="A783" s="275"/>
      <c r="B783" s="275"/>
      <c r="C783" s="275"/>
      <c r="D783" s="275"/>
      <c r="E783" s="275"/>
      <c r="F783" s="275"/>
      <c r="V783" s="304"/>
      <c r="W783" s="304"/>
      <c r="AD783" s="304"/>
      <c r="AE783" s="304"/>
      <c r="AR783" s="304"/>
      <c r="AS783" s="304"/>
      <c r="AT783" s="304"/>
      <c r="AU783" s="304"/>
      <c r="AV783" s="304"/>
      <c r="AW783" s="304"/>
      <c r="AX783" s="304"/>
      <c r="AY783" s="304"/>
      <c r="AZ783" s="304"/>
      <c r="BA783" s="304"/>
      <c r="BB783" s="304"/>
      <c r="BC783" s="304"/>
      <c r="BK783" s="305"/>
      <c r="BL783" s="305"/>
      <c r="BM783" s="305"/>
      <c r="BN783" s="305"/>
      <c r="BO783" s="305"/>
      <c r="BP783" s="305"/>
      <c r="BQ783" s="305"/>
      <c r="BR783" s="305"/>
      <c r="BS783" s="305"/>
      <c r="BT783" s="305"/>
      <c r="BU783" s="305"/>
      <c r="BV783" s="305"/>
      <c r="BX783" s="319"/>
    </row>
    <row r="784" spans="1:76" s="303" customFormat="1" x14ac:dyDescent="0.25">
      <c r="A784" s="275"/>
      <c r="B784" s="275"/>
      <c r="C784" s="275"/>
      <c r="D784" s="275"/>
      <c r="E784" s="275"/>
      <c r="F784" s="275"/>
      <c r="V784" s="304"/>
      <c r="W784" s="304"/>
      <c r="AD784" s="304"/>
      <c r="AE784" s="304"/>
      <c r="AR784" s="304"/>
      <c r="AS784" s="304"/>
      <c r="AT784" s="304"/>
      <c r="AU784" s="304"/>
      <c r="AV784" s="304"/>
      <c r="AW784" s="304"/>
      <c r="AX784" s="304"/>
      <c r="AY784" s="304"/>
      <c r="AZ784" s="304"/>
      <c r="BA784" s="304"/>
      <c r="BB784" s="304"/>
      <c r="BC784" s="304"/>
      <c r="BK784" s="305"/>
      <c r="BL784" s="305"/>
      <c r="BM784" s="305"/>
      <c r="BN784" s="305"/>
      <c r="BO784" s="305"/>
      <c r="BP784" s="305"/>
      <c r="BQ784" s="305"/>
      <c r="BR784" s="305"/>
      <c r="BS784" s="305"/>
      <c r="BT784" s="305"/>
      <c r="BU784" s="305"/>
      <c r="BV784" s="305"/>
      <c r="BX784" s="319"/>
    </row>
    <row r="785" spans="1:76" s="303" customFormat="1" x14ac:dyDescent="0.25">
      <c r="A785" s="275"/>
      <c r="B785" s="275"/>
      <c r="C785" s="275"/>
      <c r="D785" s="275"/>
      <c r="E785" s="275"/>
      <c r="F785" s="275"/>
      <c r="V785" s="304"/>
      <c r="W785" s="304"/>
      <c r="AD785" s="304"/>
      <c r="AE785" s="304"/>
      <c r="AR785" s="304"/>
      <c r="AS785" s="304"/>
      <c r="AT785" s="304"/>
      <c r="AU785" s="304"/>
      <c r="AV785" s="304"/>
      <c r="AW785" s="304"/>
      <c r="AX785" s="304"/>
      <c r="AY785" s="304"/>
      <c r="AZ785" s="304"/>
      <c r="BA785" s="304"/>
      <c r="BB785" s="304"/>
      <c r="BC785" s="304"/>
      <c r="BK785" s="305"/>
      <c r="BL785" s="305"/>
      <c r="BM785" s="305"/>
      <c r="BN785" s="305"/>
      <c r="BO785" s="305"/>
      <c r="BP785" s="305"/>
      <c r="BQ785" s="305"/>
      <c r="BR785" s="305"/>
      <c r="BS785" s="305"/>
      <c r="BT785" s="305"/>
      <c r="BU785" s="305"/>
      <c r="BV785" s="305"/>
      <c r="BX785" s="319"/>
    </row>
    <row r="786" spans="1:76" s="303" customFormat="1" x14ac:dyDescent="0.25">
      <c r="A786" s="275"/>
      <c r="B786" s="275"/>
      <c r="C786" s="275"/>
      <c r="D786" s="275"/>
      <c r="E786" s="275"/>
      <c r="F786" s="275"/>
      <c r="V786" s="304"/>
      <c r="W786" s="304"/>
      <c r="AD786" s="304"/>
      <c r="AE786" s="304"/>
      <c r="AR786" s="304"/>
      <c r="AS786" s="304"/>
      <c r="AT786" s="304"/>
      <c r="AU786" s="304"/>
      <c r="AV786" s="304"/>
      <c r="AW786" s="304"/>
      <c r="AX786" s="304"/>
      <c r="AY786" s="304"/>
      <c r="AZ786" s="304"/>
      <c r="BA786" s="304"/>
      <c r="BB786" s="304"/>
      <c r="BC786" s="304"/>
      <c r="BK786" s="305"/>
      <c r="BL786" s="305"/>
      <c r="BM786" s="305"/>
      <c r="BN786" s="305"/>
      <c r="BO786" s="305"/>
      <c r="BP786" s="305"/>
      <c r="BQ786" s="305"/>
      <c r="BR786" s="305"/>
      <c r="BS786" s="305"/>
      <c r="BT786" s="305"/>
      <c r="BU786" s="305"/>
      <c r="BV786" s="305"/>
      <c r="BX786" s="319"/>
    </row>
    <row r="787" spans="1:76" s="303" customFormat="1" x14ac:dyDescent="0.25">
      <c r="A787" s="275"/>
      <c r="B787" s="275"/>
      <c r="C787" s="275"/>
      <c r="D787" s="275"/>
      <c r="E787" s="275"/>
      <c r="F787" s="275"/>
      <c r="V787" s="304"/>
      <c r="W787" s="304"/>
      <c r="AD787" s="304"/>
      <c r="AE787" s="304"/>
      <c r="AR787" s="304"/>
      <c r="AS787" s="304"/>
      <c r="AT787" s="304"/>
      <c r="AU787" s="304"/>
      <c r="AV787" s="304"/>
      <c r="AW787" s="304"/>
      <c r="AX787" s="304"/>
      <c r="AY787" s="304"/>
      <c r="AZ787" s="304"/>
      <c r="BA787" s="304"/>
      <c r="BB787" s="304"/>
      <c r="BC787" s="304"/>
      <c r="BK787" s="305"/>
      <c r="BL787" s="305"/>
      <c r="BM787" s="305"/>
      <c r="BN787" s="305"/>
      <c r="BO787" s="305"/>
      <c r="BP787" s="305"/>
      <c r="BQ787" s="305"/>
      <c r="BR787" s="305"/>
      <c r="BS787" s="305"/>
      <c r="BT787" s="305"/>
      <c r="BU787" s="305"/>
      <c r="BV787" s="305"/>
      <c r="BX787" s="319"/>
    </row>
    <row r="788" spans="1:76" s="303" customFormat="1" x14ac:dyDescent="0.25">
      <c r="A788" s="275"/>
      <c r="B788" s="275"/>
      <c r="C788" s="275"/>
      <c r="D788" s="275"/>
      <c r="E788" s="275"/>
      <c r="F788" s="275"/>
      <c r="V788" s="304"/>
      <c r="W788" s="304"/>
      <c r="AD788" s="304"/>
      <c r="AE788" s="304"/>
      <c r="AR788" s="304"/>
      <c r="AS788" s="304"/>
      <c r="AT788" s="304"/>
      <c r="AU788" s="304"/>
      <c r="AV788" s="304"/>
      <c r="AW788" s="304"/>
      <c r="AX788" s="304"/>
      <c r="AY788" s="304"/>
      <c r="AZ788" s="304"/>
      <c r="BA788" s="304"/>
      <c r="BB788" s="304"/>
      <c r="BC788" s="304"/>
      <c r="BK788" s="305"/>
      <c r="BL788" s="305"/>
      <c r="BM788" s="305"/>
      <c r="BN788" s="305"/>
      <c r="BO788" s="305"/>
      <c r="BP788" s="305"/>
      <c r="BQ788" s="305"/>
      <c r="BR788" s="305"/>
      <c r="BS788" s="305"/>
      <c r="BT788" s="305"/>
      <c r="BU788" s="305"/>
      <c r="BV788" s="305"/>
      <c r="BX788" s="319"/>
    </row>
    <row r="789" spans="1:76" s="303" customFormat="1" x14ac:dyDescent="0.25">
      <c r="A789" s="275"/>
      <c r="B789" s="275"/>
      <c r="C789" s="275"/>
      <c r="D789" s="275"/>
      <c r="E789" s="275"/>
      <c r="F789" s="275"/>
      <c r="V789" s="304"/>
      <c r="W789" s="304"/>
      <c r="AD789" s="304"/>
      <c r="AE789" s="304"/>
      <c r="AR789" s="304"/>
      <c r="AS789" s="304"/>
      <c r="AT789" s="304"/>
      <c r="AU789" s="304"/>
      <c r="AV789" s="304"/>
      <c r="AW789" s="304"/>
      <c r="AX789" s="304"/>
      <c r="AY789" s="304"/>
      <c r="AZ789" s="304"/>
      <c r="BA789" s="304"/>
      <c r="BB789" s="304"/>
      <c r="BC789" s="304"/>
      <c r="BK789" s="305"/>
      <c r="BL789" s="305"/>
      <c r="BM789" s="305"/>
      <c r="BN789" s="305"/>
      <c r="BO789" s="305"/>
      <c r="BP789" s="305"/>
      <c r="BQ789" s="305"/>
      <c r="BR789" s="305"/>
      <c r="BS789" s="305"/>
      <c r="BT789" s="305"/>
      <c r="BU789" s="305"/>
      <c r="BV789" s="305"/>
      <c r="BX789" s="319"/>
    </row>
    <row r="790" spans="1:76" s="303" customFormat="1" x14ac:dyDescent="0.25">
      <c r="A790" s="275"/>
      <c r="B790" s="275"/>
      <c r="C790" s="275"/>
      <c r="D790" s="275"/>
      <c r="E790" s="275"/>
      <c r="F790" s="275"/>
      <c r="V790" s="304"/>
      <c r="W790" s="304"/>
      <c r="AD790" s="304"/>
      <c r="AE790" s="304"/>
      <c r="AR790" s="304"/>
      <c r="AS790" s="304"/>
      <c r="AT790" s="304"/>
      <c r="AU790" s="304"/>
      <c r="AV790" s="304"/>
      <c r="AW790" s="304"/>
      <c r="AX790" s="304"/>
      <c r="AY790" s="304"/>
      <c r="AZ790" s="304"/>
      <c r="BA790" s="304"/>
      <c r="BB790" s="304"/>
      <c r="BC790" s="304"/>
      <c r="BK790" s="305"/>
      <c r="BL790" s="305"/>
      <c r="BM790" s="305"/>
      <c r="BN790" s="305"/>
      <c r="BO790" s="305"/>
      <c r="BP790" s="305"/>
      <c r="BQ790" s="305"/>
      <c r="BR790" s="305"/>
      <c r="BS790" s="305"/>
      <c r="BT790" s="305"/>
      <c r="BU790" s="305"/>
      <c r="BV790" s="305"/>
      <c r="BX790" s="319"/>
    </row>
    <row r="791" spans="1:76" s="303" customFormat="1" x14ac:dyDescent="0.25">
      <c r="A791" s="275"/>
      <c r="B791" s="275"/>
      <c r="C791" s="275"/>
      <c r="D791" s="275"/>
      <c r="E791" s="275"/>
      <c r="F791" s="275"/>
      <c r="V791" s="304"/>
      <c r="W791" s="304"/>
      <c r="AD791" s="304"/>
      <c r="AE791" s="304"/>
      <c r="AR791" s="304"/>
      <c r="AS791" s="304"/>
      <c r="AT791" s="304"/>
      <c r="AU791" s="304"/>
      <c r="AV791" s="304"/>
      <c r="AW791" s="304"/>
      <c r="AX791" s="304"/>
      <c r="AY791" s="304"/>
      <c r="AZ791" s="304"/>
      <c r="BA791" s="304"/>
      <c r="BB791" s="304"/>
      <c r="BC791" s="304"/>
      <c r="BK791" s="305"/>
      <c r="BL791" s="305"/>
      <c r="BM791" s="305"/>
      <c r="BN791" s="305"/>
      <c r="BO791" s="305"/>
      <c r="BP791" s="305"/>
      <c r="BQ791" s="305"/>
      <c r="BR791" s="305"/>
      <c r="BS791" s="305"/>
      <c r="BT791" s="305"/>
      <c r="BU791" s="305"/>
      <c r="BV791" s="305"/>
      <c r="BX791" s="319"/>
    </row>
    <row r="792" spans="1:76" s="303" customFormat="1" x14ac:dyDescent="0.25">
      <c r="A792" s="275"/>
      <c r="B792" s="275"/>
      <c r="C792" s="275"/>
      <c r="D792" s="275"/>
      <c r="E792" s="275"/>
      <c r="F792" s="275"/>
      <c r="V792" s="304"/>
      <c r="W792" s="304"/>
      <c r="AD792" s="304"/>
      <c r="AE792" s="304"/>
      <c r="AR792" s="304"/>
      <c r="AS792" s="304"/>
      <c r="AT792" s="304"/>
      <c r="AU792" s="304"/>
      <c r="AV792" s="304"/>
      <c r="AW792" s="304"/>
      <c r="AX792" s="304"/>
      <c r="AY792" s="304"/>
      <c r="AZ792" s="304"/>
      <c r="BA792" s="304"/>
      <c r="BB792" s="304"/>
      <c r="BC792" s="304"/>
      <c r="BK792" s="305"/>
      <c r="BL792" s="305"/>
      <c r="BM792" s="305"/>
      <c r="BN792" s="305"/>
      <c r="BO792" s="305"/>
      <c r="BP792" s="305"/>
      <c r="BQ792" s="305"/>
      <c r="BR792" s="305"/>
      <c r="BS792" s="305"/>
      <c r="BT792" s="305"/>
      <c r="BU792" s="305"/>
      <c r="BV792" s="305"/>
      <c r="BX792" s="319"/>
    </row>
    <row r="793" spans="1:76" s="303" customFormat="1" x14ac:dyDescent="0.25">
      <c r="A793" s="275"/>
      <c r="B793" s="275"/>
      <c r="C793" s="275"/>
      <c r="D793" s="275"/>
      <c r="E793" s="275"/>
      <c r="F793" s="275"/>
      <c r="V793" s="304"/>
      <c r="W793" s="304"/>
      <c r="AD793" s="304"/>
      <c r="AE793" s="304"/>
      <c r="AR793" s="304"/>
      <c r="AS793" s="304"/>
      <c r="AT793" s="304"/>
      <c r="AU793" s="304"/>
      <c r="AV793" s="304"/>
      <c r="AW793" s="304"/>
      <c r="AX793" s="304"/>
      <c r="AY793" s="304"/>
      <c r="AZ793" s="304"/>
      <c r="BA793" s="304"/>
      <c r="BB793" s="304"/>
      <c r="BC793" s="304"/>
      <c r="BK793" s="305"/>
      <c r="BL793" s="305"/>
      <c r="BM793" s="305"/>
      <c r="BN793" s="305"/>
      <c r="BO793" s="305"/>
      <c r="BP793" s="305"/>
      <c r="BQ793" s="305"/>
      <c r="BR793" s="305"/>
      <c r="BS793" s="305"/>
      <c r="BT793" s="305"/>
      <c r="BU793" s="305"/>
      <c r="BV793" s="305"/>
      <c r="BX793" s="319"/>
    </row>
    <row r="794" spans="1:76" s="303" customFormat="1" x14ac:dyDescent="0.25">
      <c r="A794" s="275"/>
      <c r="B794" s="275"/>
      <c r="C794" s="275"/>
      <c r="D794" s="275"/>
      <c r="E794" s="275"/>
      <c r="F794" s="275"/>
      <c r="V794" s="304"/>
      <c r="W794" s="304"/>
      <c r="AD794" s="304"/>
      <c r="AE794" s="304"/>
      <c r="AR794" s="304"/>
      <c r="AS794" s="304"/>
      <c r="AT794" s="304"/>
      <c r="AU794" s="304"/>
      <c r="AV794" s="304"/>
      <c r="AW794" s="304"/>
      <c r="AX794" s="304"/>
      <c r="AY794" s="304"/>
      <c r="AZ794" s="304"/>
      <c r="BA794" s="304"/>
      <c r="BB794" s="304"/>
      <c r="BC794" s="304"/>
      <c r="BK794" s="305"/>
      <c r="BL794" s="305"/>
      <c r="BM794" s="305"/>
      <c r="BN794" s="305"/>
      <c r="BO794" s="305"/>
      <c r="BP794" s="305"/>
      <c r="BQ794" s="305"/>
      <c r="BR794" s="305"/>
      <c r="BS794" s="305"/>
      <c r="BT794" s="305"/>
      <c r="BU794" s="305"/>
      <c r="BV794" s="305"/>
      <c r="BX794" s="319"/>
    </row>
    <row r="795" spans="1:76" s="303" customFormat="1" x14ac:dyDescent="0.25">
      <c r="A795" s="275"/>
      <c r="B795" s="275"/>
      <c r="C795" s="275"/>
      <c r="D795" s="275"/>
      <c r="E795" s="275"/>
      <c r="F795" s="275"/>
      <c r="V795" s="304"/>
      <c r="W795" s="304"/>
      <c r="AD795" s="304"/>
      <c r="AE795" s="304"/>
      <c r="AR795" s="304"/>
      <c r="AS795" s="304"/>
      <c r="AT795" s="304"/>
      <c r="AU795" s="304"/>
      <c r="AV795" s="304"/>
      <c r="AW795" s="304"/>
      <c r="AX795" s="304"/>
      <c r="AY795" s="304"/>
      <c r="AZ795" s="304"/>
      <c r="BA795" s="304"/>
      <c r="BB795" s="304"/>
      <c r="BC795" s="304"/>
      <c r="BK795" s="305"/>
      <c r="BL795" s="305"/>
      <c r="BM795" s="305"/>
      <c r="BN795" s="305"/>
      <c r="BO795" s="305"/>
      <c r="BP795" s="305"/>
      <c r="BQ795" s="305"/>
      <c r="BR795" s="305"/>
      <c r="BS795" s="305"/>
      <c r="BT795" s="305"/>
      <c r="BU795" s="305"/>
      <c r="BV795" s="305"/>
      <c r="BX795" s="319"/>
    </row>
    <row r="796" spans="1:76" s="303" customFormat="1" x14ac:dyDescent="0.25">
      <c r="A796" s="275"/>
      <c r="B796" s="275"/>
      <c r="C796" s="275"/>
      <c r="D796" s="275"/>
      <c r="E796" s="275"/>
      <c r="F796" s="275"/>
      <c r="V796" s="304"/>
      <c r="W796" s="304"/>
      <c r="AD796" s="304"/>
      <c r="AE796" s="304"/>
      <c r="AR796" s="304"/>
      <c r="AS796" s="304"/>
      <c r="AT796" s="304"/>
      <c r="AU796" s="304"/>
      <c r="AV796" s="304"/>
      <c r="AW796" s="304"/>
      <c r="AX796" s="304"/>
      <c r="AY796" s="304"/>
      <c r="AZ796" s="304"/>
      <c r="BA796" s="304"/>
      <c r="BB796" s="304"/>
      <c r="BC796" s="304"/>
      <c r="BK796" s="305"/>
      <c r="BL796" s="305"/>
      <c r="BM796" s="305"/>
      <c r="BN796" s="305"/>
      <c r="BO796" s="305"/>
      <c r="BP796" s="305"/>
      <c r="BQ796" s="305"/>
      <c r="BR796" s="305"/>
      <c r="BS796" s="305"/>
      <c r="BT796" s="305"/>
      <c r="BU796" s="305"/>
      <c r="BV796" s="305"/>
      <c r="BX796" s="319"/>
    </row>
    <row r="797" spans="1:76" s="303" customFormat="1" x14ac:dyDescent="0.25">
      <c r="A797" s="275"/>
      <c r="B797" s="275"/>
      <c r="C797" s="275"/>
      <c r="D797" s="275"/>
      <c r="E797" s="275"/>
      <c r="F797" s="275"/>
      <c r="V797" s="304"/>
      <c r="W797" s="304"/>
      <c r="AD797" s="304"/>
      <c r="AE797" s="304"/>
      <c r="AR797" s="304"/>
      <c r="AS797" s="304"/>
      <c r="AT797" s="304"/>
      <c r="AU797" s="304"/>
      <c r="AV797" s="304"/>
      <c r="AW797" s="304"/>
      <c r="AX797" s="304"/>
      <c r="AY797" s="304"/>
      <c r="AZ797" s="304"/>
      <c r="BA797" s="304"/>
      <c r="BB797" s="304"/>
      <c r="BC797" s="304"/>
      <c r="BK797" s="305"/>
      <c r="BL797" s="305"/>
      <c r="BM797" s="305"/>
      <c r="BN797" s="305"/>
      <c r="BO797" s="305"/>
      <c r="BP797" s="305"/>
      <c r="BQ797" s="305"/>
      <c r="BR797" s="305"/>
      <c r="BS797" s="305"/>
      <c r="BT797" s="305"/>
      <c r="BU797" s="305"/>
      <c r="BV797" s="305"/>
      <c r="BX797" s="319"/>
    </row>
    <row r="798" spans="1:76" s="303" customFormat="1" x14ac:dyDescent="0.25">
      <c r="A798" s="275"/>
      <c r="B798" s="275"/>
      <c r="C798" s="275"/>
      <c r="D798" s="275"/>
      <c r="E798" s="275"/>
      <c r="F798" s="275"/>
      <c r="V798" s="304"/>
      <c r="W798" s="304"/>
      <c r="AD798" s="304"/>
      <c r="AE798" s="304"/>
      <c r="AR798" s="304"/>
      <c r="AS798" s="304"/>
      <c r="AT798" s="304"/>
      <c r="AU798" s="304"/>
      <c r="AV798" s="304"/>
      <c r="AW798" s="304"/>
      <c r="AX798" s="304"/>
      <c r="AY798" s="304"/>
      <c r="AZ798" s="304"/>
      <c r="BA798" s="304"/>
      <c r="BB798" s="304"/>
      <c r="BC798" s="304"/>
      <c r="BK798" s="305"/>
      <c r="BL798" s="305"/>
      <c r="BM798" s="305"/>
      <c r="BN798" s="305"/>
      <c r="BO798" s="305"/>
      <c r="BP798" s="305"/>
      <c r="BQ798" s="305"/>
      <c r="BR798" s="305"/>
      <c r="BS798" s="305"/>
      <c r="BT798" s="305"/>
      <c r="BU798" s="305"/>
      <c r="BV798" s="305"/>
      <c r="BX798" s="319"/>
    </row>
    <row r="799" spans="1:76" s="303" customFormat="1" x14ac:dyDescent="0.25">
      <c r="A799" s="275"/>
      <c r="B799" s="275"/>
      <c r="C799" s="275"/>
      <c r="D799" s="275"/>
      <c r="E799" s="275"/>
      <c r="F799" s="275"/>
      <c r="V799" s="304"/>
      <c r="W799" s="304"/>
      <c r="AD799" s="304"/>
      <c r="AE799" s="304"/>
      <c r="AR799" s="304"/>
      <c r="AS799" s="304"/>
      <c r="AT799" s="304"/>
      <c r="AU799" s="304"/>
      <c r="AV799" s="304"/>
      <c r="AW799" s="304"/>
      <c r="AX799" s="304"/>
      <c r="AY799" s="304"/>
      <c r="AZ799" s="304"/>
      <c r="BA799" s="304"/>
      <c r="BB799" s="304"/>
      <c r="BC799" s="304"/>
      <c r="BK799" s="305"/>
      <c r="BL799" s="305"/>
      <c r="BM799" s="305"/>
      <c r="BN799" s="305"/>
      <c r="BO799" s="305"/>
      <c r="BP799" s="305"/>
      <c r="BQ799" s="305"/>
      <c r="BR799" s="305"/>
      <c r="BS799" s="305"/>
      <c r="BT799" s="305"/>
      <c r="BU799" s="305"/>
      <c r="BV799" s="305"/>
      <c r="BX799" s="319"/>
    </row>
    <row r="800" spans="1:76" s="303" customFormat="1" x14ac:dyDescent="0.25">
      <c r="A800" s="275"/>
      <c r="B800" s="275"/>
      <c r="C800" s="275"/>
      <c r="D800" s="275"/>
      <c r="E800" s="275"/>
      <c r="F800" s="275"/>
      <c r="V800" s="304"/>
      <c r="W800" s="304"/>
      <c r="AD800" s="304"/>
      <c r="AE800" s="304"/>
      <c r="AR800" s="304"/>
      <c r="AS800" s="304"/>
      <c r="AT800" s="304"/>
      <c r="AU800" s="304"/>
      <c r="AV800" s="304"/>
      <c r="AW800" s="304"/>
      <c r="AX800" s="304"/>
      <c r="AY800" s="304"/>
      <c r="AZ800" s="304"/>
      <c r="BA800" s="304"/>
      <c r="BB800" s="304"/>
      <c r="BC800" s="304"/>
      <c r="BK800" s="305"/>
      <c r="BL800" s="305"/>
      <c r="BM800" s="305"/>
      <c r="BN800" s="305"/>
      <c r="BO800" s="305"/>
      <c r="BP800" s="305"/>
      <c r="BQ800" s="305"/>
      <c r="BR800" s="305"/>
      <c r="BS800" s="305"/>
      <c r="BT800" s="305"/>
      <c r="BU800" s="305"/>
      <c r="BV800" s="305"/>
      <c r="BX800" s="319"/>
    </row>
    <row r="801" spans="1:76" s="303" customFormat="1" x14ac:dyDescent="0.25">
      <c r="A801" s="275"/>
      <c r="B801" s="275"/>
      <c r="C801" s="275"/>
      <c r="D801" s="275"/>
      <c r="E801" s="275"/>
      <c r="F801" s="275"/>
      <c r="V801" s="304"/>
      <c r="W801" s="304"/>
      <c r="AD801" s="304"/>
      <c r="AE801" s="304"/>
      <c r="AR801" s="304"/>
      <c r="AS801" s="304"/>
      <c r="AT801" s="304"/>
      <c r="AU801" s="304"/>
      <c r="AV801" s="304"/>
      <c r="AW801" s="304"/>
      <c r="AX801" s="304"/>
      <c r="AY801" s="304"/>
      <c r="AZ801" s="304"/>
      <c r="BA801" s="304"/>
      <c r="BB801" s="304"/>
      <c r="BC801" s="304"/>
      <c r="BK801" s="305"/>
      <c r="BL801" s="305"/>
      <c r="BM801" s="305"/>
      <c r="BN801" s="305"/>
      <c r="BO801" s="305"/>
      <c r="BP801" s="305"/>
      <c r="BQ801" s="305"/>
      <c r="BR801" s="305"/>
      <c r="BS801" s="305"/>
      <c r="BT801" s="305"/>
      <c r="BU801" s="305"/>
      <c r="BV801" s="305"/>
      <c r="BX801" s="319"/>
    </row>
    <row r="802" spans="1:76" s="303" customFormat="1" x14ac:dyDescent="0.25">
      <c r="A802" s="275"/>
      <c r="B802" s="275"/>
      <c r="C802" s="275"/>
      <c r="D802" s="275"/>
      <c r="E802" s="275"/>
      <c r="F802" s="275"/>
      <c r="V802" s="304"/>
      <c r="W802" s="304"/>
      <c r="AD802" s="304"/>
      <c r="AE802" s="304"/>
      <c r="AR802" s="304"/>
      <c r="AS802" s="304"/>
      <c r="AT802" s="304"/>
      <c r="AU802" s="304"/>
      <c r="AV802" s="304"/>
      <c r="AW802" s="304"/>
      <c r="AX802" s="304"/>
      <c r="AY802" s="304"/>
      <c r="AZ802" s="304"/>
      <c r="BA802" s="304"/>
      <c r="BB802" s="304"/>
      <c r="BC802" s="304"/>
      <c r="BK802" s="305"/>
      <c r="BL802" s="305"/>
      <c r="BM802" s="305"/>
      <c r="BN802" s="305"/>
      <c r="BO802" s="305"/>
      <c r="BP802" s="305"/>
      <c r="BQ802" s="305"/>
      <c r="BR802" s="305"/>
      <c r="BS802" s="305"/>
      <c r="BT802" s="305"/>
      <c r="BU802" s="305"/>
      <c r="BV802" s="305"/>
      <c r="BX802" s="319"/>
    </row>
    <row r="803" spans="1:76" s="303" customFormat="1" x14ac:dyDescent="0.25">
      <c r="A803" s="275"/>
      <c r="B803" s="275"/>
      <c r="C803" s="275"/>
      <c r="D803" s="275"/>
      <c r="E803" s="275"/>
      <c r="F803" s="275"/>
      <c r="V803" s="304"/>
      <c r="W803" s="304"/>
      <c r="AD803" s="304"/>
      <c r="AE803" s="304"/>
      <c r="AR803" s="304"/>
      <c r="AS803" s="304"/>
      <c r="AT803" s="304"/>
      <c r="AU803" s="304"/>
      <c r="AV803" s="304"/>
      <c r="AW803" s="304"/>
      <c r="AX803" s="304"/>
      <c r="AY803" s="304"/>
      <c r="AZ803" s="304"/>
      <c r="BA803" s="304"/>
      <c r="BB803" s="304"/>
      <c r="BC803" s="304"/>
      <c r="BK803" s="305"/>
      <c r="BL803" s="305"/>
      <c r="BM803" s="305"/>
      <c r="BN803" s="305"/>
      <c r="BO803" s="305"/>
      <c r="BP803" s="305"/>
      <c r="BQ803" s="305"/>
      <c r="BR803" s="305"/>
      <c r="BS803" s="305"/>
      <c r="BT803" s="305"/>
      <c r="BU803" s="305"/>
      <c r="BV803" s="305"/>
      <c r="BX803" s="319"/>
    </row>
    <row r="804" spans="1:76" s="303" customFormat="1" x14ac:dyDescent="0.25">
      <c r="A804" s="275"/>
      <c r="B804" s="275"/>
      <c r="C804" s="275"/>
      <c r="D804" s="275"/>
      <c r="E804" s="275"/>
      <c r="F804" s="275"/>
      <c r="V804" s="304"/>
      <c r="W804" s="304"/>
      <c r="AD804" s="304"/>
      <c r="AE804" s="304"/>
      <c r="AR804" s="304"/>
      <c r="AS804" s="304"/>
      <c r="AT804" s="304"/>
      <c r="AU804" s="304"/>
      <c r="AV804" s="304"/>
      <c r="AW804" s="304"/>
      <c r="AX804" s="304"/>
      <c r="AY804" s="304"/>
      <c r="AZ804" s="304"/>
      <c r="BA804" s="304"/>
      <c r="BB804" s="304"/>
      <c r="BC804" s="304"/>
      <c r="BK804" s="305"/>
      <c r="BL804" s="305"/>
      <c r="BM804" s="305"/>
      <c r="BN804" s="305"/>
      <c r="BO804" s="305"/>
      <c r="BP804" s="305"/>
      <c r="BQ804" s="305"/>
      <c r="BR804" s="305"/>
      <c r="BS804" s="305"/>
      <c r="BT804" s="305"/>
      <c r="BU804" s="305"/>
      <c r="BV804" s="305"/>
      <c r="BX804" s="319"/>
    </row>
    <row r="805" spans="1:76" s="303" customFormat="1" x14ac:dyDescent="0.25">
      <c r="A805" s="275"/>
      <c r="B805" s="275"/>
      <c r="C805" s="275"/>
      <c r="D805" s="275"/>
      <c r="E805" s="275"/>
      <c r="F805" s="275"/>
      <c r="V805" s="304"/>
      <c r="W805" s="304"/>
      <c r="AD805" s="304"/>
      <c r="AE805" s="304"/>
      <c r="AR805" s="304"/>
      <c r="AS805" s="304"/>
      <c r="AT805" s="304"/>
      <c r="AU805" s="304"/>
      <c r="AV805" s="304"/>
      <c r="AW805" s="304"/>
      <c r="AX805" s="304"/>
      <c r="AY805" s="304"/>
      <c r="AZ805" s="304"/>
      <c r="BA805" s="304"/>
      <c r="BB805" s="304"/>
      <c r="BC805" s="304"/>
      <c r="BK805" s="305"/>
      <c r="BL805" s="305"/>
      <c r="BM805" s="305"/>
      <c r="BN805" s="305"/>
      <c r="BO805" s="305"/>
      <c r="BP805" s="305"/>
      <c r="BQ805" s="305"/>
      <c r="BR805" s="305"/>
      <c r="BS805" s="305"/>
      <c r="BT805" s="305"/>
      <c r="BU805" s="305"/>
      <c r="BV805" s="305"/>
      <c r="BX805" s="319"/>
    </row>
    <row r="806" spans="1:76" s="303" customFormat="1" x14ac:dyDescent="0.25">
      <c r="A806" s="275"/>
      <c r="B806" s="275"/>
      <c r="C806" s="275"/>
      <c r="D806" s="275"/>
      <c r="E806" s="275"/>
      <c r="F806" s="275"/>
      <c r="V806" s="304"/>
      <c r="W806" s="304"/>
      <c r="AD806" s="304"/>
      <c r="AE806" s="304"/>
      <c r="AR806" s="304"/>
      <c r="AS806" s="304"/>
      <c r="AT806" s="304"/>
      <c r="AU806" s="304"/>
      <c r="AV806" s="304"/>
      <c r="AW806" s="304"/>
      <c r="AX806" s="304"/>
      <c r="AY806" s="304"/>
      <c r="AZ806" s="304"/>
      <c r="BA806" s="304"/>
      <c r="BB806" s="304"/>
      <c r="BC806" s="304"/>
      <c r="BK806" s="305"/>
      <c r="BL806" s="305"/>
      <c r="BM806" s="305"/>
      <c r="BN806" s="305"/>
      <c r="BO806" s="305"/>
      <c r="BP806" s="305"/>
      <c r="BQ806" s="305"/>
      <c r="BR806" s="305"/>
      <c r="BS806" s="305"/>
      <c r="BT806" s="305"/>
      <c r="BU806" s="305"/>
      <c r="BV806" s="305"/>
      <c r="BX806" s="319"/>
    </row>
    <row r="807" spans="1:76" s="303" customFormat="1" x14ac:dyDescent="0.25">
      <c r="A807" s="275"/>
      <c r="B807" s="275"/>
      <c r="C807" s="275"/>
      <c r="D807" s="275"/>
      <c r="E807" s="275"/>
      <c r="F807" s="275"/>
      <c r="V807" s="304"/>
      <c r="W807" s="304"/>
      <c r="AD807" s="304"/>
      <c r="AE807" s="304"/>
      <c r="AR807" s="304"/>
      <c r="AS807" s="304"/>
      <c r="AT807" s="304"/>
      <c r="AU807" s="304"/>
      <c r="AV807" s="304"/>
      <c r="AW807" s="304"/>
      <c r="AX807" s="304"/>
      <c r="AY807" s="304"/>
      <c r="AZ807" s="304"/>
      <c r="BA807" s="304"/>
      <c r="BB807" s="304"/>
      <c r="BC807" s="304"/>
      <c r="BK807" s="305"/>
      <c r="BL807" s="305"/>
      <c r="BM807" s="305"/>
      <c r="BN807" s="305"/>
      <c r="BO807" s="305"/>
      <c r="BP807" s="305"/>
      <c r="BQ807" s="305"/>
      <c r="BR807" s="305"/>
      <c r="BS807" s="305"/>
      <c r="BT807" s="305"/>
      <c r="BU807" s="305"/>
      <c r="BV807" s="305"/>
      <c r="BX807" s="319"/>
    </row>
    <row r="808" spans="1:76" s="303" customFormat="1" x14ac:dyDescent="0.25">
      <c r="A808" s="275"/>
      <c r="B808" s="275"/>
      <c r="C808" s="275"/>
      <c r="D808" s="275"/>
      <c r="E808" s="275"/>
      <c r="F808" s="275"/>
      <c r="V808" s="304"/>
      <c r="W808" s="304"/>
      <c r="AD808" s="304"/>
      <c r="AE808" s="304"/>
      <c r="AR808" s="304"/>
      <c r="AS808" s="304"/>
      <c r="AT808" s="304"/>
      <c r="AU808" s="304"/>
      <c r="AV808" s="304"/>
      <c r="AW808" s="304"/>
      <c r="AX808" s="304"/>
      <c r="AY808" s="304"/>
      <c r="AZ808" s="304"/>
      <c r="BA808" s="304"/>
      <c r="BB808" s="304"/>
      <c r="BC808" s="304"/>
      <c r="BK808" s="305"/>
      <c r="BL808" s="305"/>
      <c r="BM808" s="305"/>
      <c r="BN808" s="305"/>
      <c r="BO808" s="305"/>
      <c r="BP808" s="305"/>
      <c r="BQ808" s="305"/>
      <c r="BR808" s="305"/>
      <c r="BS808" s="305"/>
      <c r="BT808" s="305"/>
      <c r="BU808" s="305"/>
      <c r="BV808" s="305"/>
      <c r="BX808" s="319"/>
    </row>
    <row r="809" spans="1:76" s="303" customFormat="1" x14ac:dyDescent="0.25">
      <c r="A809" s="275"/>
      <c r="B809" s="275"/>
      <c r="C809" s="275"/>
      <c r="D809" s="275"/>
      <c r="E809" s="275"/>
      <c r="F809" s="275"/>
      <c r="V809" s="304"/>
      <c r="W809" s="304"/>
      <c r="AD809" s="304"/>
      <c r="AE809" s="304"/>
      <c r="AR809" s="304"/>
      <c r="AS809" s="304"/>
      <c r="AT809" s="304"/>
      <c r="AU809" s="304"/>
      <c r="AV809" s="304"/>
      <c r="AW809" s="304"/>
      <c r="AX809" s="304"/>
      <c r="AY809" s="304"/>
      <c r="AZ809" s="304"/>
      <c r="BA809" s="304"/>
      <c r="BB809" s="304"/>
      <c r="BC809" s="304"/>
      <c r="BK809" s="305"/>
      <c r="BL809" s="305"/>
      <c r="BM809" s="305"/>
      <c r="BN809" s="305"/>
      <c r="BO809" s="305"/>
      <c r="BP809" s="305"/>
      <c r="BQ809" s="305"/>
      <c r="BR809" s="305"/>
      <c r="BS809" s="305"/>
      <c r="BT809" s="305"/>
      <c r="BU809" s="305"/>
      <c r="BV809" s="305"/>
      <c r="BX809" s="319"/>
    </row>
    <row r="810" spans="1:76" s="303" customFormat="1" x14ac:dyDescent="0.25">
      <c r="A810" s="275"/>
      <c r="B810" s="275"/>
      <c r="C810" s="275"/>
      <c r="D810" s="275"/>
      <c r="E810" s="275"/>
      <c r="F810" s="275"/>
      <c r="V810" s="304"/>
      <c r="W810" s="304"/>
      <c r="AD810" s="304"/>
      <c r="AE810" s="304"/>
      <c r="AR810" s="304"/>
      <c r="AS810" s="304"/>
      <c r="AT810" s="304"/>
      <c r="AU810" s="304"/>
      <c r="AV810" s="304"/>
      <c r="AW810" s="304"/>
      <c r="AX810" s="304"/>
      <c r="AY810" s="304"/>
      <c r="AZ810" s="304"/>
      <c r="BA810" s="304"/>
      <c r="BB810" s="304"/>
      <c r="BC810" s="304"/>
      <c r="BK810" s="305"/>
      <c r="BL810" s="305"/>
      <c r="BM810" s="305"/>
      <c r="BN810" s="305"/>
      <c r="BO810" s="305"/>
      <c r="BP810" s="305"/>
      <c r="BQ810" s="305"/>
      <c r="BR810" s="305"/>
      <c r="BS810" s="305"/>
      <c r="BT810" s="305"/>
      <c r="BU810" s="305"/>
      <c r="BV810" s="305"/>
      <c r="BX810" s="319"/>
    </row>
    <row r="811" spans="1:76" s="303" customFormat="1" x14ac:dyDescent="0.25">
      <c r="A811" s="275"/>
      <c r="B811" s="275"/>
      <c r="C811" s="275"/>
      <c r="D811" s="275"/>
      <c r="E811" s="275"/>
      <c r="F811" s="275"/>
      <c r="V811" s="304"/>
      <c r="W811" s="304"/>
      <c r="AD811" s="304"/>
      <c r="AE811" s="304"/>
      <c r="AR811" s="304"/>
      <c r="AS811" s="304"/>
      <c r="AT811" s="304"/>
      <c r="AU811" s="304"/>
      <c r="AV811" s="304"/>
      <c r="AW811" s="304"/>
      <c r="AX811" s="304"/>
      <c r="AY811" s="304"/>
      <c r="AZ811" s="304"/>
      <c r="BA811" s="304"/>
      <c r="BB811" s="304"/>
      <c r="BC811" s="304"/>
      <c r="BK811" s="305"/>
      <c r="BL811" s="305"/>
      <c r="BM811" s="305"/>
      <c r="BN811" s="305"/>
      <c r="BO811" s="305"/>
      <c r="BP811" s="305"/>
      <c r="BQ811" s="305"/>
      <c r="BR811" s="305"/>
      <c r="BS811" s="305"/>
      <c r="BT811" s="305"/>
      <c r="BU811" s="305"/>
      <c r="BV811" s="305"/>
      <c r="BX811" s="319"/>
    </row>
    <row r="812" spans="1:76" s="303" customFormat="1" x14ac:dyDescent="0.25">
      <c r="A812" s="275"/>
      <c r="B812" s="275"/>
      <c r="C812" s="275"/>
      <c r="D812" s="275"/>
      <c r="E812" s="275"/>
      <c r="F812" s="275"/>
      <c r="V812" s="304"/>
      <c r="W812" s="304"/>
      <c r="AD812" s="304"/>
      <c r="AE812" s="304"/>
      <c r="AR812" s="304"/>
      <c r="AS812" s="304"/>
      <c r="AT812" s="304"/>
      <c r="AU812" s="304"/>
      <c r="AV812" s="304"/>
      <c r="AW812" s="304"/>
      <c r="AX812" s="304"/>
      <c r="AY812" s="304"/>
      <c r="AZ812" s="304"/>
      <c r="BA812" s="304"/>
      <c r="BB812" s="304"/>
      <c r="BC812" s="304"/>
      <c r="BK812" s="305"/>
      <c r="BL812" s="305"/>
      <c r="BM812" s="305"/>
      <c r="BN812" s="305"/>
      <c r="BO812" s="305"/>
      <c r="BP812" s="305"/>
      <c r="BQ812" s="305"/>
      <c r="BR812" s="305"/>
      <c r="BS812" s="305"/>
      <c r="BT812" s="305"/>
      <c r="BU812" s="305"/>
      <c r="BV812" s="305"/>
      <c r="BX812" s="319"/>
    </row>
    <row r="813" spans="1:76" s="303" customFormat="1" x14ac:dyDescent="0.25">
      <c r="A813" s="275"/>
      <c r="B813" s="275"/>
      <c r="C813" s="275"/>
      <c r="D813" s="275"/>
      <c r="E813" s="275"/>
      <c r="F813" s="275"/>
      <c r="V813" s="304"/>
      <c r="W813" s="304"/>
      <c r="AD813" s="304"/>
      <c r="AE813" s="304"/>
      <c r="AR813" s="304"/>
      <c r="AS813" s="304"/>
      <c r="AT813" s="304"/>
      <c r="AU813" s="304"/>
      <c r="AV813" s="304"/>
      <c r="AW813" s="304"/>
      <c r="AX813" s="304"/>
      <c r="AY813" s="304"/>
      <c r="AZ813" s="304"/>
      <c r="BA813" s="304"/>
      <c r="BB813" s="304"/>
      <c r="BC813" s="304"/>
      <c r="BK813" s="305"/>
      <c r="BL813" s="305"/>
      <c r="BM813" s="305"/>
      <c r="BN813" s="305"/>
      <c r="BO813" s="305"/>
      <c r="BP813" s="305"/>
      <c r="BQ813" s="305"/>
      <c r="BR813" s="305"/>
      <c r="BS813" s="305"/>
      <c r="BT813" s="305"/>
      <c r="BU813" s="305"/>
      <c r="BV813" s="305"/>
      <c r="BX813" s="319"/>
    </row>
    <row r="814" spans="1:76" s="303" customFormat="1" x14ac:dyDescent="0.25">
      <c r="A814" s="275"/>
      <c r="B814" s="275"/>
      <c r="C814" s="275"/>
      <c r="D814" s="275"/>
      <c r="E814" s="275"/>
      <c r="F814" s="275"/>
      <c r="V814" s="304"/>
      <c r="W814" s="304"/>
      <c r="AD814" s="304"/>
      <c r="AE814" s="304"/>
      <c r="AR814" s="304"/>
      <c r="AS814" s="304"/>
      <c r="AT814" s="304"/>
      <c r="AU814" s="304"/>
      <c r="AV814" s="304"/>
      <c r="AW814" s="304"/>
      <c r="AX814" s="304"/>
      <c r="AY814" s="304"/>
      <c r="AZ814" s="304"/>
      <c r="BA814" s="304"/>
      <c r="BB814" s="304"/>
      <c r="BC814" s="304"/>
      <c r="BK814" s="305"/>
      <c r="BL814" s="305"/>
      <c r="BM814" s="305"/>
      <c r="BN814" s="305"/>
      <c r="BO814" s="305"/>
      <c r="BP814" s="305"/>
      <c r="BQ814" s="305"/>
      <c r="BR814" s="305"/>
      <c r="BS814" s="305"/>
      <c r="BT814" s="305"/>
      <c r="BU814" s="305"/>
      <c r="BV814" s="305"/>
      <c r="BX814" s="319"/>
    </row>
    <row r="815" spans="1:76" s="303" customFormat="1" x14ac:dyDescent="0.25">
      <c r="A815" s="275"/>
      <c r="B815" s="275"/>
      <c r="C815" s="275"/>
      <c r="D815" s="275"/>
      <c r="E815" s="275"/>
      <c r="F815" s="275"/>
      <c r="V815" s="304"/>
      <c r="W815" s="304"/>
      <c r="AD815" s="304"/>
      <c r="AE815" s="304"/>
      <c r="AR815" s="304"/>
      <c r="AS815" s="304"/>
      <c r="AT815" s="304"/>
      <c r="AU815" s="304"/>
      <c r="AV815" s="304"/>
      <c r="AW815" s="304"/>
      <c r="AX815" s="304"/>
      <c r="AY815" s="304"/>
      <c r="AZ815" s="304"/>
      <c r="BA815" s="304"/>
      <c r="BB815" s="304"/>
      <c r="BC815" s="304"/>
      <c r="BK815" s="305"/>
      <c r="BL815" s="305"/>
      <c r="BM815" s="305"/>
      <c r="BN815" s="305"/>
      <c r="BO815" s="305"/>
      <c r="BP815" s="305"/>
      <c r="BQ815" s="305"/>
      <c r="BR815" s="305"/>
      <c r="BS815" s="305"/>
      <c r="BT815" s="305"/>
      <c r="BU815" s="305"/>
      <c r="BV815" s="305"/>
      <c r="BX815" s="319"/>
    </row>
    <row r="816" spans="1:76" s="303" customFormat="1" x14ac:dyDescent="0.25">
      <c r="A816" s="275"/>
      <c r="B816" s="275"/>
      <c r="C816" s="275"/>
      <c r="D816" s="275"/>
      <c r="E816" s="275"/>
      <c r="F816" s="275"/>
      <c r="V816" s="304"/>
      <c r="W816" s="304"/>
      <c r="AD816" s="304"/>
      <c r="AE816" s="304"/>
      <c r="AR816" s="304"/>
      <c r="AS816" s="304"/>
      <c r="AT816" s="304"/>
      <c r="AU816" s="304"/>
      <c r="AV816" s="304"/>
      <c r="AW816" s="304"/>
      <c r="AX816" s="304"/>
      <c r="AY816" s="304"/>
      <c r="AZ816" s="304"/>
      <c r="BA816" s="304"/>
      <c r="BB816" s="304"/>
      <c r="BC816" s="304"/>
      <c r="BK816" s="305"/>
      <c r="BL816" s="305"/>
      <c r="BM816" s="305"/>
      <c r="BN816" s="305"/>
      <c r="BO816" s="305"/>
      <c r="BP816" s="305"/>
      <c r="BQ816" s="305"/>
      <c r="BR816" s="305"/>
      <c r="BS816" s="305"/>
      <c r="BT816" s="305"/>
      <c r="BU816" s="305"/>
      <c r="BV816" s="305"/>
      <c r="BX816" s="319"/>
    </row>
    <row r="817" spans="1:76" s="303" customFormat="1" x14ac:dyDescent="0.25">
      <c r="A817" s="275"/>
      <c r="B817" s="275"/>
      <c r="C817" s="275"/>
      <c r="D817" s="275"/>
      <c r="E817" s="275"/>
      <c r="F817" s="275"/>
      <c r="V817" s="304"/>
      <c r="W817" s="304"/>
      <c r="AD817" s="304"/>
      <c r="AE817" s="304"/>
      <c r="AR817" s="304"/>
      <c r="AS817" s="304"/>
      <c r="AT817" s="304"/>
      <c r="AU817" s="304"/>
      <c r="AV817" s="304"/>
      <c r="AW817" s="304"/>
      <c r="AX817" s="304"/>
      <c r="AY817" s="304"/>
      <c r="AZ817" s="304"/>
      <c r="BA817" s="304"/>
      <c r="BB817" s="304"/>
      <c r="BC817" s="304"/>
      <c r="BK817" s="305"/>
      <c r="BL817" s="305"/>
      <c r="BM817" s="305"/>
      <c r="BN817" s="305"/>
      <c r="BO817" s="305"/>
      <c r="BP817" s="305"/>
      <c r="BQ817" s="305"/>
      <c r="BR817" s="305"/>
      <c r="BS817" s="305"/>
      <c r="BT817" s="305"/>
      <c r="BU817" s="305"/>
      <c r="BV817" s="305"/>
      <c r="BX817" s="319"/>
    </row>
    <row r="818" spans="1:76" s="303" customFormat="1" x14ac:dyDescent="0.25">
      <c r="A818" s="275"/>
      <c r="B818" s="275"/>
      <c r="C818" s="275"/>
      <c r="D818" s="275"/>
      <c r="E818" s="275"/>
      <c r="F818" s="275"/>
      <c r="V818" s="304"/>
      <c r="W818" s="304"/>
      <c r="AD818" s="304"/>
      <c r="AE818" s="304"/>
      <c r="AR818" s="304"/>
      <c r="AS818" s="304"/>
      <c r="AT818" s="304"/>
      <c r="AU818" s="304"/>
      <c r="AV818" s="304"/>
      <c r="AW818" s="304"/>
      <c r="AX818" s="304"/>
      <c r="AY818" s="304"/>
      <c r="AZ818" s="304"/>
      <c r="BA818" s="304"/>
      <c r="BB818" s="304"/>
      <c r="BC818" s="304"/>
      <c r="BK818" s="305"/>
      <c r="BL818" s="305"/>
      <c r="BM818" s="305"/>
      <c r="BN818" s="305"/>
      <c r="BO818" s="305"/>
      <c r="BP818" s="305"/>
      <c r="BQ818" s="305"/>
      <c r="BR818" s="305"/>
      <c r="BS818" s="305"/>
      <c r="BT818" s="305"/>
      <c r="BU818" s="305"/>
      <c r="BV818" s="305"/>
      <c r="BX818" s="319"/>
    </row>
    <row r="819" spans="1:76" s="303" customFormat="1" x14ac:dyDescent="0.25">
      <c r="A819" s="275"/>
      <c r="B819" s="275"/>
      <c r="C819" s="275"/>
      <c r="D819" s="275"/>
      <c r="E819" s="275"/>
      <c r="F819" s="275"/>
      <c r="V819" s="304"/>
      <c r="W819" s="304"/>
      <c r="AD819" s="304"/>
      <c r="AE819" s="304"/>
      <c r="AR819" s="304"/>
      <c r="AS819" s="304"/>
      <c r="AT819" s="304"/>
      <c r="AU819" s="304"/>
      <c r="AV819" s="304"/>
      <c r="AW819" s="304"/>
      <c r="AX819" s="304"/>
      <c r="AY819" s="304"/>
      <c r="AZ819" s="304"/>
      <c r="BA819" s="304"/>
      <c r="BB819" s="304"/>
      <c r="BC819" s="304"/>
      <c r="BK819" s="305"/>
      <c r="BL819" s="305"/>
      <c r="BM819" s="305"/>
      <c r="BN819" s="305"/>
      <c r="BO819" s="305"/>
      <c r="BP819" s="305"/>
      <c r="BQ819" s="305"/>
      <c r="BR819" s="305"/>
      <c r="BS819" s="305"/>
      <c r="BT819" s="305"/>
      <c r="BU819" s="305"/>
      <c r="BV819" s="305"/>
      <c r="BX819" s="319"/>
    </row>
    <row r="820" spans="1:76" s="303" customFormat="1" x14ac:dyDescent="0.25">
      <c r="A820" s="275"/>
      <c r="B820" s="275"/>
      <c r="C820" s="275"/>
      <c r="D820" s="275"/>
      <c r="E820" s="275"/>
      <c r="F820" s="275"/>
      <c r="V820" s="304"/>
      <c r="W820" s="304"/>
      <c r="AD820" s="304"/>
      <c r="AE820" s="304"/>
      <c r="AR820" s="304"/>
      <c r="AS820" s="304"/>
      <c r="AT820" s="304"/>
      <c r="AU820" s="304"/>
      <c r="AV820" s="304"/>
      <c r="AW820" s="304"/>
      <c r="AX820" s="304"/>
      <c r="AY820" s="304"/>
      <c r="AZ820" s="304"/>
      <c r="BA820" s="304"/>
      <c r="BB820" s="304"/>
      <c r="BC820" s="304"/>
      <c r="BK820" s="305"/>
      <c r="BL820" s="305"/>
      <c r="BM820" s="305"/>
      <c r="BN820" s="305"/>
      <c r="BO820" s="305"/>
      <c r="BP820" s="305"/>
      <c r="BQ820" s="305"/>
      <c r="BR820" s="305"/>
      <c r="BS820" s="305"/>
      <c r="BT820" s="305"/>
      <c r="BU820" s="305"/>
      <c r="BV820" s="305"/>
      <c r="BX820" s="319"/>
    </row>
    <row r="821" spans="1:76" s="303" customFormat="1" x14ac:dyDescent="0.25">
      <c r="A821" s="275"/>
      <c r="B821" s="275"/>
      <c r="C821" s="275"/>
      <c r="D821" s="275"/>
      <c r="E821" s="275"/>
      <c r="F821" s="275"/>
      <c r="V821" s="304"/>
      <c r="W821" s="304"/>
      <c r="AD821" s="304"/>
      <c r="AE821" s="304"/>
      <c r="AR821" s="304"/>
      <c r="AS821" s="304"/>
      <c r="AT821" s="304"/>
      <c r="AU821" s="304"/>
      <c r="AV821" s="304"/>
      <c r="AW821" s="304"/>
      <c r="AX821" s="304"/>
      <c r="AY821" s="304"/>
      <c r="AZ821" s="304"/>
      <c r="BA821" s="304"/>
      <c r="BB821" s="304"/>
      <c r="BC821" s="304"/>
      <c r="BK821" s="305"/>
      <c r="BL821" s="305"/>
      <c r="BM821" s="305"/>
      <c r="BN821" s="305"/>
      <c r="BO821" s="305"/>
      <c r="BP821" s="305"/>
      <c r="BQ821" s="305"/>
      <c r="BR821" s="305"/>
      <c r="BS821" s="305"/>
      <c r="BT821" s="305"/>
      <c r="BU821" s="305"/>
      <c r="BV821" s="305"/>
      <c r="BX821" s="319"/>
    </row>
    <row r="822" spans="1:76" s="303" customFormat="1" x14ac:dyDescent="0.25">
      <c r="A822" s="275"/>
      <c r="B822" s="275"/>
      <c r="C822" s="275"/>
      <c r="D822" s="275"/>
      <c r="E822" s="275"/>
      <c r="F822" s="275"/>
      <c r="V822" s="304"/>
      <c r="W822" s="304"/>
      <c r="AD822" s="304"/>
      <c r="AE822" s="304"/>
      <c r="AR822" s="304"/>
      <c r="AS822" s="304"/>
      <c r="AT822" s="304"/>
      <c r="AU822" s="304"/>
      <c r="AV822" s="304"/>
      <c r="AW822" s="304"/>
      <c r="AX822" s="304"/>
      <c r="AY822" s="304"/>
      <c r="AZ822" s="304"/>
      <c r="BA822" s="304"/>
      <c r="BB822" s="304"/>
      <c r="BC822" s="304"/>
      <c r="BK822" s="305"/>
      <c r="BL822" s="305"/>
      <c r="BM822" s="305"/>
      <c r="BN822" s="305"/>
      <c r="BO822" s="305"/>
      <c r="BP822" s="305"/>
      <c r="BQ822" s="305"/>
      <c r="BR822" s="305"/>
      <c r="BS822" s="305"/>
      <c r="BT822" s="305"/>
      <c r="BU822" s="305"/>
      <c r="BV822" s="305"/>
      <c r="BX822" s="319"/>
    </row>
    <row r="823" spans="1:76" s="303" customFormat="1" x14ac:dyDescent="0.25">
      <c r="A823" s="275"/>
      <c r="B823" s="275"/>
      <c r="C823" s="275"/>
      <c r="D823" s="275"/>
      <c r="E823" s="275"/>
      <c r="F823" s="275"/>
      <c r="V823" s="304"/>
      <c r="W823" s="304"/>
      <c r="AD823" s="304"/>
      <c r="AE823" s="304"/>
      <c r="AR823" s="304"/>
      <c r="AS823" s="304"/>
      <c r="AT823" s="304"/>
      <c r="AU823" s="304"/>
      <c r="AV823" s="304"/>
      <c r="AW823" s="304"/>
      <c r="AX823" s="304"/>
      <c r="AY823" s="304"/>
      <c r="AZ823" s="304"/>
      <c r="BA823" s="304"/>
      <c r="BB823" s="304"/>
      <c r="BC823" s="304"/>
      <c r="BK823" s="305"/>
      <c r="BL823" s="305"/>
      <c r="BM823" s="305"/>
      <c r="BN823" s="305"/>
      <c r="BO823" s="305"/>
      <c r="BP823" s="305"/>
      <c r="BQ823" s="305"/>
      <c r="BR823" s="305"/>
      <c r="BS823" s="305"/>
      <c r="BT823" s="305"/>
      <c r="BU823" s="305"/>
      <c r="BV823" s="305"/>
      <c r="BX823" s="319"/>
    </row>
    <row r="824" spans="1:76" s="303" customFormat="1" x14ac:dyDescent="0.25">
      <c r="A824" s="275"/>
      <c r="B824" s="275"/>
      <c r="C824" s="275"/>
      <c r="D824" s="275"/>
      <c r="E824" s="275"/>
      <c r="F824" s="275"/>
      <c r="V824" s="304"/>
      <c r="W824" s="304"/>
      <c r="AD824" s="304"/>
      <c r="AE824" s="304"/>
      <c r="AR824" s="304"/>
      <c r="AS824" s="304"/>
      <c r="AT824" s="304"/>
      <c r="AU824" s="304"/>
      <c r="AV824" s="304"/>
      <c r="AW824" s="304"/>
      <c r="AX824" s="304"/>
      <c r="AY824" s="304"/>
      <c r="AZ824" s="304"/>
      <c r="BA824" s="304"/>
      <c r="BB824" s="304"/>
      <c r="BC824" s="304"/>
      <c r="BK824" s="305"/>
      <c r="BL824" s="305"/>
      <c r="BM824" s="305"/>
      <c r="BN824" s="305"/>
      <c r="BO824" s="305"/>
      <c r="BP824" s="305"/>
      <c r="BQ824" s="305"/>
      <c r="BR824" s="305"/>
      <c r="BS824" s="305"/>
      <c r="BT824" s="305"/>
      <c r="BU824" s="305"/>
      <c r="BV824" s="305"/>
      <c r="BX824" s="319"/>
    </row>
    <row r="825" spans="1:76" s="303" customFormat="1" x14ac:dyDescent="0.25">
      <c r="A825" s="275"/>
      <c r="B825" s="275"/>
      <c r="C825" s="275"/>
      <c r="D825" s="275"/>
      <c r="E825" s="275"/>
      <c r="F825" s="275"/>
      <c r="V825" s="304"/>
      <c r="W825" s="304"/>
      <c r="AD825" s="304"/>
      <c r="AE825" s="304"/>
      <c r="AR825" s="304"/>
      <c r="AS825" s="304"/>
      <c r="AT825" s="304"/>
      <c r="AU825" s="304"/>
      <c r="AV825" s="304"/>
      <c r="AW825" s="304"/>
      <c r="AX825" s="304"/>
      <c r="AY825" s="304"/>
      <c r="AZ825" s="304"/>
      <c r="BA825" s="304"/>
      <c r="BB825" s="304"/>
      <c r="BC825" s="304"/>
      <c r="BK825" s="305"/>
      <c r="BL825" s="305"/>
      <c r="BM825" s="305"/>
      <c r="BN825" s="305"/>
      <c r="BO825" s="305"/>
      <c r="BP825" s="305"/>
      <c r="BQ825" s="305"/>
      <c r="BR825" s="305"/>
      <c r="BS825" s="305"/>
      <c r="BT825" s="305"/>
      <c r="BU825" s="305"/>
      <c r="BV825" s="305"/>
      <c r="BX825" s="319"/>
    </row>
    <row r="826" spans="1:76" s="303" customFormat="1" x14ac:dyDescent="0.25">
      <c r="A826" s="275"/>
      <c r="B826" s="275"/>
      <c r="C826" s="275"/>
      <c r="D826" s="275"/>
      <c r="E826" s="275"/>
      <c r="F826" s="275"/>
      <c r="V826" s="304"/>
      <c r="W826" s="304"/>
      <c r="AD826" s="304"/>
      <c r="AE826" s="304"/>
      <c r="AR826" s="304"/>
      <c r="AS826" s="304"/>
      <c r="AT826" s="304"/>
      <c r="AU826" s="304"/>
      <c r="AV826" s="304"/>
      <c r="AW826" s="304"/>
      <c r="AX826" s="304"/>
      <c r="AY826" s="304"/>
      <c r="AZ826" s="304"/>
      <c r="BA826" s="304"/>
      <c r="BB826" s="304"/>
      <c r="BC826" s="304"/>
      <c r="BK826" s="305"/>
      <c r="BL826" s="305"/>
      <c r="BM826" s="305"/>
      <c r="BN826" s="305"/>
      <c r="BO826" s="305"/>
      <c r="BP826" s="305"/>
      <c r="BQ826" s="305"/>
      <c r="BR826" s="305"/>
      <c r="BS826" s="305"/>
      <c r="BT826" s="305"/>
      <c r="BU826" s="305"/>
      <c r="BV826" s="305"/>
      <c r="BX826" s="319"/>
    </row>
    <row r="827" spans="1:76" s="303" customFormat="1" x14ac:dyDescent="0.25">
      <c r="A827" s="275"/>
      <c r="B827" s="275"/>
      <c r="C827" s="275"/>
      <c r="D827" s="275"/>
      <c r="E827" s="275"/>
      <c r="F827" s="275"/>
      <c r="V827" s="304"/>
      <c r="W827" s="304"/>
      <c r="AD827" s="304"/>
      <c r="AE827" s="304"/>
      <c r="AR827" s="304"/>
      <c r="AS827" s="304"/>
      <c r="AT827" s="304"/>
      <c r="AU827" s="304"/>
      <c r="AV827" s="304"/>
      <c r="AW827" s="304"/>
      <c r="AX827" s="304"/>
      <c r="AY827" s="304"/>
      <c r="AZ827" s="304"/>
      <c r="BA827" s="304"/>
      <c r="BB827" s="304"/>
      <c r="BC827" s="304"/>
      <c r="BK827" s="305"/>
      <c r="BL827" s="305"/>
      <c r="BM827" s="305"/>
      <c r="BN827" s="305"/>
      <c r="BO827" s="305"/>
      <c r="BP827" s="305"/>
      <c r="BQ827" s="305"/>
      <c r="BR827" s="305"/>
      <c r="BS827" s="305"/>
      <c r="BT827" s="305"/>
      <c r="BU827" s="305"/>
      <c r="BV827" s="305"/>
      <c r="BX827" s="319"/>
    </row>
    <row r="828" spans="1:76" s="303" customFormat="1" x14ac:dyDescent="0.25">
      <c r="A828" s="275"/>
      <c r="B828" s="275"/>
      <c r="C828" s="275"/>
      <c r="D828" s="275"/>
      <c r="E828" s="275"/>
      <c r="F828" s="275"/>
      <c r="V828" s="304"/>
      <c r="W828" s="304"/>
      <c r="AD828" s="304"/>
      <c r="AE828" s="304"/>
      <c r="AR828" s="304"/>
      <c r="AS828" s="304"/>
      <c r="AT828" s="304"/>
      <c r="AU828" s="304"/>
      <c r="AV828" s="304"/>
      <c r="AW828" s="304"/>
      <c r="AX828" s="304"/>
      <c r="AY828" s="304"/>
      <c r="AZ828" s="304"/>
      <c r="BA828" s="304"/>
      <c r="BB828" s="304"/>
      <c r="BC828" s="304"/>
      <c r="BK828" s="305"/>
      <c r="BL828" s="305"/>
      <c r="BM828" s="305"/>
      <c r="BN828" s="305"/>
      <c r="BO828" s="305"/>
      <c r="BP828" s="305"/>
      <c r="BQ828" s="305"/>
      <c r="BR828" s="305"/>
      <c r="BS828" s="305"/>
      <c r="BT828" s="305"/>
      <c r="BU828" s="305"/>
      <c r="BV828" s="305"/>
      <c r="BX828" s="319"/>
    </row>
    <row r="829" spans="1:76" s="303" customFormat="1" x14ac:dyDescent="0.25">
      <c r="A829" s="275"/>
      <c r="B829" s="275"/>
      <c r="C829" s="275"/>
      <c r="D829" s="275"/>
      <c r="E829" s="275"/>
      <c r="F829" s="275"/>
      <c r="V829" s="304"/>
      <c r="W829" s="304"/>
      <c r="AD829" s="304"/>
      <c r="AE829" s="304"/>
      <c r="AR829" s="304"/>
      <c r="AS829" s="304"/>
      <c r="AT829" s="304"/>
      <c r="AU829" s="304"/>
      <c r="AV829" s="304"/>
      <c r="AW829" s="304"/>
      <c r="AX829" s="304"/>
      <c r="AY829" s="304"/>
      <c r="AZ829" s="304"/>
      <c r="BA829" s="304"/>
      <c r="BB829" s="304"/>
      <c r="BC829" s="304"/>
      <c r="BK829" s="305"/>
      <c r="BL829" s="305"/>
      <c r="BM829" s="305"/>
      <c r="BN829" s="305"/>
      <c r="BO829" s="305"/>
      <c r="BP829" s="305"/>
      <c r="BQ829" s="305"/>
      <c r="BR829" s="305"/>
      <c r="BS829" s="305"/>
      <c r="BT829" s="305"/>
      <c r="BU829" s="305"/>
      <c r="BV829" s="305"/>
      <c r="BX829" s="319"/>
    </row>
    <row r="830" spans="1:76" s="303" customFormat="1" x14ac:dyDescent="0.25">
      <c r="A830" s="275"/>
      <c r="B830" s="275"/>
      <c r="C830" s="275"/>
      <c r="D830" s="275"/>
      <c r="E830" s="275"/>
      <c r="F830" s="275"/>
      <c r="V830" s="304"/>
      <c r="W830" s="304"/>
      <c r="AD830" s="304"/>
      <c r="AE830" s="304"/>
      <c r="AR830" s="304"/>
      <c r="AS830" s="304"/>
      <c r="AT830" s="304"/>
      <c r="AU830" s="304"/>
      <c r="AV830" s="304"/>
      <c r="AW830" s="304"/>
      <c r="AX830" s="304"/>
      <c r="AY830" s="304"/>
      <c r="AZ830" s="304"/>
      <c r="BA830" s="304"/>
      <c r="BB830" s="304"/>
      <c r="BC830" s="304"/>
      <c r="BK830" s="305"/>
      <c r="BL830" s="305"/>
      <c r="BM830" s="305"/>
      <c r="BN830" s="305"/>
      <c r="BO830" s="305"/>
      <c r="BP830" s="305"/>
      <c r="BQ830" s="305"/>
      <c r="BR830" s="305"/>
      <c r="BS830" s="305"/>
      <c r="BT830" s="305"/>
      <c r="BU830" s="305"/>
      <c r="BV830" s="305"/>
      <c r="BX830" s="319"/>
    </row>
    <row r="831" spans="1:76" s="303" customFormat="1" x14ac:dyDescent="0.25">
      <c r="A831" s="275"/>
      <c r="B831" s="275"/>
      <c r="C831" s="275"/>
      <c r="D831" s="275"/>
      <c r="E831" s="275"/>
      <c r="F831" s="275"/>
      <c r="V831" s="304"/>
      <c r="W831" s="304"/>
      <c r="AD831" s="304"/>
      <c r="AE831" s="304"/>
      <c r="AR831" s="304"/>
      <c r="AS831" s="304"/>
      <c r="AT831" s="304"/>
      <c r="AU831" s="304"/>
      <c r="AV831" s="304"/>
      <c r="AW831" s="304"/>
      <c r="AX831" s="304"/>
      <c r="AY831" s="304"/>
      <c r="AZ831" s="304"/>
      <c r="BA831" s="304"/>
      <c r="BB831" s="304"/>
      <c r="BC831" s="304"/>
      <c r="BK831" s="305"/>
      <c r="BL831" s="305"/>
      <c r="BM831" s="305"/>
      <c r="BN831" s="305"/>
      <c r="BO831" s="305"/>
      <c r="BP831" s="305"/>
      <c r="BQ831" s="305"/>
      <c r="BR831" s="305"/>
      <c r="BS831" s="305"/>
      <c r="BT831" s="305"/>
      <c r="BU831" s="305"/>
      <c r="BV831" s="305"/>
      <c r="BX831" s="319"/>
    </row>
    <row r="832" spans="1:76" s="303" customFormat="1" x14ac:dyDescent="0.25">
      <c r="A832" s="275"/>
      <c r="B832" s="275"/>
      <c r="C832" s="275"/>
      <c r="D832" s="275"/>
      <c r="E832" s="275"/>
      <c r="F832" s="275"/>
      <c r="V832" s="304"/>
      <c r="W832" s="304"/>
      <c r="AD832" s="304"/>
      <c r="AE832" s="304"/>
      <c r="AR832" s="304"/>
      <c r="AS832" s="304"/>
      <c r="AT832" s="304"/>
      <c r="AU832" s="304"/>
      <c r="AV832" s="304"/>
      <c r="AW832" s="304"/>
      <c r="AX832" s="304"/>
      <c r="AY832" s="304"/>
      <c r="AZ832" s="304"/>
      <c r="BA832" s="304"/>
      <c r="BB832" s="304"/>
      <c r="BC832" s="304"/>
      <c r="BK832" s="305"/>
      <c r="BL832" s="305"/>
      <c r="BM832" s="305"/>
      <c r="BN832" s="305"/>
      <c r="BO832" s="305"/>
      <c r="BP832" s="305"/>
      <c r="BQ832" s="305"/>
      <c r="BR832" s="305"/>
      <c r="BS832" s="305"/>
      <c r="BT832" s="305"/>
      <c r="BU832" s="305"/>
      <c r="BV832" s="305"/>
      <c r="BX832" s="319"/>
    </row>
    <row r="833" spans="1:76" s="303" customFormat="1" x14ac:dyDescent="0.25">
      <c r="A833" s="275"/>
      <c r="B833" s="275"/>
      <c r="C833" s="275"/>
      <c r="D833" s="275"/>
      <c r="E833" s="275"/>
      <c r="F833" s="275"/>
      <c r="V833" s="304"/>
      <c r="W833" s="304"/>
      <c r="AD833" s="304"/>
      <c r="AE833" s="304"/>
      <c r="AR833" s="304"/>
      <c r="AS833" s="304"/>
      <c r="AT833" s="304"/>
      <c r="AU833" s="304"/>
      <c r="AV833" s="304"/>
      <c r="AW833" s="304"/>
      <c r="AX833" s="304"/>
      <c r="AY833" s="304"/>
      <c r="AZ833" s="304"/>
      <c r="BA833" s="304"/>
      <c r="BB833" s="304"/>
      <c r="BC833" s="304"/>
      <c r="BK833" s="305"/>
      <c r="BL833" s="305"/>
      <c r="BM833" s="305"/>
      <c r="BN833" s="305"/>
      <c r="BO833" s="305"/>
      <c r="BP833" s="305"/>
      <c r="BQ833" s="305"/>
      <c r="BR833" s="305"/>
      <c r="BS833" s="305"/>
      <c r="BT833" s="305"/>
      <c r="BU833" s="305"/>
      <c r="BV833" s="305"/>
      <c r="BX833" s="319"/>
    </row>
    <row r="834" spans="1:76" s="303" customFormat="1" x14ac:dyDescent="0.25">
      <c r="A834" s="275"/>
      <c r="B834" s="275"/>
      <c r="C834" s="275"/>
      <c r="D834" s="275"/>
      <c r="E834" s="275"/>
      <c r="F834" s="275"/>
      <c r="V834" s="304"/>
      <c r="W834" s="304"/>
      <c r="AD834" s="304"/>
      <c r="AE834" s="304"/>
      <c r="AR834" s="304"/>
      <c r="AS834" s="304"/>
      <c r="AT834" s="304"/>
      <c r="AU834" s="304"/>
      <c r="AV834" s="304"/>
      <c r="AW834" s="304"/>
      <c r="AX834" s="304"/>
      <c r="AY834" s="304"/>
      <c r="AZ834" s="304"/>
      <c r="BA834" s="304"/>
      <c r="BB834" s="304"/>
      <c r="BC834" s="304"/>
      <c r="BK834" s="305"/>
      <c r="BL834" s="305"/>
      <c r="BM834" s="305"/>
      <c r="BN834" s="305"/>
      <c r="BO834" s="305"/>
      <c r="BP834" s="305"/>
      <c r="BQ834" s="305"/>
      <c r="BR834" s="305"/>
      <c r="BS834" s="305"/>
      <c r="BT834" s="305"/>
      <c r="BU834" s="305"/>
      <c r="BV834" s="305"/>
      <c r="BX834" s="319"/>
    </row>
    <row r="835" spans="1:76" s="303" customFormat="1" x14ac:dyDescent="0.25">
      <c r="A835" s="275"/>
      <c r="B835" s="275"/>
      <c r="C835" s="275"/>
      <c r="D835" s="275"/>
      <c r="E835" s="275"/>
      <c r="F835" s="275"/>
      <c r="V835" s="304"/>
      <c r="W835" s="304"/>
      <c r="AD835" s="304"/>
      <c r="AE835" s="304"/>
      <c r="AR835" s="304"/>
      <c r="AS835" s="304"/>
      <c r="AT835" s="304"/>
      <c r="AU835" s="304"/>
      <c r="AV835" s="304"/>
      <c r="AW835" s="304"/>
      <c r="AX835" s="304"/>
      <c r="AY835" s="304"/>
      <c r="AZ835" s="304"/>
      <c r="BA835" s="304"/>
      <c r="BB835" s="304"/>
      <c r="BC835" s="304"/>
      <c r="BK835" s="305"/>
      <c r="BL835" s="305"/>
      <c r="BM835" s="305"/>
      <c r="BN835" s="305"/>
      <c r="BO835" s="305"/>
      <c r="BP835" s="305"/>
      <c r="BQ835" s="305"/>
      <c r="BR835" s="305"/>
      <c r="BS835" s="305"/>
      <c r="BT835" s="305"/>
      <c r="BU835" s="305"/>
      <c r="BV835" s="305"/>
      <c r="BX835" s="319"/>
    </row>
    <row r="836" spans="1:76" s="303" customFormat="1" x14ac:dyDescent="0.25">
      <c r="A836" s="275"/>
      <c r="B836" s="275"/>
      <c r="C836" s="275"/>
      <c r="D836" s="275"/>
      <c r="E836" s="275"/>
      <c r="F836" s="275"/>
      <c r="V836" s="304"/>
      <c r="W836" s="304"/>
      <c r="AD836" s="304"/>
      <c r="AE836" s="304"/>
      <c r="AR836" s="304"/>
      <c r="AS836" s="304"/>
      <c r="AT836" s="304"/>
      <c r="AU836" s="304"/>
      <c r="AV836" s="304"/>
      <c r="AW836" s="304"/>
      <c r="AX836" s="304"/>
      <c r="AY836" s="304"/>
      <c r="AZ836" s="304"/>
      <c r="BA836" s="304"/>
      <c r="BB836" s="304"/>
      <c r="BC836" s="304"/>
      <c r="BK836" s="305"/>
      <c r="BL836" s="305"/>
      <c r="BM836" s="305"/>
      <c r="BN836" s="305"/>
      <c r="BO836" s="305"/>
      <c r="BP836" s="305"/>
      <c r="BQ836" s="305"/>
      <c r="BR836" s="305"/>
      <c r="BS836" s="305"/>
      <c r="BT836" s="305"/>
      <c r="BU836" s="305"/>
      <c r="BV836" s="305"/>
      <c r="BX836" s="319"/>
    </row>
    <row r="837" spans="1:76" s="303" customFormat="1" x14ac:dyDescent="0.25">
      <c r="A837" s="275"/>
      <c r="B837" s="275"/>
      <c r="C837" s="275"/>
      <c r="D837" s="275"/>
      <c r="E837" s="275"/>
      <c r="F837" s="275"/>
      <c r="V837" s="304"/>
      <c r="W837" s="304"/>
      <c r="AD837" s="304"/>
      <c r="AE837" s="304"/>
      <c r="AR837" s="304"/>
      <c r="AS837" s="304"/>
      <c r="AT837" s="304"/>
      <c r="AU837" s="304"/>
      <c r="AV837" s="304"/>
      <c r="AW837" s="304"/>
      <c r="AX837" s="304"/>
      <c r="AY837" s="304"/>
      <c r="AZ837" s="304"/>
      <c r="BA837" s="304"/>
      <c r="BB837" s="304"/>
      <c r="BC837" s="304"/>
      <c r="BK837" s="305"/>
      <c r="BL837" s="305"/>
      <c r="BM837" s="305"/>
      <c r="BN837" s="305"/>
      <c r="BO837" s="305"/>
      <c r="BP837" s="305"/>
      <c r="BQ837" s="305"/>
      <c r="BR837" s="305"/>
      <c r="BS837" s="305"/>
      <c r="BT837" s="305"/>
      <c r="BU837" s="305"/>
      <c r="BV837" s="305"/>
      <c r="BX837" s="319"/>
    </row>
    <row r="838" spans="1:76" s="303" customFormat="1" x14ac:dyDescent="0.25">
      <c r="A838" s="275"/>
      <c r="B838" s="275"/>
      <c r="C838" s="275"/>
      <c r="D838" s="275"/>
      <c r="E838" s="275"/>
      <c r="F838" s="275"/>
      <c r="V838" s="304"/>
      <c r="W838" s="304"/>
      <c r="AD838" s="304"/>
      <c r="AE838" s="304"/>
      <c r="AR838" s="304"/>
      <c r="AS838" s="304"/>
      <c r="AT838" s="304"/>
      <c r="AU838" s="304"/>
      <c r="AV838" s="304"/>
      <c r="AW838" s="304"/>
      <c r="AX838" s="304"/>
      <c r="AY838" s="304"/>
      <c r="AZ838" s="304"/>
      <c r="BA838" s="304"/>
      <c r="BB838" s="304"/>
      <c r="BC838" s="304"/>
      <c r="BK838" s="305"/>
      <c r="BL838" s="305"/>
      <c r="BM838" s="305"/>
      <c r="BN838" s="305"/>
      <c r="BO838" s="305"/>
      <c r="BP838" s="305"/>
      <c r="BQ838" s="305"/>
      <c r="BR838" s="305"/>
      <c r="BS838" s="305"/>
      <c r="BT838" s="305"/>
      <c r="BU838" s="305"/>
      <c r="BV838" s="305"/>
      <c r="BX838" s="319"/>
    </row>
    <row r="839" spans="1:76" s="303" customFormat="1" x14ac:dyDescent="0.25">
      <c r="A839" s="275"/>
      <c r="B839" s="275"/>
      <c r="C839" s="275"/>
      <c r="D839" s="275"/>
      <c r="E839" s="275"/>
      <c r="F839" s="275"/>
      <c r="V839" s="304"/>
      <c r="W839" s="304"/>
      <c r="AD839" s="304"/>
      <c r="AE839" s="304"/>
      <c r="AR839" s="304"/>
      <c r="AS839" s="304"/>
      <c r="AT839" s="304"/>
      <c r="AU839" s="304"/>
      <c r="AV839" s="304"/>
      <c r="AW839" s="304"/>
      <c r="AX839" s="304"/>
      <c r="AY839" s="304"/>
      <c r="AZ839" s="304"/>
      <c r="BA839" s="304"/>
      <c r="BB839" s="304"/>
      <c r="BC839" s="304"/>
      <c r="BK839" s="305"/>
      <c r="BL839" s="305"/>
      <c r="BM839" s="305"/>
      <c r="BN839" s="305"/>
      <c r="BO839" s="305"/>
      <c r="BP839" s="305"/>
      <c r="BQ839" s="305"/>
      <c r="BR839" s="305"/>
      <c r="BS839" s="305"/>
      <c r="BT839" s="305"/>
      <c r="BU839" s="305"/>
      <c r="BV839" s="305"/>
      <c r="BX839" s="319"/>
    </row>
    <row r="840" spans="1:76" s="303" customFormat="1" x14ac:dyDescent="0.25">
      <c r="A840" s="275"/>
      <c r="B840" s="275"/>
      <c r="C840" s="275"/>
      <c r="D840" s="275"/>
      <c r="E840" s="275"/>
      <c r="F840" s="275"/>
      <c r="V840" s="304"/>
      <c r="W840" s="304"/>
      <c r="AD840" s="304"/>
      <c r="AE840" s="304"/>
      <c r="AR840" s="304"/>
      <c r="AS840" s="304"/>
      <c r="AT840" s="304"/>
      <c r="AU840" s="304"/>
      <c r="AV840" s="304"/>
      <c r="AW840" s="304"/>
      <c r="AX840" s="304"/>
      <c r="AY840" s="304"/>
      <c r="AZ840" s="304"/>
      <c r="BA840" s="304"/>
      <c r="BB840" s="304"/>
      <c r="BC840" s="304"/>
      <c r="BK840" s="305"/>
      <c r="BL840" s="305"/>
      <c r="BM840" s="305"/>
      <c r="BN840" s="305"/>
      <c r="BO840" s="305"/>
      <c r="BP840" s="305"/>
      <c r="BQ840" s="305"/>
      <c r="BR840" s="305"/>
      <c r="BS840" s="305"/>
      <c r="BT840" s="305"/>
      <c r="BU840" s="305"/>
      <c r="BV840" s="305"/>
      <c r="BX840" s="319"/>
    </row>
    <row r="841" spans="1:76" s="303" customFormat="1" x14ac:dyDescent="0.25">
      <c r="A841" s="275"/>
      <c r="B841" s="275"/>
      <c r="C841" s="275"/>
      <c r="D841" s="275"/>
      <c r="E841" s="275"/>
      <c r="F841" s="275"/>
      <c r="V841" s="304"/>
      <c r="W841" s="304"/>
      <c r="AD841" s="304"/>
      <c r="AE841" s="304"/>
      <c r="AR841" s="304"/>
      <c r="AS841" s="304"/>
      <c r="AT841" s="304"/>
      <c r="AU841" s="304"/>
      <c r="AV841" s="304"/>
      <c r="AW841" s="304"/>
      <c r="AX841" s="304"/>
      <c r="AY841" s="304"/>
      <c r="AZ841" s="304"/>
      <c r="BA841" s="304"/>
      <c r="BB841" s="304"/>
      <c r="BC841" s="304"/>
      <c r="BK841" s="305"/>
      <c r="BL841" s="305"/>
      <c r="BM841" s="305"/>
      <c r="BN841" s="305"/>
      <c r="BO841" s="305"/>
      <c r="BP841" s="305"/>
      <c r="BQ841" s="305"/>
      <c r="BR841" s="305"/>
      <c r="BS841" s="305"/>
      <c r="BT841" s="305"/>
      <c r="BU841" s="305"/>
      <c r="BV841" s="305"/>
      <c r="BX841" s="319"/>
    </row>
    <row r="842" spans="1:76" s="303" customFormat="1" x14ac:dyDescent="0.25">
      <c r="A842" s="275"/>
      <c r="B842" s="275"/>
      <c r="C842" s="275"/>
      <c r="D842" s="275"/>
      <c r="E842" s="275"/>
      <c r="F842" s="275"/>
      <c r="V842" s="304"/>
      <c r="W842" s="304"/>
      <c r="AD842" s="304"/>
      <c r="AE842" s="304"/>
      <c r="AR842" s="304"/>
      <c r="AS842" s="304"/>
      <c r="AT842" s="304"/>
      <c r="AU842" s="304"/>
      <c r="AV842" s="304"/>
      <c r="AW842" s="304"/>
      <c r="AX842" s="304"/>
      <c r="AY842" s="304"/>
      <c r="AZ842" s="304"/>
      <c r="BA842" s="304"/>
      <c r="BB842" s="304"/>
      <c r="BC842" s="304"/>
      <c r="BK842" s="305"/>
      <c r="BL842" s="305"/>
      <c r="BM842" s="305"/>
      <c r="BN842" s="305"/>
      <c r="BO842" s="305"/>
      <c r="BP842" s="305"/>
      <c r="BQ842" s="305"/>
      <c r="BR842" s="305"/>
      <c r="BS842" s="305"/>
      <c r="BT842" s="305"/>
      <c r="BU842" s="305"/>
      <c r="BV842" s="305"/>
      <c r="BX842" s="319"/>
    </row>
    <row r="843" spans="1:76" s="303" customFormat="1" x14ac:dyDescent="0.25">
      <c r="A843" s="275"/>
      <c r="B843" s="275"/>
      <c r="C843" s="275"/>
      <c r="D843" s="275"/>
      <c r="E843" s="275"/>
      <c r="F843" s="275"/>
      <c r="V843" s="304"/>
      <c r="W843" s="304"/>
      <c r="AD843" s="304"/>
      <c r="AE843" s="304"/>
      <c r="AR843" s="304"/>
      <c r="AS843" s="304"/>
      <c r="AT843" s="304"/>
      <c r="AU843" s="304"/>
      <c r="AV843" s="304"/>
      <c r="AW843" s="304"/>
      <c r="AX843" s="304"/>
      <c r="AY843" s="304"/>
      <c r="AZ843" s="304"/>
      <c r="BA843" s="304"/>
      <c r="BB843" s="304"/>
      <c r="BC843" s="304"/>
      <c r="BK843" s="305"/>
      <c r="BL843" s="305"/>
      <c r="BM843" s="305"/>
      <c r="BN843" s="305"/>
      <c r="BO843" s="305"/>
      <c r="BP843" s="305"/>
      <c r="BQ843" s="305"/>
      <c r="BR843" s="305"/>
      <c r="BS843" s="305"/>
      <c r="BT843" s="305"/>
      <c r="BU843" s="305"/>
      <c r="BV843" s="305"/>
      <c r="BX843" s="319"/>
    </row>
    <row r="844" spans="1:76" s="303" customFormat="1" x14ac:dyDescent="0.25">
      <c r="A844" s="275"/>
      <c r="B844" s="275"/>
      <c r="C844" s="275"/>
      <c r="D844" s="275"/>
      <c r="E844" s="275"/>
      <c r="F844" s="275"/>
      <c r="V844" s="304"/>
      <c r="W844" s="304"/>
      <c r="AD844" s="304"/>
      <c r="AE844" s="304"/>
      <c r="AR844" s="304"/>
      <c r="AS844" s="304"/>
      <c r="AT844" s="304"/>
      <c r="AU844" s="304"/>
      <c r="AV844" s="304"/>
      <c r="AW844" s="304"/>
      <c r="AX844" s="304"/>
      <c r="AY844" s="304"/>
      <c r="AZ844" s="304"/>
      <c r="BA844" s="304"/>
      <c r="BB844" s="304"/>
      <c r="BC844" s="304"/>
      <c r="BK844" s="305"/>
      <c r="BL844" s="305"/>
      <c r="BM844" s="305"/>
      <c r="BN844" s="305"/>
      <c r="BO844" s="305"/>
      <c r="BP844" s="305"/>
      <c r="BQ844" s="305"/>
      <c r="BR844" s="305"/>
      <c r="BS844" s="305"/>
      <c r="BT844" s="305"/>
      <c r="BU844" s="305"/>
      <c r="BV844" s="305"/>
      <c r="BX844" s="319"/>
    </row>
    <row r="845" spans="1:76" s="303" customFormat="1" x14ac:dyDescent="0.25">
      <c r="A845" s="275"/>
      <c r="B845" s="275"/>
      <c r="C845" s="275"/>
      <c r="D845" s="275"/>
      <c r="E845" s="275"/>
      <c r="F845" s="275"/>
      <c r="V845" s="304"/>
      <c r="W845" s="304"/>
      <c r="AD845" s="304"/>
      <c r="AE845" s="304"/>
      <c r="AR845" s="304"/>
      <c r="AS845" s="304"/>
      <c r="AT845" s="304"/>
      <c r="AU845" s="304"/>
      <c r="AV845" s="304"/>
      <c r="AW845" s="304"/>
      <c r="AX845" s="304"/>
      <c r="AY845" s="304"/>
      <c r="AZ845" s="304"/>
      <c r="BA845" s="304"/>
      <c r="BB845" s="304"/>
      <c r="BC845" s="304"/>
      <c r="BK845" s="305"/>
      <c r="BL845" s="305"/>
      <c r="BM845" s="305"/>
      <c r="BN845" s="305"/>
      <c r="BO845" s="305"/>
      <c r="BP845" s="305"/>
      <c r="BQ845" s="305"/>
      <c r="BR845" s="305"/>
      <c r="BS845" s="305"/>
      <c r="BT845" s="305"/>
      <c r="BU845" s="305"/>
      <c r="BV845" s="305"/>
      <c r="BX845" s="319"/>
    </row>
    <row r="846" spans="1:76" s="303" customFormat="1" x14ac:dyDescent="0.25">
      <c r="A846" s="275"/>
      <c r="B846" s="275"/>
      <c r="C846" s="275"/>
      <c r="D846" s="275"/>
      <c r="E846" s="275"/>
      <c r="F846" s="275"/>
      <c r="V846" s="304"/>
      <c r="W846" s="304"/>
      <c r="AD846" s="304"/>
      <c r="AE846" s="304"/>
      <c r="AR846" s="304"/>
      <c r="AS846" s="304"/>
      <c r="AT846" s="304"/>
      <c r="AU846" s="304"/>
      <c r="AV846" s="304"/>
      <c r="AW846" s="304"/>
      <c r="AX846" s="304"/>
      <c r="AY846" s="304"/>
      <c r="AZ846" s="304"/>
      <c r="BA846" s="304"/>
      <c r="BB846" s="304"/>
      <c r="BC846" s="304"/>
      <c r="BK846" s="305"/>
      <c r="BL846" s="305"/>
      <c r="BM846" s="305"/>
      <c r="BN846" s="305"/>
      <c r="BO846" s="305"/>
      <c r="BP846" s="305"/>
      <c r="BQ846" s="305"/>
      <c r="BR846" s="305"/>
      <c r="BS846" s="305"/>
      <c r="BT846" s="305"/>
      <c r="BU846" s="305"/>
      <c r="BV846" s="305"/>
      <c r="BX846" s="319"/>
    </row>
    <row r="847" spans="1:76" s="303" customFormat="1" x14ac:dyDescent="0.25">
      <c r="A847" s="275"/>
      <c r="B847" s="275"/>
      <c r="C847" s="275"/>
      <c r="D847" s="275"/>
      <c r="E847" s="275"/>
      <c r="F847" s="275"/>
      <c r="V847" s="304"/>
      <c r="W847" s="304"/>
      <c r="AD847" s="304"/>
      <c r="AE847" s="304"/>
      <c r="AR847" s="304"/>
      <c r="AS847" s="304"/>
      <c r="AT847" s="304"/>
      <c r="AU847" s="304"/>
      <c r="AV847" s="304"/>
      <c r="AW847" s="304"/>
      <c r="AX847" s="304"/>
      <c r="AY847" s="304"/>
      <c r="AZ847" s="304"/>
      <c r="BA847" s="304"/>
      <c r="BB847" s="304"/>
      <c r="BC847" s="304"/>
      <c r="BK847" s="305"/>
      <c r="BL847" s="305"/>
      <c r="BM847" s="305"/>
      <c r="BN847" s="305"/>
      <c r="BO847" s="305"/>
      <c r="BP847" s="305"/>
      <c r="BQ847" s="305"/>
      <c r="BR847" s="305"/>
      <c r="BS847" s="305"/>
      <c r="BT847" s="305"/>
      <c r="BU847" s="305"/>
      <c r="BV847" s="305"/>
      <c r="BX847" s="319"/>
    </row>
    <row r="848" spans="1:76" s="303" customFormat="1" x14ac:dyDescent="0.25">
      <c r="A848" s="275"/>
      <c r="B848" s="275"/>
      <c r="C848" s="275"/>
      <c r="D848" s="275"/>
      <c r="E848" s="275"/>
      <c r="F848" s="275"/>
      <c r="V848" s="304"/>
      <c r="W848" s="304"/>
      <c r="AD848" s="304"/>
      <c r="AE848" s="304"/>
      <c r="AR848" s="304"/>
      <c r="AS848" s="304"/>
      <c r="AT848" s="304"/>
      <c r="AU848" s="304"/>
      <c r="AV848" s="304"/>
      <c r="AW848" s="304"/>
      <c r="AX848" s="304"/>
      <c r="AY848" s="304"/>
      <c r="AZ848" s="304"/>
      <c r="BA848" s="304"/>
      <c r="BB848" s="304"/>
      <c r="BC848" s="304"/>
      <c r="BK848" s="305"/>
      <c r="BL848" s="305"/>
      <c r="BM848" s="305"/>
      <c r="BN848" s="305"/>
      <c r="BO848" s="305"/>
      <c r="BP848" s="305"/>
      <c r="BQ848" s="305"/>
      <c r="BR848" s="305"/>
      <c r="BS848" s="305"/>
      <c r="BT848" s="305"/>
      <c r="BU848" s="305"/>
      <c r="BV848" s="305"/>
      <c r="BX848" s="319"/>
    </row>
    <row r="849" spans="1:76" s="303" customFormat="1" x14ac:dyDescent="0.25">
      <c r="A849" s="275"/>
      <c r="B849" s="275"/>
      <c r="C849" s="275"/>
      <c r="D849" s="275"/>
      <c r="E849" s="275"/>
      <c r="F849" s="275"/>
      <c r="V849" s="304"/>
      <c r="W849" s="304"/>
      <c r="AD849" s="304"/>
      <c r="AE849" s="304"/>
      <c r="AR849" s="304"/>
      <c r="AS849" s="304"/>
      <c r="AT849" s="304"/>
      <c r="AU849" s="304"/>
      <c r="AV849" s="304"/>
      <c r="AW849" s="304"/>
      <c r="AX849" s="304"/>
      <c r="AY849" s="304"/>
      <c r="AZ849" s="304"/>
      <c r="BA849" s="304"/>
      <c r="BB849" s="304"/>
      <c r="BC849" s="304"/>
      <c r="BK849" s="305"/>
      <c r="BL849" s="305"/>
      <c r="BM849" s="305"/>
      <c r="BN849" s="305"/>
      <c r="BO849" s="305"/>
      <c r="BP849" s="305"/>
      <c r="BQ849" s="305"/>
      <c r="BR849" s="305"/>
      <c r="BS849" s="305"/>
      <c r="BT849" s="305"/>
      <c r="BU849" s="305"/>
      <c r="BV849" s="305"/>
      <c r="BX849" s="319"/>
    </row>
    <row r="850" spans="1:76" s="303" customFormat="1" x14ac:dyDescent="0.25">
      <c r="A850" s="275"/>
      <c r="B850" s="275"/>
      <c r="C850" s="275"/>
      <c r="D850" s="275"/>
      <c r="E850" s="275"/>
      <c r="F850" s="275"/>
      <c r="V850" s="304"/>
      <c r="W850" s="304"/>
      <c r="AD850" s="304"/>
      <c r="AE850" s="304"/>
      <c r="AR850" s="304"/>
      <c r="AS850" s="304"/>
      <c r="AT850" s="304"/>
      <c r="AU850" s="304"/>
      <c r="AV850" s="304"/>
      <c r="AW850" s="304"/>
      <c r="AX850" s="304"/>
      <c r="AY850" s="304"/>
      <c r="AZ850" s="304"/>
      <c r="BA850" s="304"/>
      <c r="BB850" s="304"/>
      <c r="BC850" s="304"/>
      <c r="BK850" s="305"/>
      <c r="BL850" s="305"/>
      <c r="BM850" s="305"/>
      <c r="BN850" s="305"/>
      <c r="BO850" s="305"/>
      <c r="BP850" s="305"/>
      <c r="BQ850" s="305"/>
      <c r="BR850" s="305"/>
      <c r="BS850" s="305"/>
      <c r="BT850" s="305"/>
      <c r="BU850" s="305"/>
      <c r="BV850" s="305"/>
      <c r="BX850" s="319"/>
    </row>
    <row r="851" spans="1:76" s="303" customFormat="1" x14ac:dyDescent="0.25">
      <c r="A851" s="275"/>
      <c r="B851" s="275"/>
      <c r="C851" s="275"/>
      <c r="D851" s="275"/>
      <c r="E851" s="275"/>
      <c r="F851" s="275"/>
      <c r="V851" s="304"/>
      <c r="W851" s="304"/>
      <c r="AD851" s="304"/>
      <c r="AE851" s="304"/>
      <c r="AR851" s="304"/>
      <c r="AS851" s="304"/>
      <c r="AT851" s="304"/>
      <c r="AU851" s="304"/>
      <c r="AV851" s="304"/>
      <c r="AW851" s="304"/>
      <c r="AX851" s="304"/>
      <c r="AY851" s="304"/>
      <c r="AZ851" s="304"/>
      <c r="BA851" s="304"/>
      <c r="BB851" s="304"/>
      <c r="BC851" s="304"/>
      <c r="BK851" s="305"/>
      <c r="BL851" s="305"/>
      <c r="BM851" s="305"/>
      <c r="BN851" s="305"/>
      <c r="BO851" s="305"/>
      <c r="BP851" s="305"/>
      <c r="BQ851" s="305"/>
      <c r="BR851" s="305"/>
      <c r="BS851" s="305"/>
      <c r="BT851" s="305"/>
      <c r="BU851" s="305"/>
      <c r="BV851" s="305"/>
      <c r="BX851" s="319"/>
    </row>
    <row r="852" spans="1:76" s="303" customFormat="1" x14ac:dyDescent="0.25">
      <c r="A852" s="275"/>
      <c r="B852" s="275"/>
      <c r="C852" s="275"/>
      <c r="D852" s="275"/>
      <c r="E852" s="275"/>
      <c r="F852" s="275"/>
      <c r="V852" s="304"/>
      <c r="W852" s="304"/>
      <c r="AD852" s="304"/>
      <c r="AE852" s="304"/>
      <c r="AR852" s="304"/>
      <c r="AS852" s="304"/>
      <c r="AT852" s="304"/>
      <c r="AU852" s="304"/>
      <c r="AV852" s="304"/>
      <c r="AW852" s="304"/>
      <c r="AX852" s="304"/>
      <c r="AY852" s="304"/>
      <c r="AZ852" s="304"/>
      <c r="BA852" s="304"/>
      <c r="BB852" s="304"/>
      <c r="BC852" s="304"/>
      <c r="BK852" s="305"/>
      <c r="BL852" s="305"/>
      <c r="BM852" s="305"/>
      <c r="BN852" s="305"/>
      <c r="BO852" s="305"/>
      <c r="BP852" s="305"/>
      <c r="BQ852" s="305"/>
      <c r="BR852" s="305"/>
      <c r="BS852" s="305"/>
      <c r="BT852" s="305"/>
      <c r="BU852" s="305"/>
      <c r="BV852" s="305"/>
      <c r="BX852" s="319"/>
    </row>
    <row r="853" spans="1:76" s="303" customFormat="1" x14ac:dyDescent="0.25">
      <c r="A853" s="275"/>
      <c r="B853" s="275"/>
      <c r="C853" s="275"/>
      <c r="D853" s="275"/>
      <c r="E853" s="275"/>
      <c r="F853" s="275"/>
      <c r="V853" s="304"/>
      <c r="W853" s="304"/>
      <c r="AD853" s="304"/>
      <c r="AE853" s="304"/>
      <c r="AR853" s="304"/>
      <c r="AS853" s="304"/>
      <c r="AT853" s="304"/>
      <c r="AU853" s="304"/>
      <c r="AV853" s="304"/>
      <c r="AW853" s="304"/>
      <c r="AX853" s="304"/>
      <c r="AY853" s="304"/>
      <c r="AZ853" s="304"/>
      <c r="BA853" s="304"/>
      <c r="BB853" s="304"/>
      <c r="BC853" s="304"/>
      <c r="BK853" s="305"/>
      <c r="BL853" s="305"/>
      <c r="BM853" s="305"/>
      <c r="BN853" s="305"/>
      <c r="BO853" s="305"/>
      <c r="BP853" s="305"/>
      <c r="BQ853" s="305"/>
      <c r="BR853" s="305"/>
      <c r="BS853" s="305"/>
      <c r="BT853" s="305"/>
      <c r="BU853" s="305"/>
      <c r="BV853" s="305"/>
      <c r="BX853" s="319"/>
    </row>
    <row r="854" spans="1:76" s="303" customFormat="1" x14ac:dyDescent="0.25">
      <c r="A854" s="275"/>
      <c r="B854" s="275"/>
      <c r="C854" s="275"/>
      <c r="D854" s="275"/>
      <c r="E854" s="275"/>
      <c r="F854" s="275"/>
      <c r="V854" s="304"/>
      <c r="W854" s="304"/>
      <c r="AD854" s="304"/>
      <c r="AE854" s="304"/>
      <c r="AR854" s="304"/>
      <c r="AS854" s="304"/>
      <c r="AT854" s="304"/>
      <c r="AU854" s="304"/>
      <c r="AV854" s="304"/>
      <c r="AW854" s="304"/>
      <c r="AX854" s="304"/>
      <c r="AY854" s="304"/>
      <c r="AZ854" s="304"/>
      <c r="BA854" s="304"/>
      <c r="BB854" s="304"/>
      <c r="BC854" s="304"/>
      <c r="BK854" s="305"/>
      <c r="BL854" s="305"/>
      <c r="BM854" s="305"/>
      <c r="BN854" s="305"/>
      <c r="BO854" s="305"/>
      <c r="BP854" s="305"/>
      <c r="BQ854" s="305"/>
      <c r="BR854" s="305"/>
      <c r="BS854" s="305"/>
      <c r="BT854" s="305"/>
      <c r="BU854" s="305"/>
      <c r="BV854" s="305"/>
      <c r="BX854" s="319"/>
    </row>
    <row r="855" spans="1:76" s="303" customFormat="1" x14ac:dyDescent="0.25">
      <c r="A855" s="275"/>
      <c r="B855" s="275"/>
      <c r="C855" s="275"/>
      <c r="D855" s="275"/>
      <c r="E855" s="275"/>
      <c r="F855" s="275"/>
      <c r="V855" s="304"/>
      <c r="W855" s="304"/>
      <c r="AD855" s="304"/>
      <c r="AE855" s="304"/>
      <c r="AR855" s="304"/>
      <c r="AS855" s="304"/>
      <c r="AT855" s="304"/>
      <c r="AU855" s="304"/>
      <c r="AV855" s="304"/>
      <c r="AW855" s="304"/>
      <c r="AX855" s="304"/>
      <c r="AY855" s="304"/>
      <c r="AZ855" s="304"/>
      <c r="BA855" s="304"/>
      <c r="BB855" s="304"/>
      <c r="BC855" s="304"/>
      <c r="BK855" s="305"/>
      <c r="BL855" s="305"/>
      <c r="BM855" s="305"/>
      <c r="BN855" s="305"/>
      <c r="BO855" s="305"/>
      <c r="BP855" s="305"/>
      <c r="BQ855" s="305"/>
      <c r="BR855" s="305"/>
      <c r="BS855" s="305"/>
      <c r="BT855" s="305"/>
      <c r="BU855" s="305"/>
      <c r="BV855" s="305"/>
      <c r="BX855" s="319"/>
    </row>
    <row r="856" spans="1:76" s="303" customFormat="1" x14ac:dyDescent="0.25">
      <c r="A856" s="275"/>
      <c r="B856" s="275"/>
      <c r="C856" s="275"/>
      <c r="D856" s="275"/>
      <c r="E856" s="275"/>
      <c r="F856" s="275"/>
      <c r="V856" s="304"/>
      <c r="W856" s="304"/>
      <c r="AD856" s="304"/>
      <c r="AE856" s="304"/>
      <c r="AR856" s="304"/>
      <c r="AS856" s="304"/>
      <c r="AT856" s="304"/>
      <c r="AU856" s="304"/>
      <c r="AV856" s="304"/>
      <c r="AW856" s="304"/>
      <c r="AX856" s="304"/>
      <c r="AY856" s="304"/>
      <c r="AZ856" s="304"/>
      <c r="BA856" s="304"/>
      <c r="BB856" s="304"/>
      <c r="BC856" s="304"/>
      <c r="BK856" s="305"/>
      <c r="BL856" s="305"/>
      <c r="BM856" s="305"/>
      <c r="BN856" s="305"/>
      <c r="BO856" s="305"/>
      <c r="BP856" s="305"/>
      <c r="BQ856" s="305"/>
      <c r="BR856" s="305"/>
      <c r="BS856" s="305"/>
      <c r="BT856" s="305"/>
      <c r="BU856" s="305"/>
      <c r="BV856" s="305"/>
      <c r="BX856" s="319"/>
    </row>
    <row r="857" spans="1:76" s="303" customFormat="1" x14ac:dyDescent="0.25">
      <c r="A857" s="275"/>
      <c r="B857" s="275"/>
      <c r="C857" s="275"/>
      <c r="D857" s="275"/>
      <c r="E857" s="275"/>
      <c r="F857" s="275"/>
      <c r="V857" s="304"/>
      <c r="W857" s="304"/>
      <c r="AD857" s="304"/>
      <c r="AE857" s="304"/>
      <c r="AR857" s="304"/>
      <c r="AS857" s="304"/>
      <c r="AT857" s="304"/>
      <c r="AU857" s="304"/>
      <c r="AV857" s="304"/>
      <c r="AW857" s="304"/>
      <c r="AX857" s="304"/>
      <c r="AY857" s="304"/>
      <c r="AZ857" s="304"/>
      <c r="BA857" s="304"/>
      <c r="BB857" s="304"/>
      <c r="BC857" s="304"/>
      <c r="BK857" s="305"/>
      <c r="BL857" s="305"/>
      <c r="BM857" s="305"/>
      <c r="BN857" s="305"/>
      <c r="BO857" s="305"/>
      <c r="BP857" s="305"/>
      <c r="BQ857" s="305"/>
      <c r="BR857" s="305"/>
      <c r="BS857" s="305"/>
      <c r="BT857" s="305"/>
      <c r="BU857" s="305"/>
      <c r="BV857" s="305"/>
      <c r="BX857" s="319"/>
    </row>
    <row r="858" spans="1:76" s="303" customFormat="1" x14ac:dyDescent="0.25">
      <c r="A858" s="275"/>
      <c r="B858" s="275"/>
      <c r="C858" s="275"/>
      <c r="D858" s="275"/>
      <c r="E858" s="275"/>
      <c r="F858" s="275"/>
      <c r="V858" s="304"/>
      <c r="W858" s="304"/>
      <c r="AD858" s="304"/>
      <c r="AE858" s="304"/>
      <c r="AR858" s="304"/>
      <c r="AS858" s="304"/>
      <c r="AT858" s="304"/>
      <c r="AU858" s="304"/>
      <c r="AV858" s="304"/>
      <c r="AW858" s="304"/>
      <c r="AX858" s="304"/>
      <c r="AY858" s="304"/>
      <c r="AZ858" s="304"/>
      <c r="BA858" s="304"/>
      <c r="BB858" s="304"/>
      <c r="BC858" s="304"/>
      <c r="BK858" s="305"/>
      <c r="BL858" s="305"/>
      <c r="BM858" s="305"/>
      <c r="BN858" s="305"/>
      <c r="BO858" s="305"/>
      <c r="BP858" s="305"/>
      <c r="BQ858" s="305"/>
      <c r="BR858" s="305"/>
      <c r="BS858" s="305"/>
      <c r="BT858" s="305"/>
      <c r="BU858" s="305"/>
      <c r="BV858" s="305"/>
      <c r="BX858" s="319"/>
    </row>
    <row r="859" spans="1:76" s="303" customFormat="1" x14ac:dyDescent="0.25">
      <c r="A859" s="275"/>
      <c r="B859" s="275"/>
      <c r="C859" s="275"/>
      <c r="D859" s="275"/>
      <c r="E859" s="275"/>
      <c r="F859" s="275"/>
      <c r="V859" s="304"/>
      <c r="W859" s="304"/>
      <c r="AD859" s="304"/>
      <c r="AE859" s="304"/>
      <c r="AR859" s="304"/>
      <c r="AS859" s="304"/>
      <c r="AT859" s="304"/>
      <c r="AU859" s="304"/>
      <c r="AV859" s="304"/>
      <c r="AW859" s="304"/>
      <c r="AX859" s="304"/>
      <c r="AY859" s="304"/>
      <c r="AZ859" s="304"/>
      <c r="BA859" s="304"/>
      <c r="BB859" s="304"/>
      <c r="BC859" s="304"/>
      <c r="BK859" s="305"/>
      <c r="BL859" s="305"/>
      <c r="BM859" s="305"/>
      <c r="BN859" s="305"/>
      <c r="BO859" s="305"/>
      <c r="BP859" s="305"/>
      <c r="BQ859" s="305"/>
      <c r="BR859" s="305"/>
      <c r="BS859" s="305"/>
      <c r="BT859" s="305"/>
      <c r="BU859" s="305"/>
      <c r="BV859" s="305"/>
      <c r="BX859" s="319"/>
    </row>
    <row r="860" spans="1:76" s="303" customFormat="1" x14ac:dyDescent="0.25">
      <c r="A860" s="275"/>
      <c r="B860" s="275"/>
      <c r="C860" s="275"/>
      <c r="D860" s="275"/>
      <c r="E860" s="275"/>
      <c r="F860" s="275"/>
      <c r="V860" s="304"/>
      <c r="W860" s="304"/>
      <c r="AD860" s="304"/>
      <c r="AE860" s="304"/>
      <c r="AR860" s="304"/>
      <c r="AS860" s="304"/>
      <c r="AT860" s="304"/>
      <c r="AU860" s="304"/>
      <c r="AV860" s="304"/>
      <c r="AW860" s="304"/>
      <c r="AX860" s="304"/>
      <c r="AY860" s="304"/>
      <c r="AZ860" s="304"/>
      <c r="BA860" s="304"/>
      <c r="BB860" s="304"/>
      <c r="BC860" s="304"/>
      <c r="BK860" s="305"/>
      <c r="BL860" s="305"/>
      <c r="BM860" s="305"/>
      <c r="BN860" s="305"/>
      <c r="BO860" s="305"/>
      <c r="BP860" s="305"/>
      <c r="BQ860" s="305"/>
      <c r="BR860" s="305"/>
      <c r="BS860" s="305"/>
      <c r="BT860" s="305"/>
      <c r="BU860" s="305"/>
      <c r="BV860" s="305"/>
      <c r="BX860" s="319"/>
    </row>
    <row r="861" spans="1:76" s="303" customFormat="1" x14ac:dyDescent="0.25">
      <c r="A861" s="275"/>
      <c r="B861" s="275"/>
      <c r="C861" s="275"/>
      <c r="D861" s="275"/>
      <c r="E861" s="275"/>
      <c r="F861" s="275"/>
      <c r="V861" s="304"/>
      <c r="W861" s="304"/>
      <c r="AD861" s="304"/>
      <c r="AE861" s="304"/>
      <c r="AR861" s="304"/>
      <c r="AS861" s="304"/>
      <c r="AT861" s="304"/>
      <c r="AU861" s="304"/>
      <c r="AV861" s="304"/>
      <c r="AW861" s="304"/>
      <c r="AX861" s="304"/>
      <c r="AY861" s="304"/>
      <c r="AZ861" s="304"/>
      <c r="BA861" s="304"/>
      <c r="BB861" s="304"/>
      <c r="BC861" s="304"/>
      <c r="BK861" s="305"/>
      <c r="BL861" s="305"/>
      <c r="BM861" s="305"/>
      <c r="BN861" s="305"/>
      <c r="BO861" s="305"/>
      <c r="BP861" s="305"/>
      <c r="BQ861" s="305"/>
      <c r="BR861" s="305"/>
      <c r="BS861" s="305"/>
      <c r="BT861" s="305"/>
      <c r="BU861" s="305"/>
      <c r="BV861" s="305"/>
      <c r="BX861" s="319"/>
    </row>
    <row r="862" spans="1:76" s="303" customFormat="1" x14ac:dyDescent="0.25">
      <c r="A862" s="275"/>
      <c r="B862" s="275"/>
      <c r="C862" s="275"/>
      <c r="D862" s="275"/>
      <c r="E862" s="275"/>
      <c r="F862" s="275"/>
      <c r="V862" s="304"/>
      <c r="W862" s="304"/>
      <c r="AD862" s="304"/>
      <c r="AE862" s="304"/>
      <c r="AR862" s="304"/>
      <c r="AS862" s="304"/>
      <c r="AT862" s="304"/>
      <c r="AU862" s="304"/>
      <c r="AV862" s="304"/>
      <c r="AW862" s="304"/>
      <c r="AX862" s="304"/>
      <c r="AY862" s="304"/>
      <c r="AZ862" s="304"/>
      <c r="BA862" s="304"/>
      <c r="BB862" s="304"/>
      <c r="BC862" s="304"/>
      <c r="BK862" s="305"/>
      <c r="BL862" s="305"/>
      <c r="BM862" s="305"/>
      <c r="BN862" s="305"/>
      <c r="BO862" s="305"/>
      <c r="BP862" s="305"/>
      <c r="BQ862" s="305"/>
      <c r="BR862" s="305"/>
      <c r="BS862" s="305"/>
      <c r="BT862" s="305"/>
      <c r="BU862" s="305"/>
      <c r="BV862" s="305"/>
      <c r="BX862" s="319"/>
    </row>
    <row r="863" spans="1:76" s="303" customFormat="1" x14ac:dyDescent="0.25">
      <c r="A863" s="275"/>
      <c r="B863" s="275"/>
      <c r="C863" s="275"/>
      <c r="D863" s="275"/>
      <c r="E863" s="275"/>
      <c r="F863" s="275"/>
      <c r="V863" s="304"/>
      <c r="W863" s="304"/>
      <c r="AD863" s="304"/>
      <c r="AE863" s="304"/>
      <c r="AR863" s="304"/>
      <c r="AS863" s="304"/>
      <c r="AT863" s="304"/>
      <c r="AU863" s="304"/>
      <c r="AV863" s="304"/>
      <c r="AW863" s="304"/>
      <c r="AX863" s="304"/>
      <c r="AY863" s="304"/>
      <c r="AZ863" s="304"/>
      <c r="BA863" s="304"/>
      <c r="BB863" s="304"/>
      <c r="BC863" s="304"/>
      <c r="BK863" s="305"/>
      <c r="BL863" s="305"/>
      <c r="BM863" s="305"/>
      <c r="BN863" s="305"/>
      <c r="BO863" s="305"/>
      <c r="BP863" s="305"/>
      <c r="BQ863" s="305"/>
      <c r="BR863" s="305"/>
      <c r="BS863" s="305"/>
      <c r="BT863" s="305"/>
      <c r="BU863" s="305"/>
      <c r="BV863" s="305"/>
      <c r="BX863" s="319"/>
    </row>
    <row r="864" spans="1:76" s="303" customFormat="1" x14ac:dyDescent="0.25">
      <c r="A864" s="275"/>
      <c r="B864" s="275"/>
      <c r="C864" s="275"/>
      <c r="D864" s="275"/>
      <c r="E864" s="275"/>
      <c r="F864" s="275"/>
      <c r="V864" s="304"/>
      <c r="W864" s="304"/>
      <c r="AD864" s="304"/>
      <c r="AE864" s="304"/>
      <c r="AR864" s="304"/>
      <c r="AS864" s="304"/>
      <c r="AT864" s="304"/>
      <c r="AU864" s="304"/>
      <c r="AV864" s="304"/>
      <c r="AW864" s="304"/>
      <c r="AX864" s="304"/>
      <c r="AY864" s="304"/>
      <c r="AZ864" s="304"/>
      <c r="BA864" s="304"/>
      <c r="BB864" s="304"/>
      <c r="BC864" s="304"/>
      <c r="BK864" s="305"/>
      <c r="BL864" s="305"/>
      <c r="BM864" s="305"/>
      <c r="BN864" s="305"/>
      <c r="BO864" s="305"/>
      <c r="BP864" s="305"/>
      <c r="BQ864" s="305"/>
      <c r="BR864" s="305"/>
      <c r="BS864" s="305"/>
      <c r="BT864" s="305"/>
      <c r="BU864" s="305"/>
      <c r="BV864" s="305"/>
      <c r="BX864" s="319"/>
    </row>
    <row r="865" spans="1:76" s="303" customFormat="1" x14ac:dyDescent="0.25">
      <c r="A865" s="275"/>
      <c r="B865" s="275"/>
      <c r="C865" s="275"/>
      <c r="D865" s="275"/>
      <c r="E865" s="275"/>
      <c r="F865" s="275"/>
      <c r="V865" s="304"/>
      <c r="W865" s="304"/>
      <c r="AD865" s="304"/>
      <c r="AE865" s="304"/>
      <c r="AR865" s="304"/>
      <c r="AS865" s="304"/>
      <c r="AT865" s="304"/>
      <c r="AU865" s="304"/>
      <c r="AV865" s="304"/>
      <c r="AW865" s="304"/>
      <c r="AX865" s="304"/>
      <c r="AY865" s="304"/>
      <c r="AZ865" s="304"/>
      <c r="BA865" s="304"/>
      <c r="BB865" s="304"/>
      <c r="BC865" s="304"/>
      <c r="BK865" s="305"/>
      <c r="BL865" s="305"/>
      <c r="BM865" s="305"/>
      <c r="BN865" s="305"/>
      <c r="BO865" s="305"/>
      <c r="BP865" s="305"/>
      <c r="BQ865" s="305"/>
      <c r="BR865" s="305"/>
      <c r="BS865" s="305"/>
      <c r="BT865" s="305"/>
      <c r="BU865" s="305"/>
      <c r="BV865" s="305"/>
      <c r="BX865" s="319"/>
    </row>
    <row r="866" spans="1:76" s="303" customFormat="1" x14ac:dyDescent="0.25">
      <c r="A866" s="275"/>
      <c r="B866" s="275"/>
      <c r="C866" s="275"/>
      <c r="D866" s="275"/>
      <c r="E866" s="275"/>
      <c r="F866" s="275"/>
      <c r="V866" s="304"/>
      <c r="W866" s="304"/>
      <c r="AD866" s="304"/>
      <c r="AE866" s="304"/>
      <c r="AR866" s="304"/>
      <c r="AS866" s="304"/>
      <c r="AT866" s="304"/>
      <c r="AU866" s="304"/>
      <c r="AV866" s="304"/>
      <c r="AW866" s="304"/>
      <c r="AX866" s="304"/>
      <c r="AY866" s="304"/>
      <c r="AZ866" s="304"/>
      <c r="BA866" s="304"/>
      <c r="BB866" s="304"/>
      <c r="BC866" s="304"/>
      <c r="BK866" s="305"/>
      <c r="BL866" s="305"/>
      <c r="BM866" s="305"/>
      <c r="BN866" s="305"/>
      <c r="BO866" s="305"/>
      <c r="BP866" s="305"/>
      <c r="BQ866" s="305"/>
      <c r="BR866" s="305"/>
      <c r="BS866" s="305"/>
      <c r="BT866" s="305"/>
      <c r="BU866" s="305"/>
      <c r="BV866" s="305"/>
      <c r="BX866" s="319"/>
    </row>
    <row r="867" spans="1:76" s="303" customFormat="1" x14ac:dyDescent="0.25">
      <c r="A867" s="275"/>
      <c r="B867" s="275"/>
      <c r="C867" s="275"/>
      <c r="D867" s="275"/>
      <c r="E867" s="275"/>
      <c r="F867" s="275"/>
      <c r="V867" s="304"/>
      <c r="W867" s="304"/>
      <c r="AD867" s="304"/>
      <c r="AE867" s="304"/>
      <c r="AR867" s="304"/>
      <c r="AS867" s="304"/>
      <c r="AT867" s="304"/>
      <c r="AU867" s="304"/>
      <c r="AV867" s="304"/>
      <c r="AW867" s="304"/>
      <c r="AX867" s="304"/>
      <c r="AY867" s="304"/>
      <c r="AZ867" s="304"/>
      <c r="BA867" s="304"/>
      <c r="BB867" s="304"/>
      <c r="BC867" s="304"/>
      <c r="BK867" s="305"/>
      <c r="BL867" s="305"/>
      <c r="BM867" s="305"/>
      <c r="BN867" s="305"/>
      <c r="BO867" s="305"/>
      <c r="BP867" s="305"/>
      <c r="BQ867" s="305"/>
      <c r="BR867" s="305"/>
      <c r="BS867" s="305"/>
      <c r="BT867" s="305"/>
      <c r="BU867" s="305"/>
      <c r="BV867" s="305"/>
      <c r="BX867" s="319"/>
    </row>
    <row r="868" spans="1:76" s="303" customFormat="1" x14ac:dyDescent="0.25">
      <c r="A868" s="275"/>
      <c r="B868" s="275"/>
      <c r="C868" s="275"/>
      <c r="D868" s="275"/>
      <c r="E868" s="275"/>
      <c r="F868" s="275"/>
      <c r="V868" s="304"/>
      <c r="W868" s="304"/>
      <c r="AD868" s="304"/>
      <c r="AE868" s="304"/>
      <c r="AR868" s="304"/>
      <c r="AS868" s="304"/>
      <c r="AT868" s="304"/>
      <c r="AU868" s="304"/>
      <c r="AV868" s="304"/>
      <c r="AW868" s="304"/>
      <c r="AX868" s="304"/>
      <c r="AY868" s="304"/>
      <c r="AZ868" s="304"/>
      <c r="BA868" s="304"/>
      <c r="BB868" s="304"/>
      <c r="BC868" s="304"/>
      <c r="BK868" s="305"/>
      <c r="BL868" s="305"/>
      <c r="BM868" s="305"/>
      <c r="BN868" s="305"/>
      <c r="BO868" s="305"/>
      <c r="BP868" s="305"/>
      <c r="BQ868" s="305"/>
      <c r="BR868" s="305"/>
      <c r="BS868" s="305"/>
      <c r="BT868" s="305"/>
      <c r="BU868" s="305"/>
      <c r="BV868" s="305"/>
      <c r="BX868" s="319"/>
    </row>
    <row r="869" spans="1:76" s="303" customFormat="1" x14ac:dyDescent="0.25">
      <c r="A869" s="275"/>
      <c r="B869" s="275"/>
      <c r="C869" s="275"/>
      <c r="D869" s="275"/>
      <c r="E869" s="275"/>
      <c r="F869" s="275"/>
      <c r="V869" s="304"/>
      <c r="W869" s="304"/>
      <c r="AD869" s="304"/>
      <c r="AE869" s="304"/>
      <c r="AR869" s="304"/>
      <c r="AS869" s="304"/>
      <c r="AT869" s="304"/>
      <c r="AU869" s="304"/>
      <c r="AV869" s="304"/>
      <c r="AW869" s="304"/>
      <c r="AX869" s="304"/>
      <c r="AY869" s="304"/>
      <c r="AZ869" s="304"/>
      <c r="BA869" s="304"/>
      <c r="BB869" s="304"/>
      <c r="BC869" s="304"/>
      <c r="BK869" s="305"/>
      <c r="BL869" s="305"/>
      <c r="BM869" s="305"/>
      <c r="BN869" s="305"/>
      <c r="BO869" s="305"/>
      <c r="BP869" s="305"/>
      <c r="BQ869" s="305"/>
      <c r="BR869" s="305"/>
      <c r="BS869" s="305"/>
      <c r="BT869" s="305"/>
      <c r="BU869" s="305"/>
      <c r="BV869" s="305"/>
      <c r="BX869" s="319"/>
    </row>
    <row r="870" spans="1:76" s="303" customFormat="1" x14ac:dyDescent="0.25">
      <c r="A870" s="275"/>
      <c r="B870" s="275"/>
      <c r="C870" s="275"/>
      <c r="D870" s="275"/>
      <c r="E870" s="275"/>
      <c r="F870" s="275"/>
      <c r="V870" s="304"/>
      <c r="W870" s="304"/>
      <c r="AD870" s="304"/>
      <c r="AE870" s="304"/>
      <c r="AR870" s="304"/>
      <c r="AS870" s="304"/>
      <c r="AT870" s="304"/>
      <c r="AU870" s="304"/>
      <c r="AV870" s="304"/>
      <c r="AW870" s="304"/>
      <c r="AX870" s="304"/>
      <c r="AY870" s="304"/>
      <c r="AZ870" s="304"/>
      <c r="BA870" s="304"/>
      <c r="BB870" s="304"/>
      <c r="BC870" s="304"/>
      <c r="BK870" s="305"/>
      <c r="BL870" s="305"/>
      <c r="BM870" s="305"/>
      <c r="BN870" s="305"/>
      <c r="BO870" s="305"/>
      <c r="BP870" s="305"/>
      <c r="BQ870" s="305"/>
      <c r="BR870" s="305"/>
      <c r="BS870" s="305"/>
      <c r="BT870" s="305"/>
      <c r="BU870" s="305"/>
      <c r="BV870" s="305"/>
      <c r="BX870" s="319"/>
    </row>
    <row r="871" spans="1:76" s="303" customFormat="1" x14ac:dyDescent="0.25">
      <c r="A871" s="275"/>
      <c r="B871" s="275"/>
      <c r="C871" s="275"/>
      <c r="D871" s="275"/>
      <c r="E871" s="275"/>
      <c r="F871" s="275"/>
      <c r="V871" s="304"/>
      <c r="W871" s="304"/>
      <c r="AD871" s="304"/>
      <c r="AE871" s="304"/>
      <c r="AR871" s="304"/>
      <c r="AS871" s="304"/>
      <c r="AT871" s="304"/>
      <c r="AU871" s="304"/>
      <c r="AV871" s="304"/>
      <c r="AW871" s="304"/>
      <c r="AX871" s="304"/>
      <c r="AY871" s="304"/>
      <c r="AZ871" s="304"/>
      <c r="BA871" s="304"/>
      <c r="BB871" s="304"/>
      <c r="BC871" s="304"/>
      <c r="BK871" s="305"/>
      <c r="BL871" s="305"/>
      <c r="BM871" s="305"/>
      <c r="BN871" s="305"/>
      <c r="BO871" s="305"/>
      <c r="BP871" s="305"/>
      <c r="BQ871" s="305"/>
      <c r="BR871" s="305"/>
      <c r="BS871" s="305"/>
      <c r="BT871" s="305"/>
      <c r="BU871" s="305"/>
      <c r="BV871" s="305"/>
      <c r="BX871" s="319"/>
    </row>
    <row r="872" spans="1:76" s="303" customFormat="1" x14ac:dyDescent="0.25">
      <c r="A872" s="275"/>
      <c r="B872" s="275"/>
      <c r="C872" s="275"/>
      <c r="D872" s="275"/>
      <c r="E872" s="275"/>
      <c r="F872" s="275"/>
      <c r="V872" s="304"/>
      <c r="W872" s="304"/>
      <c r="AD872" s="304"/>
      <c r="AE872" s="304"/>
      <c r="AR872" s="304"/>
      <c r="AS872" s="304"/>
      <c r="AT872" s="304"/>
      <c r="AU872" s="304"/>
      <c r="AV872" s="304"/>
      <c r="AW872" s="304"/>
      <c r="AX872" s="304"/>
      <c r="AY872" s="304"/>
      <c r="AZ872" s="304"/>
      <c r="BA872" s="304"/>
      <c r="BB872" s="304"/>
      <c r="BC872" s="304"/>
      <c r="BK872" s="305"/>
      <c r="BL872" s="305"/>
      <c r="BM872" s="305"/>
      <c r="BN872" s="305"/>
      <c r="BO872" s="305"/>
      <c r="BP872" s="305"/>
      <c r="BQ872" s="305"/>
      <c r="BR872" s="305"/>
      <c r="BS872" s="305"/>
      <c r="BT872" s="305"/>
      <c r="BU872" s="305"/>
      <c r="BV872" s="305"/>
      <c r="BX872" s="319"/>
    </row>
    <row r="873" spans="1:76" s="303" customFormat="1" x14ac:dyDescent="0.25">
      <c r="A873" s="275"/>
      <c r="B873" s="275"/>
      <c r="C873" s="275"/>
      <c r="D873" s="275"/>
      <c r="E873" s="275"/>
      <c r="F873" s="275"/>
      <c r="V873" s="304"/>
      <c r="W873" s="304"/>
      <c r="AD873" s="304"/>
      <c r="AE873" s="304"/>
      <c r="AR873" s="304"/>
      <c r="AS873" s="304"/>
      <c r="AT873" s="304"/>
      <c r="AU873" s="304"/>
      <c r="AV873" s="304"/>
      <c r="AW873" s="304"/>
      <c r="AX873" s="304"/>
      <c r="AY873" s="304"/>
      <c r="AZ873" s="304"/>
      <c r="BA873" s="304"/>
      <c r="BB873" s="304"/>
      <c r="BC873" s="304"/>
      <c r="BK873" s="305"/>
      <c r="BL873" s="305"/>
      <c r="BM873" s="305"/>
      <c r="BN873" s="305"/>
      <c r="BO873" s="305"/>
      <c r="BP873" s="305"/>
      <c r="BQ873" s="305"/>
      <c r="BR873" s="305"/>
      <c r="BS873" s="305"/>
      <c r="BT873" s="305"/>
      <c r="BU873" s="305"/>
      <c r="BV873" s="305"/>
      <c r="BX873" s="319"/>
    </row>
    <row r="874" spans="1:76" s="303" customFormat="1" x14ac:dyDescent="0.25">
      <c r="A874" s="275"/>
      <c r="B874" s="275"/>
      <c r="C874" s="275"/>
      <c r="D874" s="275"/>
      <c r="E874" s="275"/>
      <c r="F874" s="275"/>
      <c r="V874" s="304"/>
      <c r="W874" s="304"/>
      <c r="AD874" s="304"/>
      <c r="AE874" s="304"/>
      <c r="AR874" s="304"/>
      <c r="AS874" s="304"/>
      <c r="AT874" s="304"/>
      <c r="AU874" s="304"/>
      <c r="AV874" s="304"/>
      <c r="AW874" s="304"/>
      <c r="AX874" s="304"/>
      <c r="AY874" s="304"/>
      <c r="AZ874" s="304"/>
      <c r="BA874" s="304"/>
      <c r="BB874" s="304"/>
      <c r="BC874" s="304"/>
      <c r="BK874" s="305"/>
      <c r="BL874" s="305"/>
      <c r="BM874" s="305"/>
      <c r="BN874" s="305"/>
      <c r="BO874" s="305"/>
      <c r="BP874" s="305"/>
      <c r="BQ874" s="305"/>
      <c r="BR874" s="305"/>
      <c r="BS874" s="305"/>
      <c r="BT874" s="305"/>
      <c r="BU874" s="305"/>
      <c r="BV874" s="305"/>
      <c r="BX874" s="319"/>
    </row>
    <row r="875" spans="1:76" s="303" customFormat="1" x14ac:dyDescent="0.25">
      <c r="A875" s="275"/>
      <c r="B875" s="275"/>
      <c r="C875" s="275"/>
      <c r="D875" s="275"/>
      <c r="E875" s="275"/>
      <c r="F875" s="275"/>
      <c r="V875" s="304"/>
      <c r="W875" s="304"/>
      <c r="AD875" s="304"/>
      <c r="AE875" s="304"/>
      <c r="AR875" s="304"/>
      <c r="AS875" s="304"/>
      <c r="AT875" s="304"/>
      <c r="AU875" s="304"/>
      <c r="AV875" s="304"/>
      <c r="AW875" s="304"/>
      <c r="AX875" s="304"/>
      <c r="AY875" s="304"/>
      <c r="AZ875" s="304"/>
      <c r="BA875" s="304"/>
      <c r="BB875" s="304"/>
      <c r="BC875" s="304"/>
      <c r="BK875" s="305"/>
      <c r="BL875" s="305"/>
      <c r="BM875" s="305"/>
      <c r="BN875" s="305"/>
      <c r="BO875" s="305"/>
      <c r="BP875" s="305"/>
      <c r="BQ875" s="305"/>
      <c r="BR875" s="305"/>
      <c r="BS875" s="305"/>
      <c r="BT875" s="305"/>
      <c r="BU875" s="305"/>
      <c r="BV875" s="305"/>
      <c r="BX875" s="319"/>
    </row>
    <row r="876" spans="1:76" s="303" customFormat="1" x14ac:dyDescent="0.25">
      <c r="A876" s="275"/>
      <c r="B876" s="275"/>
      <c r="C876" s="275"/>
      <c r="D876" s="275"/>
      <c r="E876" s="275"/>
      <c r="F876" s="275"/>
      <c r="V876" s="304"/>
      <c r="W876" s="304"/>
      <c r="AD876" s="304"/>
      <c r="AE876" s="304"/>
      <c r="AR876" s="304"/>
      <c r="AS876" s="304"/>
      <c r="AT876" s="304"/>
      <c r="AU876" s="304"/>
      <c r="AV876" s="304"/>
      <c r="AW876" s="304"/>
      <c r="AX876" s="304"/>
      <c r="AY876" s="304"/>
      <c r="AZ876" s="304"/>
      <c r="BA876" s="304"/>
      <c r="BB876" s="304"/>
      <c r="BC876" s="304"/>
      <c r="BK876" s="305"/>
      <c r="BL876" s="305"/>
      <c r="BM876" s="305"/>
      <c r="BN876" s="305"/>
      <c r="BO876" s="305"/>
      <c r="BP876" s="305"/>
      <c r="BQ876" s="305"/>
      <c r="BR876" s="305"/>
      <c r="BS876" s="305"/>
      <c r="BT876" s="305"/>
      <c r="BU876" s="305"/>
      <c r="BV876" s="305"/>
      <c r="BX876" s="319"/>
    </row>
    <row r="877" spans="1:76" s="303" customFormat="1" x14ac:dyDescent="0.25">
      <c r="A877" s="275"/>
      <c r="B877" s="275"/>
      <c r="C877" s="275"/>
      <c r="D877" s="275"/>
      <c r="E877" s="275"/>
      <c r="F877" s="275"/>
      <c r="V877" s="304"/>
      <c r="W877" s="304"/>
      <c r="AD877" s="304"/>
      <c r="AE877" s="304"/>
      <c r="AR877" s="304"/>
      <c r="AS877" s="304"/>
      <c r="AT877" s="304"/>
      <c r="AU877" s="304"/>
      <c r="AV877" s="304"/>
      <c r="AW877" s="304"/>
      <c r="AX877" s="304"/>
      <c r="AY877" s="304"/>
      <c r="AZ877" s="304"/>
      <c r="BA877" s="304"/>
      <c r="BB877" s="304"/>
      <c r="BC877" s="304"/>
      <c r="BK877" s="305"/>
      <c r="BL877" s="305"/>
      <c r="BM877" s="305"/>
      <c r="BN877" s="305"/>
      <c r="BO877" s="305"/>
      <c r="BP877" s="305"/>
      <c r="BQ877" s="305"/>
      <c r="BR877" s="305"/>
      <c r="BS877" s="305"/>
      <c r="BT877" s="305"/>
      <c r="BU877" s="305"/>
      <c r="BV877" s="305"/>
      <c r="BX877" s="319"/>
    </row>
    <row r="878" spans="1:76" s="303" customFormat="1" x14ac:dyDescent="0.25">
      <c r="A878" s="275"/>
      <c r="B878" s="275"/>
      <c r="C878" s="275"/>
      <c r="D878" s="275"/>
      <c r="E878" s="275"/>
      <c r="F878" s="275"/>
      <c r="V878" s="304"/>
      <c r="W878" s="304"/>
      <c r="AD878" s="304"/>
      <c r="AE878" s="304"/>
      <c r="AR878" s="304"/>
      <c r="AS878" s="304"/>
      <c r="AT878" s="304"/>
      <c r="AU878" s="304"/>
      <c r="AV878" s="304"/>
      <c r="AW878" s="304"/>
      <c r="AX878" s="304"/>
      <c r="AY878" s="304"/>
      <c r="AZ878" s="304"/>
      <c r="BA878" s="304"/>
      <c r="BB878" s="304"/>
      <c r="BC878" s="304"/>
      <c r="BK878" s="305"/>
      <c r="BL878" s="305"/>
      <c r="BM878" s="305"/>
      <c r="BN878" s="305"/>
      <c r="BO878" s="305"/>
      <c r="BP878" s="305"/>
      <c r="BQ878" s="305"/>
      <c r="BR878" s="305"/>
      <c r="BS878" s="305"/>
      <c r="BT878" s="305"/>
      <c r="BU878" s="305"/>
      <c r="BV878" s="305"/>
      <c r="BX878" s="319"/>
    </row>
    <row r="879" spans="1:76" s="303" customFormat="1" x14ac:dyDescent="0.25">
      <c r="A879" s="275"/>
      <c r="B879" s="275"/>
      <c r="C879" s="275"/>
      <c r="D879" s="275"/>
      <c r="E879" s="275"/>
      <c r="F879" s="275"/>
      <c r="V879" s="304"/>
      <c r="W879" s="304"/>
      <c r="AD879" s="304"/>
      <c r="AE879" s="304"/>
      <c r="AR879" s="304"/>
      <c r="AS879" s="304"/>
      <c r="AT879" s="304"/>
      <c r="AU879" s="304"/>
      <c r="AV879" s="304"/>
      <c r="AW879" s="304"/>
      <c r="AX879" s="304"/>
      <c r="AY879" s="304"/>
      <c r="AZ879" s="304"/>
      <c r="BA879" s="304"/>
      <c r="BB879" s="304"/>
      <c r="BC879" s="304"/>
      <c r="BK879" s="305"/>
      <c r="BL879" s="305"/>
      <c r="BM879" s="305"/>
      <c r="BN879" s="305"/>
      <c r="BO879" s="305"/>
      <c r="BP879" s="305"/>
      <c r="BQ879" s="305"/>
      <c r="BR879" s="305"/>
      <c r="BS879" s="305"/>
      <c r="BT879" s="305"/>
      <c r="BU879" s="305"/>
      <c r="BV879" s="305"/>
      <c r="BX879" s="319"/>
    </row>
    <row r="880" spans="1:76" s="303" customFormat="1" x14ac:dyDescent="0.25">
      <c r="A880" s="275"/>
      <c r="B880" s="275"/>
      <c r="C880" s="275"/>
      <c r="D880" s="275"/>
      <c r="E880" s="275"/>
      <c r="F880" s="275"/>
      <c r="V880" s="304"/>
      <c r="W880" s="304"/>
      <c r="AD880" s="304"/>
      <c r="AE880" s="304"/>
      <c r="AR880" s="304"/>
      <c r="AS880" s="304"/>
      <c r="AT880" s="304"/>
      <c r="AU880" s="304"/>
      <c r="AV880" s="304"/>
      <c r="AW880" s="304"/>
      <c r="AX880" s="304"/>
      <c r="AY880" s="304"/>
      <c r="AZ880" s="304"/>
      <c r="BA880" s="304"/>
      <c r="BB880" s="304"/>
      <c r="BC880" s="304"/>
      <c r="BK880" s="305"/>
      <c r="BL880" s="305"/>
      <c r="BM880" s="305"/>
      <c r="BN880" s="305"/>
      <c r="BO880" s="305"/>
      <c r="BP880" s="305"/>
      <c r="BQ880" s="305"/>
      <c r="BR880" s="305"/>
      <c r="BS880" s="305"/>
      <c r="BT880" s="305"/>
      <c r="BU880" s="305"/>
      <c r="BV880" s="305"/>
      <c r="BX880" s="319"/>
    </row>
    <row r="881" spans="1:76" s="303" customFormat="1" x14ac:dyDescent="0.25">
      <c r="A881" s="275"/>
      <c r="B881" s="275"/>
      <c r="C881" s="275"/>
      <c r="D881" s="275"/>
      <c r="E881" s="275"/>
      <c r="F881" s="275"/>
      <c r="V881" s="304"/>
      <c r="W881" s="304"/>
      <c r="AD881" s="304"/>
      <c r="AE881" s="304"/>
      <c r="AR881" s="304"/>
      <c r="AS881" s="304"/>
      <c r="AT881" s="304"/>
      <c r="AU881" s="304"/>
      <c r="AV881" s="304"/>
      <c r="AW881" s="304"/>
      <c r="AX881" s="304"/>
      <c r="AY881" s="304"/>
      <c r="AZ881" s="304"/>
      <c r="BA881" s="304"/>
      <c r="BB881" s="304"/>
      <c r="BC881" s="304"/>
      <c r="BK881" s="305"/>
      <c r="BL881" s="305"/>
      <c r="BM881" s="305"/>
      <c r="BN881" s="305"/>
      <c r="BO881" s="305"/>
      <c r="BP881" s="305"/>
      <c r="BQ881" s="305"/>
      <c r="BR881" s="305"/>
      <c r="BS881" s="305"/>
      <c r="BT881" s="305"/>
      <c r="BU881" s="305"/>
      <c r="BV881" s="305"/>
      <c r="BX881" s="319"/>
    </row>
    <row r="882" spans="1:76" s="303" customFormat="1" x14ac:dyDescent="0.25">
      <c r="A882" s="275"/>
      <c r="B882" s="275"/>
      <c r="C882" s="275"/>
      <c r="D882" s="275"/>
      <c r="E882" s="275"/>
      <c r="F882" s="275"/>
      <c r="V882" s="304"/>
      <c r="W882" s="304"/>
      <c r="AD882" s="304"/>
      <c r="AE882" s="304"/>
      <c r="AR882" s="304"/>
      <c r="AS882" s="304"/>
      <c r="AT882" s="304"/>
      <c r="AU882" s="304"/>
      <c r="AV882" s="304"/>
      <c r="AW882" s="304"/>
      <c r="AX882" s="304"/>
      <c r="AY882" s="304"/>
      <c r="AZ882" s="304"/>
      <c r="BA882" s="304"/>
      <c r="BB882" s="304"/>
      <c r="BC882" s="304"/>
      <c r="BK882" s="305"/>
      <c r="BL882" s="305"/>
      <c r="BM882" s="305"/>
      <c r="BN882" s="305"/>
      <c r="BO882" s="305"/>
      <c r="BP882" s="305"/>
      <c r="BQ882" s="305"/>
      <c r="BR882" s="305"/>
      <c r="BS882" s="305"/>
      <c r="BT882" s="305"/>
      <c r="BU882" s="305"/>
      <c r="BV882" s="305"/>
      <c r="BX882" s="319"/>
    </row>
    <row r="883" spans="1:76" s="303" customFormat="1" x14ac:dyDescent="0.25">
      <c r="A883" s="275"/>
      <c r="B883" s="275"/>
      <c r="C883" s="275"/>
      <c r="D883" s="275"/>
      <c r="E883" s="275"/>
      <c r="F883" s="275"/>
      <c r="V883" s="304"/>
      <c r="W883" s="304"/>
      <c r="AD883" s="304"/>
      <c r="AE883" s="304"/>
      <c r="AR883" s="304"/>
      <c r="AS883" s="304"/>
      <c r="AT883" s="304"/>
      <c r="AU883" s="304"/>
      <c r="AV883" s="304"/>
      <c r="AW883" s="304"/>
      <c r="AX883" s="304"/>
      <c r="AY883" s="304"/>
      <c r="AZ883" s="304"/>
      <c r="BA883" s="304"/>
      <c r="BB883" s="304"/>
      <c r="BC883" s="304"/>
      <c r="BK883" s="305"/>
      <c r="BL883" s="305"/>
      <c r="BM883" s="305"/>
      <c r="BN883" s="305"/>
      <c r="BO883" s="305"/>
      <c r="BP883" s="305"/>
      <c r="BQ883" s="305"/>
      <c r="BR883" s="305"/>
      <c r="BS883" s="305"/>
      <c r="BT883" s="305"/>
      <c r="BU883" s="305"/>
      <c r="BV883" s="305"/>
      <c r="BX883" s="319"/>
    </row>
    <row r="884" spans="1:76" s="303" customFormat="1" x14ac:dyDescent="0.25">
      <c r="A884" s="275"/>
      <c r="B884" s="275"/>
      <c r="C884" s="275"/>
      <c r="D884" s="275"/>
      <c r="E884" s="275"/>
      <c r="F884" s="275"/>
      <c r="V884" s="304"/>
      <c r="W884" s="304"/>
      <c r="AD884" s="304"/>
      <c r="AE884" s="304"/>
      <c r="AR884" s="304"/>
      <c r="AS884" s="304"/>
      <c r="AT884" s="304"/>
      <c r="AU884" s="304"/>
      <c r="AV884" s="304"/>
      <c r="AW884" s="304"/>
      <c r="AX884" s="304"/>
      <c r="AY884" s="304"/>
      <c r="AZ884" s="304"/>
      <c r="BA884" s="304"/>
      <c r="BB884" s="304"/>
      <c r="BC884" s="304"/>
      <c r="BK884" s="305"/>
      <c r="BL884" s="305"/>
      <c r="BM884" s="305"/>
      <c r="BN884" s="305"/>
      <c r="BO884" s="305"/>
      <c r="BP884" s="305"/>
      <c r="BQ884" s="305"/>
      <c r="BR884" s="305"/>
      <c r="BS884" s="305"/>
      <c r="BT884" s="305"/>
      <c r="BU884" s="305"/>
      <c r="BV884" s="305"/>
      <c r="BX884" s="319"/>
    </row>
    <row r="885" spans="1:76" s="303" customFormat="1" x14ac:dyDescent="0.25">
      <c r="A885" s="275"/>
      <c r="B885" s="275"/>
      <c r="C885" s="275"/>
      <c r="D885" s="275"/>
      <c r="E885" s="275"/>
      <c r="F885" s="275"/>
      <c r="V885" s="304"/>
      <c r="W885" s="304"/>
      <c r="AD885" s="304"/>
      <c r="AE885" s="304"/>
      <c r="AR885" s="304"/>
      <c r="AS885" s="304"/>
      <c r="AT885" s="304"/>
      <c r="AU885" s="304"/>
      <c r="AV885" s="304"/>
      <c r="AW885" s="304"/>
      <c r="AX885" s="304"/>
      <c r="AY885" s="304"/>
      <c r="AZ885" s="304"/>
      <c r="BA885" s="304"/>
      <c r="BB885" s="304"/>
      <c r="BC885" s="304"/>
      <c r="BK885" s="305"/>
      <c r="BL885" s="305"/>
      <c r="BM885" s="305"/>
      <c r="BN885" s="305"/>
      <c r="BO885" s="305"/>
      <c r="BP885" s="305"/>
      <c r="BQ885" s="305"/>
      <c r="BR885" s="305"/>
      <c r="BS885" s="305"/>
      <c r="BT885" s="305"/>
      <c r="BU885" s="305"/>
      <c r="BV885" s="305"/>
      <c r="BX885" s="319"/>
    </row>
    <row r="886" spans="1:76" s="303" customFormat="1" x14ac:dyDescent="0.25">
      <c r="A886" s="275"/>
      <c r="B886" s="275"/>
      <c r="C886" s="275"/>
      <c r="D886" s="275"/>
      <c r="E886" s="275"/>
      <c r="F886" s="275"/>
      <c r="V886" s="304"/>
      <c r="W886" s="304"/>
      <c r="AD886" s="304"/>
      <c r="AE886" s="304"/>
      <c r="AR886" s="304"/>
      <c r="AS886" s="304"/>
      <c r="AT886" s="304"/>
      <c r="AU886" s="304"/>
      <c r="AV886" s="304"/>
      <c r="AW886" s="304"/>
      <c r="AX886" s="304"/>
      <c r="AY886" s="304"/>
      <c r="AZ886" s="304"/>
      <c r="BA886" s="304"/>
      <c r="BB886" s="304"/>
      <c r="BC886" s="304"/>
      <c r="BK886" s="305"/>
      <c r="BL886" s="305"/>
      <c r="BM886" s="305"/>
      <c r="BN886" s="305"/>
      <c r="BO886" s="305"/>
      <c r="BP886" s="305"/>
      <c r="BQ886" s="305"/>
      <c r="BR886" s="305"/>
      <c r="BS886" s="305"/>
      <c r="BT886" s="305"/>
      <c r="BU886" s="305"/>
      <c r="BV886" s="305"/>
      <c r="BX886" s="319"/>
    </row>
    <row r="887" spans="1:76" s="303" customFormat="1" x14ac:dyDescent="0.25">
      <c r="A887" s="275"/>
      <c r="B887" s="275"/>
      <c r="C887" s="275"/>
      <c r="D887" s="275"/>
      <c r="E887" s="275"/>
      <c r="F887" s="275"/>
      <c r="V887" s="304"/>
      <c r="W887" s="304"/>
      <c r="AD887" s="304"/>
      <c r="AE887" s="304"/>
      <c r="AR887" s="304"/>
      <c r="AS887" s="304"/>
      <c r="AT887" s="304"/>
      <c r="AU887" s="304"/>
      <c r="AV887" s="304"/>
      <c r="AW887" s="304"/>
      <c r="AX887" s="304"/>
      <c r="AY887" s="304"/>
      <c r="AZ887" s="304"/>
      <c r="BA887" s="304"/>
      <c r="BB887" s="304"/>
      <c r="BC887" s="304"/>
      <c r="BK887" s="305"/>
      <c r="BL887" s="305"/>
      <c r="BM887" s="305"/>
      <c r="BN887" s="305"/>
      <c r="BO887" s="305"/>
      <c r="BP887" s="305"/>
      <c r="BQ887" s="305"/>
      <c r="BR887" s="305"/>
      <c r="BS887" s="305"/>
      <c r="BT887" s="305"/>
      <c r="BU887" s="305"/>
      <c r="BV887" s="305"/>
      <c r="BX887" s="319"/>
    </row>
    <row r="888" spans="1:76" s="303" customFormat="1" x14ac:dyDescent="0.25">
      <c r="A888" s="275"/>
      <c r="B888" s="275"/>
      <c r="C888" s="275"/>
      <c r="D888" s="275"/>
      <c r="E888" s="275"/>
      <c r="F888" s="275"/>
      <c r="V888" s="304"/>
      <c r="W888" s="304"/>
      <c r="AD888" s="304"/>
      <c r="AE888" s="304"/>
      <c r="AR888" s="304"/>
      <c r="AS888" s="304"/>
      <c r="AT888" s="304"/>
      <c r="AU888" s="304"/>
      <c r="AV888" s="304"/>
      <c r="AW888" s="304"/>
      <c r="AX888" s="304"/>
      <c r="AY888" s="304"/>
      <c r="AZ888" s="304"/>
      <c r="BA888" s="304"/>
      <c r="BB888" s="304"/>
      <c r="BC888" s="304"/>
      <c r="BK888" s="305"/>
      <c r="BL888" s="305"/>
      <c r="BM888" s="305"/>
      <c r="BN888" s="305"/>
      <c r="BO888" s="305"/>
      <c r="BP888" s="305"/>
      <c r="BQ888" s="305"/>
      <c r="BR888" s="305"/>
      <c r="BS888" s="305"/>
      <c r="BT888" s="305"/>
      <c r="BU888" s="305"/>
      <c r="BV888" s="305"/>
      <c r="BX888" s="319"/>
    </row>
    <row r="889" spans="1:76" s="303" customFormat="1" x14ac:dyDescent="0.25">
      <c r="A889" s="275"/>
      <c r="B889" s="275"/>
      <c r="C889" s="275"/>
      <c r="D889" s="275"/>
      <c r="E889" s="275"/>
      <c r="F889" s="275"/>
      <c r="V889" s="304"/>
      <c r="W889" s="304"/>
      <c r="AD889" s="304"/>
      <c r="AE889" s="304"/>
      <c r="AR889" s="304"/>
      <c r="AS889" s="304"/>
      <c r="AT889" s="304"/>
      <c r="AU889" s="304"/>
      <c r="AV889" s="304"/>
      <c r="AW889" s="304"/>
      <c r="AX889" s="304"/>
      <c r="AY889" s="304"/>
      <c r="AZ889" s="304"/>
      <c r="BA889" s="304"/>
      <c r="BB889" s="304"/>
      <c r="BC889" s="304"/>
      <c r="BK889" s="305"/>
      <c r="BL889" s="305"/>
      <c r="BM889" s="305"/>
      <c r="BN889" s="305"/>
      <c r="BO889" s="305"/>
      <c r="BP889" s="305"/>
      <c r="BQ889" s="305"/>
      <c r="BR889" s="305"/>
      <c r="BS889" s="305"/>
      <c r="BT889" s="305"/>
      <c r="BU889" s="305"/>
      <c r="BV889" s="305"/>
      <c r="BX889" s="319"/>
    </row>
    <row r="890" spans="1:76" s="303" customFormat="1" x14ac:dyDescent="0.25">
      <c r="A890" s="275"/>
      <c r="B890" s="275"/>
      <c r="C890" s="275"/>
      <c r="D890" s="275"/>
      <c r="E890" s="275"/>
      <c r="F890" s="275"/>
      <c r="V890" s="304"/>
      <c r="W890" s="304"/>
      <c r="AD890" s="304"/>
      <c r="AE890" s="304"/>
      <c r="AR890" s="304"/>
      <c r="AS890" s="304"/>
      <c r="AT890" s="304"/>
      <c r="AU890" s="304"/>
      <c r="AV890" s="304"/>
      <c r="AW890" s="304"/>
      <c r="AX890" s="304"/>
      <c r="AY890" s="304"/>
      <c r="AZ890" s="304"/>
      <c r="BA890" s="304"/>
      <c r="BB890" s="304"/>
      <c r="BC890" s="304"/>
      <c r="BK890" s="305"/>
      <c r="BL890" s="305"/>
      <c r="BM890" s="305"/>
      <c r="BN890" s="305"/>
      <c r="BO890" s="305"/>
      <c r="BP890" s="305"/>
      <c r="BQ890" s="305"/>
      <c r="BR890" s="305"/>
      <c r="BS890" s="305"/>
      <c r="BT890" s="305"/>
      <c r="BU890" s="305"/>
      <c r="BV890" s="305"/>
      <c r="BX890" s="319"/>
    </row>
    <row r="891" spans="1:76" s="303" customFormat="1" x14ac:dyDescent="0.25">
      <c r="A891" s="275"/>
      <c r="B891" s="275"/>
      <c r="C891" s="275"/>
      <c r="D891" s="275"/>
      <c r="E891" s="275"/>
      <c r="F891" s="275"/>
      <c r="V891" s="304"/>
      <c r="W891" s="304"/>
      <c r="AD891" s="304"/>
      <c r="AE891" s="304"/>
      <c r="AR891" s="304"/>
      <c r="AS891" s="304"/>
      <c r="AT891" s="304"/>
      <c r="AU891" s="304"/>
      <c r="AV891" s="304"/>
      <c r="AW891" s="304"/>
      <c r="AX891" s="304"/>
      <c r="AY891" s="304"/>
      <c r="AZ891" s="304"/>
      <c r="BA891" s="304"/>
      <c r="BB891" s="304"/>
      <c r="BC891" s="304"/>
      <c r="BK891" s="305"/>
      <c r="BL891" s="305"/>
      <c r="BM891" s="305"/>
      <c r="BN891" s="305"/>
      <c r="BO891" s="305"/>
      <c r="BP891" s="305"/>
      <c r="BQ891" s="305"/>
      <c r="BR891" s="305"/>
      <c r="BS891" s="305"/>
      <c r="BT891" s="305"/>
      <c r="BU891" s="305"/>
      <c r="BV891" s="305"/>
      <c r="BX891" s="319"/>
    </row>
    <row r="892" spans="1:76" s="303" customFormat="1" x14ac:dyDescent="0.25">
      <c r="A892" s="275"/>
      <c r="B892" s="275"/>
      <c r="C892" s="275"/>
      <c r="D892" s="275"/>
      <c r="E892" s="275"/>
      <c r="F892" s="275"/>
      <c r="V892" s="304"/>
      <c r="W892" s="304"/>
      <c r="AD892" s="304"/>
      <c r="AE892" s="304"/>
      <c r="AR892" s="304"/>
      <c r="AS892" s="304"/>
      <c r="AT892" s="304"/>
      <c r="AU892" s="304"/>
      <c r="AV892" s="304"/>
      <c r="AW892" s="304"/>
      <c r="AX892" s="304"/>
      <c r="AY892" s="304"/>
      <c r="AZ892" s="304"/>
      <c r="BA892" s="304"/>
      <c r="BB892" s="304"/>
      <c r="BC892" s="304"/>
      <c r="BK892" s="305"/>
      <c r="BL892" s="305"/>
      <c r="BM892" s="305"/>
      <c r="BN892" s="305"/>
      <c r="BO892" s="305"/>
      <c r="BP892" s="305"/>
      <c r="BQ892" s="305"/>
      <c r="BR892" s="305"/>
      <c r="BS892" s="305"/>
      <c r="BT892" s="305"/>
      <c r="BU892" s="305"/>
      <c r="BV892" s="305"/>
      <c r="BX892" s="319"/>
    </row>
    <row r="893" spans="1:76" s="303" customFormat="1" x14ac:dyDescent="0.25">
      <c r="A893" s="275"/>
      <c r="B893" s="275"/>
      <c r="C893" s="275"/>
      <c r="D893" s="275"/>
      <c r="E893" s="275"/>
      <c r="F893" s="275"/>
      <c r="V893" s="304"/>
      <c r="W893" s="304"/>
      <c r="AD893" s="304"/>
      <c r="AE893" s="304"/>
      <c r="AR893" s="304"/>
      <c r="AS893" s="304"/>
      <c r="AT893" s="304"/>
      <c r="AU893" s="304"/>
      <c r="AV893" s="304"/>
      <c r="AW893" s="304"/>
      <c r="AX893" s="304"/>
      <c r="AY893" s="304"/>
      <c r="AZ893" s="304"/>
      <c r="BA893" s="304"/>
      <c r="BB893" s="304"/>
      <c r="BC893" s="304"/>
      <c r="BK893" s="305"/>
      <c r="BL893" s="305"/>
      <c r="BM893" s="305"/>
      <c r="BN893" s="305"/>
      <c r="BO893" s="305"/>
      <c r="BP893" s="305"/>
      <c r="BQ893" s="305"/>
      <c r="BR893" s="305"/>
      <c r="BS893" s="305"/>
      <c r="BT893" s="305"/>
      <c r="BU893" s="305"/>
      <c r="BV893" s="305"/>
      <c r="BX893" s="319"/>
    </row>
    <row r="894" spans="1:76" s="303" customFormat="1" x14ac:dyDescent="0.25">
      <c r="A894" s="275"/>
      <c r="B894" s="275"/>
      <c r="C894" s="275"/>
      <c r="D894" s="275"/>
      <c r="E894" s="275"/>
      <c r="F894" s="275"/>
      <c r="V894" s="304"/>
      <c r="W894" s="304"/>
      <c r="AD894" s="304"/>
      <c r="AE894" s="304"/>
      <c r="AR894" s="304"/>
      <c r="AS894" s="304"/>
      <c r="AT894" s="304"/>
      <c r="AU894" s="304"/>
      <c r="AV894" s="304"/>
      <c r="AW894" s="304"/>
      <c r="AX894" s="304"/>
      <c r="AY894" s="304"/>
      <c r="AZ894" s="304"/>
      <c r="BA894" s="304"/>
      <c r="BB894" s="304"/>
      <c r="BC894" s="304"/>
      <c r="BK894" s="305"/>
      <c r="BL894" s="305"/>
      <c r="BM894" s="305"/>
      <c r="BN894" s="305"/>
      <c r="BO894" s="305"/>
      <c r="BP894" s="305"/>
      <c r="BQ894" s="305"/>
      <c r="BR894" s="305"/>
      <c r="BS894" s="305"/>
      <c r="BT894" s="305"/>
      <c r="BU894" s="305"/>
      <c r="BV894" s="305"/>
      <c r="BX894" s="319"/>
    </row>
    <row r="895" spans="1:76" s="303" customFormat="1" x14ac:dyDescent="0.25">
      <c r="A895" s="275"/>
      <c r="B895" s="275"/>
      <c r="C895" s="275"/>
      <c r="D895" s="275"/>
      <c r="E895" s="275"/>
      <c r="F895" s="275"/>
      <c r="V895" s="304"/>
      <c r="W895" s="304"/>
      <c r="AD895" s="304"/>
      <c r="AE895" s="304"/>
      <c r="AR895" s="304"/>
      <c r="AS895" s="304"/>
      <c r="AT895" s="304"/>
      <c r="AU895" s="304"/>
      <c r="AV895" s="304"/>
      <c r="AW895" s="304"/>
      <c r="AX895" s="304"/>
      <c r="AY895" s="304"/>
      <c r="AZ895" s="304"/>
      <c r="BA895" s="304"/>
      <c r="BB895" s="304"/>
      <c r="BC895" s="304"/>
      <c r="BK895" s="305"/>
      <c r="BL895" s="305"/>
      <c r="BM895" s="305"/>
      <c r="BN895" s="305"/>
      <c r="BO895" s="305"/>
      <c r="BP895" s="305"/>
      <c r="BQ895" s="305"/>
      <c r="BR895" s="305"/>
      <c r="BS895" s="305"/>
      <c r="BT895" s="305"/>
      <c r="BU895" s="305"/>
      <c r="BV895" s="305"/>
      <c r="BX895" s="319"/>
    </row>
    <row r="896" spans="1:76" s="303" customFormat="1" x14ac:dyDescent="0.25">
      <c r="A896" s="275"/>
      <c r="B896" s="275"/>
      <c r="C896" s="275"/>
      <c r="D896" s="275"/>
      <c r="E896" s="275"/>
      <c r="F896" s="275"/>
      <c r="V896" s="304"/>
      <c r="W896" s="304"/>
      <c r="AD896" s="304"/>
      <c r="AE896" s="304"/>
      <c r="AR896" s="304"/>
      <c r="AS896" s="304"/>
      <c r="AT896" s="304"/>
      <c r="AU896" s="304"/>
      <c r="AV896" s="304"/>
      <c r="AW896" s="304"/>
      <c r="AX896" s="304"/>
      <c r="AY896" s="304"/>
      <c r="AZ896" s="304"/>
      <c r="BA896" s="304"/>
      <c r="BB896" s="304"/>
      <c r="BC896" s="304"/>
      <c r="BK896" s="305"/>
      <c r="BL896" s="305"/>
      <c r="BM896" s="305"/>
      <c r="BN896" s="305"/>
      <c r="BO896" s="305"/>
      <c r="BP896" s="305"/>
      <c r="BQ896" s="305"/>
      <c r="BR896" s="305"/>
      <c r="BS896" s="305"/>
      <c r="BT896" s="305"/>
      <c r="BU896" s="305"/>
      <c r="BV896" s="305"/>
      <c r="BX896" s="319"/>
    </row>
    <row r="897" spans="1:76" s="303" customFormat="1" x14ac:dyDescent="0.25">
      <c r="A897" s="275"/>
      <c r="B897" s="275"/>
      <c r="C897" s="275"/>
      <c r="D897" s="275"/>
      <c r="E897" s="275"/>
      <c r="F897" s="275"/>
      <c r="V897" s="304"/>
      <c r="W897" s="304"/>
      <c r="AD897" s="304"/>
      <c r="AE897" s="304"/>
      <c r="AR897" s="304"/>
      <c r="AS897" s="304"/>
      <c r="AT897" s="304"/>
      <c r="AU897" s="304"/>
      <c r="AV897" s="304"/>
      <c r="AW897" s="304"/>
      <c r="AX897" s="304"/>
      <c r="AY897" s="304"/>
      <c r="AZ897" s="304"/>
      <c r="BA897" s="304"/>
      <c r="BB897" s="304"/>
      <c r="BC897" s="304"/>
      <c r="BK897" s="305"/>
      <c r="BL897" s="305"/>
      <c r="BM897" s="305"/>
      <c r="BN897" s="305"/>
      <c r="BO897" s="305"/>
      <c r="BP897" s="305"/>
      <c r="BQ897" s="305"/>
      <c r="BR897" s="305"/>
      <c r="BS897" s="305"/>
      <c r="BT897" s="305"/>
      <c r="BU897" s="305"/>
      <c r="BV897" s="305"/>
      <c r="BX897" s="319"/>
    </row>
    <row r="898" spans="1:76" s="303" customFormat="1" x14ac:dyDescent="0.25">
      <c r="A898" s="275"/>
      <c r="B898" s="275"/>
      <c r="C898" s="275"/>
      <c r="D898" s="275"/>
      <c r="E898" s="275"/>
      <c r="F898" s="275"/>
      <c r="V898" s="304"/>
      <c r="W898" s="304"/>
      <c r="AD898" s="304"/>
      <c r="AE898" s="304"/>
      <c r="AR898" s="304"/>
      <c r="AS898" s="304"/>
      <c r="AT898" s="304"/>
      <c r="AU898" s="304"/>
      <c r="AV898" s="304"/>
      <c r="AW898" s="304"/>
      <c r="AX898" s="304"/>
      <c r="AY898" s="304"/>
      <c r="AZ898" s="304"/>
      <c r="BA898" s="304"/>
      <c r="BB898" s="304"/>
      <c r="BC898" s="304"/>
      <c r="BK898" s="305"/>
      <c r="BL898" s="305"/>
      <c r="BM898" s="305"/>
      <c r="BN898" s="305"/>
      <c r="BO898" s="305"/>
      <c r="BP898" s="305"/>
      <c r="BQ898" s="305"/>
      <c r="BR898" s="305"/>
      <c r="BS898" s="305"/>
      <c r="BT898" s="305"/>
      <c r="BU898" s="305"/>
      <c r="BV898" s="305"/>
      <c r="BX898" s="319"/>
    </row>
    <row r="899" spans="1:76" s="303" customFormat="1" x14ac:dyDescent="0.25">
      <c r="A899" s="275"/>
      <c r="B899" s="275"/>
      <c r="C899" s="275"/>
      <c r="D899" s="275"/>
      <c r="E899" s="275"/>
      <c r="F899" s="275"/>
      <c r="V899" s="304"/>
      <c r="W899" s="304"/>
      <c r="AD899" s="304"/>
      <c r="AE899" s="304"/>
      <c r="AR899" s="304"/>
      <c r="AS899" s="304"/>
      <c r="AT899" s="304"/>
      <c r="AU899" s="304"/>
      <c r="AV899" s="304"/>
      <c r="AW899" s="304"/>
      <c r="AX899" s="304"/>
      <c r="AY899" s="304"/>
      <c r="AZ899" s="304"/>
      <c r="BA899" s="304"/>
      <c r="BB899" s="304"/>
      <c r="BC899" s="304"/>
      <c r="BK899" s="305"/>
      <c r="BL899" s="305"/>
      <c r="BM899" s="305"/>
      <c r="BN899" s="305"/>
      <c r="BO899" s="305"/>
      <c r="BP899" s="305"/>
      <c r="BQ899" s="305"/>
      <c r="BR899" s="305"/>
      <c r="BS899" s="305"/>
      <c r="BT899" s="305"/>
      <c r="BU899" s="305"/>
      <c r="BV899" s="305"/>
      <c r="BX899" s="319"/>
    </row>
    <row r="900" spans="1:76" s="303" customFormat="1" x14ac:dyDescent="0.25">
      <c r="A900" s="275"/>
      <c r="B900" s="275"/>
      <c r="C900" s="275"/>
      <c r="D900" s="275"/>
      <c r="E900" s="275"/>
      <c r="F900" s="275"/>
      <c r="V900" s="304"/>
      <c r="W900" s="304"/>
      <c r="AD900" s="304"/>
      <c r="AE900" s="304"/>
      <c r="AR900" s="304"/>
      <c r="AS900" s="304"/>
      <c r="AT900" s="304"/>
      <c r="AU900" s="304"/>
      <c r="AV900" s="304"/>
      <c r="AW900" s="304"/>
      <c r="AX900" s="304"/>
      <c r="AY900" s="304"/>
      <c r="AZ900" s="304"/>
      <c r="BA900" s="304"/>
      <c r="BB900" s="304"/>
      <c r="BC900" s="304"/>
      <c r="BK900" s="305"/>
      <c r="BL900" s="305"/>
      <c r="BM900" s="305"/>
      <c r="BN900" s="305"/>
      <c r="BO900" s="305"/>
      <c r="BP900" s="305"/>
      <c r="BQ900" s="305"/>
      <c r="BR900" s="305"/>
      <c r="BS900" s="305"/>
      <c r="BT900" s="305"/>
      <c r="BU900" s="305"/>
      <c r="BV900" s="305"/>
      <c r="BX900" s="319"/>
    </row>
    <row r="901" spans="1:76" s="303" customFormat="1" x14ac:dyDescent="0.25">
      <c r="A901" s="275"/>
      <c r="B901" s="275"/>
      <c r="C901" s="275"/>
      <c r="D901" s="275"/>
      <c r="E901" s="275"/>
      <c r="F901" s="275"/>
      <c r="V901" s="304"/>
      <c r="W901" s="304"/>
      <c r="AD901" s="304"/>
      <c r="AE901" s="304"/>
      <c r="AR901" s="304"/>
      <c r="AS901" s="304"/>
      <c r="AT901" s="304"/>
      <c r="AU901" s="304"/>
      <c r="AV901" s="304"/>
      <c r="AW901" s="304"/>
      <c r="AX901" s="304"/>
      <c r="AY901" s="304"/>
      <c r="AZ901" s="304"/>
      <c r="BA901" s="304"/>
      <c r="BB901" s="304"/>
      <c r="BC901" s="304"/>
      <c r="BK901" s="305"/>
      <c r="BL901" s="305"/>
      <c r="BM901" s="305"/>
      <c r="BN901" s="305"/>
      <c r="BO901" s="305"/>
      <c r="BP901" s="305"/>
      <c r="BQ901" s="305"/>
      <c r="BR901" s="305"/>
      <c r="BS901" s="305"/>
      <c r="BT901" s="305"/>
      <c r="BU901" s="305"/>
      <c r="BV901" s="305"/>
      <c r="BX901" s="319"/>
    </row>
    <row r="902" spans="1:76" s="303" customFormat="1" x14ac:dyDescent="0.25">
      <c r="A902" s="275"/>
      <c r="B902" s="275"/>
      <c r="C902" s="275"/>
      <c r="D902" s="275"/>
      <c r="E902" s="275"/>
      <c r="F902" s="275"/>
      <c r="V902" s="304"/>
      <c r="W902" s="304"/>
      <c r="AD902" s="304"/>
      <c r="AE902" s="304"/>
      <c r="AR902" s="304"/>
      <c r="AS902" s="304"/>
      <c r="AT902" s="304"/>
      <c r="AU902" s="304"/>
      <c r="AV902" s="304"/>
      <c r="AW902" s="304"/>
      <c r="AX902" s="304"/>
      <c r="AY902" s="304"/>
      <c r="AZ902" s="304"/>
      <c r="BA902" s="304"/>
      <c r="BB902" s="304"/>
      <c r="BC902" s="304"/>
      <c r="BK902" s="305"/>
      <c r="BL902" s="305"/>
      <c r="BM902" s="305"/>
      <c r="BN902" s="305"/>
      <c r="BO902" s="305"/>
      <c r="BP902" s="305"/>
      <c r="BQ902" s="305"/>
      <c r="BR902" s="305"/>
      <c r="BS902" s="305"/>
      <c r="BT902" s="305"/>
      <c r="BU902" s="305"/>
      <c r="BV902" s="305"/>
      <c r="BX902" s="319"/>
    </row>
    <row r="903" spans="1:76" s="303" customFormat="1" x14ac:dyDescent="0.25">
      <c r="A903" s="275"/>
      <c r="B903" s="275"/>
      <c r="C903" s="275"/>
      <c r="D903" s="275"/>
      <c r="E903" s="275"/>
      <c r="F903" s="275"/>
      <c r="V903" s="304"/>
      <c r="W903" s="304"/>
      <c r="AD903" s="304"/>
      <c r="AE903" s="304"/>
      <c r="AR903" s="304"/>
      <c r="AS903" s="304"/>
      <c r="AT903" s="304"/>
      <c r="AU903" s="304"/>
      <c r="AV903" s="304"/>
      <c r="AW903" s="304"/>
      <c r="AX903" s="304"/>
      <c r="AY903" s="304"/>
      <c r="AZ903" s="304"/>
      <c r="BA903" s="304"/>
      <c r="BB903" s="304"/>
      <c r="BC903" s="304"/>
      <c r="BK903" s="305"/>
      <c r="BL903" s="305"/>
      <c r="BM903" s="305"/>
      <c r="BN903" s="305"/>
      <c r="BO903" s="305"/>
      <c r="BP903" s="305"/>
      <c r="BQ903" s="305"/>
      <c r="BR903" s="305"/>
      <c r="BS903" s="305"/>
      <c r="BT903" s="305"/>
      <c r="BU903" s="305"/>
      <c r="BV903" s="305"/>
      <c r="BX903" s="319"/>
    </row>
    <row r="904" spans="1:76" s="303" customFormat="1" x14ac:dyDescent="0.25">
      <c r="A904" s="275"/>
      <c r="B904" s="275"/>
      <c r="C904" s="275"/>
      <c r="D904" s="275"/>
      <c r="E904" s="275"/>
      <c r="F904" s="275"/>
      <c r="V904" s="304"/>
      <c r="W904" s="304"/>
      <c r="AD904" s="304"/>
      <c r="AE904" s="304"/>
      <c r="AR904" s="304"/>
      <c r="AS904" s="304"/>
      <c r="AT904" s="304"/>
      <c r="AU904" s="304"/>
      <c r="AV904" s="304"/>
      <c r="AW904" s="304"/>
      <c r="AX904" s="304"/>
      <c r="AY904" s="304"/>
      <c r="AZ904" s="304"/>
      <c r="BA904" s="304"/>
      <c r="BB904" s="304"/>
      <c r="BC904" s="304"/>
      <c r="BK904" s="305"/>
      <c r="BL904" s="305"/>
      <c r="BM904" s="305"/>
      <c r="BN904" s="305"/>
      <c r="BO904" s="305"/>
      <c r="BP904" s="305"/>
      <c r="BQ904" s="305"/>
      <c r="BR904" s="305"/>
      <c r="BS904" s="305"/>
      <c r="BT904" s="305"/>
      <c r="BU904" s="305"/>
      <c r="BV904" s="305"/>
      <c r="BX904" s="319"/>
    </row>
    <row r="905" spans="1:76" s="303" customFormat="1" x14ac:dyDescent="0.25">
      <c r="A905" s="275"/>
      <c r="B905" s="275"/>
      <c r="C905" s="275"/>
      <c r="D905" s="275"/>
      <c r="E905" s="275"/>
      <c r="F905" s="275"/>
      <c r="V905" s="304"/>
      <c r="W905" s="304"/>
      <c r="AD905" s="304"/>
      <c r="AE905" s="304"/>
      <c r="AR905" s="304"/>
      <c r="AS905" s="304"/>
      <c r="AT905" s="304"/>
      <c r="AU905" s="304"/>
      <c r="AV905" s="304"/>
      <c r="AW905" s="304"/>
      <c r="AX905" s="304"/>
      <c r="AY905" s="304"/>
      <c r="AZ905" s="304"/>
      <c r="BA905" s="304"/>
      <c r="BB905" s="304"/>
      <c r="BC905" s="304"/>
      <c r="BK905" s="305"/>
      <c r="BL905" s="305"/>
      <c r="BM905" s="305"/>
      <c r="BN905" s="305"/>
      <c r="BO905" s="305"/>
      <c r="BP905" s="305"/>
      <c r="BQ905" s="305"/>
      <c r="BR905" s="305"/>
      <c r="BS905" s="305"/>
      <c r="BT905" s="305"/>
      <c r="BU905" s="305"/>
      <c r="BV905" s="305"/>
      <c r="BX905" s="319"/>
    </row>
    <row r="906" spans="1:76" s="303" customFormat="1" x14ac:dyDescent="0.25">
      <c r="A906" s="275"/>
      <c r="B906" s="275"/>
      <c r="C906" s="275"/>
      <c r="D906" s="275"/>
      <c r="E906" s="275"/>
      <c r="F906" s="275"/>
      <c r="V906" s="304"/>
      <c r="W906" s="304"/>
      <c r="AD906" s="304"/>
      <c r="AE906" s="304"/>
      <c r="AR906" s="304"/>
      <c r="AS906" s="304"/>
      <c r="AT906" s="304"/>
      <c r="AU906" s="304"/>
      <c r="AV906" s="304"/>
      <c r="AW906" s="304"/>
      <c r="AX906" s="304"/>
      <c r="AY906" s="304"/>
      <c r="AZ906" s="304"/>
      <c r="BA906" s="304"/>
      <c r="BB906" s="304"/>
      <c r="BC906" s="304"/>
      <c r="BK906" s="305"/>
      <c r="BL906" s="305"/>
      <c r="BM906" s="305"/>
      <c r="BN906" s="305"/>
      <c r="BO906" s="305"/>
      <c r="BP906" s="305"/>
      <c r="BQ906" s="305"/>
      <c r="BR906" s="305"/>
      <c r="BS906" s="305"/>
      <c r="BT906" s="305"/>
      <c r="BU906" s="305"/>
      <c r="BV906" s="305"/>
      <c r="BX906" s="319"/>
    </row>
    <row r="907" spans="1:76" s="303" customFormat="1" x14ac:dyDescent="0.25">
      <c r="A907" s="275"/>
      <c r="B907" s="275"/>
      <c r="C907" s="275"/>
      <c r="D907" s="275"/>
      <c r="E907" s="275"/>
      <c r="F907" s="275"/>
      <c r="V907" s="304"/>
      <c r="W907" s="304"/>
      <c r="AD907" s="304"/>
      <c r="AE907" s="304"/>
      <c r="AR907" s="304"/>
      <c r="AS907" s="304"/>
      <c r="AT907" s="304"/>
      <c r="AU907" s="304"/>
      <c r="AV907" s="304"/>
      <c r="AW907" s="304"/>
      <c r="AX907" s="304"/>
      <c r="AY907" s="304"/>
      <c r="AZ907" s="304"/>
      <c r="BA907" s="304"/>
      <c r="BB907" s="304"/>
      <c r="BC907" s="304"/>
      <c r="BK907" s="305"/>
      <c r="BL907" s="305"/>
      <c r="BM907" s="305"/>
      <c r="BN907" s="305"/>
      <c r="BO907" s="305"/>
      <c r="BP907" s="305"/>
      <c r="BQ907" s="305"/>
      <c r="BR907" s="305"/>
      <c r="BS907" s="305"/>
      <c r="BT907" s="305"/>
      <c r="BU907" s="305"/>
      <c r="BV907" s="305"/>
      <c r="BX907" s="319"/>
    </row>
    <row r="908" spans="1:76" s="303" customFormat="1" x14ac:dyDescent="0.25">
      <c r="A908" s="275"/>
      <c r="B908" s="275"/>
      <c r="C908" s="275"/>
      <c r="D908" s="275"/>
      <c r="E908" s="275"/>
      <c r="F908" s="275"/>
      <c r="V908" s="304"/>
      <c r="W908" s="304"/>
      <c r="AD908" s="304"/>
      <c r="AE908" s="304"/>
      <c r="AR908" s="304"/>
      <c r="AS908" s="304"/>
      <c r="AT908" s="304"/>
      <c r="AU908" s="304"/>
      <c r="AV908" s="304"/>
      <c r="AW908" s="304"/>
      <c r="AX908" s="304"/>
      <c r="AY908" s="304"/>
      <c r="AZ908" s="304"/>
      <c r="BA908" s="304"/>
      <c r="BB908" s="304"/>
      <c r="BC908" s="304"/>
      <c r="BK908" s="305"/>
      <c r="BL908" s="305"/>
      <c r="BM908" s="305"/>
      <c r="BN908" s="305"/>
      <c r="BO908" s="305"/>
      <c r="BP908" s="305"/>
      <c r="BQ908" s="305"/>
      <c r="BR908" s="305"/>
      <c r="BS908" s="305"/>
      <c r="BT908" s="305"/>
      <c r="BU908" s="305"/>
      <c r="BV908" s="305"/>
      <c r="BX908" s="319"/>
    </row>
    <row r="909" spans="1:76" s="303" customFormat="1" x14ac:dyDescent="0.25">
      <c r="A909" s="275"/>
      <c r="B909" s="275"/>
      <c r="C909" s="275"/>
      <c r="D909" s="275"/>
      <c r="E909" s="275"/>
      <c r="F909" s="275"/>
      <c r="V909" s="304"/>
      <c r="W909" s="304"/>
      <c r="AD909" s="304"/>
      <c r="AE909" s="304"/>
      <c r="AR909" s="304"/>
      <c r="AS909" s="304"/>
      <c r="AT909" s="304"/>
      <c r="AU909" s="304"/>
      <c r="AV909" s="304"/>
      <c r="AW909" s="304"/>
      <c r="AX909" s="304"/>
      <c r="AY909" s="304"/>
      <c r="AZ909" s="304"/>
      <c r="BA909" s="304"/>
      <c r="BB909" s="304"/>
      <c r="BC909" s="304"/>
      <c r="BK909" s="305"/>
      <c r="BL909" s="305"/>
      <c r="BM909" s="305"/>
      <c r="BN909" s="305"/>
      <c r="BO909" s="305"/>
      <c r="BP909" s="305"/>
      <c r="BQ909" s="305"/>
      <c r="BR909" s="305"/>
      <c r="BS909" s="305"/>
      <c r="BT909" s="305"/>
      <c r="BU909" s="305"/>
      <c r="BV909" s="305"/>
      <c r="BX909" s="319"/>
    </row>
    <row r="910" spans="1:76" s="303" customFormat="1" x14ac:dyDescent="0.25">
      <c r="A910" s="275"/>
      <c r="B910" s="275"/>
      <c r="C910" s="275"/>
      <c r="D910" s="275"/>
      <c r="E910" s="275"/>
      <c r="F910" s="275"/>
      <c r="V910" s="304"/>
      <c r="W910" s="304"/>
      <c r="AD910" s="304"/>
      <c r="AE910" s="304"/>
      <c r="AR910" s="304"/>
      <c r="AS910" s="304"/>
      <c r="AT910" s="304"/>
      <c r="AU910" s="304"/>
      <c r="AV910" s="304"/>
      <c r="AW910" s="304"/>
      <c r="AX910" s="304"/>
      <c r="AY910" s="304"/>
      <c r="AZ910" s="304"/>
      <c r="BA910" s="304"/>
      <c r="BB910" s="304"/>
      <c r="BC910" s="304"/>
      <c r="BK910" s="305"/>
      <c r="BL910" s="305"/>
      <c r="BM910" s="305"/>
      <c r="BN910" s="305"/>
      <c r="BO910" s="305"/>
      <c r="BP910" s="305"/>
      <c r="BQ910" s="305"/>
      <c r="BR910" s="305"/>
      <c r="BS910" s="305"/>
      <c r="BT910" s="305"/>
      <c r="BU910" s="305"/>
      <c r="BV910" s="305"/>
      <c r="BX910" s="319"/>
    </row>
    <row r="911" spans="1:76" s="303" customFormat="1" x14ac:dyDescent="0.25">
      <c r="A911" s="275"/>
      <c r="B911" s="275"/>
      <c r="C911" s="275"/>
      <c r="D911" s="275"/>
      <c r="E911" s="275"/>
      <c r="F911" s="275"/>
      <c r="V911" s="304"/>
      <c r="W911" s="304"/>
      <c r="AD911" s="304"/>
      <c r="AE911" s="304"/>
      <c r="AR911" s="304"/>
      <c r="AS911" s="304"/>
      <c r="AT911" s="304"/>
      <c r="AU911" s="304"/>
      <c r="AV911" s="304"/>
      <c r="AW911" s="304"/>
      <c r="AX911" s="304"/>
      <c r="AY911" s="304"/>
      <c r="AZ911" s="304"/>
      <c r="BA911" s="304"/>
      <c r="BB911" s="304"/>
      <c r="BC911" s="304"/>
      <c r="BK911" s="305"/>
      <c r="BL911" s="305"/>
      <c r="BM911" s="305"/>
      <c r="BN911" s="305"/>
      <c r="BO911" s="305"/>
      <c r="BP911" s="305"/>
      <c r="BQ911" s="305"/>
      <c r="BR911" s="305"/>
      <c r="BS911" s="305"/>
      <c r="BT911" s="305"/>
      <c r="BU911" s="305"/>
      <c r="BV911" s="305"/>
      <c r="BX911" s="319"/>
    </row>
    <row r="912" spans="1:76" s="303" customFormat="1" x14ac:dyDescent="0.25">
      <c r="A912" s="275"/>
      <c r="B912" s="275"/>
      <c r="C912" s="275"/>
      <c r="D912" s="275"/>
      <c r="E912" s="275"/>
      <c r="F912" s="275"/>
      <c r="V912" s="304"/>
      <c r="W912" s="304"/>
      <c r="AD912" s="304"/>
      <c r="AE912" s="304"/>
      <c r="AR912" s="304"/>
      <c r="AS912" s="304"/>
      <c r="AT912" s="304"/>
      <c r="AU912" s="304"/>
      <c r="AV912" s="304"/>
      <c r="AW912" s="304"/>
      <c r="AX912" s="304"/>
      <c r="AY912" s="304"/>
      <c r="AZ912" s="304"/>
      <c r="BA912" s="304"/>
      <c r="BB912" s="304"/>
      <c r="BC912" s="304"/>
      <c r="BK912" s="305"/>
      <c r="BL912" s="305"/>
      <c r="BM912" s="305"/>
      <c r="BN912" s="305"/>
      <c r="BO912" s="305"/>
      <c r="BP912" s="305"/>
      <c r="BQ912" s="305"/>
      <c r="BR912" s="305"/>
      <c r="BS912" s="305"/>
      <c r="BT912" s="305"/>
      <c r="BU912" s="305"/>
      <c r="BV912" s="305"/>
      <c r="BX912" s="319"/>
    </row>
    <row r="913" spans="1:76" s="303" customFormat="1" x14ac:dyDescent="0.25">
      <c r="A913" s="275"/>
      <c r="B913" s="275"/>
      <c r="C913" s="275"/>
      <c r="D913" s="275"/>
      <c r="E913" s="275"/>
      <c r="F913" s="275"/>
      <c r="V913" s="304"/>
      <c r="W913" s="304"/>
      <c r="AD913" s="304"/>
      <c r="AE913" s="304"/>
      <c r="AR913" s="304"/>
      <c r="AS913" s="304"/>
      <c r="AT913" s="304"/>
      <c r="AU913" s="304"/>
      <c r="AV913" s="304"/>
      <c r="AW913" s="304"/>
      <c r="AX913" s="304"/>
      <c r="AY913" s="304"/>
      <c r="AZ913" s="304"/>
      <c r="BA913" s="304"/>
      <c r="BB913" s="304"/>
      <c r="BC913" s="304"/>
      <c r="BK913" s="305"/>
      <c r="BL913" s="305"/>
      <c r="BM913" s="305"/>
      <c r="BN913" s="305"/>
      <c r="BO913" s="305"/>
      <c r="BP913" s="305"/>
      <c r="BQ913" s="305"/>
      <c r="BR913" s="305"/>
      <c r="BS913" s="305"/>
      <c r="BT913" s="305"/>
      <c r="BU913" s="305"/>
      <c r="BV913" s="305"/>
      <c r="BX913" s="319"/>
    </row>
    <row r="914" spans="1:76" s="303" customFormat="1" x14ac:dyDescent="0.25">
      <c r="A914" s="275"/>
      <c r="B914" s="275"/>
      <c r="C914" s="275"/>
      <c r="D914" s="275"/>
      <c r="E914" s="275"/>
      <c r="F914" s="275"/>
      <c r="V914" s="304"/>
      <c r="W914" s="304"/>
      <c r="AD914" s="304"/>
      <c r="AE914" s="304"/>
      <c r="AR914" s="304"/>
      <c r="AS914" s="304"/>
      <c r="AT914" s="304"/>
      <c r="AU914" s="304"/>
      <c r="AV914" s="304"/>
      <c r="AW914" s="304"/>
      <c r="AX914" s="304"/>
      <c r="AY914" s="304"/>
      <c r="AZ914" s="304"/>
      <c r="BA914" s="304"/>
      <c r="BB914" s="304"/>
      <c r="BC914" s="304"/>
      <c r="BK914" s="305"/>
      <c r="BL914" s="305"/>
      <c r="BM914" s="305"/>
      <c r="BN914" s="305"/>
      <c r="BO914" s="305"/>
      <c r="BP914" s="305"/>
      <c r="BQ914" s="305"/>
      <c r="BR914" s="305"/>
      <c r="BS914" s="305"/>
      <c r="BT914" s="305"/>
      <c r="BU914" s="305"/>
      <c r="BV914" s="305"/>
      <c r="BX914" s="319"/>
    </row>
    <row r="915" spans="1:76" s="303" customFormat="1" x14ac:dyDescent="0.25">
      <c r="A915" s="275"/>
      <c r="B915" s="275"/>
      <c r="C915" s="275"/>
      <c r="D915" s="275"/>
      <c r="E915" s="275"/>
      <c r="F915" s="275"/>
      <c r="V915" s="304"/>
      <c r="W915" s="304"/>
      <c r="AD915" s="304"/>
      <c r="AE915" s="304"/>
      <c r="AR915" s="304"/>
      <c r="AS915" s="304"/>
      <c r="AT915" s="304"/>
      <c r="AU915" s="304"/>
      <c r="AV915" s="304"/>
      <c r="AW915" s="304"/>
      <c r="AX915" s="304"/>
      <c r="AY915" s="304"/>
      <c r="AZ915" s="304"/>
      <c r="BA915" s="304"/>
      <c r="BB915" s="304"/>
      <c r="BC915" s="304"/>
      <c r="BK915" s="305"/>
      <c r="BL915" s="305"/>
      <c r="BM915" s="305"/>
      <c r="BN915" s="305"/>
      <c r="BO915" s="305"/>
      <c r="BP915" s="305"/>
      <c r="BQ915" s="305"/>
      <c r="BR915" s="305"/>
      <c r="BS915" s="305"/>
      <c r="BT915" s="305"/>
      <c r="BU915" s="305"/>
      <c r="BV915" s="305"/>
      <c r="BX915" s="319"/>
    </row>
    <row r="916" spans="1:76" s="303" customFormat="1" x14ac:dyDescent="0.25">
      <c r="A916" s="275"/>
      <c r="B916" s="275"/>
      <c r="C916" s="275"/>
      <c r="D916" s="275"/>
      <c r="E916" s="275"/>
      <c r="F916" s="275"/>
      <c r="V916" s="304"/>
      <c r="W916" s="304"/>
      <c r="AD916" s="304"/>
      <c r="AE916" s="304"/>
      <c r="AR916" s="304"/>
      <c r="AS916" s="304"/>
      <c r="AT916" s="304"/>
      <c r="AU916" s="304"/>
      <c r="AV916" s="304"/>
      <c r="AW916" s="304"/>
      <c r="AX916" s="304"/>
      <c r="AY916" s="304"/>
      <c r="AZ916" s="304"/>
      <c r="BA916" s="304"/>
      <c r="BB916" s="304"/>
      <c r="BC916" s="304"/>
      <c r="BK916" s="305"/>
      <c r="BL916" s="305"/>
      <c r="BM916" s="305"/>
      <c r="BN916" s="305"/>
      <c r="BO916" s="305"/>
      <c r="BP916" s="305"/>
      <c r="BQ916" s="305"/>
      <c r="BR916" s="305"/>
      <c r="BS916" s="305"/>
      <c r="BT916" s="305"/>
      <c r="BU916" s="305"/>
      <c r="BV916" s="305"/>
      <c r="BX916" s="319"/>
    </row>
    <row r="917" spans="1:76" s="303" customFormat="1" x14ac:dyDescent="0.25">
      <c r="A917" s="275"/>
      <c r="B917" s="275"/>
      <c r="C917" s="275"/>
      <c r="D917" s="275"/>
      <c r="E917" s="275"/>
      <c r="F917" s="275"/>
      <c r="V917" s="304"/>
      <c r="W917" s="304"/>
      <c r="AD917" s="304"/>
      <c r="AE917" s="304"/>
      <c r="AR917" s="304"/>
      <c r="AS917" s="304"/>
      <c r="AT917" s="304"/>
      <c r="AU917" s="304"/>
      <c r="AV917" s="304"/>
      <c r="AW917" s="304"/>
      <c r="AX917" s="304"/>
      <c r="AY917" s="304"/>
      <c r="AZ917" s="304"/>
      <c r="BA917" s="304"/>
      <c r="BB917" s="304"/>
      <c r="BC917" s="304"/>
      <c r="BK917" s="305"/>
      <c r="BL917" s="305"/>
      <c r="BM917" s="305"/>
      <c r="BN917" s="305"/>
      <c r="BO917" s="305"/>
      <c r="BP917" s="305"/>
      <c r="BQ917" s="305"/>
      <c r="BR917" s="305"/>
      <c r="BS917" s="305"/>
      <c r="BT917" s="305"/>
      <c r="BU917" s="305"/>
      <c r="BV917" s="305"/>
      <c r="BX917" s="319"/>
    </row>
    <row r="918" spans="1:76" s="303" customFormat="1" x14ac:dyDescent="0.25">
      <c r="A918" s="275"/>
      <c r="B918" s="275"/>
      <c r="C918" s="275"/>
      <c r="D918" s="275"/>
      <c r="E918" s="275"/>
      <c r="F918" s="275"/>
      <c r="V918" s="304"/>
      <c r="W918" s="304"/>
      <c r="AD918" s="304"/>
      <c r="AE918" s="304"/>
      <c r="AR918" s="304"/>
      <c r="AS918" s="304"/>
      <c r="AT918" s="304"/>
      <c r="AU918" s="304"/>
      <c r="AV918" s="304"/>
      <c r="AW918" s="304"/>
      <c r="AX918" s="304"/>
      <c r="AY918" s="304"/>
      <c r="AZ918" s="304"/>
      <c r="BA918" s="304"/>
      <c r="BB918" s="304"/>
      <c r="BC918" s="304"/>
      <c r="BK918" s="305"/>
      <c r="BL918" s="305"/>
      <c r="BM918" s="305"/>
      <c r="BN918" s="305"/>
      <c r="BO918" s="305"/>
      <c r="BP918" s="305"/>
      <c r="BQ918" s="305"/>
      <c r="BR918" s="305"/>
      <c r="BS918" s="305"/>
      <c r="BT918" s="305"/>
      <c r="BU918" s="305"/>
      <c r="BV918" s="305"/>
      <c r="BX918" s="319"/>
    </row>
    <row r="919" spans="1:76" s="303" customFormat="1" x14ac:dyDescent="0.25">
      <c r="A919" s="275"/>
      <c r="B919" s="275"/>
      <c r="C919" s="275"/>
      <c r="D919" s="275"/>
      <c r="E919" s="275"/>
      <c r="F919" s="275"/>
      <c r="V919" s="304"/>
      <c r="W919" s="304"/>
      <c r="AD919" s="304"/>
      <c r="AE919" s="304"/>
      <c r="AR919" s="304"/>
      <c r="AS919" s="304"/>
      <c r="AT919" s="304"/>
      <c r="AU919" s="304"/>
      <c r="AV919" s="304"/>
      <c r="AW919" s="304"/>
      <c r="AX919" s="304"/>
      <c r="AY919" s="304"/>
      <c r="AZ919" s="304"/>
      <c r="BA919" s="304"/>
      <c r="BB919" s="304"/>
      <c r="BC919" s="304"/>
      <c r="BK919" s="305"/>
      <c r="BL919" s="305"/>
      <c r="BM919" s="305"/>
      <c r="BN919" s="305"/>
      <c r="BO919" s="305"/>
      <c r="BP919" s="305"/>
      <c r="BQ919" s="305"/>
      <c r="BR919" s="305"/>
      <c r="BS919" s="305"/>
      <c r="BT919" s="305"/>
      <c r="BU919" s="305"/>
      <c r="BV919" s="305"/>
      <c r="BX919" s="319"/>
    </row>
    <row r="920" spans="1:76" s="303" customFormat="1" x14ac:dyDescent="0.25">
      <c r="A920" s="275"/>
      <c r="B920" s="275"/>
      <c r="C920" s="275"/>
      <c r="D920" s="275"/>
      <c r="E920" s="275"/>
      <c r="F920" s="275"/>
      <c r="V920" s="304"/>
      <c r="W920" s="304"/>
      <c r="AD920" s="304"/>
      <c r="AE920" s="304"/>
      <c r="AR920" s="304"/>
      <c r="AS920" s="304"/>
      <c r="AT920" s="304"/>
      <c r="AU920" s="304"/>
      <c r="AV920" s="304"/>
      <c r="AW920" s="304"/>
      <c r="AX920" s="304"/>
      <c r="AY920" s="304"/>
      <c r="AZ920" s="304"/>
      <c r="BA920" s="304"/>
      <c r="BB920" s="304"/>
      <c r="BC920" s="304"/>
      <c r="BK920" s="305"/>
      <c r="BL920" s="305"/>
      <c r="BM920" s="305"/>
      <c r="BN920" s="305"/>
      <c r="BO920" s="305"/>
      <c r="BP920" s="305"/>
      <c r="BQ920" s="305"/>
      <c r="BR920" s="305"/>
      <c r="BS920" s="305"/>
      <c r="BT920" s="305"/>
      <c r="BU920" s="305"/>
      <c r="BV920" s="305"/>
      <c r="BX920" s="319"/>
    </row>
    <row r="921" spans="1:76" s="303" customFormat="1" x14ac:dyDescent="0.25">
      <c r="A921" s="275"/>
      <c r="B921" s="275"/>
      <c r="C921" s="275"/>
      <c r="D921" s="275"/>
      <c r="E921" s="275"/>
      <c r="F921" s="275"/>
      <c r="V921" s="304"/>
      <c r="W921" s="304"/>
      <c r="AD921" s="304"/>
      <c r="AE921" s="304"/>
      <c r="AR921" s="304"/>
      <c r="AS921" s="304"/>
      <c r="AT921" s="304"/>
      <c r="AU921" s="304"/>
      <c r="AV921" s="304"/>
      <c r="AW921" s="304"/>
      <c r="AX921" s="304"/>
      <c r="AY921" s="304"/>
      <c r="AZ921" s="304"/>
      <c r="BA921" s="304"/>
      <c r="BB921" s="304"/>
      <c r="BC921" s="304"/>
      <c r="BK921" s="305"/>
      <c r="BL921" s="305"/>
      <c r="BM921" s="305"/>
      <c r="BN921" s="305"/>
      <c r="BO921" s="305"/>
      <c r="BP921" s="305"/>
      <c r="BQ921" s="305"/>
      <c r="BR921" s="305"/>
      <c r="BS921" s="305"/>
      <c r="BT921" s="305"/>
      <c r="BU921" s="305"/>
      <c r="BV921" s="305"/>
      <c r="BX921" s="319"/>
    </row>
    <row r="922" spans="1:76" s="303" customFormat="1" x14ac:dyDescent="0.25">
      <c r="A922" s="275"/>
      <c r="B922" s="275"/>
      <c r="C922" s="275"/>
      <c r="D922" s="275"/>
      <c r="E922" s="275"/>
      <c r="F922" s="275"/>
      <c r="V922" s="304"/>
      <c r="W922" s="304"/>
      <c r="AD922" s="304"/>
      <c r="AE922" s="304"/>
      <c r="AR922" s="304"/>
      <c r="AS922" s="304"/>
      <c r="AT922" s="304"/>
      <c r="AU922" s="304"/>
      <c r="AV922" s="304"/>
      <c r="AW922" s="304"/>
      <c r="AX922" s="304"/>
      <c r="AY922" s="304"/>
      <c r="AZ922" s="304"/>
      <c r="BA922" s="304"/>
      <c r="BB922" s="304"/>
      <c r="BC922" s="304"/>
      <c r="BK922" s="305"/>
      <c r="BL922" s="305"/>
      <c r="BM922" s="305"/>
      <c r="BN922" s="305"/>
      <c r="BO922" s="305"/>
      <c r="BP922" s="305"/>
      <c r="BQ922" s="305"/>
      <c r="BR922" s="305"/>
      <c r="BS922" s="305"/>
      <c r="BT922" s="305"/>
      <c r="BU922" s="305"/>
      <c r="BV922" s="305"/>
      <c r="BX922" s="319"/>
    </row>
    <row r="923" spans="1:76" s="303" customFormat="1" x14ac:dyDescent="0.25">
      <c r="A923" s="275"/>
      <c r="B923" s="275"/>
      <c r="C923" s="275"/>
      <c r="D923" s="275"/>
      <c r="E923" s="275"/>
      <c r="F923" s="275"/>
      <c r="V923" s="304"/>
      <c r="W923" s="304"/>
      <c r="AD923" s="304"/>
      <c r="AE923" s="304"/>
      <c r="AR923" s="304"/>
      <c r="AS923" s="304"/>
      <c r="AT923" s="304"/>
      <c r="AU923" s="304"/>
      <c r="AV923" s="304"/>
      <c r="AW923" s="304"/>
      <c r="AX923" s="304"/>
      <c r="AY923" s="304"/>
      <c r="AZ923" s="304"/>
      <c r="BA923" s="304"/>
      <c r="BB923" s="304"/>
      <c r="BC923" s="304"/>
      <c r="BK923" s="305"/>
      <c r="BL923" s="305"/>
      <c r="BM923" s="305"/>
      <c r="BN923" s="305"/>
      <c r="BO923" s="305"/>
      <c r="BP923" s="305"/>
      <c r="BQ923" s="305"/>
      <c r="BR923" s="305"/>
      <c r="BS923" s="305"/>
      <c r="BT923" s="305"/>
      <c r="BU923" s="305"/>
      <c r="BV923" s="305"/>
      <c r="BX923" s="319"/>
    </row>
    <row r="924" spans="1:76" s="303" customFormat="1" x14ac:dyDescent="0.25">
      <c r="A924" s="275"/>
      <c r="B924" s="275"/>
      <c r="C924" s="275"/>
      <c r="D924" s="275"/>
      <c r="E924" s="275"/>
      <c r="F924" s="275"/>
      <c r="V924" s="304"/>
      <c r="W924" s="304"/>
      <c r="AD924" s="304"/>
      <c r="AE924" s="304"/>
      <c r="AR924" s="304"/>
      <c r="AS924" s="304"/>
      <c r="AT924" s="304"/>
      <c r="AU924" s="304"/>
      <c r="AV924" s="304"/>
      <c r="AW924" s="304"/>
      <c r="AX924" s="304"/>
      <c r="AY924" s="304"/>
      <c r="AZ924" s="304"/>
      <c r="BA924" s="304"/>
      <c r="BB924" s="304"/>
      <c r="BC924" s="304"/>
      <c r="BK924" s="305"/>
      <c r="BL924" s="305"/>
      <c r="BM924" s="305"/>
      <c r="BN924" s="305"/>
      <c r="BO924" s="305"/>
      <c r="BP924" s="305"/>
      <c r="BQ924" s="305"/>
      <c r="BR924" s="305"/>
      <c r="BS924" s="305"/>
      <c r="BT924" s="305"/>
      <c r="BU924" s="305"/>
      <c r="BV924" s="305"/>
      <c r="BX924" s="319"/>
    </row>
    <row r="925" spans="1:76" s="303" customFormat="1" x14ac:dyDescent="0.25">
      <c r="A925" s="275"/>
      <c r="B925" s="275"/>
      <c r="C925" s="275"/>
      <c r="D925" s="275"/>
      <c r="E925" s="275"/>
      <c r="F925" s="275"/>
      <c r="V925" s="304"/>
      <c r="W925" s="304"/>
      <c r="AD925" s="304"/>
      <c r="AE925" s="304"/>
      <c r="AR925" s="304"/>
      <c r="AS925" s="304"/>
      <c r="AT925" s="304"/>
      <c r="AU925" s="304"/>
      <c r="AV925" s="304"/>
      <c r="AW925" s="304"/>
      <c r="AX925" s="304"/>
      <c r="AY925" s="304"/>
      <c r="AZ925" s="304"/>
      <c r="BA925" s="304"/>
      <c r="BB925" s="304"/>
      <c r="BC925" s="304"/>
      <c r="BK925" s="305"/>
      <c r="BL925" s="305"/>
      <c r="BM925" s="305"/>
      <c r="BN925" s="305"/>
      <c r="BO925" s="305"/>
      <c r="BP925" s="305"/>
      <c r="BQ925" s="305"/>
      <c r="BR925" s="305"/>
      <c r="BS925" s="305"/>
      <c r="BT925" s="305"/>
      <c r="BU925" s="305"/>
      <c r="BV925" s="305"/>
      <c r="BX925" s="319"/>
    </row>
    <row r="926" spans="1:76" s="303" customFormat="1" x14ac:dyDescent="0.25">
      <c r="A926" s="275"/>
      <c r="B926" s="275"/>
      <c r="C926" s="275"/>
      <c r="D926" s="275"/>
      <c r="E926" s="275"/>
      <c r="F926" s="275"/>
      <c r="V926" s="304"/>
      <c r="W926" s="304"/>
      <c r="AD926" s="304"/>
      <c r="AE926" s="304"/>
      <c r="AR926" s="304"/>
      <c r="AS926" s="304"/>
      <c r="AT926" s="304"/>
      <c r="AU926" s="304"/>
      <c r="AV926" s="304"/>
      <c r="AW926" s="304"/>
      <c r="AX926" s="304"/>
      <c r="AY926" s="304"/>
      <c r="AZ926" s="304"/>
      <c r="BA926" s="304"/>
      <c r="BB926" s="304"/>
      <c r="BC926" s="304"/>
      <c r="BK926" s="305"/>
      <c r="BL926" s="305"/>
      <c r="BM926" s="305"/>
      <c r="BN926" s="305"/>
      <c r="BO926" s="305"/>
      <c r="BP926" s="305"/>
      <c r="BQ926" s="305"/>
      <c r="BR926" s="305"/>
      <c r="BS926" s="305"/>
      <c r="BT926" s="305"/>
      <c r="BU926" s="305"/>
      <c r="BV926" s="305"/>
      <c r="BX926" s="319"/>
    </row>
    <row r="927" spans="1:76" s="303" customFormat="1" x14ac:dyDescent="0.25">
      <c r="A927" s="275"/>
      <c r="B927" s="275"/>
      <c r="C927" s="275"/>
      <c r="D927" s="275"/>
      <c r="E927" s="275"/>
      <c r="F927" s="275"/>
      <c r="V927" s="304"/>
      <c r="W927" s="304"/>
      <c r="AD927" s="304"/>
      <c r="AE927" s="304"/>
      <c r="AR927" s="304"/>
      <c r="AS927" s="304"/>
      <c r="AT927" s="304"/>
      <c r="AU927" s="304"/>
      <c r="AV927" s="304"/>
      <c r="AW927" s="304"/>
      <c r="AX927" s="304"/>
      <c r="AY927" s="304"/>
      <c r="AZ927" s="304"/>
      <c r="BA927" s="304"/>
      <c r="BB927" s="304"/>
      <c r="BC927" s="304"/>
      <c r="BK927" s="305"/>
      <c r="BL927" s="305"/>
      <c r="BM927" s="305"/>
      <c r="BN927" s="305"/>
      <c r="BO927" s="305"/>
      <c r="BP927" s="305"/>
      <c r="BQ927" s="305"/>
      <c r="BR927" s="305"/>
      <c r="BS927" s="305"/>
      <c r="BT927" s="305"/>
      <c r="BU927" s="305"/>
      <c r="BV927" s="305"/>
      <c r="BX927" s="319"/>
    </row>
    <row r="928" spans="1:76" s="303" customFormat="1" x14ac:dyDescent="0.25">
      <c r="A928" s="275"/>
      <c r="B928" s="275"/>
      <c r="C928" s="275"/>
      <c r="D928" s="275"/>
      <c r="E928" s="275"/>
      <c r="F928" s="275"/>
      <c r="V928" s="304"/>
      <c r="W928" s="304"/>
      <c r="AD928" s="304"/>
      <c r="AE928" s="304"/>
      <c r="AR928" s="304"/>
      <c r="AS928" s="304"/>
      <c r="AT928" s="304"/>
      <c r="AU928" s="304"/>
      <c r="AV928" s="304"/>
      <c r="AW928" s="304"/>
      <c r="AX928" s="304"/>
      <c r="AY928" s="304"/>
      <c r="AZ928" s="304"/>
      <c r="BA928" s="304"/>
      <c r="BB928" s="304"/>
      <c r="BC928" s="304"/>
      <c r="BK928" s="305"/>
      <c r="BL928" s="305"/>
      <c r="BM928" s="305"/>
      <c r="BN928" s="305"/>
      <c r="BO928" s="305"/>
      <c r="BP928" s="305"/>
      <c r="BQ928" s="305"/>
      <c r="BR928" s="305"/>
      <c r="BS928" s="305"/>
      <c r="BT928" s="305"/>
      <c r="BU928" s="305"/>
      <c r="BV928" s="305"/>
      <c r="BX928" s="319"/>
    </row>
    <row r="929" spans="1:76" s="303" customFormat="1" x14ac:dyDescent="0.25">
      <c r="A929" s="275"/>
      <c r="B929" s="275"/>
      <c r="C929" s="275"/>
      <c r="D929" s="275"/>
      <c r="E929" s="275"/>
      <c r="F929" s="275"/>
      <c r="V929" s="304"/>
      <c r="W929" s="304"/>
      <c r="AD929" s="304"/>
      <c r="AE929" s="304"/>
      <c r="AR929" s="304"/>
      <c r="AS929" s="304"/>
      <c r="AT929" s="304"/>
      <c r="AU929" s="304"/>
      <c r="AV929" s="304"/>
      <c r="AW929" s="304"/>
      <c r="AX929" s="304"/>
      <c r="AY929" s="304"/>
      <c r="AZ929" s="304"/>
      <c r="BA929" s="304"/>
      <c r="BB929" s="304"/>
      <c r="BC929" s="304"/>
      <c r="BK929" s="305"/>
      <c r="BL929" s="305"/>
      <c r="BM929" s="305"/>
      <c r="BN929" s="305"/>
      <c r="BO929" s="305"/>
      <c r="BP929" s="305"/>
      <c r="BQ929" s="305"/>
      <c r="BR929" s="305"/>
      <c r="BS929" s="305"/>
      <c r="BT929" s="305"/>
      <c r="BU929" s="305"/>
      <c r="BV929" s="305"/>
      <c r="BX929" s="319"/>
    </row>
    <row r="930" spans="1:76" s="303" customFormat="1" x14ac:dyDescent="0.25">
      <c r="A930" s="275"/>
      <c r="B930" s="275"/>
      <c r="C930" s="275"/>
      <c r="D930" s="275"/>
      <c r="E930" s="275"/>
      <c r="F930" s="275"/>
      <c r="V930" s="304"/>
      <c r="W930" s="304"/>
      <c r="AD930" s="304"/>
      <c r="AE930" s="304"/>
      <c r="AR930" s="304"/>
      <c r="AS930" s="304"/>
      <c r="AT930" s="304"/>
      <c r="AU930" s="304"/>
      <c r="AV930" s="304"/>
      <c r="AW930" s="304"/>
      <c r="AX930" s="304"/>
      <c r="AY930" s="304"/>
      <c r="AZ930" s="304"/>
      <c r="BA930" s="304"/>
      <c r="BB930" s="304"/>
      <c r="BC930" s="304"/>
      <c r="BK930" s="305"/>
      <c r="BL930" s="305"/>
      <c r="BM930" s="305"/>
      <c r="BN930" s="305"/>
      <c r="BO930" s="305"/>
      <c r="BP930" s="305"/>
      <c r="BQ930" s="305"/>
      <c r="BR930" s="305"/>
      <c r="BS930" s="305"/>
      <c r="BT930" s="305"/>
      <c r="BU930" s="305"/>
      <c r="BV930" s="305"/>
      <c r="BX930" s="319"/>
    </row>
    <row r="931" spans="1:76" s="303" customFormat="1" x14ac:dyDescent="0.25">
      <c r="A931" s="275"/>
      <c r="B931" s="275"/>
      <c r="C931" s="275"/>
      <c r="D931" s="275"/>
      <c r="E931" s="275"/>
      <c r="F931" s="275"/>
      <c r="V931" s="304"/>
      <c r="W931" s="304"/>
      <c r="AD931" s="304"/>
      <c r="AE931" s="304"/>
      <c r="AR931" s="304"/>
      <c r="AS931" s="304"/>
      <c r="AT931" s="304"/>
      <c r="AU931" s="304"/>
      <c r="AV931" s="304"/>
      <c r="AW931" s="304"/>
      <c r="AX931" s="304"/>
      <c r="AY931" s="304"/>
      <c r="AZ931" s="304"/>
      <c r="BA931" s="304"/>
      <c r="BB931" s="304"/>
      <c r="BC931" s="304"/>
      <c r="BK931" s="305"/>
      <c r="BL931" s="305"/>
      <c r="BM931" s="305"/>
      <c r="BN931" s="305"/>
      <c r="BO931" s="305"/>
      <c r="BP931" s="305"/>
      <c r="BQ931" s="305"/>
      <c r="BR931" s="305"/>
      <c r="BS931" s="305"/>
      <c r="BT931" s="305"/>
      <c r="BU931" s="305"/>
      <c r="BV931" s="305"/>
      <c r="BX931" s="319"/>
    </row>
    <row r="932" spans="1:76" s="303" customFormat="1" x14ac:dyDescent="0.25">
      <c r="A932" s="275"/>
      <c r="B932" s="275"/>
      <c r="C932" s="275"/>
      <c r="D932" s="275"/>
      <c r="E932" s="275"/>
      <c r="F932" s="275"/>
      <c r="V932" s="304"/>
      <c r="W932" s="304"/>
      <c r="AD932" s="304"/>
      <c r="AE932" s="304"/>
      <c r="AR932" s="304"/>
      <c r="AS932" s="304"/>
      <c r="AT932" s="304"/>
      <c r="AU932" s="304"/>
      <c r="AV932" s="304"/>
      <c r="AW932" s="304"/>
      <c r="AX932" s="304"/>
      <c r="AY932" s="304"/>
      <c r="AZ932" s="304"/>
      <c r="BA932" s="304"/>
      <c r="BB932" s="304"/>
      <c r="BC932" s="304"/>
      <c r="BK932" s="305"/>
      <c r="BL932" s="305"/>
      <c r="BM932" s="305"/>
      <c r="BN932" s="305"/>
      <c r="BO932" s="305"/>
      <c r="BP932" s="305"/>
      <c r="BQ932" s="305"/>
      <c r="BR932" s="305"/>
      <c r="BS932" s="305"/>
      <c r="BT932" s="305"/>
      <c r="BU932" s="305"/>
      <c r="BV932" s="305"/>
      <c r="BX932" s="319"/>
    </row>
    <row r="933" spans="1:76" s="303" customFormat="1" x14ac:dyDescent="0.25">
      <c r="A933" s="275"/>
      <c r="B933" s="275"/>
      <c r="C933" s="275"/>
      <c r="D933" s="275"/>
      <c r="E933" s="275"/>
      <c r="F933" s="275"/>
      <c r="V933" s="304"/>
      <c r="W933" s="304"/>
      <c r="AD933" s="304"/>
      <c r="AE933" s="304"/>
      <c r="AR933" s="304"/>
      <c r="AS933" s="304"/>
      <c r="AT933" s="304"/>
      <c r="AU933" s="304"/>
      <c r="AV933" s="304"/>
      <c r="AW933" s="304"/>
      <c r="AX933" s="304"/>
      <c r="AY933" s="304"/>
      <c r="AZ933" s="304"/>
      <c r="BA933" s="304"/>
      <c r="BB933" s="304"/>
      <c r="BC933" s="304"/>
      <c r="BK933" s="305"/>
      <c r="BL933" s="305"/>
      <c r="BM933" s="305"/>
      <c r="BN933" s="305"/>
      <c r="BO933" s="305"/>
      <c r="BP933" s="305"/>
      <c r="BQ933" s="305"/>
      <c r="BR933" s="305"/>
      <c r="BS933" s="305"/>
      <c r="BT933" s="305"/>
      <c r="BU933" s="305"/>
      <c r="BV933" s="305"/>
      <c r="BX933" s="319"/>
    </row>
    <row r="934" spans="1:76" s="303" customFormat="1" x14ac:dyDescent="0.25">
      <c r="A934" s="275"/>
      <c r="B934" s="275"/>
      <c r="C934" s="275"/>
      <c r="D934" s="275"/>
      <c r="E934" s="275"/>
      <c r="F934" s="275"/>
      <c r="V934" s="304"/>
      <c r="W934" s="304"/>
      <c r="AD934" s="304"/>
      <c r="AE934" s="304"/>
      <c r="AR934" s="304"/>
      <c r="AS934" s="304"/>
      <c r="AT934" s="304"/>
      <c r="AU934" s="304"/>
      <c r="AV934" s="304"/>
      <c r="AW934" s="304"/>
      <c r="AX934" s="304"/>
      <c r="AY934" s="304"/>
      <c r="AZ934" s="304"/>
      <c r="BA934" s="304"/>
      <c r="BB934" s="304"/>
      <c r="BC934" s="304"/>
      <c r="BK934" s="305"/>
      <c r="BL934" s="305"/>
      <c r="BM934" s="305"/>
      <c r="BN934" s="305"/>
      <c r="BO934" s="305"/>
      <c r="BP934" s="305"/>
      <c r="BQ934" s="305"/>
      <c r="BR934" s="305"/>
      <c r="BS934" s="305"/>
      <c r="BT934" s="305"/>
      <c r="BU934" s="305"/>
      <c r="BV934" s="305"/>
      <c r="BX934" s="319"/>
    </row>
    <row r="935" spans="1:76" s="303" customFormat="1" x14ac:dyDescent="0.25">
      <c r="A935" s="275"/>
      <c r="B935" s="275"/>
      <c r="C935" s="275"/>
      <c r="D935" s="275"/>
      <c r="E935" s="275"/>
      <c r="F935" s="275"/>
      <c r="V935" s="304"/>
      <c r="W935" s="304"/>
      <c r="AD935" s="304"/>
      <c r="AE935" s="304"/>
      <c r="AR935" s="304"/>
      <c r="AS935" s="304"/>
      <c r="AT935" s="304"/>
      <c r="AU935" s="304"/>
      <c r="AV935" s="304"/>
      <c r="AW935" s="304"/>
      <c r="AX935" s="304"/>
      <c r="AY935" s="304"/>
      <c r="AZ935" s="304"/>
      <c r="BA935" s="304"/>
      <c r="BB935" s="304"/>
      <c r="BC935" s="304"/>
      <c r="BK935" s="305"/>
      <c r="BL935" s="305"/>
      <c r="BM935" s="305"/>
      <c r="BN935" s="305"/>
      <c r="BO935" s="305"/>
      <c r="BP935" s="305"/>
      <c r="BQ935" s="305"/>
      <c r="BR935" s="305"/>
      <c r="BS935" s="305"/>
      <c r="BT935" s="305"/>
      <c r="BU935" s="305"/>
      <c r="BV935" s="305"/>
      <c r="BX935" s="319"/>
    </row>
    <row r="936" spans="1:76" s="303" customFormat="1" x14ac:dyDescent="0.25">
      <c r="A936" s="275"/>
      <c r="B936" s="275"/>
      <c r="C936" s="275"/>
      <c r="D936" s="275"/>
      <c r="E936" s="275"/>
      <c r="F936" s="275"/>
      <c r="V936" s="304"/>
      <c r="W936" s="304"/>
      <c r="AD936" s="304"/>
      <c r="AE936" s="304"/>
      <c r="AR936" s="304"/>
      <c r="AS936" s="304"/>
      <c r="AT936" s="304"/>
      <c r="AU936" s="304"/>
      <c r="AV936" s="304"/>
      <c r="AW936" s="304"/>
      <c r="AX936" s="304"/>
      <c r="AY936" s="304"/>
      <c r="AZ936" s="304"/>
      <c r="BA936" s="304"/>
      <c r="BB936" s="304"/>
      <c r="BC936" s="304"/>
      <c r="BK936" s="305"/>
      <c r="BL936" s="305"/>
      <c r="BM936" s="305"/>
      <c r="BN936" s="305"/>
      <c r="BO936" s="305"/>
      <c r="BP936" s="305"/>
      <c r="BQ936" s="305"/>
      <c r="BR936" s="305"/>
      <c r="BS936" s="305"/>
      <c r="BT936" s="305"/>
      <c r="BU936" s="305"/>
      <c r="BV936" s="305"/>
      <c r="BX936" s="319"/>
    </row>
    <row r="937" spans="1:76" s="303" customFormat="1" x14ac:dyDescent="0.25">
      <c r="A937" s="275"/>
      <c r="B937" s="275"/>
      <c r="C937" s="275"/>
      <c r="D937" s="275"/>
      <c r="E937" s="275"/>
      <c r="F937" s="275"/>
      <c r="V937" s="304"/>
      <c r="W937" s="304"/>
      <c r="AD937" s="304"/>
      <c r="AE937" s="304"/>
      <c r="AR937" s="304"/>
      <c r="AS937" s="304"/>
      <c r="AT937" s="304"/>
      <c r="AU937" s="304"/>
      <c r="AV937" s="304"/>
      <c r="AW937" s="304"/>
      <c r="AX937" s="304"/>
      <c r="AY937" s="304"/>
      <c r="AZ937" s="304"/>
      <c r="BA937" s="304"/>
      <c r="BB937" s="304"/>
      <c r="BC937" s="304"/>
      <c r="BK937" s="305"/>
      <c r="BL937" s="305"/>
      <c r="BM937" s="305"/>
      <c r="BN937" s="305"/>
      <c r="BO937" s="305"/>
      <c r="BP937" s="305"/>
      <c r="BQ937" s="305"/>
      <c r="BR937" s="305"/>
      <c r="BS937" s="305"/>
      <c r="BT937" s="305"/>
      <c r="BU937" s="305"/>
      <c r="BV937" s="305"/>
      <c r="BX937" s="319"/>
    </row>
    <row r="938" spans="1:76" s="303" customFormat="1" x14ac:dyDescent="0.25">
      <c r="A938" s="275"/>
      <c r="B938" s="275"/>
      <c r="C938" s="275"/>
      <c r="D938" s="275"/>
      <c r="E938" s="275"/>
      <c r="F938" s="275"/>
      <c r="V938" s="304"/>
      <c r="W938" s="304"/>
      <c r="AD938" s="304"/>
      <c r="AE938" s="304"/>
      <c r="AR938" s="304"/>
      <c r="AS938" s="304"/>
      <c r="AT938" s="304"/>
      <c r="AU938" s="304"/>
      <c r="AV938" s="304"/>
      <c r="AW938" s="304"/>
      <c r="AX938" s="304"/>
      <c r="AY938" s="304"/>
      <c r="AZ938" s="304"/>
      <c r="BA938" s="304"/>
      <c r="BB938" s="304"/>
      <c r="BC938" s="304"/>
      <c r="BK938" s="305"/>
      <c r="BL938" s="305"/>
      <c r="BM938" s="305"/>
      <c r="BN938" s="305"/>
      <c r="BO938" s="305"/>
      <c r="BP938" s="305"/>
      <c r="BQ938" s="305"/>
      <c r="BR938" s="305"/>
      <c r="BS938" s="305"/>
      <c r="BT938" s="305"/>
      <c r="BU938" s="305"/>
      <c r="BV938" s="305"/>
      <c r="BX938" s="319"/>
    </row>
    <row r="939" spans="1:76" s="303" customFormat="1" x14ac:dyDescent="0.25">
      <c r="A939" s="275"/>
      <c r="B939" s="275"/>
      <c r="C939" s="275"/>
      <c r="D939" s="275"/>
      <c r="E939" s="275"/>
      <c r="F939" s="275"/>
      <c r="V939" s="304"/>
      <c r="W939" s="304"/>
      <c r="AD939" s="304"/>
      <c r="AE939" s="304"/>
      <c r="AR939" s="304"/>
      <c r="AS939" s="304"/>
      <c r="AT939" s="304"/>
      <c r="AU939" s="304"/>
      <c r="AV939" s="304"/>
      <c r="AW939" s="304"/>
      <c r="AX939" s="304"/>
      <c r="AY939" s="304"/>
      <c r="AZ939" s="304"/>
      <c r="BA939" s="304"/>
      <c r="BB939" s="304"/>
      <c r="BC939" s="304"/>
      <c r="BK939" s="305"/>
      <c r="BL939" s="305"/>
      <c r="BM939" s="305"/>
      <c r="BN939" s="305"/>
      <c r="BO939" s="305"/>
      <c r="BP939" s="305"/>
      <c r="BQ939" s="305"/>
      <c r="BR939" s="305"/>
      <c r="BS939" s="305"/>
      <c r="BT939" s="305"/>
      <c r="BU939" s="305"/>
      <c r="BV939" s="305"/>
      <c r="BX939" s="319"/>
    </row>
    <row r="940" spans="1:76" s="303" customFormat="1" x14ac:dyDescent="0.25">
      <c r="A940" s="275"/>
      <c r="B940" s="275"/>
      <c r="C940" s="275"/>
      <c r="D940" s="275"/>
      <c r="E940" s="275"/>
      <c r="F940" s="275"/>
      <c r="V940" s="304"/>
      <c r="W940" s="304"/>
      <c r="AD940" s="304"/>
      <c r="AE940" s="304"/>
      <c r="AR940" s="304"/>
      <c r="AS940" s="304"/>
      <c r="AT940" s="304"/>
      <c r="AU940" s="304"/>
      <c r="AV940" s="304"/>
      <c r="AW940" s="304"/>
      <c r="AX940" s="304"/>
      <c r="AY940" s="304"/>
      <c r="AZ940" s="304"/>
      <c r="BA940" s="304"/>
      <c r="BB940" s="304"/>
      <c r="BC940" s="304"/>
      <c r="BK940" s="305"/>
      <c r="BL940" s="305"/>
      <c r="BM940" s="305"/>
      <c r="BN940" s="305"/>
      <c r="BO940" s="305"/>
      <c r="BP940" s="305"/>
      <c r="BQ940" s="305"/>
      <c r="BR940" s="305"/>
      <c r="BS940" s="305"/>
      <c r="BT940" s="305"/>
      <c r="BU940" s="305"/>
      <c r="BV940" s="305"/>
      <c r="BX940" s="319"/>
    </row>
    <row r="941" spans="1:76" s="303" customFormat="1" x14ac:dyDescent="0.25">
      <c r="A941" s="275"/>
      <c r="B941" s="275"/>
      <c r="C941" s="275"/>
      <c r="D941" s="275"/>
      <c r="E941" s="275"/>
      <c r="F941" s="275"/>
      <c r="V941" s="304"/>
      <c r="W941" s="304"/>
      <c r="AD941" s="304"/>
      <c r="AE941" s="304"/>
      <c r="AR941" s="304"/>
      <c r="AS941" s="304"/>
      <c r="AT941" s="304"/>
      <c r="AU941" s="304"/>
      <c r="AV941" s="304"/>
      <c r="AW941" s="304"/>
      <c r="AX941" s="304"/>
      <c r="AY941" s="304"/>
      <c r="AZ941" s="304"/>
      <c r="BA941" s="304"/>
      <c r="BB941" s="304"/>
      <c r="BC941" s="304"/>
      <c r="BK941" s="305"/>
      <c r="BL941" s="305"/>
      <c r="BM941" s="305"/>
      <c r="BN941" s="305"/>
      <c r="BO941" s="305"/>
      <c r="BP941" s="305"/>
      <c r="BQ941" s="305"/>
      <c r="BR941" s="305"/>
      <c r="BS941" s="305"/>
      <c r="BT941" s="305"/>
      <c r="BU941" s="305"/>
      <c r="BV941" s="305"/>
      <c r="BX941" s="319"/>
    </row>
    <row r="942" spans="1:76" s="303" customFormat="1" x14ac:dyDescent="0.25">
      <c r="A942" s="275"/>
      <c r="B942" s="275"/>
      <c r="C942" s="275"/>
      <c r="D942" s="275"/>
      <c r="E942" s="275"/>
      <c r="F942" s="275"/>
      <c r="V942" s="304"/>
      <c r="W942" s="304"/>
      <c r="AD942" s="304"/>
      <c r="AE942" s="304"/>
      <c r="AR942" s="304"/>
      <c r="AS942" s="304"/>
      <c r="AT942" s="304"/>
      <c r="AU942" s="304"/>
      <c r="AV942" s="304"/>
      <c r="AW942" s="304"/>
      <c r="AX942" s="304"/>
      <c r="AY942" s="304"/>
      <c r="AZ942" s="304"/>
      <c r="BA942" s="304"/>
      <c r="BB942" s="304"/>
      <c r="BC942" s="304"/>
      <c r="BK942" s="305"/>
      <c r="BL942" s="305"/>
      <c r="BM942" s="305"/>
      <c r="BN942" s="305"/>
      <c r="BO942" s="305"/>
      <c r="BP942" s="305"/>
      <c r="BQ942" s="305"/>
      <c r="BR942" s="305"/>
      <c r="BS942" s="305"/>
      <c r="BT942" s="305"/>
      <c r="BU942" s="305"/>
      <c r="BV942" s="305"/>
      <c r="BX942" s="319"/>
    </row>
    <row r="943" spans="1:76" s="303" customFormat="1" x14ac:dyDescent="0.25">
      <c r="A943" s="275"/>
      <c r="B943" s="275"/>
      <c r="C943" s="275"/>
      <c r="D943" s="275"/>
      <c r="E943" s="275"/>
      <c r="F943" s="275"/>
      <c r="V943" s="304"/>
      <c r="W943" s="304"/>
      <c r="AD943" s="304"/>
      <c r="AE943" s="304"/>
      <c r="AR943" s="304"/>
      <c r="AS943" s="304"/>
      <c r="AT943" s="304"/>
      <c r="AU943" s="304"/>
      <c r="AV943" s="304"/>
      <c r="AW943" s="304"/>
      <c r="AX943" s="304"/>
      <c r="AY943" s="304"/>
      <c r="AZ943" s="304"/>
      <c r="BA943" s="304"/>
      <c r="BB943" s="304"/>
      <c r="BC943" s="304"/>
      <c r="BK943" s="305"/>
      <c r="BL943" s="305"/>
      <c r="BM943" s="305"/>
      <c r="BN943" s="305"/>
      <c r="BO943" s="305"/>
      <c r="BP943" s="305"/>
      <c r="BQ943" s="305"/>
      <c r="BR943" s="305"/>
      <c r="BS943" s="305"/>
      <c r="BT943" s="305"/>
      <c r="BU943" s="305"/>
      <c r="BV943" s="305"/>
      <c r="BX943" s="319"/>
    </row>
    <row r="944" spans="1:76" s="303" customFormat="1" x14ac:dyDescent="0.25">
      <c r="A944" s="275"/>
      <c r="B944" s="275"/>
      <c r="C944" s="275"/>
      <c r="D944" s="275"/>
      <c r="E944" s="275"/>
      <c r="F944" s="275"/>
      <c r="V944" s="304"/>
      <c r="W944" s="304"/>
      <c r="AD944" s="304"/>
      <c r="AE944" s="304"/>
      <c r="AR944" s="304"/>
      <c r="AS944" s="304"/>
      <c r="AT944" s="304"/>
      <c r="AU944" s="304"/>
      <c r="AV944" s="304"/>
      <c r="AW944" s="304"/>
      <c r="AX944" s="304"/>
      <c r="AY944" s="304"/>
      <c r="AZ944" s="304"/>
      <c r="BA944" s="304"/>
      <c r="BB944" s="304"/>
      <c r="BC944" s="304"/>
      <c r="BK944" s="305"/>
      <c r="BL944" s="305"/>
      <c r="BM944" s="305"/>
      <c r="BN944" s="305"/>
      <c r="BO944" s="305"/>
      <c r="BP944" s="305"/>
      <c r="BQ944" s="305"/>
      <c r="BR944" s="305"/>
      <c r="BS944" s="305"/>
      <c r="BT944" s="305"/>
      <c r="BU944" s="305"/>
      <c r="BV944" s="305"/>
      <c r="BX944" s="319"/>
    </row>
    <row r="945" spans="1:76" s="303" customFormat="1" x14ac:dyDescent="0.25">
      <c r="A945" s="275"/>
      <c r="B945" s="275"/>
      <c r="C945" s="275"/>
      <c r="D945" s="275"/>
      <c r="E945" s="275"/>
      <c r="F945" s="275"/>
      <c r="V945" s="304"/>
      <c r="W945" s="304"/>
      <c r="AD945" s="304"/>
      <c r="AE945" s="304"/>
      <c r="AR945" s="304"/>
      <c r="AS945" s="304"/>
      <c r="AT945" s="304"/>
      <c r="AU945" s="304"/>
      <c r="AV945" s="304"/>
      <c r="AW945" s="304"/>
      <c r="AX945" s="304"/>
      <c r="AY945" s="304"/>
      <c r="AZ945" s="304"/>
      <c r="BA945" s="304"/>
      <c r="BB945" s="304"/>
      <c r="BC945" s="304"/>
      <c r="BK945" s="305"/>
      <c r="BL945" s="305"/>
      <c r="BM945" s="305"/>
      <c r="BN945" s="305"/>
      <c r="BO945" s="305"/>
      <c r="BP945" s="305"/>
      <c r="BQ945" s="305"/>
      <c r="BR945" s="305"/>
      <c r="BS945" s="305"/>
      <c r="BT945" s="305"/>
      <c r="BU945" s="305"/>
      <c r="BV945" s="305"/>
      <c r="BX945" s="319"/>
    </row>
    <row r="946" spans="1:76" s="303" customFormat="1" x14ac:dyDescent="0.25">
      <c r="A946" s="275"/>
      <c r="B946" s="275"/>
      <c r="C946" s="275"/>
      <c r="D946" s="275"/>
      <c r="E946" s="275"/>
      <c r="F946" s="275"/>
      <c r="V946" s="304"/>
      <c r="W946" s="304"/>
      <c r="AD946" s="304"/>
      <c r="AE946" s="304"/>
      <c r="AR946" s="304"/>
      <c r="AS946" s="304"/>
      <c r="AT946" s="304"/>
      <c r="AU946" s="304"/>
      <c r="AV946" s="304"/>
      <c r="AW946" s="304"/>
      <c r="AX946" s="304"/>
      <c r="AY946" s="304"/>
      <c r="AZ946" s="304"/>
      <c r="BA946" s="304"/>
      <c r="BB946" s="304"/>
      <c r="BC946" s="304"/>
      <c r="BK946" s="305"/>
      <c r="BL946" s="305"/>
      <c r="BM946" s="305"/>
      <c r="BN946" s="305"/>
      <c r="BO946" s="305"/>
      <c r="BP946" s="305"/>
      <c r="BQ946" s="305"/>
      <c r="BR946" s="305"/>
      <c r="BS946" s="305"/>
      <c r="BT946" s="305"/>
      <c r="BU946" s="305"/>
      <c r="BV946" s="305"/>
      <c r="BX946" s="319"/>
    </row>
    <row r="947" spans="1:76" s="303" customFormat="1" x14ac:dyDescent="0.25">
      <c r="A947" s="275"/>
      <c r="B947" s="275"/>
      <c r="C947" s="275"/>
      <c r="D947" s="275"/>
      <c r="E947" s="275"/>
      <c r="F947" s="275"/>
      <c r="V947" s="304"/>
      <c r="W947" s="304"/>
      <c r="AD947" s="304"/>
      <c r="AE947" s="304"/>
      <c r="AR947" s="304"/>
      <c r="AS947" s="304"/>
      <c r="AT947" s="304"/>
      <c r="AU947" s="304"/>
      <c r="AV947" s="304"/>
      <c r="AW947" s="304"/>
      <c r="AX947" s="304"/>
      <c r="AY947" s="304"/>
      <c r="AZ947" s="304"/>
      <c r="BA947" s="304"/>
      <c r="BB947" s="304"/>
      <c r="BC947" s="304"/>
      <c r="BK947" s="305"/>
      <c r="BL947" s="305"/>
      <c r="BM947" s="305"/>
      <c r="BN947" s="305"/>
      <c r="BO947" s="305"/>
      <c r="BP947" s="305"/>
      <c r="BQ947" s="305"/>
      <c r="BR947" s="305"/>
      <c r="BS947" s="305"/>
      <c r="BT947" s="305"/>
      <c r="BU947" s="305"/>
      <c r="BV947" s="305"/>
      <c r="BX947" s="319"/>
    </row>
    <row r="948" spans="1:76" s="303" customFormat="1" x14ac:dyDescent="0.25">
      <c r="A948" s="275"/>
      <c r="B948" s="275"/>
      <c r="C948" s="275"/>
      <c r="D948" s="275"/>
      <c r="E948" s="275"/>
      <c r="F948" s="275"/>
      <c r="V948" s="304"/>
      <c r="W948" s="304"/>
      <c r="AD948" s="304"/>
      <c r="AE948" s="304"/>
      <c r="AR948" s="304"/>
      <c r="AS948" s="304"/>
      <c r="AT948" s="304"/>
      <c r="AU948" s="304"/>
      <c r="AV948" s="304"/>
      <c r="AW948" s="304"/>
      <c r="AX948" s="304"/>
      <c r="AY948" s="304"/>
      <c r="AZ948" s="304"/>
      <c r="BA948" s="304"/>
      <c r="BB948" s="304"/>
      <c r="BC948" s="304"/>
      <c r="BK948" s="305"/>
      <c r="BL948" s="305"/>
      <c r="BM948" s="305"/>
      <c r="BN948" s="305"/>
      <c r="BO948" s="305"/>
      <c r="BP948" s="305"/>
      <c r="BQ948" s="305"/>
      <c r="BR948" s="305"/>
      <c r="BS948" s="305"/>
      <c r="BT948" s="305"/>
      <c r="BU948" s="305"/>
      <c r="BV948" s="305"/>
      <c r="BX948" s="319"/>
    </row>
    <row r="949" spans="1:76" s="303" customFormat="1" x14ac:dyDescent="0.25">
      <c r="A949" s="275"/>
      <c r="B949" s="275"/>
      <c r="C949" s="275"/>
      <c r="D949" s="275"/>
      <c r="E949" s="275"/>
      <c r="F949" s="275"/>
      <c r="V949" s="304"/>
      <c r="W949" s="304"/>
      <c r="AD949" s="304"/>
      <c r="AE949" s="304"/>
      <c r="AR949" s="304"/>
      <c r="AS949" s="304"/>
      <c r="AT949" s="304"/>
      <c r="AU949" s="304"/>
      <c r="AV949" s="304"/>
      <c r="AW949" s="304"/>
      <c r="AX949" s="304"/>
      <c r="AY949" s="304"/>
      <c r="AZ949" s="304"/>
      <c r="BA949" s="304"/>
      <c r="BB949" s="304"/>
      <c r="BC949" s="304"/>
      <c r="BK949" s="305"/>
      <c r="BL949" s="305"/>
      <c r="BM949" s="305"/>
      <c r="BN949" s="305"/>
      <c r="BO949" s="305"/>
      <c r="BP949" s="305"/>
      <c r="BQ949" s="305"/>
      <c r="BR949" s="305"/>
      <c r="BS949" s="305"/>
      <c r="BT949" s="305"/>
      <c r="BU949" s="305"/>
      <c r="BV949" s="305"/>
      <c r="BX949" s="319"/>
    </row>
    <row r="950" spans="1:76" s="303" customFormat="1" x14ac:dyDescent="0.25">
      <c r="A950" s="275"/>
      <c r="B950" s="275"/>
      <c r="C950" s="275"/>
      <c r="D950" s="275"/>
      <c r="E950" s="275"/>
      <c r="F950" s="275"/>
      <c r="V950" s="304"/>
      <c r="W950" s="304"/>
      <c r="AD950" s="304"/>
      <c r="AE950" s="304"/>
      <c r="AR950" s="304"/>
      <c r="AS950" s="304"/>
      <c r="AT950" s="304"/>
      <c r="AU950" s="304"/>
      <c r="AV950" s="304"/>
      <c r="AW950" s="304"/>
      <c r="AX950" s="304"/>
      <c r="AY950" s="304"/>
      <c r="AZ950" s="304"/>
      <c r="BA950" s="304"/>
      <c r="BB950" s="304"/>
      <c r="BC950" s="304"/>
      <c r="BK950" s="305"/>
      <c r="BL950" s="305"/>
      <c r="BM950" s="305"/>
      <c r="BN950" s="305"/>
      <c r="BO950" s="305"/>
      <c r="BP950" s="305"/>
      <c r="BQ950" s="305"/>
      <c r="BR950" s="305"/>
      <c r="BS950" s="305"/>
      <c r="BT950" s="305"/>
      <c r="BU950" s="305"/>
      <c r="BV950" s="305"/>
      <c r="BX950" s="319"/>
    </row>
    <row r="951" spans="1:76" s="303" customFormat="1" x14ac:dyDescent="0.25">
      <c r="A951" s="275"/>
      <c r="B951" s="275"/>
      <c r="C951" s="275"/>
      <c r="D951" s="275"/>
      <c r="E951" s="275"/>
      <c r="F951" s="275"/>
      <c r="V951" s="304"/>
      <c r="W951" s="304"/>
      <c r="AD951" s="304"/>
      <c r="AE951" s="304"/>
      <c r="AR951" s="304"/>
      <c r="AS951" s="304"/>
      <c r="AT951" s="304"/>
      <c r="AU951" s="304"/>
      <c r="AV951" s="304"/>
      <c r="AW951" s="304"/>
      <c r="AX951" s="304"/>
      <c r="AY951" s="304"/>
      <c r="AZ951" s="304"/>
      <c r="BA951" s="304"/>
      <c r="BB951" s="304"/>
      <c r="BC951" s="304"/>
      <c r="BK951" s="305"/>
      <c r="BL951" s="305"/>
      <c r="BM951" s="305"/>
      <c r="BN951" s="305"/>
      <c r="BO951" s="305"/>
      <c r="BP951" s="305"/>
      <c r="BQ951" s="305"/>
      <c r="BR951" s="305"/>
      <c r="BS951" s="305"/>
      <c r="BT951" s="305"/>
      <c r="BU951" s="305"/>
      <c r="BV951" s="305"/>
      <c r="BX951" s="319"/>
    </row>
    <row r="952" spans="1:76" s="303" customFormat="1" x14ac:dyDescent="0.25">
      <c r="A952" s="275"/>
      <c r="B952" s="275"/>
      <c r="C952" s="275"/>
      <c r="D952" s="275"/>
      <c r="E952" s="275"/>
      <c r="F952" s="275"/>
      <c r="V952" s="304"/>
      <c r="W952" s="304"/>
      <c r="AD952" s="304"/>
      <c r="AE952" s="304"/>
      <c r="AR952" s="304"/>
      <c r="AS952" s="304"/>
      <c r="AT952" s="304"/>
      <c r="AU952" s="304"/>
      <c r="AV952" s="304"/>
      <c r="AW952" s="304"/>
      <c r="AX952" s="304"/>
      <c r="AY952" s="304"/>
      <c r="AZ952" s="304"/>
      <c r="BA952" s="304"/>
      <c r="BB952" s="304"/>
      <c r="BC952" s="304"/>
      <c r="BK952" s="305"/>
      <c r="BL952" s="305"/>
      <c r="BM952" s="305"/>
      <c r="BN952" s="305"/>
      <c r="BO952" s="305"/>
      <c r="BP952" s="305"/>
      <c r="BQ952" s="305"/>
      <c r="BR952" s="305"/>
      <c r="BS952" s="305"/>
      <c r="BT952" s="305"/>
      <c r="BU952" s="305"/>
      <c r="BV952" s="305"/>
      <c r="BX952" s="319"/>
    </row>
    <row r="953" spans="1:76" s="303" customFormat="1" x14ac:dyDescent="0.25">
      <c r="A953" s="275"/>
      <c r="B953" s="275"/>
      <c r="C953" s="275"/>
      <c r="D953" s="275"/>
      <c r="E953" s="275"/>
      <c r="F953" s="275"/>
      <c r="V953" s="304"/>
      <c r="W953" s="304"/>
      <c r="AD953" s="304"/>
      <c r="AE953" s="304"/>
      <c r="AR953" s="304"/>
      <c r="AS953" s="304"/>
      <c r="AT953" s="304"/>
      <c r="AU953" s="304"/>
      <c r="AV953" s="304"/>
      <c r="AW953" s="304"/>
      <c r="AX953" s="304"/>
      <c r="AY953" s="304"/>
      <c r="AZ953" s="304"/>
      <c r="BA953" s="304"/>
      <c r="BB953" s="304"/>
      <c r="BC953" s="304"/>
      <c r="BK953" s="305"/>
      <c r="BL953" s="305"/>
      <c r="BM953" s="305"/>
      <c r="BN953" s="305"/>
      <c r="BO953" s="305"/>
      <c r="BP953" s="305"/>
      <c r="BQ953" s="305"/>
      <c r="BR953" s="305"/>
      <c r="BS953" s="305"/>
      <c r="BT953" s="305"/>
      <c r="BU953" s="305"/>
      <c r="BV953" s="305"/>
      <c r="BX953" s="319"/>
    </row>
    <row r="954" spans="1:76" s="303" customFormat="1" x14ac:dyDescent="0.25">
      <c r="A954" s="275"/>
      <c r="B954" s="275"/>
      <c r="C954" s="275"/>
      <c r="D954" s="275"/>
      <c r="E954" s="275"/>
      <c r="F954" s="275"/>
      <c r="V954" s="304"/>
      <c r="W954" s="304"/>
      <c r="AD954" s="304"/>
      <c r="AE954" s="304"/>
      <c r="AR954" s="304"/>
      <c r="AS954" s="304"/>
      <c r="AT954" s="304"/>
      <c r="AU954" s="304"/>
      <c r="AV954" s="304"/>
      <c r="AW954" s="304"/>
      <c r="AX954" s="304"/>
      <c r="AY954" s="304"/>
      <c r="AZ954" s="304"/>
      <c r="BA954" s="304"/>
      <c r="BB954" s="304"/>
      <c r="BC954" s="304"/>
      <c r="BK954" s="305"/>
      <c r="BL954" s="305"/>
      <c r="BM954" s="305"/>
      <c r="BN954" s="305"/>
      <c r="BO954" s="305"/>
      <c r="BP954" s="305"/>
      <c r="BQ954" s="305"/>
      <c r="BR954" s="305"/>
      <c r="BS954" s="305"/>
      <c r="BT954" s="305"/>
      <c r="BU954" s="305"/>
      <c r="BV954" s="305"/>
      <c r="BX954" s="319"/>
    </row>
    <row r="955" spans="1:76" s="303" customFormat="1" x14ac:dyDescent="0.25">
      <c r="A955" s="275"/>
      <c r="B955" s="275"/>
      <c r="C955" s="275"/>
      <c r="D955" s="275"/>
      <c r="E955" s="275"/>
      <c r="F955" s="275"/>
      <c r="V955" s="304"/>
      <c r="W955" s="304"/>
      <c r="AD955" s="304"/>
      <c r="AE955" s="304"/>
      <c r="AR955" s="304"/>
      <c r="AS955" s="304"/>
      <c r="AT955" s="304"/>
      <c r="AU955" s="304"/>
      <c r="AV955" s="304"/>
      <c r="AW955" s="304"/>
      <c r="AX955" s="304"/>
      <c r="AY955" s="304"/>
      <c r="AZ955" s="304"/>
      <c r="BA955" s="304"/>
      <c r="BB955" s="304"/>
      <c r="BC955" s="304"/>
      <c r="BK955" s="305"/>
      <c r="BL955" s="305"/>
      <c r="BM955" s="305"/>
      <c r="BN955" s="305"/>
      <c r="BO955" s="305"/>
      <c r="BP955" s="305"/>
      <c r="BQ955" s="305"/>
      <c r="BR955" s="305"/>
      <c r="BS955" s="305"/>
      <c r="BT955" s="305"/>
      <c r="BU955" s="305"/>
      <c r="BV955" s="305"/>
      <c r="BX955" s="319"/>
    </row>
    <row r="956" spans="1:76" s="303" customFormat="1" x14ac:dyDescent="0.25">
      <c r="A956" s="275"/>
      <c r="B956" s="275"/>
      <c r="C956" s="275"/>
      <c r="D956" s="275"/>
      <c r="E956" s="275"/>
      <c r="F956" s="275"/>
      <c r="V956" s="304"/>
      <c r="W956" s="304"/>
      <c r="AD956" s="304"/>
      <c r="AE956" s="304"/>
      <c r="AR956" s="304"/>
      <c r="AS956" s="304"/>
      <c r="AT956" s="304"/>
      <c r="AU956" s="304"/>
      <c r="AV956" s="304"/>
      <c r="AW956" s="304"/>
      <c r="AX956" s="304"/>
      <c r="AY956" s="304"/>
      <c r="AZ956" s="304"/>
      <c r="BA956" s="304"/>
      <c r="BB956" s="304"/>
      <c r="BC956" s="304"/>
      <c r="BK956" s="305"/>
      <c r="BL956" s="305"/>
      <c r="BM956" s="305"/>
      <c r="BN956" s="305"/>
      <c r="BO956" s="305"/>
      <c r="BP956" s="305"/>
      <c r="BQ956" s="305"/>
      <c r="BR956" s="305"/>
      <c r="BS956" s="305"/>
      <c r="BT956" s="305"/>
      <c r="BU956" s="305"/>
      <c r="BV956" s="305"/>
      <c r="BX956" s="319"/>
    </row>
    <row r="957" spans="1:76" s="303" customFormat="1" x14ac:dyDescent="0.25">
      <c r="A957" s="275"/>
      <c r="B957" s="275"/>
      <c r="C957" s="275"/>
      <c r="D957" s="275"/>
      <c r="E957" s="275"/>
      <c r="F957" s="275"/>
      <c r="V957" s="304"/>
      <c r="W957" s="304"/>
      <c r="AD957" s="304"/>
      <c r="AE957" s="304"/>
      <c r="AR957" s="304"/>
      <c r="AS957" s="304"/>
      <c r="AT957" s="304"/>
      <c r="AU957" s="304"/>
      <c r="AV957" s="304"/>
      <c r="AW957" s="304"/>
      <c r="AX957" s="304"/>
      <c r="AY957" s="304"/>
      <c r="AZ957" s="304"/>
      <c r="BA957" s="304"/>
      <c r="BB957" s="304"/>
      <c r="BC957" s="304"/>
      <c r="BK957" s="305"/>
      <c r="BL957" s="305"/>
      <c r="BM957" s="305"/>
      <c r="BN957" s="305"/>
      <c r="BO957" s="305"/>
      <c r="BP957" s="305"/>
      <c r="BQ957" s="305"/>
      <c r="BR957" s="305"/>
      <c r="BS957" s="305"/>
      <c r="BT957" s="305"/>
      <c r="BU957" s="305"/>
      <c r="BV957" s="305"/>
      <c r="BX957" s="319"/>
    </row>
    <row r="958" spans="1:76" s="303" customFormat="1" x14ac:dyDescent="0.25">
      <c r="A958" s="275"/>
      <c r="B958" s="275"/>
      <c r="C958" s="275"/>
      <c r="D958" s="275"/>
      <c r="E958" s="275"/>
      <c r="F958" s="275"/>
      <c r="V958" s="304"/>
      <c r="W958" s="304"/>
      <c r="AD958" s="304"/>
      <c r="AE958" s="304"/>
      <c r="AR958" s="304"/>
      <c r="AS958" s="304"/>
      <c r="AT958" s="304"/>
      <c r="AU958" s="304"/>
      <c r="AV958" s="304"/>
      <c r="AW958" s="304"/>
      <c r="AX958" s="304"/>
      <c r="AY958" s="304"/>
      <c r="AZ958" s="304"/>
      <c r="BA958" s="304"/>
      <c r="BB958" s="304"/>
      <c r="BC958" s="304"/>
      <c r="BK958" s="305"/>
      <c r="BL958" s="305"/>
      <c r="BM958" s="305"/>
      <c r="BN958" s="305"/>
      <c r="BO958" s="305"/>
      <c r="BP958" s="305"/>
      <c r="BQ958" s="305"/>
      <c r="BR958" s="305"/>
      <c r="BS958" s="305"/>
      <c r="BT958" s="305"/>
      <c r="BU958" s="305"/>
      <c r="BV958" s="305"/>
      <c r="BX958" s="319"/>
    </row>
    <row r="959" spans="1:76" s="303" customFormat="1" x14ac:dyDescent="0.25">
      <c r="A959" s="275"/>
      <c r="B959" s="275"/>
      <c r="C959" s="275"/>
      <c r="D959" s="275"/>
      <c r="E959" s="275"/>
      <c r="F959" s="275"/>
      <c r="V959" s="304"/>
      <c r="W959" s="304"/>
      <c r="AD959" s="304"/>
      <c r="AE959" s="304"/>
      <c r="AR959" s="304"/>
      <c r="AS959" s="304"/>
      <c r="AT959" s="304"/>
      <c r="AU959" s="304"/>
      <c r="AV959" s="304"/>
      <c r="AW959" s="304"/>
      <c r="AX959" s="304"/>
      <c r="AY959" s="304"/>
      <c r="AZ959" s="304"/>
      <c r="BA959" s="304"/>
      <c r="BB959" s="304"/>
      <c r="BC959" s="304"/>
      <c r="BK959" s="305"/>
      <c r="BL959" s="305"/>
      <c r="BM959" s="305"/>
      <c r="BN959" s="305"/>
      <c r="BO959" s="305"/>
      <c r="BP959" s="305"/>
      <c r="BQ959" s="305"/>
      <c r="BR959" s="305"/>
      <c r="BS959" s="305"/>
      <c r="BT959" s="305"/>
      <c r="BU959" s="305"/>
      <c r="BV959" s="305"/>
      <c r="BX959" s="319"/>
    </row>
    <row r="960" spans="1:76" s="303" customFormat="1" x14ac:dyDescent="0.25">
      <c r="A960" s="275"/>
      <c r="B960" s="275"/>
      <c r="C960" s="275"/>
      <c r="D960" s="275"/>
      <c r="E960" s="275"/>
      <c r="F960" s="275"/>
      <c r="V960" s="304"/>
      <c r="W960" s="304"/>
      <c r="AD960" s="304"/>
      <c r="AE960" s="304"/>
      <c r="AR960" s="304"/>
      <c r="AS960" s="304"/>
      <c r="AT960" s="304"/>
      <c r="AU960" s="304"/>
      <c r="AV960" s="304"/>
      <c r="AW960" s="304"/>
      <c r="AX960" s="304"/>
      <c r="AY960" s="304"/>
      <c r="AZ960" s="304"/>
      <c r="BA960" s="304"/>
      <c r="BB960" s="304"/>
      <c r="BC960" s="304"/>
      <c r="BK960" s="305"/>
      <c r="BL960" s="305"/>
      <c r="BM960" s="305"/>
      <c r="BN960" s="305"/>
      <c r="BO960" s="305"/>
      <c r="BP960" s="305"/>
      <c r="BQ960" s="305"/>
      <c r="BR960" s="305"/>
      <c r="BS960" s="305"/>
      <c r="BT960" s="305"/>
      <c r="BU960" s="305"/>
      <c r="BV960" s="305"/>
      <c r="BX960" s="319"/>
    </row>
    <row r="961" spans="1:76" s="303" customFormat="1" x14ac:dyDescent="0.25">
      <c r="A961" s="275"/>
      <c r="B961" s="275"/>
      <c r="C961" s="275"/>
      <c r="D961" s="275"/>
      <c r="E961" s="275"/>
      <c r="F961" s="275"/>
      <c r="V961" s="304"/>
      <c r="W961" s="304"/>
      <c r="AD961" s="304"/>
      <c r="AE961" s="304"/>
      <c r="AR961" s="304"/>
      <c r="AS961" s="304"/>
      <c r="AT961" s="304"/>
      <c r="AU961" s="304"/>
      <c r="AV961" s="304"/>
      <c r="AW961" s="304"/>
      <c r="AX961" s="304"/>
      <c r="AY961" s="304"/>
      <c r="AZ961" s="304"/>
      <c r="BA961" s="304"/>
      <c r="BB961" s="304"/>
      <c r="BC961" s="304"/>
      <c r="BK961" s="305"/>
      <c r="BL961" s="305"/>
      <c r="BM961" s="305"/>
      <c r="BN961" s="305"/>
      <c r="BO961" s="305"/>
      <c r="BP961" s="305"/>
      <c r="BQ961" s="305"/>
      <c r="BR961" s="305"/>
      <c r="BS961" s="305"/>
      <c r="BT961" s="305"/>
      <c r="BU961" s="305"/>
      <c r="BV961" s="305"/>
      <c r="BX961" s="319"/>
    </row>
    <row r="962" spans="1:76" s="303" customFormat="1" x14ac:dyDescent="0.25">
      <c r="A962" s="275"/>
      <c r="B962" s="275"/>
      <c r="C962" s="275"/>
      <c r="D962" s="275"/>
      <c r="E962" s="275"/>
      <c r="F962" s="275"/>
      <c r="V962" s="304"/>
      <c r="W962" s="304"/>
      <c r="AD962" s="304"/>
      <c r="AE962" s="304"/>
      <c r="AR962" s="304"/>
      <c r="AS962" s="304"/>
      <c r="AT962" s="304"/>
      <c r="AU962" s="304"/>
      <c r="AV962" s="304"/>
      <c r="AW962" s="304"/>
      <c r="AX962" s="304"/>
      <c r="AY962" s="304"/>
      <c r="AZ962" s="304"/>
      <c r="BA962" s="304"/>
      <c r="BB962" s="304"/>
      <c r="BC962" s="304"/>
      <c r="BK962" s="305"/>
      <c r="BL962" s="305"/>
      <c r="BM962" s="305"/>
      <c r="BN962" s="305"/>
      <c r="BO962" s="305"/>
      <c r="BP962" s="305"/>
      <c r="BQ962" s="305"/>
      <c r="BR962" s="305"/>
      <c r="BS962" s="305"/>
      <c r="BT962" s="305"/>
      <c r="BU962" s="305"/>
      <c r="BV962" s="305"/>
      <c r="BX962" s="319"/>
    </row>
    <row r="963" spans="1:76" s="303" customFormat="1" x14ac:dyDescent="0.25">
      <c r="A963" s="275"/>
      <c r="B963" s="275"/>
      <c r="C963" s="275"/>
      <c r="D963" s="275"/>
      <c r="E963" s="275"/>
      <c r="F963" s="275"/>
      <c r="V963" s="304"/>
      <c r="W963" s="304"/>
      <c r="AD963" s="304"/>
      <c r="AE963" s="304"/>
      <c r="AR963" s="304"/>
      <c r="AS963" s="304"/>
      <c r="AT963" s="304"/>
      <c r="AU963" s="304"/>
      <c r="AV963" s="304"/>
      <c r="AW963" s="304"/>
      <c r="AX963" s="304"/>
      <c r="AY963" s="304"/>
      <c r="AZ963" s="304"/>
      <c r="BA963" s="304"/>
      <c r="BB963" s="304"/>
      <c r="BC963" s="304"/>
      <c r="BK963" s="305"/>
      <c r="BL963" s="305"/>
      <c r="BM963" s="305"/>
      <c r="BN963" s="305"/>
      <c r="BO963" s="305"/>
      <c r="BP963" s="305"/>
      <c r="BQ963" s="305"/>
      <c r="BR963" s="305"/>
      <c r="BS963" s="305"/>
      <c r="BT963" s="305"/>
      <c r="BU963" s="305"/>
      <c r="BV963" s="305"/>
      <c r="BX963" s="319"/>
    </row>
    <row r="964" spans="1:76" s="303" customFormat="1" x14ac:dyDescent="0.25">
      <c r="A964" s="275"/>
      <c r="B964" s="275"/>
      <c r="C964" s="275"/>
      <c r="D964" s="275"/>
      <c r="E964" s="275"/>
      <c r="F964" s="275"/>
      <c r="V964" s="304"/>
      <c r="W964" s="304"/>
      <c r="AD964" s="304"/>
      <c r="AE964" s="304"/>
      <c r="AR964" s="304"/>
      <c r="AS964" s="304"/>
      <c r="AT964" s="304"/>
      <c r="AU964" s="304"/>
      <c r="AV964" s="304"/>
      <c r="AW964" s="304"/>
      <c r="AX964" s="304"/>
      <c r="AY964" s="304"/>
      <c r="AZ964" s="304"/>
      <c r="BA964" s="304"/>
      <c r="BB964" s="304"/>
      <c r="BC964" s="304"/>
      <c r="BK964" s="305"/>
      <c r="BL964" s="305"/>
      <c r="BM964" s="305"/>
      <c r="BN964" s="305"/>
      <c r="BO964" s="305"/>
      <c r="BP964" s="305"/>
      <c r="BQ964" s="305"/>
      <c r="BR964" s="305"/>
      <c r="BS964" s="305"/>
      <c r="BT964" s="305"/>
      <c r="BU964" s="305"/>
      <c r="BV964" s="305"/>
      <c r="BX964" s="319"/>
    </row>
    <row r="965" spans="1:76" s="303" customFormat="1" x14ac:dyDescent="0.25">
      <c r="A965" s="275"/>
      <c r="B965" s="275"/>
      <c r="C965" s="275"/>
      <c r="D965" s="275"/>
      <c r="E965" s="275"/>
      <c r="F965" s="275"/>
      <c r="V965" s="304"/>
      <c r="W965" s="304"/>
      <c r="AD965" s="304"/>
      <c r="AE965" s="304"/>
      <c r="AR965" s="304"/>
      <c r="AS965" s="304"/>
      <c r="AT965" s="304"/>
      <c r="AU965" s="304"/>
      <c r="AV965" s="304"/>
      <c r="AW965" s="304"/>
      <c r="AX965" s="304"/>
      <c r="AY965" s="304"/>
      <c r="AZ965" s="304"/>
      <c r="BA965" s="304"/>
      <c r="BB965" s="304"/>
      <c r="BC965" s="304"/>
      <c r="BK965" s="305"/>
      <c r="BL965" s="305"/>
      <c r="BM965" s="305"/>
      <c r="BN965" s="305"/>
      <c r="BO965" s="305"/>
      <c r="BP965" s="305"/>
      <c r="BQ965" s="305"/>
      <c r="BR965" s="305"/>
      <c r="BS965" s="305"/>
      <c r="BT965" s="305"/>
      <c r="BU965" s="305"/>
      <c r="BV965" s="305"/>
      <c r="BX965" s="319"/>
    </row>
    <row r="966" spans="1:76" s="303" customFormat="1" x14ac:dyDescent="0.25">
      <c r="A966" s="275"/>
      <c r="B966" s="275"/>
      <c r="C966" s="275"/>
      <c r="D966" s="275"/>
      <c r="E966" s="275"/>
      <c r="F966" s="275"/>
      <c r="V966" s="304"/>
      <c r="W966" s="304"/>
      <c r="AD966" s="304"/>
      <c r="AE966" s="304"/>
      <c r="AR966" s="304"/>
      <c r="AS966" s="304"/>
      <c r="AT966" s="304"/>
      <c r="AU966" s="304"/>
      <c r="AV966" s="304"/>
      <c r="AW966" s="304"/>
      <c r="AX966" s="304"/>
      <c r="AY966" s="304"/>
      <c r="AZ966" s="304"/>
      <c r="BA966" s="304"/>
      <c r="BB966" s="304"/>
      <c r="BC966" s="304"/>
      <c r="BK966" s="305"/>
      <c r="BL966" s="305"/>
      <c r="BM966" s="305"/>
      <c r="BN966" s="305"/>
      <c r="BO966" s="305"/>
      <c r="BP966" s="305"/>
      <c r="BQ966" s="305"/>
      <c r="BR966" s="305"/>
      <c r="BS966" s="305"/>
      <c r="BT966" s="305"/>
      <c r="BU966" s="305"/>
      <c r="BV966" s="305"/>
      <c r="BX966" s="319"/>
    </row>
    <row r="967" spans="1:76" s="303" customFormat="1" x14ac:dyDescent="0.25">
      <c r="A967" s="275"/>
      <c r="B967" s="275"/>
      <c r="C967" s="275"/>
      <c r="D967" s="275"/>
      <c r="E967" s="275"/>
      <c r="F967" s="275"/>
      <c r="V967" s="304"/>
      <c r="W967" s="304"/>
      <c r="AD967" s="304"/>
      <c r="AE967" s="304"/>
      <c r="AR967" s="304"/>
      <c r="AS967" s="304"/>
      <c r="AT967" s="304"/>
      <c r="AU967" s="304"/>
      <c r="AV967" s="304"/>
      <c r="AW967" s="304"/>
      <c r="AX967" s="304"/>
      <c r="AY967" s="304"/>
      <c r="AZ967" s="304"/>
      <c r="BA967" s="304"/>
      <c r="BB967" s="304"/>
      <c r="BC967" s="304"/>
      <c r="BK967" s="305"/>
      <c r="BL967" s="305"/>
      <c r="BM967" s="305"/>
      <c r="BN967" s="305"/>
      <c r="BO967" s="305"/>
      <c r="BP967" s="305"/>
      <c r="BQ967" s="305"/>
      <c r="BR967" s="305"/>
      <c r="BS967" s="305"/>
      <c r="BT967" s="305"/>
      <c r="BU967" s="305"/>
      <c r="BV967" s="305"/>
      <c r="BX967" s="319"/>
    </row>
    <row r="968" spans="1:76" s="303" customFormat="1" x14ac:dyDescent="0.25">
      <c r="A968" s="275"/>
      <c r="B968" s="275"/>
      <c r="C968" s="275"/>
      <c r="D968" s="275"/>
      <c r="E968" s="275"/>
      <c r="F968" s="275"/>
      <c r="V968" s="304"/>
      <c r="W968" s="304"/>
      <c r="AD968" s="304"/>
      <c r="AE968" s="304"/>
      <c r="AR968" s="304"/>
      <c r="AS968" s="304"/>
      <c r="AT968" s="304"/>
      <c r="AU968" s="304"/>
      <c r="AV968" s="304"/>
      <c r="AW968" s="304"/>
      <c r="AX968" s="304"/>
      <c r="AY968" s="304"/>
      <c r="AZ968" s="304"/>
      <c r="BA968" s="304"/>
      <c r="BB968" s="304"/>
      <c r="BC968" s="304"/>
      <c r="BK968" s="305"/>
      <c r="BL968" s="305"/>
      <c r="BM968" s="305"/>
      <c r="BN968" s="305"/>
      <c r="BO968" s="305"/>
      <c r="BP968" s="305"/>
      <c r="BQ968" s="305"/>
      <c r="BR968" s="305"/>
      <c r="BS968" s="305"/>
      <c r="BT968" s="305"/>
      <c r="BU968" s="305"/>
      <c r="BV968" s="305"/>
      <c r="BX968" s="319"/>
    </row>
    <row r="969" spans="1:76" s="303" customFormat="1" x14ac:dyDescent="0.25">
      <c r="A969" s="275"/>
      <c r="B969" s="275"/>
      <c r="C969" s="275"/>
      <c r="D969" s="275"/>
      <c r="E969" s="275"/>
      <c r="F969" s="275"/>
      <c r="V969" s="304"/>
      <c r="W969" s="304"/>
      <c r="AD969" s="304"/>
      <c r="AE969" s="304"/>
      <c r="AR969" s="304"/>
      <c r="AS969" s="304"/>
      <c r="AT969" s="304"/>
      <c r="AU969" s="304"/>
      <c r="AV969" s="304"/>
      <c r="AW969" s="304"/>
      <c r="AX969" s="304"/>
      <c r="AY969" s="304"/>
      <c r="AZ969" s="304"/>
      <c r="BA969" s="304"/>
      <c r="BB969" s="304"/>
      <c r="BC969" s="304"/>
      <c r="BK969" s="305"/>
      <c r="BL969" s="305"/>
      <c r="BM969" s="305"/>
      <c r="BN969" s="305"/>
      <c r="BO969" s="305"/>
      <c r="BP969" s="305"/>
      <c r="BQ969" s="305"/>
      <c r="BR969" s="305"/>
      <c r="BS969" s="305"/>
      <c r="BT969" s="305"/>
      <c r="BU969" s="305"/>
      <c r="BV969" s="305"/>
      <c r="BX969" s="319"/>
    </row>
    <row r="970" spans="1:76" s="303" customFormat="1" x14ac:dyDescent="0.25">
      <c r="A970" s="275"/>
      <c r="B970" s="275"/>
      <c r="C970" s="275"/>
      <c r="D970" s="275"/>
      <c r="E970" s="275"/>
      <c r="F970" s="275"/>
      <c r="V970" s="304"/>
      <c r="W970" s="304"/>
      <c r="AD970" s="304"/>
      <c r="AE970" s="304"/>
      <c r="AR970" s="304"/>
      <c r="AS970" s="304"/>
      <c r="AT970" s="304"/>
      <c r="AU970" s="304"/>
      <c r="AV970" s="304"/>
      <c r="AW970" s="304"/>
      <c r="AX970" s="304"/>
      <c r="AY970" s="304"/>
      <c r="AZ970" s="304"/>
      <c r="BA970" s="304"/>
      <c r="BB970" s="304"/>
      <c r="BC970" s="304"/>
      <c r="BK970" s="305"/>
      <c r="BL970" s="305"/>
      <c r="BM970" s="305"/>
      <c r="BN970" s="305"/>
      <c r="BO970" s="305"/>
      <c r="BP970" s="305"/>
      <c r="BQ970" s="305"/>
      <c r="BR970" s="305"/>
      <c r="BS970" s="305"/>
      <c r="BT970" s="305"/>
      <c r="BU970" s="305"/>
      <c r="BV970" s="305"/>
      <c r="BX970" s="319"/>
    </row>
    <row r="971" spans="1:76" s="303" customFormat="1" x14ac:dyDescent="0.25">
      <c r="A971" s="275"/>
      <c r="B971" s="275"/>
      <c r="C971" s="275"/>
      <c r="D971" s="275"/>
      <c r="E971" s="275"/>
      <c r="F971" s="275"/>
      <c r="V971" s="304"/>
      <c r="W971" s="304"/>
      <c r="AD971" s="304"/>
      <c r="AE971" s="304"/>
      <c r="AR971" s="304"/>
      <c r="AS971" s="304"/>
      <c r="AT971" s="304"/>
      <c r="AU971" s="304"/>
      <c r="AV971" s="304"/>
      <c r="AW971" s="304"/>
      <c r="AX971" s="304"/>
      <c r="AY971" s="304"/>
      <c r="AZ971" s="304"/>
      <c r="BA971" s="304"/>
      <c r="BB971" s="304"/>
      <c r="BC971" s="304"/>
      <c r="BK971" s="305"/>
      <c r="BL971" s="305"/>
      <c r="BM971" s="305"/>
      <c r="BN971" s="305"/>
      <c r="BO971" s="305"/>
      <c r="BP971" s="305"/>
      <c r="BQ971" s="305"/>
      <c r="BR971" s="305"/>
      <c r="BS971" s="305"/>
      <c r="BT971" s="305"/>
      <c r="BU971" s="305"/>
      <c r="BV971" s="305"/>
      <c r="BX971" s="319"/>
    </row>
    <row r="972" spans="1:76" s="303" customFormat="1" x14ac:dyDescent="0.25">
      <c r="A972" s="275"/>
      <c r="B972" s="275"/>
      <c r="C972" s="275"/>
      <c r="D972" s="275"/>
      <c r="E972" s="275"/>
      <c r="F972" s="275"/>
      <c r="V972" s="304"/>
      <c r="W972" s="304"/>
      <c r="AD972" s="304"/>
      <c r="AE972" s="304"/>
      <c r="AR972" s="304"/>
      <c r="AS972" s="304"/>
      <c r="AT972" s="304"/>
      <c r="AU972" s="304"/>
      <c r="AV972" s="304"/>
      <c r="AW972" s="304"/>
      <c r="AX972" s="304"/>
      <c r="AY972" s="304"/>
      <c r="AZ972" s="304"/>
      <c r="BA972" s="304"/>
      <c r="BB972" s="304"/>
      <c r="BC972" s="304"/>
      <c r="BK972" s="305"/>
      <c r="BL972" s="305"/>
      <c r="BM972" s="305"/>
      <c r="BN972" s="305"/>
      <c r="BO972" s="305"/>
      <c r="BP972" s="305"/>
      <c r="BQ972" s="305"/>
      <c r="BR972" s="305"/>
      <c r="BS972" s="305"/>
      <c r="BT972" s="305"/>
      <c r="BU972" s="305"/>
      <c r="BV972" s="305"/>
      <c r="BX972" s="319"/>
    </row>
    <row r="973" spans="1:76" s="303" customFormat="1" x14ac:dyDescent="0.25">
      <c r="A973" s="275"/>
      <c r="B973" s="275"/>
      <c r="C973" s="275"/>
      <c r="D973" s="275"/>
      <c r="E973" s="275"/>
      <c r="F973" s="275"/>
      <c r="V973" s="304"/>
      <c r="W973" s="304"/>
      <c r="AD973" s="304"/>
      <c r="AE973" s="304"/>
      <c r="AR973" s="304"/>
      <c r="AS973" s="304"/>
      <c r="AT973" s="304"/>
      <c r="AU973" s="304"/>
      <c r="AV973" s="304"/>
      <c r="AW973" s="304"/>
      <c r="AX973" s="304"/>
      <c r="AY973" s="304"/>
      <c r="AZ973" s="304"/>
      <c r="BA973" s="304"/>
      <c r="BB973" s="304"/>
      <c r="BC973" s="304"/>
      <c r="BK973" s="305"/>
      <c r="BL973" s="305"/>
      <c r="BM973" s="305"/>
      <c r="BN973" s="305"/>
      <c r="BO973" s="305"/>
      <c r="BP973" s="305"/>
      <c r="BQ973" s="305"/>
      <c r="BR973" s="305"/>
      <c r="BS973" s="305"/>
      <c r="BT973" s="305"/>
      <c r="BU973" s="305"/>
      <c r="BV973" s="305"/>
      <c r="BX973" s="319"/>
    </row>
    <row r="974" spans="1:76" s="303" customFormat="1" x14ac:dyDescent="0.25">
      <c r="A974" s="275"/>
      <c r="B974" s="275"/>
      <c r="C974" s="275"/>
      <c r="D974" s="275"/>
      <c r="E974" s="275"/>
      <c r="F974" s="275"/>
      <c r="V974" s="304"/>
      <c r="W974" s="304"/>
      <c r="AD974" s="304"/>
      <c r="AE974" s="304"/>
      <c r="AR974" s="304"/>
      <c r="AS974" s="304"/>
      <c r="AT974" s="304"/>
      <c r="AU974" s="304"/>
      <c r="AV974" s="304"/>
      <c r="AW974" s="304"/>
      <c r="AX974" s="304"/>
      <c r="AY974" s="304"/>
      <c r="AZ974" s="304"/>
      <c r="BA974" s="304"/>
      <c r="BB974" s="304"/>
      <c r="BC974" s="304"/>
      <c r="BK974" s="305"/>
      <c r="BL974" s="305"/>
      <c r="BM974" s="305"/>
      <c r="BN974" s="305"/>
      <c r="BO974" s="305"/>
      <c r="BP974" s="305"/>
      <c r="BQ974" s="305"/>
      <c r="BR974" s="305"/>
      <c r="BS974" s="305"/>
      <c r="BT974" s="305"/>
      <c r="BU974" s="305"/>
      <c r="BV974" s="305"/>
      <c r="BX974" s="319"/>
    </row>
    <row r="975" spans="1:76" s="303" customFormat="1" x14ac:dyDescent="0.25">
      <c r="A975" s="275"/>
      <c r="B975" s="275"/>
      <c r="C975" s="275"/>
      <c r="D975" s="275"/>
      <c r="E975" s="275"/>
      <c r="F975" s="275"/>
      <c r="V975" s="304"/>
      <c r="W975" s="304"/>
      <c r="AD975" s="304"/>
      <c r="AE975" s="304"/>
      <c r="AR975" s="304"/>
      <c r="AS975" s="304"/>
      <c r="AT975" s="304"/>
      <c r="AU975" s="304"/>
      <c r="AV975" s="304"/>
      <c r="AW975" s="304"/>
      <c r="AX975" s="304"/>
      <c r="AY975" s="304"/>
      <c r="AZ975" s="304"/>
      <c r="BA975" s="304"/>
      <c r="BB975" s="304"/>
      <c r="BC975" s="304"/>
      <c r="BK975" s="305"/>
      <c r="BL975" s="305"/>
      <c r="BM975" s="305"/>
      <c r="BN975" s="305"/>
      <c r="BO975" s="305"/>
      <c r="BP975" s="305"/>
      <c r="BQ975" s="305"/>
      <c r="BR975" s="305"/>
      <c r="BS975" s="305"/>
      <c r="BT975" s="305"/>
      <c r="BU975" s="305"/>
      <c r="BV975" s="305"/>
      <c r="BX975" s="319"/>
    </row>
    <row r="976" spans="1:76" s="303" customFormat="1" x14ac:dyDescent="0.25">
      <c r="A976" s="275"/>
      <c r="B976" s="275"/>
      <c r="C976" s="275"/>
      <c r="D976" s="275"/>
      <c r="E976" s="275"/>
      <c r="F976" s="275"/>
      <c r="V976" s="304"/>
      <c r="W976" s="304"/>
      <c r="AD976" s="304"/>
      <c r="AE976" s="304"/>
      <c r="AR976" s="304"/>
      <c r="AS976" s="304"/>
      <c r="AT976" s="304"/>
      <c r="AU976" s="304"/>
      <c r="AV976" s="304"/>
      <c r="AW976" s="304"/>
      <c r="AX976" s="304"/>
      <c r="AY976" s="304"/>
      <c r="AZ976" s="304"/>
      <c r="BA976" s="304"/>
      <c r="BB976" s="304"/>
      <c r="BC976" s="304"/>
      <c r="BK976" s="305"/>
      <c r="BL976" s="305"/>
      <c r="BM976" s="305"/>
      <c r="BN976" s="305"/>
      <c r="BO976" s="305"/>
      <c r="BP976" s="305"/>
      <c r="BQ976" s="305"/>
      <c r="BR976" s="305"/>
      <c r="BS976" s="305"/>
      <c r="BT976" s="305"/>
      <c r="BU976" s="305"/>
      <c r="BV976" s="305"/>
      <c r="BX976" s="319"/>
    </row>
    <row r="977" spans="1:76" s="303" customFormat="1" x14ac:dyDescent="0.25">
      <c r="A977" s="275"/>
      <c r="B977" s="275"/>
      <c r="C977" s="275"/>
      <c r="D977" s="275"/>
      <c r="E977" s="275"/>
      <c r="F977" s="275"/>
      <c r="V977" s="304"/>
      <c r="W977" s="304"/>
      <c r="AD977" s="304"/>
      <c r="AE977" s="304"/>
      <c r="AR977" s="304"/>
      <c r="AS977" s="304"/>
      <c r="AT977" s="304"/>
      <c r="AU977" s="304"/>
      <c r="AV977" s="304"/>
      <c r="AW977" s="304"/>
      <c r="AX977" s="304"/>
      <c r="AY977" s="304"/>
      <c r="AZ977" s="304"/>
      <c r="BA977" s="304"/>
      <c r="BB977" s="304"/>
      <c r="BC977" s="304"/>
      <c r="BK977" s="305"/>
      <c r="BL977" s="305"/>
      <c r="BM977" s="305"/>
      <c r="BN977" s="305"/>
      <c r="BO977" s="305"/>
      <c r="BP977" s="305"/>
      <c r="BQ977" s="305"/>
      <c r="BR977" s="305"/>
      <c r="BS977" s="305"/>
      <c r="BT977" s="305"/>
      <c r="BU977" s="305"/>
      <c r="BV977" s="305"/>
      <c r="BX977" s="319"/>
    </row>
    <row r="978" spans="1:76" s="303" customFormat="1" x14ac:dyDescent="0.25">
      <c r="A978" s="275"/>
      <c r="B978" s="275"/>
      <c r="C978" s="275"/>
      <c r="D978" s="275"/>
      <c r="E978" s="275"/>
      <c r="F978" s="275"/>
      <c r="V978" s="304"/>
      <c r="W978" s="304"/>
      <c r="AD978" s="304"/>
      <c r="AE978" s="304"/>
      <c r="AR978" s="304"/>
      <c r="AS978" s="304"/>
      <c r="AT978" s="304"/>
      <c r="AU978" s="304"/>
      <c r="AV978" s="304"/>
      <c r="AW978" s="304"/>
      <c r="AX978" s="304"/>
      <c r="AY978" s="304"/>
      <c r="AZ978" s="304"/>
      <c r="BA978" s="304"/>
      <c r="BB978" s="304"/>
      <c r="BC978" s="304"/>
      <c r="BK978" s="305"/>
      <c r="BL978" s="305"/>
      <c r="BM978" s="305"/>
      <c r="BN978" s="305"/>
      <c r="BO978" s="305"/>
      <c r="BP978" s="305"/>
      <c r="BQ978" s="305"/>
      <c r="BR978" s="305"/>
      <c r="BS978" s="305"/>
      <c r="BT978" s="305"/>
      <c r="BU978" s="305"/>
      <c r="BV978" s="305"/>
      <c r="BX978" s="319"/>
    </row>
    <row r="979" spans="1:76" s="303" customFormat="1" x14ac:dyDescent="0.25">
      <c r="A979" s="275"/>
      <c r="B979" s="275"/>
      <c r="C979" s="275"/>
      <c r="D979" s="275"/>
      <c r="E979" s="275"/>
      <c r="F979" s="275"/>
      <c r="V979" s="304"/>
      <c r="W979" s="304"/>
      <c r="AD979" s="304"/>
      <c r="AE979" s="304"/>
      <c r="AR979" s="304"/>
      <c r="AS979" s="304"/>
      <c r="AT979" s="304"/>
      <c r="AU979" s="304"/>
      <c r="AV979" s="304"/>
      <c r="AW979" s="304"/>
      <c r="AX979" s="304"/>
      <c r="AY979" s="304"/>
      <c r="AZ979" s="304"/>
      <c r="BA979" s="304"/>
      <c r="BB979" s="304"/>
      <c r="BC979" s="304"/>
      <c r="BK979" s="305"/>
      <c r="BL979" s="305"/>
      <c r="BM979" s="305"/>
      <c r="BN979" s="305"/>
      <c r="BO979" s="305"/>
      <c r="BP979" s="305"/>
      <c r="BQ979" s="305"/>
      <c r="BR979" s="305"/>
      <c r="BS979" s="305"/>
      <c r="BT979" s="305"/>
      <c r="BU979" s="305"/>
      <c r="BV979" s="305"/>
      <c r="BX979" s="319"/>
    </row>
    <row r="980" spans="1:76" s="303" customFormat="1" x14ac:dyDescent="0.25">
      <c r="A980" s="275"/>
      <c r="B980" s="275"/>
      <c r="C980" s="275"/>
      <c r="D980" s="275"/>
      <c r="E980" s="275"/>
      <c r="F980" s="275"/>
      <c r="V980" s="304"/>
      <c r="W980" s="304"/>
      <c r="AD980" s="304"/>
      <c r="AE980" s="304"/>
      <c r="AR980" s="304"/>
      <c r="AS980" s="304"/>
      <c r="AT980" s="304"/>
      <c r="AU980" s="304"/>
      <c r="AV980" s="304"/>
      <c r="AW980" s="304"/>
      <c r="AX980" s="304"/>
      <c r="AY980" s="304"/>
      <c r="AZ980" s="304"/>
      <c r="BA980" s="304"/>
      <c r="BB980" s="304"/>
      <c r="BC980" s="304"/>
      <c r="BK980" s="305"/>
      <c r="BL980" s="305"/>
      <c r="BM980" s="305"/>
      <c r="BN980" s="305"/>
      <c r="BO980" s="305"/>
      <c r="BP980" s="305"/>
      <c r="BQ980" s="305"/>
      <c r="BR980" s="305"/>
      <c r="BS980" s="305"/>
      <c r="BT980" s="305"/>
      <c r="BU980" s="305"/>
      <c r="BV980" s="305"/>
      <c r="BX980" s="319"/>
    </row>
    <row r="981" spans="1:76" s="303" customFormat="1" x14ac:dyDescent="0.25">
      <c r="A981" s="275"/>
      <c r="B981" s="275"/>
      <c r="C981" s="275"/>
      <c r="D981" s="275"/>
      <c r="E981" s="275"/>
      <c r="F981" s="275"/>
      <c r="V981" s="304"/>
      <c r="W981" s="304"/>
      <c r="AD981" s="304"/>
      <c r="AE981" s="304"/>
      <c r="AR981" s="304"/>
      <c r="AS981" s="304"/>
      <c r="AT981" s="304"/>
      <c r="AU981" s="304"/>
      <c r="AV981" s="304"/>
      <c r="AW981" s="304"/>
      <c r="AX981" s="304"/>
      <c r="AY981" s="304"/>
      <c r="AZ981" s="304"/>
      <c r="BA981" s="304"/>
      <c r="BB981" s="304"/>
      <c r="BC981" s="304"/>
      <c r="BK981" s="305"/>
      <c r="BL981" s="305"/>
      <c r="BM981" s="305"/>
      <c r="BN981" s="305"/>
      <c r="BO981" s="305"/>
      <c r="BP981" s="305"/>
      <c r="BQ981" s="305"/>
      <c r="BR981" s="305"/>
      <c r="BS981" s="305"/>
      <c r="BT981" s="305"/>
      <c r="BU981" s="305"/>
      <c r="BV981" s="305"/>
      <c r="BX981" s="319"/>
    </row>
    <row r="982" spans="1:76" s="303" customFormat="1" x14ac:dyDescent="0.25">
      <c r="A982" s="275"/>
      <c r="B982" s="275"/>
      <c r="C982" s="275"/>
      <c r="D982" s="275"/>
      <c r="E982" s="275"/>
      <c r="F982" s="275"/>
      <c r="V982" s="304"/>
      <c r="W982" s="304"/>
      <c r="AD982" s="304"/>
      <c r="AE982" s="304"/>
      <c r="AR982" s="304"/>
      <c r="AS982" s="304"/>
      <c r="AT982" s="304"/>
      <c r="AU982" s="304"/>
      <c r="AV982" s="304"/>
      <c r="AW982" s="304"/>
      <c r="AX982" s="304"/>
      <c r="AY982" s="304"/>
      <c r="AZ982" s="304"/>
      <c r="BA982" s="304"/>
      <c r="BB982" s="304"/>
      <c r="BC982" s="304"/>
      <c r="BK982" s="305"/>
      <c r="BL982" s="305"/>
      <c r="BM982" s="305"/>
      <c r="BN982" s="305"/>
      <c r="BO982" s="305"/>
      <c r="BP982" s="305"/>
      <c r="BQ982" s="305"/>
      <c r="BR982" s="305"/>
      <c r="BS982" s="305"/>
      <c r="BT982" s="305"/>
      <c r="BU982" s="305"/>
      <c r="BV982" s="305"/>
      <c r="BX982" s="319"/>
    </row>
    <row r="983" spans="1:76" s="303" customFormat="1" x14ac:dyDescent="0.25">
      <c r="A983" s="275"/>
      <c r="B983" s="275"/>
      <c r="C983" s="275"/>
      <c r="D983" s="275"/>
      <c r="E983" s="275"/>
      <c r="F983" s="275"/>
      <c r="V983" s="304"/>
      <c r="W983" s="304"/>
      <c r="AD983" s="304"/>
      <c r="AE983" s="304"/>
      <c r="AR983" s="304"/>
      <c r="AS983" s="304"/>
      <c r="AT983" s="304"/>
      <c r="AU983" s="304"/>
      <c r="AV983" s="304"/>
      <c r="AW983" s="304"/>
      <c r="AX983" s="304"/>
      <c r="AY983" s="304"/>
      <c r="AZ983" s="304"/>
      <c r="BA983" s="304"/>
      <c r="BB983" s="304"/>
      <c r="BC983" s="304"/>
      <c r="BK983" s="305"/>
      <c r="BL983" s="305"/>
      <c r="BM983" s="305"/>
      <c r="BN983" s="305"/>
      <c r="BO983" s="305"/>
      <c r="BP983" s="305"/>
      <c r="BQ983" s="305"/>
      <c r="BR983" s="305"/>
      <c r="BS983" s="305"/>
      <c r="BT983" s="305"/>
      <c r="BU983" s="305"/>
      <c r="BV983" s="305"/>
      <c r="BX983" s="319"/>
    </row>
    <row r="984" spans="1:76" s="303" customFormat="1" x14ac:dyDescent="0.25">
      <c r="A984" s="275"/>
      <c r="B984" s="275"/>
      <c r="C984" s="275"/>
      <c r="D984" s="275"/>
      <c r="E984" s="275"/>
      <c r="F984" s="275"/>
      <c r="V984" s="304"/>
      <c r="W984" s="304"/>
      <c r="AD984" s="304"/>
      <c r="AE984" s="304"/>
      <c r="AR984" s="304"/>
      <c r="AS984" s="304"/>
      <c r="AT984" s="304"/>
      <c r="AU984" s="304"/>
      <c r="AV984" s="304"/>
      <c r="AW984" s="304"/>
      <c r="AX984" s="304"/>
      <c r="AY984" s="304"/>
      <c r="AZ984" s="304"/>
      <c r="BA984" s="304"/>
      <c r="BB984" s="304"/>
      <c r="BC984" s="304"/>
      <c r="BK984" s="305"/>
      <c r="BL984" s="305"/>
      <c r="BM984" s="305"/>
      <c r="BN984" s="305"/>
      <c r="BO984" s="305"/>
      <c r="BP984" s="305"/>
      <c r="BQ984" s="305"/>
      <c r="BR984" s="305"/>
      <c r="BS984" s="305"/>
      <c r="BT984" s="305"/>
      <c r="BU984" s="305"/>
      <c r="BV984" s="305"/>
      <c r="BX984" s="319"/>
    </row>
    <row r="985" spans="1:76" s="303" customFormat="1" x14ac:dyDescent="0.25">
      <c r="A985" s="275"/>
      <c r="B985" s="275"/>
      <c r="C985" s="275"/>
      <c r="D985" s="275"/>
      <c r="E985" s="275"/>
      <c r="F985" s="275"/>
      <c r="V985" s="304"/>
      <c r="W985" s="304"/>
      <c r="AD985" s="304"/>
      <c r="AE985" s="304"/>
      <c r="AR985" s="304"/>
      <c r="AS985" s="304"/>
      <c r="AT985" s="304"/>
      <c r="AU985" s="304"/>
      <c r="AV985" s="304"/>
      <c r="AW985" s="304"/>
      <c r="AX985" s="304"/>
      <c r="AY985" s="304"/>
      <c r="AZ985" s="304"/>
      <c r="BA985" s="304"/>
      <c r="BB985" s="304"/>
      <c r="BC985" s="304"/>
      <c r="BK985" s="305"/>
      <c r="BL985" s="305"/>
      <c r="BM985" s="305"/>
      <c r="BN985" s="305"/>
      <c r="BO985" s="305"/>
      <c r="BP985" s="305"/>
      <c r="BQ985" s="305"/>
      <c r="BR985" s="305"/>
      <c r="BS985" s="305"/>
      <c r="BT985" s="305"/>
      <c r="BU985" s="305"/>
      <c r="BV985" s="305"/>
      <c r="BX985" s="319"/>
    </row>
    <row r="986" spans="1:76" s="303" customFormat="1" x14ac:dyDescent="0.25">
      <c r="A986" s="275"/>
      <c r="B986" s="275"/>
      <c r="C986" s="275"/>
      <c r="D986" s="275"/>
      <c r="E986" s="275"/>
      <c r="F986" s="275"/>
      <c r="V986" s="304"/>
      <c r="W986" s="304"/>
      <c r="AD986" s="304"/>
      <c r="AE986" s="304"/>
      <c r="AR986" s="304"/>
      <c r="AS986" s="304"/>
      <c r="AT986" s="304"/>
      <c r="AU986" s="304"/>
      <c r="AV986" s="304"/>
      <c r="AW986" s="304"/>
      <c r="AX986" s="304"/>
      <c r="AY986" s="304"/>
      <c r="AZ986" s="304"/>
      <c r="BA986" s="304"/>
      <c r="BB986" s="304"/>
      <c r="BC986" s="304"/>
      <c r="BK986" s="305"/>
      <c r="BL986" s="305"/>
      <c r="BM986" s="305"/>
      <c r="BN986" s="305"/>
      <c r="BO986" s="305"/>
      <c r="BP986" s="305"/>
      <c r="BQ986" s="305"/>
      <c r="BR986" s="305"/>
      <c r="BS986" s="305"/>
      <c r="BT986" s="305"/>
      <c r="BU986" s="305"/>
      <c r="BV986" s="305"/>
      <c r="BX986" s="319"/>
    </row>
    <row r="987" spans="1:76" s="303" customFormat="1" x14ac:dyDescent="0.25">
      <c r="A987" s="275"/>
      <c r="B987" s="275"/>
      <c r="C987" s="275"/>
      <c r="D987" s="275"/>
      <c r="E987" s="275"/>
      <c r="F987" s="275"/>
      <c r="V987" s="304"/>
      <c r="W987" s="304"/>
      <c r="AD987" s="304"/>
      <c r="AE987" s="304"/>
      <c r="AR987" s="304"/>
      <c r="AS987" s="304"/>
      <c r="AT987" s="304"/>
      <c r="AU987" s="304"/>
      <c r="AV987" s="304"/>
      <c r="AW987" s="304"/>
      <c r="AX987" s="304"/>
      <c r="AY987" s="304"/>
      <c r="AZ987" s="304"/>
      <c r="BA987" s="304"/>
      <c r="BB987" s="304"/>
      <c r="BC987" s="304"/>
      <c r="BK987" s="305"/>
      <c r="BL987" s="305"/>
      <c r="BM987" s="305"/>
      <c r="BN987" s="305"/>
      <c r="BO987" s="305"/>
      <c r="BP987" s="305"/>
      <c r="BQ987" s="305"/>
      <c r="BR987" s="305"/>
      <c r="BS987" s="305"/>
      <c r="BT987" s="305"/>
      <c r="BU987" s="305"/>
      <c r="BV987" s="305"/>
      <c r="BX987" s="319"/>
    </row>
    <row r="988" spans="1:76" s="303" customFormat="1" x14ac:dyDescent="0.25">
      <c r="A988" s="275"/>
      <c r="B988" s="275"/>
      <c r="C988" s="275"/>
      <c r="D988" s="275"/>
      <c r="E988" s="275"/>
      <c r="F988" s="275"/>
      <c r="V988" s="304"/>
      <c r="W988" s="304"/>
      <c r="AD988" s="304"/>
      <c r="AE988" s="304"/>
      <c r="AR988" s="304"/>
      <c r="AS988" s="304"/>
      <c r="AT988" s="304"/>
      <c r="AU988" s="304"/>
      <c r="AV988" s="304"/>
      <c r="AW988" s="304"/>
      <c r="AX988" s="304"/>
      <c r="AY988" s="304"/>
      <c r="AZ988" s="304"/>
      <c r="BA988" s="304"/>
      <c r="BB988" s="304"/>
      <c r="BC988" s="304"/>
      <c r="BK988" s="305"/>
      <c r="BL988" s="305"/>
      <c r="BM988" s="305"/>
      <c r="BN988" s="305"/>
      <c r="BO988" s="305"/>
      <c r="BP988" s="305"/>
      <c r="BQ988" s="305"/>
      <c r="BR988" s="305"/>
      <c r="BS988" s="305"/>
      <c r="BT988" s="305"/>
      <c r="BU988" s="305"/>
      <c r="BV988" s="305"/>
      <c r="BX988" s="319"/>
    </row>
    <row r="989" spans="1:76" s="303" customFormat="1" x14ac:dyDescent="0.25">
      <c r="A989" s="275"/>
      <c r="B989" s="275"/>
      <c r="C989" s="275"/>
      <c r="D989" s="275"/>
      <c r="E989" s="275"/>
      <c r="F989" s="275"/>
      <c r="V989" s="304"/>
      <c r="W989" s="304"/>
      <c r="AD989" s="304"/>
      <c r="AE989" s="304"/>
      <c r="AR989" s="304"/>
      <c r="AS989" s="304"/>
      <c r="AT989" s="304"/>
      <c r="AU989" s="304"/>
      <c r="AV989" s="304"/>
      <c r="AW989" s="304"/>
      <c r="AX989" s="304"/>
      <c r="AY989" s="304"/>
      <c r="AZ989" s="304"/>
      <c r="BA989" s="304"/>
      <c r="BB989" s="304"/>
      <c r="BC989" s="304"/>
      <c r="BK989" s="305"/>
      <c r="BL989" s="305"/>
      <c r="BM989" s="305"/>
      <c r="BN989" s="305"/>
      <c r="BO989" s="305"/>
      <c r="BP989" s="305"/>
      <c r="BQ989" s="305"/>
      <c r="BR989" s="305"/>
      <c r="BS989" s="305"/>
      <c r="BT989" s="305"/>
      <c r="BU989" s="305"/>
      <c r="BV989" s="305"/>
      <c r="BX989" s="319"/>
    </row>
    <row r="990" spans="1:76" s="303" customFormat="1" x14ac:dyDescent="0.25">
      <c r="A990" s="275"/>
      <c r="B990" s="275"/>
      <c r="C990" s="275"/>
      <c r="D990" s="275"/>
      <c r="E990" s="275"/>
      <c r="F990" s="275"/>
      <c r="V990" s="304"/>
      <c r="W990" s="304"/>
      <c r="AD990" s="304"/>
      <c r="AE990" s="304"/>
      <c r="AR990" s="304"/>
      <c r="AS990" s="304"/>
      <c r="AT990" s="304"/>
      <c r="AU990" s="304"/>
      <c r="AV990" s="304"/>
      <c r="AW990" s="304"/>
      <c r="AX990" s="304"/>
      <c r="AY990" s="304"/>
      <c r="AZ990" s="304"/>
      <c r="BA990" s="304"/>
      <c r="BB990" s="304"/>
      <c r="BC990" s="304"/>
      <c r="BK990" s="305"/>
      <c r="BL990" s="305"/>
      <c r="BM990" s="305"/>
      <c r="BN990" s="305"/>
      <c r="BO990" s="305"/>
      <c r="BP990" s="305"/>
      <c r="BQ990" s="305"/>
      <c r="BR990" s="305"/>
      <c r="BS990" s="305"/>
      <c r="BT990" s="305"/>
      <c r="BU990" s="305"/>
      <c r="BV990" s="305"/>
      <c r="BX990" s="319"/>
    </row>
    <row r="991" spans="1:76" s="303" customFormat="1" x14ac:dyDescent="0.25">
      <c r="A991" s="275"/>
      <c r="B991" s="275"/>
      <c r="C991" s="275"/>
      <c r="D991" s="275"/>
      <c r="E991" s="275"/>
      <c r="F991" s="275"/>
      <c r="V991" s="304"/>
      <c r="W991" s="304"/>
      <c r="AD991" s="304"/>
      <c r="AE991" s="304"/>
      <c r="AR991" s="304"/>
      <c r="AS991" s="304"/>
      <c r="AT991" s="304"/>
      <c r="AU991" s="304"/>
      <c r="AV991" s="304"/>
      <c r="AW991" s="304"/>
      <c r="AX991" s="304"/>
      <c r="AY991" s="304"/>
      <c r="AZ991" s="304"/>
      <c r="BA991" s="304"/>
      <c r="BB991" s="304"/>
      <c r="BC991" s="304"/>
      <c r="BK991" s="305"/>
      <c r="BL991" s="305"/>
      <c r="BM991" s="305"/>
      <c r="BN991" s="305"/>
      <c r="BO991" s="305"/>
      <c r="BP991" s="305"/>
      <c r="BQ991" s="305"/>
      <c r="BR991" s="305"/>
      <c r="BS991" s="305"/>
      <c r="BT991" s="305"/>
      <c r="BU991" s="305"/>
      <c r="BV991" s="305"/>
      <c r="BX991" s="319"/>
    </row>
    <row r="992" spans="1:76" s="303" customFormat="1" x14ac:dyDescent="0.25">
      <c r="A992" s="275"/>
      <c r="B992" s="275"/>
      <c r="C992" s="275"/>
      <c r="D992" s="275"/>
      <c r="E992" s="275"/>
      <c r="F992" s="275"/>
      <c r="V992" s="304"/>
      <c r="W992" s="304"/>
      <c r="AD992" s="304"/>
      <c r="AE992" s="304"/>
      <c r="AR992" s="304"/>
      <c r="AS992" s="304"/>
      <c r="AT992" s="304"/>
      <c r="AU992" s="304"/>
      <c r="AV992" s="304"/>
      <c r="AW992" s="304"/>
      <c r="AX992" s="304"/>
      <c r="AY992" s="304"/>
      <c r="AZ992" s="304"/>
      <c r="BA992" s="304"/>
      <c r="BB992" s="304"/>
      <c r="BC992" s="304"/>
      <c r="BK992" s="305"/>
      <c r="BL992" s="305"/>
      <c r="BM992" s="305"/>
      <c r="BN992" s="305"/>
      <c r="BO992" s="305"/>
      <c r="BP992" s="305"/>
      <c r="BQ992" s="305"/>
      <c r="BR992" s="305"/>
      <c r="BS992" s="305"/>
      <c r="BT992" s="305"/>
      <c r="BU992" s="305"/>
      <c r="BV992" s="305"/>
      <c r="BX992" s="319"/>
    </row>
    <row r="993" spans="1:76" s="303" customFormat="1" x14ac:dyDescent="0.25">
      <c r="A993" s="275"/>
      <c r="B993" s="275"/>
      <c r="C993" s="275"/>
      <c r="D993" s="275"/>
      <c r="E993" s="275"/>
      <c r="F993" s="275"/>
      <c r="V993" s="304"/>
      <c r="W993" s="304"/>
      <c r="AD993" s="304"/>
      <c r="AE993" s="304"/>
      <c r="AR993" s="304"/>
      <c r="AS993" s="304"/>
      <c r="AT993" s="304"/>
      <c r="AU993" s="304"/>
      <c r="AV993" s="304"/>
      <c r="AW993" s="304"/>
      <c r="AX993" s="304"/>
      <c r="AY993" s="304"/>
      <c r="AZ993" s="304"/>
      <c r="BA993" s="304"/>
      <c r="BB993" s="304"/>
      <c r="BC993" s="304"/>
      <c r="BK993" s="305"/>
      <c r="BL993" s="305"/>
      <c r="BM993" s="305"/>
      <c r="BN993" s="305"/>
      <c r="BO993" s="305"/>
      <c r="BP993" s="305"/>
      <c r="BQ993" s="305"/>
      <c r="BR993" s="305"/>
      <c r="BS993" s="305"/>
      <c r="BT993" s="305"/>
      <c r="BU993" s="305"/>
      <c r="BV993" s="305"/>
      <c r="BX993" s="319"/>
    </row>
    <row r="994" spans="1:76" s="303" customFormat="1" x14ac:dyDescent="0.25">
      <c r="A994" s="275"/>
      <c r="B994" s="275"/>
      <c r="C994" s="275"/>
      <c r="D994" s="275"/>
      <c r="E994" s="275"/>
      <c r="F994" s="275"/>
      <c r="V994" s="304"/>
      <c r="W994" s="304"/>
      <c r="AD994" s="304"/>
      <c r="AE994" s="304"/>
      <c r="AR994" s="304"/>
      <c r="AS994" s="304"/>
      <c r="AT994" s="304"/>
      <c r="AU994" s="304"/>
      <c r="AV994" s="304"/>
      <c r="AW994" s="304"/>
      <c r="AX994" s="304"/>
      <c r="AY994" s="304"/>
      <c r="AZ994" s="304"/>
      <c r="BA994" s="304"/>
      <c r="BB994" s="304"/>
      <c r="BC994" s="304"/>
      <c r="BK994" s="305"/>
      <c r="BL994" s="305"/>
      <c r="BM994" s="305"/>
      <c r="BN994" s="305"/>
      <c r="BO994" s="305"/>
      <c r="BP994" s="305"/>
      <c r="BQ994" s="305"/>
      <c r="BR994" s="305"/>
      <c r="BS994" s="305"/>
      <c r="BT994" s="305"/>
      <c r="BU994" s="305"/>
      <c r="BV994" s="305"/>
      <c r="BX994" s="319"/>
    </row>
    <row r="995" spans="1:76" s="303" customFormat="1" x14ac:dyDescent="0.25">
      <c r="A995" s="275"/>
      <c r="B995" s="275"/>
      <c r="C995" s="275"/>
      <c r="D995" s="275"/>
      <c r="E995" s="275"/>
      <c r="F995" s="275"/>
      <c r="V995" s="304"/>
      <c r="W995" s="304"/>
      <c r="AD995" s="304"/>
      <c r="AE995" s="304"/>
      <c r="AR995" s="304"/>
      <c r="AS995" s="304"/>
      <c r="AT995" s="304"/>
      <c r="AU995" s="304"/>
      <c r="AV995" s="304"/>
      <c r="AW995" s="304"/>
      <c r="AX995" s="304"/>
      <c r="AY995" s="304"/>
      <c r="AZ995" s="304"/>
      <c r="BA995" s="304"/>
      <c r="BB995" s="304"/>
      <c r="BC995" s="304"/>
      <c r="BK995" s="305"/>
      <c r="BL995" s="305"/>
      <c r="BM995" s="305"/>
      <c r="BN995" s="305"/>
      <c r="BO995" s="305"/>
      <c r="BP995" s="305"/>
      <c r="BQ995" s="305"/>
      <c r="BR995" s="305"/>
      <c r="BS995" s="305"/>
      <c r="BT995" s="305"/>
      <c r="BU995" s="305"/>
      <c r="BV995" s="305"/>
      <c r="BX995" s="319"/>
    </row>
    <row r="996" spans="1:76" s="303" customFormat="1" x14ac:dyDescent="0.25">
      <c r="A996" s="275"/>
      <c r="B996" s="275"/>
      <c r="C996" s="275"/>
      <c r="D996" s="275"/>
      <c r="E996" s="275"/>
      <c r="F996" s="275"/>
      <c r="V996" s="304"/>
      <c r="W996" s="304"/>
      <c r="AD996" s="304"/>
      <c r="AE996" s="304"/>
      <c r="AR996" s="304"/>
      <c r="AS996" s="304"/>
      <c r="AT996" s="304"/>
      <c r="AU996" s="304"/>
      <c r="AV996" s="304"/>
      <c r="AW996" s="304"/>
      <c r="AX996" s="304"/>
      <c r="AY996" s="304"/>
      <c r="AZ996" s="304"/>
      <c r="BA996" s="304"/>
      <c r="BB996" s="304"/>
      <c r="BC996" s="304"/>
      <c r="BK996" s="305"/>
      <c r="BL996" s="305"/>
      <c r="BM996" s="305"/>
      <c r="BN996" s="305"/>
      <c r="BO996" s="305"/>
      <c r="BP996" s="305"/>
      <c r="BQ996" s="305"/>
      <c r="BR996" s="305"/>
      <c r="BS996" s="305"/>
      <c r="BT996" s="305"/>
      <c r="BU996" s="305"/>
      <c r="BV996" s="305"/>
      <c r="BX996" s="319"/>
    </row>
    <row r="997" spans="1:76" s="303" customFormat="1" x14ac:dyDescent="0.25">
      <c r="A997" s="275"/>
      <c r="B997" s="275"/>
      <c r="C997" s="275"/>
      <c r="D997" s="275"/>
      <c r="E997" s="275"/>
      <c r="F997" s="275"/>
      <c r="V997" s="304"/>
      <c r="W997" s="304"/>
      <c r="AD997" s="304"/>
      <c r="AE997" s="304"/>
      <c r="AR997" s="304"/>
      <c r="AS997" s="304"/>
      <c r="AT997" s="304"/>
      <c r="AU997" s="304"/>
      <c r="AV997" s="304"/>
      <c r="AW997" s="304"/>
      <c r="AX997" s="304"/>
      <c r="AY997" s="304"/>
      <c r="AZ997" s="304"/>
      <c r="BA997" s="304"/>
      <c r="BB997" s="304"/>
      <c r="BC997" s="304"/>
      <c r="BK997" s="305"/>
      <c r="BL997" s="305"/>
      <c r="BM997" s="305"/>
      <c r="BN997" s="305"/>
      <c r="BO997" s="305"/>
      <c r="BP997" s="305"/>
      <c r="BQ997" s="305"/>
      <c r="BR997" s="305"/>
      <c r="BS997" s="305"/>
      <c r="BT997" s="305"/>
      <c r="BU997" s="305"/>
      <c r="BV997" s="305"/>
      <c r="BX997" s="319"/>
    </row>
    <row r="998" spans="1:76" s="303" customFormat="1" x14ac:dyDescent="0.25">
      <c r="A998" s="275"/>
      <c r="B998" s="275"/>
      <c r="C998" s="275"/>
      <c r="D998" s="275"/>
      <c r="E998" s="275"/>
      <c r="F998" s="275"/>
      <c r="V998" s="304"/>
      <c r="W998" s="304"/>
      <c r="AD998" s="304"/>
      <c r="AE998" s="304"/>
      <c r="AR998" s="304"/>
      <c r="AS998" s="304"/>
      <c r="AT998" s="304"/>
      <c r="AU998" s="304"/>
      <c r="AV998" s="304"/>
      <c r="AW998" s="304"/>
      <c r="AX998" s="304"/>
      <c r="AY998" s="304"/>
      <c r="AZ998" s="304"/>
      <c r="BA998" s="304"/>
      <c r="BB998" s="304"/>
      <c r="BC998" s="304"/>
      <c r="BK998" s="305"/>
      <c r="BL998" s="305"/>
      <c r="BM998" s="305"/>
      <c r="BN998" s="305"/>
      <c r="BO998" s="305"/>
      <c r="BP998" s="305"/>
      <c r="BQ998" s="305"/>
      <c r="BR998" s="305"/>
      <c r="BS998" s="305"/>
      <c r="BT998" s="305"/>
      <c r="BU998" s="305"/>
      <c r="BV998" s="305"/>
      <c r="BX998" s="319"/>
    </row>
    <row r="999" spans="1:76" s="303" customFormat="1" x14ac:dyDescent="0.25">
      <c r="A999" s="275"/>
      <c r="B999" s="275"/>
      <c r="C999" s="275"/>
      <c r="D999" s="275"/>
      <c r="E999" s="275"/>
      <c r="F999" s="275"/>
      <c r="V999" s="304"/>
      <c r="W999" s="304"/>
      <c r="AD999" s="304"/>
      <c r="AE999" s="304"/>
      <c r="AR999" s="304"/>
      <c r="AS999" s="304"/>
      <c r="AT999" s="304"/>
      <c r="AU999" s="304"/>
      <c r="AV999" s="304"/>
      <c r="AW999" s="304"/>
      <c r="AX999" s="304"/>
      <c r="AY999" s="304"/>
      <c r="AZ999" s="304"/>
      <c r="BA999" s="304"/>
      <c r="BB999" s="304"/>
      <c r="BC999" s="304"/>
      <c r="BK999" s="305"/>
      <c r="BL999" s="305"/>
      <c r="BM999" s="305"/>
      <c r="BN999" s="305"/>
      <c r="BO999" s="305"/>
      <c r="BP999" s="305"/>
      <c r="BQ999" s="305"/>
      <c r="BR999" s="305"/>
      <c r="BS999" s="305"/>
      <c r="BT999" s="305"/>
      <c r="BU999" s="305"/>
      <c r="BV999" s="305"/>
      <c r="BX999" s="319"/>
    </row>
    <row r="1000" spans="1:76" s="303" customFormat="1" x14ac:dyDescent="0.25">
      <c r="A1000" s="275"/>
      <c r="B1000" s="275"/>
      <c r="C1000" s="275"/>
      <c r="D1000" s="275"/>
      <c r="E1000" s="275"/>
      <c r="F1000" s="275"/>
      <c r="V1000" s="304"/>
      <c r="W1000" s="304"/>
      <c r="AD1000" s="304"/>
      <c r="AE1000" s="304"/>
      <c r="AR1000" s="304"/>
      <c r="AS1000" s="304"/>
      <c r="AT1000" s="304"/>
      <c r="AU1000" s="304"/>
      <c r="AV1000" s="304"/>
      <c r="AW1000" s="304"/>
      <c r="AX1000" s="304"/>
      <c r="AY1000" s="304"/>
      <c r="AZ1000" s="304"/>
      <c r="BA1000" s="304"/>
      <c r="BB1000" s="304"/>
      <c r="BC1000" s="304"/>
      <c r="BK1000" s="305"/>
      <c r="BL1000" s="305"/>
      <c r="BM1000" s="305"/>
      <c r="BN1000" s="305"/>
      <c r="BO1000" s="305"/>
      <c r="BP1000" s="305"/>
      <c r="BQ1000" s="305"/>
      <c r="BR1000" s="305"/>
      <c r="BS1000" s="305"/>
      <c r="BT1000" s="305"/>
      <c r="BU1000" s="305"/>
      <c r="BV1000" s="305"/>
      <c r="BX1000" s="319"/>
    </row>
    <row r="1001" spans="1:76" s="303" customFormat="1" x14ac:dyDescent="0.25">
      <c r="A1001" s="275"/>
      <c r="B1001" s="275"/>
      <c r="C1001" s="275"/>
      <c r="D1001" s="275"/>
      <c r="E1001" s="275"/>
      <c r="F1001" s="275"/>
      <c r="V1001" s="304"/>
      <c r="W1001" s="304"/>
      <c r="AD1001" s="304"/>
      <c r="AE1001" s="304"/>
      <c r="AR1001" s="304"/>
      <c r="AS1001" s="304"/>
      <c r="AT1001" s="304"/>
      <c r="AU1001" s="304"/>
      <c r="AV1001" s="304"/>
      <c r="AW1001" s="304"/>
      <c r="AX1001" s="304"/>
      <c r="AY1001" s="304"/>
      <c r="AZ1001" s="304"/>
      <c r="BA1001" s="304"/>
      <c r="BB1001" s="304"/>
      <c r="BC1001" s="304"/>
      <c r="BK1001" s="305"/>
      <c r="BL1001" s="305"/>
      <c r="BM1001" s="305"/>
      <c r="BN1001" s="305"/>
      <c r="BO1001" s="305"/>
      <c r="BP1001" s="305"/>
      <c r="BQ1001" s="305"/>
      <c r="BR1001" s="305"/>
      <c r="BS1001" s="305"/>
      <c r="BT1001" s="305"/>
      <c r="BU1001" s="305"/>
      <c r="BV1001" s="305"/>
      <c r="BX1001" s="319"/>
    </row>
    <row r="1002" spans="1:76" s="303" customFormat="1" x14ac:dyDescent="0.25">
      <c r="A1002" s="275"/>
      <c r="B1002" s="275"/>
      <c r="C1002" s="275"/>
      <c r="D1002" s="275"/>
      <c r="E1002" s="275"/>
      <c r="F1002" s="275"/>
      <c r="V1002" s="304"/>
      <c r="W1002" s="304"/>
      <c r="AD1002" s="304"/>
      <c r="AE1002" s="304"/>
      <c r="AR1002" s="304"/>
      <c r="AS1002" s="304"/>
      <c r="AT1002" s="304"/>
      <c r="AU1002" s="304"/>
      <c r="AV1002" s="304"/>
      <c r="AW1002" s="304"/>
      <c r="AX1002" s="304"/>
      <c r="AY1002" s="304"/>
      <c r="AZ1002" s="304"/>
      <c r="BA1002" s="304"/>
      <c r="BB1002" s="304"/>
      <c r="BC1002" s="304"/>
      <c r="BK1002" s="305"/>
      <c r="BL1002" s="305"/>
      <c r="BM1002" s="305"/>
      <c r="BN1002" s="305"/>
      <c r="BO1002" s="305"/>
      <c r="BP1002" s="305"/>
      <c r="BQ1002" s="305"/>
      <c r="BR1002" s="305"/>
      <c r="BS1002" s="305"/>
      <c r="BT1002" s="305"/>
      <c r="BU1002" s="305"/>
      <c r="BV1002" s="305"/>
      <c r="BX1002" s="319"/>
    </row>
    <row r="1003" spans="1:76" s="303" customFormat="1" x14ac:dyDescent="0.25">
      <c r="A1003" s="275"/>
      <c r="B1003" s="275"/>
      <c r="C1003" s="275"/>
      <c r="D1003" s="275"/>
      <c r="E1003" s="275"/>
      <c r="F1003" s="275"/>
      <c r="V1003" s="304"/>
      <c r="W1003" s="304"/>
      <c r="AD1003" s="304"/>
      <c r="AE1003" s="304"/>
      <c r="AR1003" s="304"/>
      <c r="AS1003" s="304"/>
      <c r="AT1003" s="304"/>
      <c r="AU1003" s="304"/>
      <c r="AV1003" s="304"/>
      <c r="AW1003" s="304"/>
      <c r="AX1003" s="304"/>
      <c r="AY1003" s="304"/>
      <c r="AZ1003" s="304"/>
      <c r="BA1003" s="304"/>
      <c r="BB1003" s="304"/>
      <c r="BC1003" s="304"/>
      <c r="BK1003" s="305"/>
      <c r="BL1003" s="305"/>
      <c r="BM1003" s="305"/>
      <c r="BN1003" s="305"/>
      <c r="BO1003" s="305"/>
      <c r="BP1003" s="305"/>
      <c r="BQ1003" s="305"/>
      <c r="BR1003" s="305"/>
      <c r="BS1003" s="305"/>
      <c r="BT1003" s="305"/>
      <c r="BU1003" s="305"/>
      <c r="BV1003" s="305"/>
      <c r="BX1003" s="319"/>
    </row>
    <row r="1004" spans="1:76" s="303" customFormat="1" x14ac:dyDescent="0.25">
      <c r="A1004" s="275"/>
      <c r="B1004" s="275"/>
      <c r="C1004" s="275"/>
      <c r="D1004" s="275"/>
      <c r="E1004" s="275"/>
      <c r="F1004" s="275"/>
      <c r="V1004" s="304"/>
      <c r="W1004" s="304"/>
      <c r="AD1004" s="304"/>
      <c r="AE1004" s="304"/>
      <c r="AR1004" s="304"/>
      <c r="AS1004" s="304"/>
      <c r="AT1004" s="304"/>
      <c r="AU1004" s="304"/>
      <c r="AV1004" s="304"/>
      <c r="AW1004" s="304"/>
      <c r="AX1004" s="304"/>
      <c r="AY1004" s="304"/>
      <c r="AZ1004" s="304"/>
      <c r="BA1004" s="304"/>
      <c r="BB1004" s="304"/>
      <c r="BC1004" s="304"/>
      <c r="BK1004" s="305"/>
      <c r="BL1004" s="305"/>
      <c r="BM1004" s="305"/>
      <c r="BN1004" s="305"/>
      <c r="BO1004" s="305"/>
      <c r="BP1004" s="305"/>
      <c r="BQ1004" s="305"/>
      <c r="BR1004" s="305"/>
      <c r="BS1004" s="305"/>
      <c r="BT1004" s="305"/>
      <c r="BU1004" s="305"/>
      <c r="BV1004" s="305"/>
      <c r="BX1004" s="319"/>
    </row>
    <row r="1005" spans="1:76" s="303" customFormat="1" x14ac:dyDescent="0.25">
      <c r="A1005" s="275"/>
      <c r="B1005" s="275"/>
      <c r="C1005" s="275"/>
      <c r="D1005" s="275"/>
      <c r="E1005" s="275"/>
      <c r="F1005" s="275"/>
      <c r="V1005" s="304"/>
      <c r="W1005" s="304"/>
      <c r="AD1005" s="304"/>
      <c r="AE1005" s="304"/>
      <c r="AR1005" s="304"/>
      <c r="AS1005" s="304"/>
      <c r="AT1005" s="304"/>
      <c r="AU1005" s="304"/>
      <c r="AV1005" s="304"/>
      <c r="AW1005" s="304"/>
      <c r="AX1005" s="304"/>
      <c r="AY1005" s="304"/>
      <c r="AZ1005" s="304"/>
      <c r="BA1005" s="304"/>
      <c r="BB1005" s="304"/>
      <c r="BC1005" s="304"/>
      <c r="BK1005" s="305"/>
      <c r="BL1005" s="305"/>
      <c r="BM1005" s="305"/>
      <c r="BN1005" s="305"/>
      <c r="BO1005" s="305"/>
      <c r="BP1005" s="305"/>
      <c r="BQ1005" s="305"/>
      <c r="BR1005" s="305"/>
      <c r="BS1005" s="305"/>
      <c r="BT1005" s="305"/>
      <c r="BU1005" s="305"/>
      <c r="BV1005" s="305"/>
      <c r="BX1005" s="319"/>
    </row>
    <row r="1006" spans="1:76" s="303" customFormat="1" x14ac:dyDescent="0.25">
      <c r="A1006" s="275"/>
      <c r="B1006" s="275"/>
      <c r="C1006" s="275"/>
      <c r="D1006" s="275"/>
      <c r="E1006" s="275"/>
      <c r="F1006" s="275"/>
      <c r="V1006" s="304"/>
      <c r="W1006" s="304"/>
      <c r="AD1006" s="304"/>
      <c r="AE1006" s="304"/>
      <c r="AR1006" s="304"/>
      <c r="AS1006" s="304"/>
      <c r="AT1006" s="304"/>
      <c r="AU1006" s="304"/>
      <c r="AV1006" s="304"/>
      <c r="AW1006" s="304"/>
      <c r="AX1006" s="304"/>
      <c r="AY1006" s="304"/>
      <c r="AZ1006" s="304"/>
      <c r="BA1006" s="304"/>
      <c r="BB1006" s="304"/>
      <c r="BC1006" s="304"/>
      <c r="BK1006" s="305"/>
      <c r="BL1006" s="305"/>
      <c r="BM1006" s="305"/>
      <c r="BN1006" s="305"/>
      <c r="BO1006" s="305"/>
      <c r="BP1006" s="305"/>
      <c r="BQ1006" s="305"/>
      <c r="BR1006" s="305"/>
      <c r="BS1006" s="305"/>
      <c r="BT1006" s="305"/>
      <c r="BU1006" s="305"/>
      <c r="BV1006" s="305"/>
      <c r="BX1006" s="319"/>
    </row>
    <row r="1007" spans="1:76" s="303" customFormat="1" x14ac:dyDescent="0.25">
      <c r="A1007" s="275"/>
      <c r="B1007" s="275"/>
      <c r="C1007" s="275"/>
      <c r="D1007" s="275"/>
      <c r="E1007" s="275"/>
      <c r="F1007" s="275"/>
      <c r="V1007" s="304"/>
      <c r="W1007" s="304"/>
      <c r="AD1007" s="304"/>
      <c r="AE1007" s="304"/>
      <c r="AR1007" s="304"/>
      <c r="AS1007" s="304"/>
      <c r="AT1007" s="304"/>
      <c r="AU1007" s="304"/>
      <c r="AV1007" s="304"/>
      <c r="AW1007" s="304"/>
      <c r="AX1007" s="304"/>
      <c r="AY1007" s="304"/>
      <c r="AZ1007" s="304"/>
      <c r="BA1007" s="304"/>
      <c r="BB1007" s="304"/>
      <c r="BC1007" s="304"/>
      <c r="BK1007" s="305"/>
      <c r="BL1007" s="305"/>
      <c r="BM1007" s="305"/>
      <c r="BN1007" s="305"/>
      <c r="BO1007" s="305"/>
      <c r="BP1007" s="305"/>
      <c r="BQ1007" s="305"/>
      <c r="BR1007" s="305"/>
      <c r="BS1007" s="305"/>
      <c r="BT1007" s="305"/>
      <c r="BU1007" s="305"/>
      <c r="BV1007" s="305"/>
      <c r="BX1007" s="319"/>
    </row>
    <row r="1008" spans="1:76" s="303" customFormat="1" x14ac:dyDescent="0.25">
      <c r="A1008" s="275"/>
      <c r="B1008" s="275"/>
      <c r="C1008" s="275"/>
      <c r="D1008" s="275"/>
      <c r="E1008" s="275"/>
      <c r="F1008" s="275"/>
      <c r="V1008" s="304"/>
      <c r="W1008" s="304"/>
      <c r="AD1008" s="304"/>
      <c r="AE1008" s="304"/>
      <c r="AR1008" s="304"/>
      <c r="AS1008" s="304"/>
      <c r="AT1008" s="304"/>
      <c r="AU1008" s="304"/>
      <c r="AV1008" s="304"/>
      <c r="AW1008" s="304"/>
      <c r="AX1008" s="304"/>
      <c r="AY1008" s="304"/>
      <c r="AZ1008" s="304"/>
      <c r="BA1008" s="304"/>
      <c r="BB1008" s="304"/>
      <c r="BC1008" s="304"/>
      <c r="BK1008" s="305"/>
      <c r="BL1008" s="305"/>
      <c r="BM1008" s="305"/>
      <c r="BN1008" s="305"/>
      <c r="BO1008" s="305"/>
      <c r="BP1008" s="305"/>
      <c r="BQ1008" s="305"/>
      <c r="BR1008" s="305"/>
      <c r="BS1008" s="305"/>
      <c r="BT1008" s="305"/>
      <c r="BU1008" s="305"/>
      <c r="BV1008" s="305"/>
      <c r="BX1008" s="319"/>
    </row>
    <row r="1009" spans="1:76" s="303" customFormat="1" x14ac:dyDescent="0.25">
      <c r="A1009" s="275"/>
      <c r="B1009" s="275"/>
      <c r="C1009" s="275"/>
      <c r="D1009" s="275"/>
      <c r="E1009" s="275"/>
      <c r="F1009" s="275"/>
      <c r="V1009" s="304"/>
      <c r="W1009" s="304"/>
      <c r="AD1009" s="304"/>
      <c r="AE1009" s="304"/>
      <c r="AR1009" s="304"/>
      <c r="AS1009" s="304"/>
      <c r="AT1009" s="304"/>
      <c r="AU1009" s="304"/>
      <c r="AV1009" s="304"/>
      <c r="AW1009" s="304"/>
      <c r="AX1009" s="304"/>
      <c r="AY1009" s="304"/>
      <c r="AZ1009" s="304"/>
      <c r="BA1009" s="304"/>
      <c r="BB1009" s="304"/>
      <c r="BC1009" s="304"/>
      <c r="BK1009" s="305"/>
      <c r="BL1009" s="305"/>
      <c r="BM1009" s="305"/>
      <c r="BN1009" s="305"/>
      <c r="BO1009" s="305"/>
      <c r="BP1009" s="305"/>
      <c r="BQ1009" s="305"/>
      <c r="BR1009" s="305"/>
      <c r="BS1009" s="305"/>
      <c r="BT1009" s="305"/>
      <c r="BU1009" s="305"/>
      <c r="BV1009" s="305"/>
      <c r="BX1009" s="319"/>
    </row>
    <row r="1010" spans="1:76" s="303" customFormat="1" x14ac:dyDescent="0.25">
      <c r="A1010" s="275"/>
      <c r="B1010" s="275"/>
      <c r="C1010" s="275"/>
      <c r="D1010" s="275"/>
      <c r="E1010" s="275"/>
      <c r="F1010" s="275"/>
      <c r="V1010" s="304"/>
      <c r="W1010" s="304"/>
      <c r="AD1010" s="304"/>
      <c r="AE1010" s="304"/>
      <c r="AR1010" s="304"/>
      <c r="AS1010" s="304"/>
      <c r="AT1010" s="304"/>
      <c r="AU1010" s="304"/>
      <c r="AV1010" s="304"/>
      <c r="AW1010" s="304"/>
      <c r="AX1010" s="304"/>
      <c r="AY1010" s="304"/>
      <c r="AZ1010" s="304"/>
      <c r="BA1010" s="304"/>
      <c r="BB1010" s="304"/>
      <c r="BC1010" s="304"/>
      <c r="BK1010" s="305"/>
      <c r="BL1010" s="305"/>
      <c r="BM1010" s="305"/>
      <c r="BN1010" s="305"/>
      <c r="BO1010" s="305"/>
      <c r="BP1010" s="305"/>
      <c r="BQ1010" s="305"/>
      <c r="BR1010" s="305"/>
      <c r="BS1010" s="305"/>
      <c r="BT1010" s="305"/>
      <c r="BU1010" s="305"/>
      <c r="BV1010" s="305"/>
      <c r="BX1010" s="319"/>
    </row>
    <row r="1011" spans="1:76" s="303" customFormat="1" x14ac:dyDescent="0.25">
      <c r="A1011" s="275"/>
      <c r="B1011" s="275"/>
      <c r="C1011" s="275"/>
      <c r="D1011" s="275"/>
      <c r="E1011" s="275"/>
      <c r="F1011" s="275"/>
      <c r="V1011" s="304"/>
      <c r="W1011" s="304"/>
      <c r="AD1011" s="304"/>
      <c r="AE1011" s="304"/>
      <c r="AR1011" s="304"/>
      <c r="AS1011" s="304"/>
      <c r="AT1011" s="304"/>
      <c r="AU1011" s="304"/>
      <c r="AV1011" s="304"/>
      <c r="AW1011" s="304"/>
      <c r="AX1011" s="304"/>
      <c r="AY1011" s="304"/>
      <c r="AZ1011" s="304"/>
      <c r="BA1011" s="304"/>
      <c r="BB1011" s="304"/>
      <c r="BC1011" s="304"/>
      <c r="BK1011" s="305"/>
      <c r="BL1011" s="305"/>
      <c r="BM1011" s="305"/>
      <c r="BN1011" s="305"/>
      <c r="BO1011" s="305"/>
      <c r="BP1011" s="305"/>
      <c r="BQ1011" s="305"/>
      <c r="BR1011" s="305"/>
      <c r="BS1011" s="305"/>
      <c r="BT1011" s="305"/>
      <c r="BU1011" s="305"/>
      <c r="BV1011" s="305"/>
      <c r="BX1011" s="319"/>
    </row>
    <row r="1012" spans="1:76" s="303" customFormat="1" x14ac:dyDescent="0.25">
      <c r="A1012" s="275"/>
      <c r="B1012" s="275"/>
      <c r="C1012" s="275"/>
      <c r="D1012" s="275"/>
      <c r="E1012" s="275"/>
      <c r="F1012" s="275"/>
      <c r="V1012" s="304"/>
      <c r="W1012" s="304"/>
      <c r="AD1012" s="304"/>
      <c r="AE1012" s="304"/>
      <c r="AR1012" s="304"/>
      <c r="AS1012" s="304"/>
      <c r="AT1012" s="304"/>
      <c r="AU1012" s="304"/>
      <c r="AV1012" s="304"/>
      <c r="AW1012" s="304"/>
      <c r="AX1012" s="304"/>
      <c r="AY1012" s="304"/>
      <c r="AZ1012" s="304"/>
      <c r="BA1012" s="304"/>
      <c r="BB1012" s="304"/>
      <c r="BC1012" s="304"/>
      <c r="BK1012" s="305"/>
      <c r="BL1012" s="305"/>
      <c r="BM1012" s="305"/>
      <c r="BN1012" s="305"/>
      <c r="BO1012" s="305"/>
      <c r="BP1012" s="305"/>
      <c r="BQ1012" s="305"/>
      <c r="BR1012" s="305"/>
      <c r="BS1012" s="305"/>
      <c r="BT1012" s="305"/>
      <c r="BU1012" s="305"/>
      <c r="BV1012" s="305"/>
      <c r="BX1012" s="319"/>
    </row>
    <row r="1013" spans="1:76" s="303" customFormat="1" x14ac:dyDescent="0.25">
      <c r="A1013" s="275"/>
      <c r="B1013" s="275"/>
      <c r="C1013" s="275"/>
      <c r="D1013" s="275"/>
      <c r="E1013" s="275"/>
      <c r="F1013" s="275"/>
      <c r="V1013" s="304"/>
      <c r="W1013" s="304"/>
      <c r="AD1013" s="304"/>
      <c r="AE1013" s="304"/>
      <c r="AR1013" s="304"/>
      <c r="AS1013" s="304"/>
      <c r="AT1013" s="304"/>
      <c r="AU1013" s="304"/>
      <c r="AV1013" s="304"/>
      <c r="AW1013" s="304"/>
      <c r="AX1013" s="304"/>
      <c r="AY1013" s="304"/>
      <c r="AZ1013" s="304"/>
      <c r="BA1013" s="304"/>
      <c r="BB1013" s="304"/>
      <c r="BC1013" s="304"/>
      <c r="BK1013" s="305"/>
      <c r="BL1013" s="305"/>
      <c r="BM1013" s="305"/>
      <c r="BN1013" s="305"/>
      <c r="BO1013" s="305"/>
      <c r="BP1013" s="305"/>
      <c r="BQ1013" s="305"/>
      <c r="BR1013" s="305"/>
      <c r="BS1013" s="305"/>
      <c r="BT1013" s="305"/>
      <c r="BU1013" s="305"/>
      <c r="BV1013" s="305"/>
      <c r="BX1013" s="319"/>
    </row>
    <row r="1014" spans="1:76" s="303" customFormat="1" x14ac:dyDescent="0.25">
      <c r="A1014" s="275"/>
      <c r="B1014" s="275"/>
      <c r="C1014" s="275"/>
      <c r="D1014" s="275"/>
      <c r="E1014" s="275"/>
      <c r="F1014" s="275"/>
      <c r="V1014" s="304"/>
      <c r="W1014" s="304"/>
      <c r="AD1014" s="304"/>
      <c r="AE1014" s="304"/>
      <c r="AR1014" s="304"/>
      <c r="AS1014" s="304"/>
      <c r="AT1014" s="304"/>
      <c r="AU1014" s="304"/>
      <c r="AV1014" s="304"/>
      <c r="AW1014" s="304"/>
      <c r="AX1014" s="304"/>
      <c r="AY1014" s="304"/>
      <c r="AZ1014" s="304"/>
      <c r="BA1014" s="304"/>
      <c r="BB1014" s="304"/>
      <c r="BC1014" s="304"/>
      <c r="BK1014" s="305"/>
      <c r="BL1014" s="305"/>
      <c r="BM1014" s="305"/>
      <c r="BN1014" s="305"/>
      <c r="BO1014" s="305"/>
      <c r="BP1014" s="305"/>
      <c r="BQ1014" s="305"/>
      <c r="BR1014" s="305"/>
      <c r="BS1014" s="305"/>
      <c r="BT1014" s="305"/>
      <c r="BU1014" s="305"/>
      <c r="BV1014" s="305"/>
      <c r="BX1014" s="319"/>
    </row>
    <row r="1015" spans="1:76" s="303" customFormat="1" x14ac:dyDescent="0.25">
      <c r="A1015" s="275"/>
      <c r="B1015" s="275"/>
      <c r="C1015" s="275"/>
      <c r="D1015" s="275"/>
      <c r="E1015" s="275"/>
      <c r="F1015" s="275"/>
      <c r="V1015" s="304"/>
      <c r="W1015" s="304"/>
      <c r="AD1015" s="304"/>
      <c r="AE1015" s="304"/>
      <c r="AR1015" s="304"/>
      <c r="AS1015" s="304"/>
      <c r="AT1015" s="304"/>
      <c r="AU1015" s="304"/>
      <c r="AV1015" s="304"/>
      <c r="AW1015" s="304"/>
      <c r="AX1015" s="304"/>
      <c r="AY1015" s="304"/>
      <c r="AZ1015" s="304"/>
      <c r="BA1015" s="304"/>
      <c r="BB1015" s="304"/>
      <c r="BC1015" s="304"/>
      <c r="BK1015" s="305"/>
      <c r="BL1015" s="305"/>
      <c r="BM1015" s="305"/>
      <c r="BN1015" s="305"/>
      <c r="BO1015" s="305"/>
      <c r="BP1015" s="305"/>
      <c r="BQ1015" s="305"/>
      <c r="BR1015" s="305"/>
      <c r="BS1015" s="305"/>
      <c r="BT1015" s="305"/>
      <c r="BU1015" s="305"/>
      <c r="BV1015" s="305"/>
      <c r="BX1015" s="319"/>
    </row>
    <row r="1016" spans="1:76" s="303" customFormat="1" x14ac:dyDescent="0.25">
      <c r="A1016" s="275"/>
      <c r="B1016" s="275"/>
      <c r="C1016" s="275"/>
      <c r="D1016" s="275"/>
      <c r="E1016" s="275"/>
      <c r="F1016" s="275"/>
      <c r="V1016" s="304"/>
      <c r="W1016" s="304"/>
      <c r="AD1016" s="304"/>
      <c r="AE1016" s="304"/>
      <c r="AR1016" s="304"/>
      <c r="AS1016" s="304"/>
      <c r="AT1016" s="304"/>
      <c r="AU1016" s="304"/>
      <c r="AV1016" s="304"/>
      <c r="AW1016" s="304"/>
      <c r="AX1016" s="304"/>
      <c r="AY1016" s="304"/>
      <c r="AZ1016" s="304"/>
      <c r="BA1016" s="304"/>
      <c r="BB1016" s="304"/>
      <c r="BC1016" s="304"/>
      <c r="BK1016" s="305"/>
      <c r="BL1016" s="305"/>
      <c r="BM1016" s="305"/>
      <c r="BN1016" s="305"/>
      <c r="BO1016" s="305"/>
      <c r="BP1016" s="305"/>
      <c r="BQ1016" s="305"/>
      <c r="BR1016" s="305"/>
      <c r="BS1016" s="305"/>
      <c r="BT1016" s="305"/>
      <c r="BU1016" s="305"/>
      <c r="BV1016" s="305"/>
      <c r="BX1016" s="319"/>
    </row>
    <row r="1017" spans="1:76" s="303" customFormat="1" x14ac:dyDescent="0.25">
      <c r="A1017" s="275"/>
      <c r="B1017" s="275"/>
      <c r="C1017" s="275"/>
      <c r="D1017" s="275"/>
      <c r="E1017" s="275"/>
      <c r="F1017" s="275"/>
      <c r="V1017" s="304"/>
      <c r="W1017" s="304"/>
      <c r="AD1017" s="304"/>
      <c r="AE1017" s="304"/>
      <c r="AR1017" s="304"/>
      <c r="AS1017" s="304"/>
      <c r="AT1017" s="304"/>
      <c r="AU1017" s="304"/>
      <c r="AV1017" s="304"/>
      <c r="AW1017" s="304"/>
      <c r="AX1017" s="304"/>
      <c r="AY1017" s="304"/>
      <c r="AZ1017" s="304"/>
      <c r="BA1017" s="304"/>
      <c r="BB1017" s="304"/>
      <c r="BC1017" s="304"/>
      <c r="BK1017" s="305"/>
      <c r="BL1017" s="305"/>
      <c r="BM1017" s="305"/>
      <c r="BN1017" s="305"/>
      <c r="BO1017" s="305"/>
      <c r="BP1017" s="305"/>
      <c r="BQ1017" s="305"/>
      <c r="BR1017" s="305"/>
      <c r="BS1017" s="305"/>
      <c r="BT1017" s="305"/>
      <c r="BU1017" s="305"/>
      <c r="BV1017" s="305"/>
      <c r="BX1017" s="319"/>
    </row>
    <row r="1018" spans="1:76" s="303" customFormat="1" x14ac:dyDescent="0.25">
      <c r="A1018" s="275"/>
      <c r="B1018" s="275"/>
      <c r="C1018" s="275"/>
      <c r="D1018" s="275"/>
      <c r="E1018" s="275"/>
      <c r="F1018" s="275"/>
      <c r="V1018" s="304"/>
      <c r="W1018" s="304"/>
      <c r="AD1018" s="304"/>
      <c r="AE1018" s="304"/>
      <c r="AR1018" s="304"/>
      <c r="AS1018" s="304"/>
      <c r="AT1018" s="304"/>
      <c r="AU1018" s="304"/>
      <c r="AV1018" s="304"/>
      <c r="AW1018" s="304"/>
      <c r="AX1018" s="304"/>
      <c r="AY1018" s="304"/>
      <c r="AZ1018" s="304"/>
      <c r="BA1018" s="304"/>
      <c r="BB1018" s="304"/>
      <c r="BC1018" s="304"/>
      <c r="BK1018" s="305"/>
      <c r="BL1018" s="305"/>
      <c r="BM1018" s="305"/>
      <c r="BN1018" s="305"/>
      <c r="BO1018" s="305"/>
      <c r="BP1018" s="305"/>
      <c r="BQ1018" s="305"/>
      <c r="BR1018" s="305"/>
      <c r="BS1018" s="305"/>
      <c r="BT1018" s="305"/>
      <c r="BU1018" s="305"/>
      <c r="BV1018" s="305"/>
      <c r="BX1018" s="319"/>
    </row>
    <row r="1019" spans="1:76" s="303" customFormat="1" x14ac:dyDescent="0.25">
      <c r="A1019" s="275"/>
      <c r="B1019" s="275"/>
      <c r="C1019" s="275"/>
      <c r="D1019" s="275"/>
      <c r="E1019" s="275"/>
      <c r="F1019" s="275"/>
      <c r="V1019" s="304"/>
      <c r="W1019" s="304"/>
      <c r="AD1019" s="304"/>
      <c r="AE1019" s="304"/>
      <c r="AR1019" s="304"/>
      <c r="AS1019" s="304"/>
      <c r="AT1019" s="304"/>
      <c r="AU1019" s="304"/>
      <c r="AV1019" s="304"/>
      <c r="AW1019" s="304"/>
      <c r="AX1019" s="304"/>
      <c r="AY1019" s="304"/>
      <c r="AZ1019" s="304"/>
      <c r="BA1019" s="304"/>
      <c r="BB1019" s="304"/>
      <c r="BC1019" s="304"/>
      <c r="BK1019" s="305"/>
      <c r="BL1019" s="305"/>
      <c r="BM1019" s="305"/>
      <c r="BN1019" s="305"/>
      <c r="BO1019" s="305"/>
      <c r="BP1019" s="305"/>
      <c r="BQ1019" s="305"/>
      <c r="BR1019" s="305"/>
      <c r="BS1019" s="305"/>
      <c r="BT1019" s="305"/>
      <c r="BU1019" s="305"/>
      <c r="BV1019" s="305"/>
      <c r="BX1019" s="319"/>
    </row>
    <row r="1020" spans="1:76" s="303" customFormat="1" x14ac:dyDescent="0.25">
      <c r="A1020" s="275"/>
      <c r="B1020" s="275"/>
      <c r="C1020" s="275"/>
      <c r="D1020" s="275"/>
      <c r="E1020" s="275"/>
      <c r="F1020" s="275"/>
      <c r="V1020" s="304"/>
      <c r="W1020" s="304"/>
      <c r="AD1020" s="304"/>
      <c r="AE1020" s="304"/>
      <c r="AR1020" s="304"/>
      <c r="AS1020" s="304"/>
      <c r="AT1020" s="304"/>
      <c r="AU1020" s="304"/>
      <c r="AV1020" s="304"/>
      <c r="AW1020" s="304"/>
      <c r="AX1020" s="304"/>
      <c r="AY1020" s="304"/>
      <c r="AZ1020" s="304"/>
      <c r="BA1020" s="304"/>
      <c r="BB1020" s="304"/>
      <c r="BC1020" s="304"/>
      <c r="BK1020" s="305"/>
      <c r="BL1020" s="305"/>
      <c r="BM1020" s="305"/>
      <c r="BN1020" s="305"/>
      <c r="BO1020" s="305"/>
      <c r="BP1020" s="305"/>
      <c r="BQ1020" s="305"/>
      <c r="BR1020" s="305"/>
      <c r="BS1020" s="305"/>
      <c r="BT1020" s="305"/>
      <c r="BU1020" s="305"/>
      <c r="BV1020" s="305"/>
      <c r="BX1020" s="319"/>
    </row>
    <row r="1021" spans="1:76" s="303" customFormat="1" x14ac:dyDescent="0.25">
      <c r="A1021" s="275"/>
      <c r="B1021" s="275"/>
      <c r="C1021" s="275"/>
      <c r="D1021" s="275"/>
      <c r="E1021" s="275"/>
      <c r="F1021" s="275"/>
      <c r="V1021" s="304"/>
      <c r="W1021" s="304"/>
      <c r="AD1021" s="304"/>
      <c r="AE1021" s="304"/>
      <c r="AR1021" s="304"/>
      <c r="AS1021" s="304"/>
      <c r="AT1021" s="304"/>
      <c r="AU1021" s="304"/>
      <c r="AV1021" s="304"/>
      <c r="AW1021" s="304"/>
      <c r="AX1021" s="304"/>
      <c r="AY1021" s="304"/>
      <c r="AZ1021" s="304"/>
      <c r="BA1021" s="304"/>
      <c r="BB1021" s="304"/>
      <c r="BC1021" s="304"/>
      <c r="BK1021" s="305"/>
      <c r="BL1021" s="305"/>
      <c r="BM1021" s="305"/>
      <c r="BN1021" s="305"/>
      <c r="BO1021" s="305"/>
      <c r="BP1021" s="305"/>
      <c r="BQ1021" s="305"/>
      <c r="BR1021" s="305"/>
      <c r="BS1021" s="305"/>
      <c r="BT1021" s="305"/>
      <c r="BU1021" s="305"/>
      <c r="BV1021" s="305"/>
      <c r="BX1021" s="319"/>
    </row>
    <row r="1022" spans="1:76" s="303" customFormat="1" x14ac:dyDescent="0.25">
      <c r="A1022" s="275"/>
      <c r="B1022" s="275"/>
      <c r="C1022" s="275"/>
      <c r="D1022" s="275"/>
      <c r="E1022" s="275"/>
      <c r="F1022" s="275"/>
      <c r="V1022" s="304"/>
      <c r="W1022" s="304"/>
      <c r="AD1022" s="304"/>
      <c r="AE1022" s="304"/>
      <c r="AR1022" s="304"/>
      <c r="AS1022" s="304"/>
      <c r="AT1022" s="304"/>
      <c r="AU1022" s="304"/>
      <c r="AV1022" s="304"/>
      <c r="AW1022" s="304"/>
      <c r="AX1022" s="304"/>
      <c r="AY1022" s="304"/>
      <c r="AZ1022" s="304"/>
      <c r="BA1022" s="304"/>
      <c r="BB1022" s="304"/>
      <c r="BC1022" s="304"/>
      <c r="BK1022" s="305"/>
      <c r="BL1022" s="305"/>
      <c r="BM1022" s="305"/>
      <c r="BN1022" s="305"/>
      <c r="BO1022" s="305"/>
      <c r="BP1022" s="305"/>
      <c r="BQ1022" s="305"/>
      <c r="BR1022" s="305"/>
      <c r="BS1022" s="305"/>
      <c r="BT1022" s="305"/>
      <c r="BU1022" s="305"/>
      <c r="BV1022" s="305"/>
      <c r="BX1022" s="319"/>
    </row>
    <row r="1023" spans="1:76" s="303" customFormat="1" x14ac:dyDescent="0.25">
      <c r="A1023" s="275"/>
      <c r="B1023" s="275"/>
      <c r="C1023" s="275"/>
      <c r="D1023" s="275"/>
      <c r="E1023" s="275"/>
      <c r="F1023" s="275"/>
      <c r="V1023" s="304"/>
      <c r="W1023" s="304"/>
      <c r="AD1023" s="304"/>
      <c r="AE1023" s="304"/>
      <c r="AR1023" s="304"/>
      <c r="AS1023" s="304"/>
      <c r="AT1023" s="304"/>
      <c r="AU1023" s="304"/>
      <c r="AV1023" s="304"/>
      <c r="AW1023" s="304"/>
      <c r="AX1023" s="304"/>
      <c r="AY1023" s="304"/>
      <c r="AZ1023" s="304"/>
      <c r="BA1023" s="304"/>
      <c r="BB1023" s="304"/>
      <c r="BC1023" s="304"/>
      <c r="BK1023" s="305"/>
      <c r="BL1023" s="305"/>
      <c r="BM1023" s="305"/>
      <c r="BN1023" s="305"/>
      <c r="BO1023" s="305"/>
      <c r="BP1023" s="305"/>
      <c r="BQ1023" s="305"/>
      <c r="BR1023" s="305"/>
      <c r="BS1023" s="305"/>
      <c r="BT1023" s="305"/>
      <c r="BU1023" s="305"/>
      <c r="BV1023" s="305"/>
      <c r="BX1023" s="319"/>
    </row>
    <row r="1024" spans="1:76" s="303" customFormat="1" x14ac:dyDescent="0.25">
      <c r="A1024" s="275"/>
      <c r="B1024" s="275"/>
      <c r="C1024" s="275"/>
      <c r="D1024" s="275"/>
      <c r="E1024" s="275"/>
      <c r="F1024" s="275"/>
      <c r="V1024" s="304"/>
      <c r="W1024" s="304"/>
      <c r="AD1024" s="304"/>
      <c r="AE1024" s="304"/>
      <c r="AR1024" s="304"/>
      <c r="AS1024" s="304"/>
      <c r="AT1024" s="304"/>
      <c r="AU1024" s="304"/>
      <c r="AV1024" s="304"/>
      <c r="AW1024" s="304"/>
      <c r="AX1024" s="304"/>
      <c r="AY1024" s="304"/>
      <c r="AZ1024" s="304"/>
      <c r="BA1024" s="304"/>
      <c r="BB1024" s="304"/>
      <c r="BC1024" s="304"/>
      <c r="BK1024" s="305"/>
      <c r="BL1024" s="305"/>
      <c r="BM1024" s="305"/>
      <c r="BN1024" s="305"/>
      <c r="BO1024" s="305"/>
      <c r="BP1024" s="305"/>
      <c r="BQ1024" s="305"/>
      <c r="BR1024" s="305"/>
      <c r="BS1024" s="305"/>
      <c r="BT1024" s="305"/>
      <c r="BU1024" s="305"/>
      <c r="BV1024" s="305"/>
      <c r="BX1024" s="319"/>
    </row>
    <row r="1025" spans="1:76" s="303" customFormat="1" x14ac:dyDescent="0.25">
      <c r="A1025" s="275"/>
      <c r="B1025" s="275"/>
      <c r="C1025" s="275"/>
      <c r="D1025" s="275"/>
      <c r="E1025" s="275"/>
      <c r="F1025" s="275"/>
      <c r="V1025" s="304"/>
      <c r="W1025" s="304"/>
      <c r="AD1025" s="304"/>
      <c r="AE1025" s="304"/>
      <c r="AR1025" s="304"/>
      <c r="AS1025" s="304"/>
      <c r="AT1025" s="304"/>
      <c r="AU1025" s="304"/>
      <c r="AV1025" s="304"/>
      <c r="AW1025" s="304"/>
      <c r="AX1025" s="304"/>
      <c r="AY1025" s="304"/>
      <c r="AZ1025" s="304"/>
      <c r="BA1025" s="304"/>
      <c r="BB1025" s="304"/>
      <c r="BC1025" s="304"/>
      <c r="BK1025" s="305"/>
      <c r="BL1025" s="305"/>
      <c r="BM1025" s="305"/>
      <c r="BN1025" s="305"/>
      <c r="BO1025" s="305"/>
      <c r="BP1025" s="305"/>
      <c r="BQ1025" s="305"/>
      <c r="BR1025" s="305"/>
      <c r="BS1025" s="305"/>
      <c r="BT1025" s="305"/>
      <c r="BU1025" s="305"/>
      <c r="BV1025" s="305"/>
      <c r="BX1025" s="319"/>
    </row>
    <row r="1026" spans="1:76" s="303" customFormat="1" x14ac:dyDescent="0.25">
      <c r="A1026" s="275"/>
      <c r="B1026" s="275"/>
      <c r="C1026" s="275"/>
      <c r="D1026" s="275"/>
      <c r="E1026" s="275"/>
      <c r="F1026" s="275"/>
      <c r="V1026" s="304"/>
      <c r="W1026" s="304"/>
      <c r="AD1026" s="304"/>
      <c r="AE1026" s="304"/>
      <c r="AR1026" s="304"/>
      <c r="AS1026" s="304"/>
      <c r="AT1026" s="304"/>
      <c r="AU1026" s="304"/>
      <c r="AV1026" s="304"/>
      <c r="AW1026" s="304"/>
      <c r="AX1026" s="304"/>
      <c r="AY1026" s="304"/>
      <c r="AZ1026" s="304"/>
      <c r="BA1026" s="304"/>
      <c r="BB1026" s="304"/>
      <c r="BC1026" s="304"/>
      <c r="BK1026" s="305"/>
      <c r="BL1026" s="305"/>
      <c r="BM1026" s="305"/>
      <c r="BN1026" s="305"/>
      <c r="BO1026" s="305"/>
      <c r="BP1026" s="305"/>
      <c r="BQ1026" s="305"/>
      <c r="BR1026" s="305"/>
      <c r="BS1026" s="305"/>
      <c r="BT1026" s="305"/>
      <c r="BU1026" s="305"/>
      <c r="BV1026" s="305"/>
      <c r="BX1026" s="319"/>
    </row>
    <row r="1027" spans="1:76" s="303" customFormat="1" x14ac:dyDescent="0.25">
      <c r="A1027" s="275"/>
      <c r="B1027" s="275"/>
      <c r="C1027" s="275"/>
      <c r="D1027" s="275"/>
      <c r="E1027" s="275"/>
      <c r="F1027" s="275"/>
      <c r="V1027" s="304"/>
      <c r="W1027" s="304"/>
      <c r="AD1027" s="304"/>
      <c r="AE1027" s="304"/>
      <c r="AR1027" s="304"/>
      <c r="AS1027" s="304"/>
      <c r="AT1027" s="304"/>
      <c r="AU1027" s="304"/>
      <c r="AV1027" s="304"/>
      <c r="AW1027" s="304"/>
      <c r="AX1027" s="304"/>
      <c r="AY1027" s="304"/>
      <c r="AZ1027" s="304"/>
      <c r="BA1027" s="304"/>
      <c r="BB1027" s="304"/>
      <c r="BC1027" s="304"/>
      <c r="BK1027" s="305"/>
      <c r="BL1027" s="305"/>
      <c r="BM1027" s="305"/>
      <c r="BN1027" s="305"/>
      <c r="BO1027" s="305"/>
      <c r="BP1027" s="305"/>
      <c r="BQ1027" s="305"/>
      <c r="BR1027" s="305"/>
      <c r="BS1027" s="305"/>
      <c r="BT1027" s="305"/>
      <c r="BU1027" s="305"/>
      <c r="BV1027" s="305"/>
      <c r="BX1027" s="319"/>
    </row>
    <row r="1028" spans="1:76" s="303" customFormat="1" x14ac:dyDescent="0.25">
      <c r="A1028" s="275"/>
      <c r="B1028" s="275"/>
      <c r="C1028" s="275"/>
      <c r="D1028" s="275"/>
      <c r="E1028" s="275"/>
      <c r="F1028" s="275"/>
      <c r="V1028" s="304"/>
      <c r="W1028" s="304"/>
      <c r="AD1028" s="304"/>
      <c r="AE1028" s="304"/>
      <c r="AR1028" s="304"/>
      <c r="AS1028" s="304"/>
      <c r="AT1028" s="304"/>
      <c r="AU1028" s="304"/>
      <c r="AV1028" s="304"/>
      <c r="AW1028" s="304"/>
      <c r="AX1028" s="304"/>
      <c r="AY1028" s="304"/>
      <c r="AZ1028" s="304"/>
      <c r="BA1028" s="304"/>
      <c r="BB1028" s="304"/>
      <c r="BC1028" s="304"/>
      <c r="BK1028" s="305"/>
      <c r="BL1028" s="305"/>
      <c r="BM1028" s="305"/>
      <c r="BN1028" s="305"/>
      <c r="BO1028" s="305"/>
      <c r="BP1028" s="305"/>
      <c r="BQ1028" s="305"/>
      <c r="BR1028" s="305"/>
      <c r="BS1028" s="305"/>
      <c r="BT1028" s="305"/>
      <c r="BU1028" s="305"/>
      <c r="BV1028" s="305"/>
      <c r="BX1028" s="319"/>
    </row>
    <row r="1029" spans="1:76" s="303" customFormat="1" x14ac:dyDescent="0.25">
      <c r="A1029" s="275"/>
      <c r="B1029" s="275"/>
      <c r="C1029" s="275"/>
      <c r="D1029" s="275"/>
      <c r="E1029" s="275"/>
      <c r="F1029" s="275"/>
      <c r="V1029" s="304"/>
      <c r="W1029" s="304"/>
      <c r="AD1029" s="304"/>
      <c r="AE1029" s="304"/>
      <c r="AR1029" s="304"/>
      <c r="AS1029" s="304"/>
      <c r="AT1029" s="304"/>
      <c r="AU1029" s="304"/>
      <c r="AV1029" s="304"/>
      <c r="AW1029" s="304"/>
      <c r="AX1029" s="304"/>
      <c r="AY1029" s="304"/>
      <c r="AZ1029" s="304"/>
      <c r="BA1029" s="304"/>
      <c r="BB1029" s="304"/>
      <c r="BC1029" s="304"/>
      <c r="BK1029" s="305"/>
      <c r="BL1029" s="305"/>
      <c r="BM1029" s="305"/>
      <c r="BN1029" s="305"/>
      <c r="BO1029" s="305"/>
      <c r="BP1029" s="305"/>
      <c r="BQ1029" s="305"/>
      <c r="BR1029" s="305"/>
      <c r="BS1029" s="305"/>
      <c r="BT1029" s="305"/>
      <c r="BU1029" s="305"/>
      <c r="BV1029" s="305"/>
      <c r="BX1029" s="319"/>
    </row>
    <row r="1030" spans="1:76" s="303" customFormat="1" x14ac:dyDescent="0.25">
      <c r="A1030" s="275"/>
      <c r="B1030" s="275"/>
      <c r="C1030" s="275"/>
      <c r="D1030" s="275"/>
      <c r="E1030" s="275"/>
      <c r="F1030" s="275"/>
      <c r="V1030" s="304"/>
      <c r="W1030" s="304"/>
      <c r="AD1030" s="304"/>
      <c r="AE1030" s="304"/>
      <c r="AR1030" s="304"/>
      <c r="AS1030" s="304"/>
      <c r="AT1030" s="304"/>
      <c r="AU1030" s="304"/>
      <c r="AV1030" s="304"/>
      <c r="AW1030" s="304"/>
      <c r="AX1030" s="304"/>
      <c r="AY1030" s="304"/>
      <c r="AZ1030" s="304"/>
      <c r="BA1030" s="304"/>
      <c r="BB1030" s="304"/>
      <c r="BC1030" s="304"/>
      <c r="BK1030" s="305"/>
      <c r="BL1030" s="305"/>
      <c r="BM1030" s="305"/>
      <c r="BN1030" s="305"/>
      <c r="BO1030" s="305"/>
      <c r="BP1030" s="305"/>
      <c r="BQ1030" s="305"/>
      <c r="BR1030" s="305"/>
      <c r="BS1030" s="305"/>
      <c r="BT1030" s="305"/>
      <c r="BU1030" s="305"/>
      <c r="BV1030" s="305"/>
      <c r="BX1030" s="319"/>
    </row>
    <row r="1031" spans="1:76" s="303" customFormat="1" x14ac:dyDescent="0.25">
      <c r="A1031" s="275"/>
      <c r="B1031" s="275"/>
      <c r="C1031" s="275"/>
      <c r="D1031" s="275"/>
      <c r="E1031" s="275"/>
      <c r="F1031" s="275"/>
      <c r="V1031" s="304"/>
      <c r="W1031" s="304"/>
      <c r="AD1031" s="304"/>
      <c r="AE1031" s="304"/>
      <c r="AR1031" s="304"/>
      <c r="AS1031" s="304"/>
      <c r="AT1031" s="304"/>
      <c r="AU1031" s="304"/>
      <c r="AV1031" s="304"/>
      <c r="AW1031" s="304"/>
      <c r="AX1031" s="304"/>
      <c r="AY1031" s="304"/>
      <c r="AZ1031" s="304"/>
      <c r="BA1031" s="304"/>
      <c r="BB1031" s="304"/>
      <c r="BC1031" s="304"/>
      <c r="BK1031" s="305"/>
      <c r="BL1031" s="305"/>
      <c r="BM1031" s="305"/>
      <c r="BN1031" s="305"/>
      <c r="BO1031" s="305"/>
      <c r="BP1031" s="305"/>
      <c r="BQ1031" s="305"/>
      <c r="BR1031" s="305"/>
      <c r="BS1031" s="305"/>
      <c r="BT1031" s="305"/>
      <c r="BU1031" s="305"/>
      <c r="BV1031" s="305"/>
      <c r="BX1031" s="319"/>
    </row>
    <row r="1032" spans="1:76" s="303" customFormat="1" x14ac:dyDescent="0.25">
      <c r="A1032" s="275"/>
      <c r="B1032" s="275"/>
      <c r="C1032" s="275"/>
      <c r="D1032" s="275"/>
      <c r="E1032" s="275"/>
      <c r="F1032" s="275"/>
      <c r="V1032" s="304"/>
      <c r="W1032" s="304"/>
      <c r="AD1032" s="304"/>
      <c r="AE1032" s="304"/>
      <c r="AR1032" s="304"/>
      <c r="AS1032" s="304"/>
      <c r="AT1032" s="304"/>
      <c r="AU1032" s="304"/>
      <c r="AV1032" s="304"/>
      <c r="AW1032" s="304"/>
      <c r="AX1032" s="304"/>
      <c r="AY1032" s="304"/>
      <c r="AZ1032" s="304"/>
      <c r="BA1032" s="304"/>
      <c r="BB1032" s="304"/>
      <c r="BC1032" s="304"/>
      <c r="BK1032" s="305"/>
      <c r="BL1032" s="305"/>
      <c r="BM1032" s="305"/>
      <c r="BN1032" s="305"/>
      <c r="BO1032" s="305"/>
      <c r="BP1032" s="305"/>
      <c r="BQ1032" s="305"/>
      <c r="BR1032" s="305"/>
      <c r="BS1032" s="305"/>
      <c r="BT1032" s="305"/>
      <c r="BU1032" s="305"/>
      <c r="BV1032" s="305"/>
      <c r="BX1032" s="319"/>
    </row>
    <row r="1033" spans="1:76" s="303" customFormat="1" x14ac:dyDescent="0.25">
      <c r="A1033" s="275"/>
      <c r="B1033" s="275"/>
      <c r="C1033" s="275"/>
      <c r="D1033" s="275"/>
      <c r="E1033" s="275"/>
      <c r="F1033" s="275"/>
      <c r="V1033" s="304"/>
      <c r="W1033" s="304"/>
      <c r="AD1033" s="304"/>
      <c r="AE1033" s="304"/>
      <c r="AR1033" s="304"/>
      <c r="AS1033" s="304"/>
      <c r="AT1033" s="304"/>
      <c r="AU1033" s="304"/>
      <c r="AV1033" s="304"/>
      <c r="AW1033" s="304"/>
      <c r="AX1033" s="304"/>
      <c r="AY1033" s="304"/>
      <c r="AZ1033" s="304"/>
      <c r="BA1033" s="304"/>
      <c r="BB1033" s="304"/>
      <c r="BC1033" s="304"/>
      <c r="BK1033" s="305"/>
      <c r="BL1033" s="305"/>
      <c r="BM1033" s="305"/>
      <c r="BN1033" s="305"/>
      <c r="BO1033" s="305"/>
      <c r="BP1033" s="305"/>
      <c r="BQ1033" s="305"/>
      <c r="BR1033" s="305"/>
      <c r="BS1033" s="305"/>
      <c r="BT1033" s="305"/>
      <c r="BU1033" s="305"/>
      <c r="BV1033" s="305"/>
      <c r="BX1033" s="319"/>
    </row>
    <row r="1034" spans="1:76" s="303" customFormat="1" x14ac:dyDescent="0.25">
      <c r="A1034" s="275"/>
      <c r="B1034" s="275"/>
      <c r="C1034" s="275"/>
      <c r="D1034" s="275"/>
      <c r="E1034" s="275"/>
      <c r="F1034" s="275"/>
      <c r="V1034" s="304"/>
      <c r="W1034" s="304"/>
      <c r="AD1034" s="304"/>
      <c r="AE1034" s="304"/>
      <c r="AR1034" s="304"/>
      <c r="AS1034" s="304"/>
      <c r="AT1034" s="304"/>
      <c r="AU1034" s="304"/>
      <c r="AV1034" s="304"/>
      <c r="AW1034" s="304"/>
      <c r="AX1034" s="304"/>
      <c r="AY1034" s="304"/>
      <c r="AZ1034" s="304"/>
      <c r="BA1034" s="304"/>
      <c r="BB1034" s="304"/>
      <c r="BC1034" s="304"/>
      <c r="BK1034" s="305"/>
      <c r="BL1034" s="305"/>
      <c r="BM1034" s="305"/>
      <c r="BN1034" s="305"/>
      <c r="BO1034" s="305"/>
      <c r="BP1034" s="305"/>
      <c r="BQ1034" s="305"/>
      <c r="BR1034" s="305"/>
      <c r="BS1034" s="305"/>
      <c r="BT1034" s="305"/>
      <c r="BU1034" s="305"/>
      <c r="BV1034" s="305"/>
      <c r="BX1034" s="319"/>
    </row>
    <row r="1035" spans="1:76" s="303" customFormat="1" x14ac:dyDescent="0.25">
      <c r="A1035" s="275"/>
      <c r="B1035" s="275"/>
      <c r="C1035" s="275"/>
      <c r="D1035" s="275"/>
      <c r="E1035" s="275"/>
      <c r="F1035" s="275"/>
      <c r="V1035" s="304"/>
      <c r="W1035" s="304"/>
      <c r="AD1035" s="304"/>
      <c r="AE1035" s="304"/>
      <c r="AR1035" s="304"/>
      <c r="AS1035" s="304"/>
      <c r="AT1035" s="304"/>
      <c r="AU1035" s="304"/>
      <c r="AV1035" s="304"/>
      <c r="AW1035" s="304"/>
      <c r="AX1035" s="304"/>
      <c r="AY1035" s="304"/>
      <c r="AZ1035" s="304"/>
      <c r="BA1035" s="304"/>
      <c r="BB1035" s="304"/>
      <c r="BC1035" s="304"/>
      <c r="BK1035" s="305"/>
      <c r="BL1035" s="305"/>
      <c r="BM1035" s="305"/>
      <c r="BN1035" s="305"/>
      <c r="BO1035" s="305"/>
      <c r="BP1035" s="305"/>
      <c r="BQ1035" s="305"/>
      <c r="BR1035" s="305"/>
      <c r="BS1035" s="305"/>
      <c r="BT1035" s="305"/>
      <c r="BU1035" s="305"/>
      <c r="BV1035" s="305"/>
      <c r="BX1035" s="319"/>
    </row>
    <row r="1036" spans="1:76" s="303" customFormat="1" x14ac:dyDescent="0.25">
      <c r="A1036" s="275"/>
      <c r="B1036" s="275"/>
      <c r="C1036" s="275"/>
      <c r="D1036" s="275"/>
      <c r="E1036" s="275"/>
      <c r="F1036" s="275"/>
      <c r="V1036" s="304"/>
      <c r="W1036" s="304"/>
      <c r="AD1036" s="304"/>
      <c r="AE1036" s="304"/>
      <c r="AR1036" s="304"/>
      <c r="AS1036" s="304"/>
      <c r="AT1036" s="304"/>
      <c r="AU1036" s="304"/>
      <c r="AV1036" s="304"/>
      <c r="AW1036" s="304"/>
      <c r="AX1036" s="304"/>
      <c r="AY1036" s="304"/>
      <c r="AZ1036" s="304"/>
      <c r="BA1036" s="304"/>
      <c r="BB1036" s="304"/>
      <c r="BC1036" s="304"/>
      <c r="BK1036" s="305"/>
      <c r="BL1036" s="305"/>
      <c r="BM1036" s="305"/>
      <c r="BN1036" s="305"/>
      <c r="BO1036" s="305"/>
      <c r="BP1036" s="305"/>
      <c r="BQ1036" s="305"/>
      <c r="BR1036" s="305"/>
      <c r="BS1036" s="305"/>
      <c r="BT1036" s="305"/>
      <c r="BU1036" s="305"/>
      <c r="BV1036" s="305"/>
      <c r="BX1036" s="319"/>
    </row>
    <row r="1037" spans="1:76" s="303" customFormat="1" x14ac:dyDescent="0.25">
      <c r="A1037" s="275"/>
      <c r="B1037" s="275"/>
      <c r="C1037" s="275"/>
      <c r="D1037" s="275"/>
      <c r="E1037" s="275"/>
      <c r="F1037" s="275"/>
      <c r="V1037" s="304"/>
      <c r="W1037" s="304"/>
      <c r="AD1037" s="304"/>
      <c r="AE1037" s="304"/>
      <c r="AR1037" s="304"/>
      <c r="AS1037" s="304"/>
      <c r="AT1037" s="304"/>
      <c r="AU1037" s="304"/>
      <c r="AV1037" s="304"/>
      <c r="AW1037" s="304"/>
      <c r="AX1037" s="304"/>
      <c r="AY1037" s="304"/>
      <c r="AZ1037" s="304"/>
      <c r="BA1037" s="304"/>
      <c r="BB1037" s="304"/>
      <c r="BC1037" s="304"/>
      <c r="BK1037" s="305"/>
      <c r="BL1037" s="305"/>
      <c r="BM1037" s="305"/>
      <c r="BN1037" s="305"/>
      <c r="BO1037" s="305"/>
      <c r="BP1037" s="305"/>
      <c r="BQ1037" s="305"/>
      <c r="BR1037" s="305"/>
      <c r="BS1037" s="305"/>
      <c r="BT1037" s="305"/>
      <c r="BU1037" s="305"/>
      <c r="BV1037" s="305"/>
      <c r="BX1037" s="319"/>
    </row>
    <row r="1038" spans="1:76" s="303" customFormat="1" x14ac:dyDescent="0.25">
      <c r="A1038" s="275"/>
      <c r="B1038" s="275"/>
      <c r="C1038" s="275"/>
      <c r="D1038" s="275"/>
      <c r="E1038" s="275"/>
      <c r="F1038" s="275"/>
      <c r="V1038" s="304"/>
      <c r="W1038" s="304"/>
      <c r="AD1038" s="304"/>
      <c r="AE1038" s="304"/>
      <c r="AR1038" s="304"/>
      <c r="AS1038" s="304"/>
      <c r="AT1038" s="304"/>
      <c r="AU1038" s="304"/>
      <c r="AV1038" s="304"/>
      <c r="AW1038" s="304"/>
      <c r="AX1038" s="304"/>
      <c r="AY1038" s="304"/>
      <c r="AZ1038" s="304"/>
      <c r="BA1038" s="304"/>
      <c r="BB1038" s="304"/>
      <c r="BC1038" s="304"/>
      <c r="BK1038" s="305"/>
      <c r="BL1038" s="305"/>
      <c r="BM1038" s="305"/>
      <c r="BN1038" s="305"/>
      <c r="BO1038" s="305"/>
      <c r="BP1038" s="305"/>
      <c r="BQ1038" s="305"/>
      <c r="BR1038" s="305"/>
      <c r="BS1038" s="305"/>
      <c r="BT1038" s="305"/>
      <c r="BU1038" s="305"/>
      <c r="BV1038" s="305"/>
      <c r="BX1038" s="319"/>
    </row>
    <row r="1039" spans="1:76" s="303" customFormat="1" x14ac:dyDescent="0.25">
      <c r="A1039" s="275"/>
      <c r="B1039" s="275"/>
      <c r="C1039" s="275"/>
      <c r="D1039" s="275"/>
      <c r="E1039" s="275"/>
      <c r="F1039" s="275"/>
      <c r="V1039" s="304"/>
      <c r="W1039" s="304"/>
      <c r="AD1039" s="304"/>
      <c r="AE1039" s="304"/>
      <c r="AR1039" s="304"/>
      <c r="AS1039" s="304"/>
      <c r="AT1039" s="304"/>
      <c r="AU1039" s="304"/>
      <c r="AV1039" s="304"/>
      <c r="AW1039" s="304"/>
      <c r="AX1039" s="304"/>
      <c r="AY1039" s="304"/>
      <c r="AZ1039" s="304"/>
      <c r="BA1039" s="304"/>
      <c r="BB1039" s="304"/>
      <c r="BC1039" s="304"/>
      <c r="BK1039" s="305"/>
      <c r="BL1039" s="305"/>
      <c r="BM1039" s="305"/>
      <c r="BN1039" s="305"/>
      <c r="BO1039" s="305"/>
      <c r="BP1039" s="305"/>
      <c r="BQ1039" s="305"/>
      <c r="BR1039" s="305"/>
      <c r="BS1039" s="305"/>
      <c r="BT1039" s="305"/>
      <c r="BU1039" s="305"/>
      <c r="BV1039" s="305"/>
      <c r="BX1039" s="319"/>
    </row>
    <row r="1040" spans="1:76" s="303" customFormat="1" x14ac:dyDescent="0.25">
      <c r="A1040" s="275"/>
      <c r="B1040" s="275"/>
      <c r="C1040" s="275"/>
      <c r="D1040" s="275"/>
      <c r="E1040" s="275"/>
      <c r="F1040" s="275"/>
      <c r="V1040" s="304"/>
      <c r="W1040" s="304"/>
      <c r="AD1040" s="304"/>
      <c r="AE1040" s="304"/>
      <c r="AR1040" s="304"/>
      <c r="AS1040" s="304"/>
      <c r="AT1040" s="304"/>
      <c r="AU1040" s="304"/>
      <c r="AV1040" s="304"/>
      <c r="AW1040" s="304"/>
      <c r="AX1040" s="304"/>
      <c r="AY1040" s="304"/>
      <c r="AZ1040" s="304"/>
      <c r="BA1040" s="304"/>
      <c r="BB1040" s="304"/>
      <c r="BC1040" s="304"/>
      <c r="BK1040" s="305"/>
      <c r="BL1040" s="305"/>
      <c r="BM1040" s="305"/>
      <c r="BN1040" s="305"/>
      <c r="BO1040" s="305"/>
      <c r="BP1040" s="305"/>
      <c r="BQ1040" s="305"/>
      <c r="BR1040" s="305"/>
      <c r="BS1040" s="305"/>
      <c r="BT1040" s="305"/>
      <c r="BU1040" s="305"/>
      <c r="BV1040" s="305"/>
      <c r="BX1040" s="319"/>
    </row>
    <row r="1041" spans="1:76" s="303" customFormat="1" x14ac:dyDescent="0.25">
      <c r="A1041" s="275"/>
      <c r="B1041" s="275"/>
      <c r="C1041" s="275"/>
      <c r="D1041" s="275"/>
      <c r="E1041" s="275"/>
      <c r="F1041" s="275"/>
      <c r="V1041" s="304"/>
      <c r="W1041" s="304"/>
      <c r="AD1041" s="304"/>
      <c r="AE1041" s="304"/>
      <c r="AR1041" s="304"/>
      <c r="AS1041" s="304"/>
      <c r="AT1041" s="304"/>
      <c r="AU1041" s="304"/>
      <c r="AV1041" s="304"/>
      <c r="AW1041" s="304"/>
      <c r="AX1041" s="304"/>
      <c r="AY1041" s="304"/>
      <c r="AZ1041" s="304"/>
      <c r="BA1041" s="304"/>
      <c r="BB1041" s="304"/>
      <c r="BC1041" s="304"/>
      <c r="BK1041" s="305"/>
      <c r="BL1041" s="305"/>
      <c r="BM1041" s="305"/>
      <c r="BN1041" s="305"/>
      <c r="BO1041" s="305"/>
      <c r="BP1041" s="305"/>
      <c r="BQ1041" s="305"/>
      <c r="BR1041" s="305"/>
      <c r="BS1041" s="305"/>
      <c r="BT1041" s="305"/>
      <c r="BU1041" s="305"/>
      <c r="BV1041" s="305"/>
      <c r="BX1041" s="319"/>
    </row>
    <row r="1042" spans="1:76" s="303" customFormat="1" x14ac:dyDescent="0.25">
      <c r="A1042" s="275"/>
      <c r="B1042" s="275"/>
      <c r="C1042" s="275"/>
      <c r="D1042" s="275"/>
      <c r="E1042" s="275"/>
      <c r="F1042" s="275"/>
      <c r="V1042" s="304"/>
      <c r="W1042" s="304"/>
      <c r="AD1042" s="304"/>
      <c r="AE1042" s="304"/>
      <c r="AR1042" s="304"/>
      <c r="AS1042" s="304"/>
      <c r="AT1042" s="304"/>
      <c r="AU1042" s="304"/>
      <c r="AV1042" s="304"/>
      <c r="AW1042" s="304"/>
      <c r="AX1042" s="304"/>
      <c r="AY1042" s="304"/>
      <c r="AZ1042" s="304"/>
      <c r="BA1042" s="304"/>
      <c r="BB1042" s="304"/>
      <c r="BC1042" s="304"/>
      <c r="BK1042" s="305"/>
      <c r="BL1042" s="305"/>
      <c r="BM1042" s="305"/>
      <c r="BN1042" s="305"/>
      <c r="BO1042" s="305"/>
      <c r="BP1042" s="305"/>
      <c r="BQ1042" s="305"/>
      <c r="BR1042" s="305"/>
      <c r="BS1042" s="305"/>
      <c r="BT1042" s="305"/>
      <c r="BU1042" s="305"/>
      <c r="BV1042" s="305"/>
      <c r="BX1042" s="319"/>
    </row>
    <row r="1043" spans="1:76" s="303" customFormat="1" x14ac:dyDescent="0.25">
      <c r="A1043" s="275"/>
      <c r="B1043" s="275"/>
      <c r="C1043" s="275"/>
      <c r="D1043" s="275"/>
      <c r="E1043" s="275"/>
      <c r="F1043" s="275"/>
      <c r="V1043" s="304"/>
      <c r="W1043" s="304"/>
      <c r="AD1043" s="304"/>
      <c r="AE1043" s="304"/>
      <c r="AR1043" s="304"/>
      <c r="AS1043" s="304"/>
      <c r="AT1043" s="304"/>
      <c r="AU1043" s="304"/>
      <c r="AV1043" s="304"/>
      <c r="AW1043" s="304"/>
      <c r="AX1043" s="304"/>
      <c r="AY1043" s="304"/>
      <c r="AZ1043" s="304"/>
      <c r="BA1043" s="304"/>
      <c r="BB1043" s="304"/>
      <c r="BC1043" s="304"/>
      <c r="BK1043" s="305"/>
      <c r="BL1043" s="305"/>
      <c r="BM1043" s="305"/>
      <c r="BN1043" s="305"/>
      <c r="BO1043" s="305"/>
      <c r="BP1043" s="305"/>
      <c r="BQ1043" s="305"/>
      <c r="BR1043" s="305"/>
      <c r="BS1043" s="305"/>
      <c r="BT1043" s="305"/>
      <c r="BU1043" s="305"/>
      <c r="BV1043" s="305"/>
      <c r="BX1043" s="319"/>
    </row>
    <row r="1044" spans="1:76" s="303" customFormat="1" x14ac:dyDescent="0.25">
      <c r="A1044" s="275"/>
      <c r="B1044" s="275"/>
      <c r="C1044" s="275"/>
      <c r="D1044" s="275"/>
      <c r="E1044" s="275"/>
      <c r="F1044" s="275"/>
      <c r="V1044" s="304"/>
      <c r="W1044" s="304"/>
      <c r="AD1044" s="304"/>
      <c r="AE1044" s="304"/>
      <c r="AR1044" s="304"/>
      <c r="AS1044" s="304"/>
      <c r="AT1044" s="304"/>
      <c r="AU1044" s="304"/>
      <c r="AV1044" s="304"/>
      <c r="AW1044" s="304"/>
      <c r="AX1044" s="304"/>
      <c r="AY1044" s="304"/>
      <c r="AZ1044" s="304"/>
      <c r="BA1044" s="304"/>
      <c r="BB1044" s="304"/>
      <c r="BC1044" s="304"/>
      <c r="BK1044" s="305"/>
      <c r="BL1044" s="305"/>
      <c r="BM1044" s="305"/>
      <c r="BN1044" s="305"/>
      <c r="BO1044" s="305"/>
      <c r="BP1044" s="305"/>
      <c r="BQ1044" s="305"/>
      <c r="BR1044" s="305"/>
      <c r="BS1044" s="305"/>
      <c r="BT1044" s="305"/>
      <c r="BU1044" s="305"/>
      <c r="BV1044" s="305"/>
      <c r="BX1044" s="319"/>
    </row>
    <row r="1045" spans="1:76" s="303" customFormat="1" x14ac:dyDescent="0.25">
      <c r="A1045" s="275"/>
      <c r="B1045" s="275"/>
      <c r="C1045" s="275"/>
      <c r="D1045" s="275"/>
      <c r="E1045" s="275"/>
      <c r="F1045" s="275"/>
      <c r="V1045" s="304"/>
      <c r="W1045" s="304"/>
      <c r="AD1045" s="304"/>
      <c r="AE1045" s="304"/>
      <c r="AR1045" s="304"/>
      <c r="AS1045" s="304"/>
      <c r="AT1045" s="304"/>
      <c r="AU1045" s="304"/>
      <c r="AV1045" s="304"/>
      <c r="AW1045" s="304"/>
      <c r="AX1045" s="304"/>
      <c r="AY1045" s="304"/>
      <c r="AZ1045" s="304"/>
      <c r="BA1045" s="304"/>
      <c r="BB1045" s="304"/>
      <c r="BC1045" s="304"/>
      <c r="BK1045" s="305"/>
      <c r="BL1045" s="305"/>
      <c r="BM1045" s="305"/>
      <c r="BN1045" s="305"/>
      <c r="BO1045" s="305"/>
      <c r="BP1045" s="305"/>
      <c r="BQ1045" s="305"/>
      <c r="BR1045" s="305"/>
      <c r="BS1045" s="305"/>
      <c r="BT1045" s="305"/>
      <c r="BU1045" s="305"/>
      <c r="BV1045" s="305"/>
      <c r="BX1045" s="319"/>
    </row>
    <row r="1046" spans="1:76" s="303" customFormat="1" x14ac:dyDescent="0.25">
      <c r="A1046" s="275"/>
      <c r="B1046" s="275"/>
      <c r="C1046" s="275"/>
      <c r="D1046" s="275"/>
      <c r="E1046" s="275"/>
      <c r="F1046" s="275"/>
      <c r="V1046" s="304"/>
      <c r="W1046" s="304"/>
      <c r="AD1046" s="304"/>
      <c r="AE1046" s="304"/>
      <c r="AR1046" s="304"/>
      <c r="AS1046" s="304"/>
      <c r="AT1046" s="304"/>
      <c r="AU1046" s="304"/>
      <c r="AV1046" s="304"/>
      <c r="AW1046" s="304"/>
      <c r="AX1046" s="304"/>
      <c r="AY1046" s="304"/>
      <c r="AZ1046" s="304"/>
      <c r="BA1046" s="304"/>
      <c r="BB1046" s="304"/>
      <c r="BC1046" s="304"/>
      <c r="BK1046" s="305"/>
      <c r="BL1046" s="305"/>
      <c r="BM1046" s="305"/>
      <c r="BN1046" s="305"/>
      <c r="BO1046" s="305"/>
      <c r="BP1046" s="305"/>
      <c r="BQ1046" s="305"/>
      <c r="BR1046" s="305"/>
      <c r="BS1046" s="305"/>
      <c r="BT1046" s="305"/>
      <c r="BU1046" s="305"/>
      <c r="BV1046" s="305"/>
      <c r="BX1046" s="319"/>
    </row>
    <row r="1047" spans="1:76" s="303" customFormat="1" x14ac:dyDescent="0.25">
      <c r="A1047" s="275"/>
      <c r="B1047" s="275"/>
      <c r="C1047" s="275"/>
      <c r="D1047" s="275"/>
      <c r="E1047" s="275"/>
      <c r="F1047" s="275"/>
      <c r="V1047" s="304"/>
      <c r="W1047" s="304"/>
      <c r="AD1047" s="304"/>
      <c r="AE1047" s="304"/>
      <c r="AR1047" s="304"/>
      <c r="AS1047" s="304"/>
      <c r="AT1047" s="304"/>
      <c r="AU1047" s="304"/>
      <c r="AV1047" s="304"/>
      <c r="AW1047" s="304"/>
      <c r="AX1047" s="304"/>
      <c r="AY1047" s="304"/>
      <c r="AZ1047" s="304"/>
      <c r="BA1047" s="304"/>
      <c r="BB1047" s="304"/>
      <c r="BC1047" s="304"/>
      <c r="BK1047" s="305"/>
      <c r="BL1047" s="305"/>
      <c r="BM1047" s="305"/>
      <c r="BN1047" s="305"/>
      <c r="BO1047" s="305"/>
      <c r="BP1047" s="305"/>
      <c r="BQ1047" s="305"/>
      <c r="BR1047" s="305"/>
      <c r="BS1047" s="305"/>
      <c r="BT1047" s="305"/>
      <c r="BU1047" s="305"/>
      <c r="BV1047" s="305"/>
      <c r="BX1047" s="319"/>
    </row>
    <row r="1048" spans="1:76" s="303" customFormat="1" x14ac:dyDescent="0.25">
      <c r="A1048" s="275"/>
      <c r="B1048" s="275"/>
      <c r="C1048" s="275"/>
      <c r="D1048" s="275"/>
      <c r="E1048" s="275"/>
      <c r="F1048" s="275"/>
      <c r="V1048" s="304"/>
      <c r="W1048" s="304"/>
      <c r="AD1048" s="304"/>
      <c r="AE1048" s="304"/>
      <c r="AR1048" s="304"/>
      <c r="AS1048" s="304"/>
      <c r="AT1048" s="304"/>
      <c r="AU1048" s="304"/>
      <c r="AV1048" s="304"/>
      <c r="AW1048" s="304"/>
      <c r="AX1048" s="304"/>
      <c r="AY1048" s="304"/>
      <c r="AZ1048" s="304"/>
      <c r="BA1048" s="304"/>
      <c r="BB1048" s="304"/>
      <c r="BC1048" s="304"/>
      <c r="BK1048" s="305"/>
      <c r="BL1048" s="305"/>
      <c r="BM1048" s="305"/>
      <c r="BN1048" s="305"/>
      <c r="BO1048" s="305"/>
      <c r="BP1048" s="305"/>
      <c r="BQ1048" s="305"/>
      <c r="BR1048" s="305"/>
      <c r="BS1048" s="305"/>
      <c r="BT1048" s="305"/>
      <c r="BU1048" s="305"/>
      <c r="BV1048" s="305"/>
      <c r="BX1048" s="319"/>
    </row>
    <row r="1049" spans="1:76" s="303" customFormat="1" x14ac:dyDescent="0.25">
      <c r="A1049" s="275"/>
      <c r="B1049" s="275"/>
      <c r="C1049" s="275"/>
      <c r="D1049" s="275"/>
      <c r="E1049" s="275"/>
      <c r="F1049" s="275"/>
      <c r="V1049" s="304"/>
      <c r="W1049" s="304"/>
      <c r="AD1049" s="304"/>
      <c r="AE1049" s="304"/>
      <c r="AR1049" s="304"/>
      <c r="AS1049" s="304"/>
      <c r="AT1049" s="304"/>
      <c r="AU1049" s="304"/>
      <c r="AV1049" s="304"/>
      <c r="AW1049" s="304"/>
      <c r="AX1049" s="304"/>
      <c r="AY1049" s="304"/>
      <c r="AZ1049" s="304"/>
      <c r="BA1049" s="304"/>
      <c r="BB1049" s="304"/>
      <c r="BC1049" s="304"/>
      <c r="BK1049" s="305"/>
      <c r="BL1049" s="305"/>
      <c r="BM1049" s="305"/>
      <c r="BN1049" s="305"/>
      <c r="BO1049" s="305"/>
      <c r="BP1049" s="305"/>
      <c r="BQ1049" s="305"/>
      <c r="BR1049" s="305"/>
      <c r="BS1049" s="305"/>
      <c r="BT1049" s="305"/>
      <c r="BU1049" s="305"/>
      <c r="BV1049" s="305"/>
      <c r="BX1049" s="319"/>
    </row>
    <row r="1050" spans="1:76" s="303" customFormat="1" x14ac:dyDescent="0.25">
      <c r="A1050" s="275"/>
      <c r="B1050" s="275"/>
      <c r="C1050" s="275"/>
      <c r="D1050" s="275"/>
      <c r="E1050" s="275"/>
      <c r="F1050" s="275"/>
      <c r="V1050" s="304"/>
      <c r="W1050" s="304"/>
      <c r="AD1050" s="304"/>
      <c r="AE1050" s="304"/>
      <c r="AR1050" s="304"/>
      <c r="AS1050" s="304"/>
      <c r="AT1050" s="304"/>
      <c r="AU1050" s="304"/>
      <c r="AV1050" s="304"/>
      <c r="AW1050" s="304"/>
      <c r="AX1050" s="304"/>
      <c r="AY1050" s="304"/>
      <c r="AZ1050" s="304"/>
      <c r="BA1050" s="304"/>
      <c r="BB1050" s="304"/>
      <c r="BC1050" s="304"/>
      <c r="BK1050" s="305"/>
      <c r="BL1050" s="305"/>
      <c r="BM1050" s="305"/>
      <c r="BN1050" s="305"/>
      <c r="BO1050" s="305"/>
      <c r="BP1050" s="305"/>
      <c r="BQ1050" s="305"/>
      <c r="BR1050" s="305"/>
      <c r="BS1050" s="305"/>
      <c r="BT1050" s="305"/>
      <c r="BU1050" s="305"/>
      <c r="BV1050" s="305"/>
      <c r="BX1050" s="319"/>
    </row>
    <row r="1051" spans="1:76" s="303" customFormat="1" x14ac:dyDescent="0.25">
      <c r="A1051" s="275"/>
      <c r="B1051" s="275"/>
      <c r="C1051" s="275"/>
      <c r="D1051" s="275"/>
      <c r="E1051" s="275"/>
      <c r="F1051" s="275"/>
      <c r="V1051" s="304"/>
      <c r="W1051" s="304"/>
      <c r="AD1051" s="304"/>
      <c r="AE1051" s="304"/>
      <c r="AR1051" s="304"/>
      <c r="AS1051" s="304"/>
      <c r="AT1051" s="304"/>
      <c r="AU1051" s="304"/>
      <c r="AV1051" s="304"/>
      <c r="AW1051" s="304"/>
      <c r="AX1051" s="304"/>
      <c r="AY1051" s="304"/>
      <c r="AZ1051" s="304"/>
      <c r="BA1051" s="304"/>
      <c r="BB1051" s="304"/>
      <c r="BC1051" s="304"/>
      <c r="BK1051" s="305"/>
      <c r="BL1051" s="305"/>
      <c r="BM1051" s="305"/>
      <c r="BN1051" s="305"/>
      <c r="BO1051" s="305"/>
      <c r="BP1051" s="305"/>
      <c r="BQ1051" s="305"/>
      <c r="BR1051" s="305"/>
      <c r="BS1051" s="305"/>
      <c r="BT1051" s="305"/>
      <c r="BU1051" s="305"/>
      <c r="BV1051" s="305"/>
      <c r="BX1051" s="319"/>
    </row>
    <row r="1052" spans="1:76" s="303" customFormat="1" x14ac:dyDescent="0.25">
      <c r="A1052" s="275"/>
      <c r="B1052" s="275"/>
      <c r="C1052" s="275"/>
      <c r="D1052" s="275"/>
      <c r="E1052" s="275"/>
      <c r="F1052" s="275"/>
      <c r="V1052" s="304"/>
      <c r="W1052" s="304"/>
      <c r="AD1052" s="304"/>
      <c r="AE1052" s="304"/>
      <c r="AR1052" s="304"/>
      <c r="AS1052" s="304"/>
      <c r="AT1052" s="304"/>
      <c r="AU1052" s="304"/>
      <c r="AV1052" s="304"/>
      <c r="AW1052" s="304"/>
      <c r="AX1052" s="304"/>
      <c r="AY1052" s="304"/>
      <c r="AZ1052" s="304"/>
      <c r="BA1052" s="304"/>
      <c r="BB1052" s="304"/>
      <c r="BC1052" s="304"/>
      <c r="BK1052" s="305"/>
      <c r="BL1052" s="305"/>
      <c r="BM1052" s="305"/>
      <c r="BN1052" s="305"/>
      <c r="BO1052" s="305"/>
      <c r="BP1052" s="305"/>
      <c r="BQ1052" s="305"/>
      <c r="BR1052" s="305"/>
      <c r="BS1052" s="305"/>
      <c r="BT1052" s="305"/>
      <c r="BU1052" s="305"/>
      <c r="BV1052" s="305"/>
      <c r="BX1052" s="319"/>
    </row>
    <row r="1053" spans="1:76" s="303" customFormat="1" x14ac:dyDescent="0.25">
      <c r="A1053" s="275"/>
      <c r="B1053" s="275"/>
      <c r="C1053" s="275"/>
      <c r="D1053" s="275"/>
      <c r="E1053" s="275"/>
      <c r="F1053" s="275"/>
      <c r="V1053" s="304"/>
      <c r="W1053" s="304"/>
      <c r="AD1053" s="304"/>
      <c r="AE1053" s="304"/>
      <c r="AR1053" s="304"/>
      <c r="AS1053" s="304"/>
      <c r="AT1053" s="304"/>
      <c r="AU1053" s="304"/>
      <c r="AV1053" s="304"/>
      <c r="AW1053" s="304"/>
      <c r="AX1053" s="304"/>
      <c r="AY1053" s="304"/>
      <c r="AZ1053" s="304"/>
      <c r="BA1053" s="304"/>
      <c r="BB1053" s="304"/>
      <c r="BC1053" s="304"/>
      <c r="BK1053" s="305"/>
      <c r="BL1053" s="305"/>
      <c r="BM1053" s="305"/>
      <c r="BN1053" s="305"/>
      <c r="BO1053" s="305"/>
      <c r="BP1053" s="305"/>
      <c r="BQ1053" s="305"/>
      <c r="BR1053" s="305"/>
      <c r="BS1053" s="305"/>
      <c r="BT1053" s="305"/>
      <c r="BU1053" s="305"/>
      <c r="BV1053" s="305"/>
      <c r="BX1053" s="319"/>
    </row>
    <row r="1054" spans="1:76" s="303" customFormat="1" x14ac:dyDescent="0.25">
      <c r="A1054" s="275"/>
      <c r="B1054" s="275"/>
      <c r="C1054" s="275"/>
      <c r="D1054" s="275"/>
      <c r="E1054" s="275"/>
      <c r="F1054" s="275"/>
      <c r="V1054" s="304"/>
      <c r="W1054" s="304"/>
      <c r="AD1054" s="304"/>
      <c r="AE1054" s="304"/>
      <c r="AR1054" s="304"/>
      <c r="AS1054" s="304"/>
      <c r="AT1054" s="304"/>
      <c r="AU1054" s="304"/>
      <c r="AV1054" s="304"/>
      <c r="AW1054" s="304"/>
      <c r="AX1054" s="304"/>
      <c r="AY1054" s="304"/>
      <c r="AZ1054" s="304"/>
      <c r="BA1054" s="304"/>
      <c r="BB1054" s="304"/>
      <c r="BC1054" s="304"/>
      <c r="BK1054" s="305"/>
      <c r="BL1054" s="305"/>
      <c r="BM1054" s="305"/>
      <c r="BN1054" s="305"/>
      <c r="BO1054" s="305"/>
      <c r="BP1054" s="305"/>
      <c r="BQ1054" s="305"/>
      <c r="BR1054" s="305"/>
      <c r="BS1054" s="305"/>
      <c r="BT1054" s="305"/>
      <c r="BU1054" s="305"/>
      <c r="BV1054" s="305"/>
      <c r="BX1054" s="319"/>
    </row>
    <row r="1055" spans="1:76" s="303" customFormat="1" x14ac:dyDescent="0.25">
      <c r="A1055" s="275"/>
      <c r="B1055" s="275"/>
      <c r="C1055" s="275"/>
      <c r="D1055" s="275"/>
      <c r="E1055" s="275"/>
      <c r="F1055" s="275"/>
      <c r="V1055" s="304"/>
      <c r="W1055" s="304"/>
      <c r="AD1055" s="304"/>
      <c r="AE1055" s="304"/>
      <c r="AR1055" s="304"/>
      <c r="AS1055" s="304"/>
      <c r="AT1055" s="304"/>
      <c r="AU1055" s="304"/>
      <c r="AV1055" s="304"/>
      <c r="AW1055" s="304"/>
      <c r="AX1055" s="304"/>
      <c r="AY1055" s="304"/>
      <c r="AZ1055" s="304"/>
      <c r="BA1055" s="304"/>
      <c r="BB1055" s="304"/>
      <c r="BC1055" s="304"/>
      <c r="BK1055" s="305"/>
      <c r="BL1055" s="305"/>
      <c r="BM1055" s="305"/>
      <c r="BN1055" s="305"/>
      <c r="BO1055" s="305"/>
      <c r="BP1055" s="305"/>
      <c r="BQ1055" s="305"/>
      <c r="BR1055" s="305"/>
      <c r="BS1055" s="305"/>
      <c r="BT1055" s="305"/>
      <c r="BU1055" s="305"/>
      <c r="BV1055" s="305"/>
      <c r="BX1055" s="319"/>
    </row>
    <row r="1056" spans="1:76" s="303" customFormat="1" x14ac:dyDescent="0.25">
      <c r="A1056" s="275"/>
      <c r="B1056" s="275"/>
      <c r="C1056" s="275"/>
      <c r="D1056" s="275"/>
      <c r="E1056" s="275"/>
      <c r="F1056" s="275"/>
      <c r="V1056" s="304"/>
      <c r="W1056" s="304"/>
      <c r="AD1056" s="304"/>
      <c r="AE1056" s="304"/>
      <c r="AR1056" s="304"/>
      <c r="AS1056" s="304"/>
      <c r="AT1056" s="304"/>
      <c r="AU1056" s="304"/>
      <c r="AV1056" s="304"/>
      <c r="AW1056" s="304"/>
      <c r="AX1056" s="304"/>
      <c r="AY1056" s="304"/>
      <c r="AZ1056" s="304"/>
      <c r="BA1056" s="304"/>
      <c r="BB1056" s="304"/>
      <c r="BC1056" s="304"/>
      <c r="BK1056" s="305"/>
      <c r="BL1056" s="305"/>
      <c r="BM1056" s="305"/>
      <c r="BN1056" s="305"/>
      <c r="BO1056" s="305"/>
      <c r="BP1056" s="305"/>
      <c r="BQ1056" s="305"/>
      <c r="BR1056" s="305"/>
      <c r="BS1056" s="305"/>
      <c r="BT1056" s="305"/>
      <c r="BU1056" s="305"/>
      <c r="BV1056" s="305"/>
      <c r="BX1056" s="319"/>
    </row>
    <row r="1057" spans="1:76" s="303" customFormat="1" x14ac:dyDescent="0.25">
      <c r="A1057" s="275"/>
      <c r="B1057" s="275"/>
      <c r="C1057" s="275"/>
      <c r="D1057" s="275"/>
      <c r="E1057" s="275"/>
      <c r="F1057" s="275"/>
      <c r="V1057" s="304"/>
      <c r="W1057" s="304"/>
      <c r="AD1057" s="304"/>
      <c r="AE1057" s="304"/>
      <c r="AR1057" s="304"/>
      <c r="AS1057" s="304"/>
      <c r="AT1057" s="304"/>
      <c r="AU1057" s="304"/>
      <c r="AV1057" s="304"/>
      <c r="AW1057" s="304"/>
      <c r="AX1057" s="304"/>
      <c r="AY1057" s="304"/>
      <c r="AZ1057" s="304"/>
      <c r="BA1057" s="304"/>
      <c r="BB1057" s="304"/>
      <c r="BC1057" s="304"/>
      <c r="BK1057" s="305"/>
      <c r="BL1057" s="305"/>
      <c r="BM1057" s="305"/>
      <c r="BN1057" s="305"/>
      <c r="BO1057" s="305"/>
      <c r="BP1057" s="305"/>
      <c r="BQ1057" s="305"/>
      <c r="BR1057" s="305"/>
      <c r="BS1057" s="305"/>
      <c r="BT1057" s="305"/>
      <c r="BU1057" s="305"/>
      <c r="BV1057" s="305"/>
      <c r="BX1057" s="319"/>
    </row>
    <row r="1058" spans="1:76" s="303" customFormat="1" x14ac:dyDescent="0.25">
      <c r="A1058" s="275"/>
      <c r="B1058" s="275"/>
      <c r="C1058" s="275"/>
      <c r="D1058" s="275"/>
      <c r="E1058" s="275"/>
      <c r="F1058" s="275"/>
      <c r="V1058" s="304"/>
      <c r="W1058" s="304"/>
      <c r="AD1058" s="304"/>
      <c r="AE1058" s="304"/>
      <c r="AR1058" s="304"/>
      <c r="AS1058" s="304"/>
      <c r="AT1058" s="304"/>
      <c r="AU1058" s="304"/>
      <c r="AV1058" s="304"/>
      <c r="AW1058" s="304"/>
      <c r="AX1058" s="304"/>
      <c r="AY1058" s="304"/>
      <c r="AZ1058" s="304"/>
      <c r="BA1058" s="304"/>
      <c r="BB1058" s="304"/>
      <c r="BC1058" s="304"/>
      <c r="BK1058" s="305"/>
      <c r="BL1058" s="305"/>
      <c r="BM1058" s="305"/>
      <c r="BN1058" s="305"/>
      <c r="BO1058" s="305"/>
      <c r="BP1058" s="305"/>
      <c r="BQ1058" s="305"/>
      <c r="BR1058" s="305"/>
      <c r="BS1058" s="305"/>
      <c r="BT1058" s="305"/>
      <c r="BU1058" s="305"/>
      <c r="BV1058" s="305"/>
      <c r="BX1058" s="319"/>
    </row>
    <row r="1059" spans="1:76" s="303" customFormat="1" x14ac:dyDescent="0.25">
      <c r="A1059" s="275"/>
      <c r="B1059" s="275"/>
      <c r="C1059" s="275"/>
      <c r="D1059" s="275"/>
      <c r="E1059" s="275"/>
      <c r="F1059" s="275"/>
      <c r="V1059" s="304"/>
      <c r="W1059" s="304"/>
      <c r="AD1059" s="304"/>
      <c r="AE1059" s="304"/>
      <c r="AR1059" s="304"/>
      <c r="AS1059" s="304"/>
      <c r="AT1059" s="304"/>
      <c r="AU1059" s="304"/>
      <c r="AV1059" s="304"/>
      <c r="AW1059" s="304"/>
      <c r="AX1059" s="304"/>
      <c r="AY1059" s="304"/>
      <c r="AZ1059" s="304"/>
      <c r="BA1059" s="304"/>
      <c r="BB1059" s="304"/>
      <c r="BC1059" s="304"/>
      <c r="BK1059" s="305"/>
      <c r="BL1059" s="305"/>
      <c r="BM1059" s="305"/>
      <c r="BN1059" s="305"/>
      <c r="BO1059" s="305"/>
      <c r="BP1059" s="305"/>
      <c r="BQ1059" s="305"/>
      <c r="BR1059" s="305"/>
      <c r="BS1059" s="305"/>
      <c r="BT1059" s="305"/>
      <c r="BU1059" s="305"/>
      <c r="BV1059" s="305"/>
      <c r="BX1059" s="319"/>
    </row>
    <row r="1060" spans="1:76" s="303" customFormat="1" x14ac:dyDescent="0.25">
      <c r="A1060" s="275"/>
      <c r="B1060" s="275"/>
      <c r="C1060" s="275"/>
      <c r="D1060" s="275"/>
      <c r="E1060" s="275"/>
      <c r="F1060" s="275"/>
      <c r="V1060" s="304"/>
      <c r="W1060" s="304"/>
      <c r="AD1060" s="304"/>
      <c r="AE1060" s="304"/>
      <c r="AR1060" s="304"/>
      <c r="AS1060" s="304"/>
      <c r="AT1060" s="304"/>
      <c r="AU1060" s="304"/>
      <c r="AV1060" s="304"/>
      <c r="AW1060" s="304"/>
      <c r="AX1060" s="304"/>
      <c r="AY1060" s="304"/>
      <c r="AZ1060" s="304"/>
      <c r="BA1060" s="304"/>
      <c r="BB1060" s="304"/>
      <c r="BC1060" s="304"/>
      <c r="BK1060" s="305"/>
      <c r="BL1060" s="305"/>
      <c r="BM1060" s="305"/>
      <c r="BN1060" s="305"/>
      <c r="BO1060" s="305"/>
      <c r="BP1060" s="305"/>
      <c r="BQ1060" s="305"/>
      <c r="BR1060" s="305"/>
      <c r="BS1060" s="305"/>
      <c r="BT1060" s="305"/>
      <c r="BU1060" s="305"/>
      <c r="BV1060" s="305"/>
      <c r="BX1060" s="319"/>
    </row>
    <row r="1061" spans="1:76" s="303" customFormat="1" x14ac:dyDescent="0.25">
      <c r="A1061" s="275"/>
      <c r="B1061" s="275"/>
      <c r="C1061" s="275"/>
      <c r="D1061" s="275"/>
      <c r="E1061" s="275"/>
      <c r="F1061" s="275"/>
      <c r="V1061" s="304"/>
      <c r="W1061" s="304"/>
      <c r="AD1061" s="304"/>
      <c r="AE1061" s="304"/>
      <c r="AR1061" s="304"/>
      <c r="AS1061" s="304"/>
      <c r="AT1061" s="304"/>
      <c r="AU1061" s="304"/>
      <c r="AV1061" s="304"/>
      <c r="AW1061" s="304"/>
      <c r="AX1061" s="304"/>
      <c r="AY1061" s="304"/>
      <c r="AZ1061" s="304"/>
      <c r="BA1061" s="304"/>
      <c r="BB1061" s="304"/>
      <c r="BC1061" s="304"/>
      <c r="BK1061" s="305"/>
      <c r="BL1061" s="305"/>
      <c r="BM1061" s="305"/>
      <c r="BN1061" s="305"/>
      <c r="BO1061" s="305"/>
      <c r="BP1061" s="305"/>
      <c r="BQ1061" s="305"/>
      <c r="BR1061" s="305"/>
      <c r="BS1061" s="305"/>
      <c r="BT1061" s="305"/>
      <c r="BU1061" s="305"/>
      <c r="BV1061" s="305"/>
      <c r="BX1061" s="319"/>
    </row>
    <row r="1062" spans="1:76" s="303" customFormat="1" x14ac:dyDescent="0.25">
      <c r="A1062" s="275"/>
      <c r="B1062" s="275"/>
      <c r="C1062" s="275"/>
      <c r="D1062" s="275"/>
      <c r="E1062" s="275"/>
      <c r="F1062" s="275"/>
      <c r="V1062" s="304"/>
      <c r="W1062" s="304"/>
      <c r="AD1062" s="304"/>
      <c r="AE1062" s="304"/>
      <c r="AR1062" s="304"/>
      <c r="AS1062" s="304"/>
      <c r="AT1062" s="304"/>
      <c r="AU1062" s="304"/>
      <c r="AV1062" s="304"/>
      <c r="AW1062" s="304"/>
      <c r="AX1062" s="304"/>
      <c r="AY1062" s="304"/>
      <c r="AZ1062" s="304"/>
      <c r="BA1062" s="304"/>
      <c r="BB1062" s="304"/>
      <c r="BC1062" s="304"/>
      <c r="BK1062" s="305"/>
      <c r="BL1062" s="305"/>
      <c r="BM1062" s="305"/>
      <c r="BN1062" s="305"/>
      <c r="BO1062" s="305"/>
      <c r="BP1062" s="305"/>
      <c r="BQ1062" s="305"/>
      <c r="BR1062" s="305"/>
      <c r="BS1062" s="305"/>
      <c r="BT1062" s="305"/>
      <c r="BU1062" s="305"/>
      <c r="BV1062" s="305"/>
      <c r="BX1062" s="319"/>
    </row>
    <row r="1063" spans="1:76" s="303" customFormat="1" x14ac:dyDescent="0.25">
      <c r="A1063" s="275"/>
      <c r="B1063" s="275"/>
      <c r="C1063" s="275"/>
      <c r="D1063" s="275"/>
      <c r="E1063" s="275"/>
      <c r="F1063" s="275"/>
      <c r="V1063" s="304"/>
      <c r="W1063" s="304"/>
      <c r="AD1063" s="304"/>
      <c r="AE1063" s="304"/>
      <c r="AR1063" s="304"/>
      <c r="AS1063" s="304"/>
      <c r="AT1063" s="304"/>
      <c r="AU1063" s="304"/>
      <c r="AV1063" s="304"/>
      <c r="AW1063" s="304"/>
      <c r="AX1063" s="304"/>
      <c r="AY1063" s="304"/>
      <c r="AZ1063" s="304"/>
      <c r="BA1063" s="304"/>
      <c r="BB1063" s="304"/>
      <c r="BC1063" s="304"/>
      <c r="BK1063" s="305"/>
      <c r="BL1063" s="305"/>
      <c r="BM1063" s="305"/>
      <c r="BN1063" s="305"/>
      <c r="BO1063" s="305"/>
      <c r="BP1063" s="305"/>
      <c r="BQ1063" s="305"/>
      <c r="BR1063" s="305"/>
      <c r="BS1063" s="305"/>
      <c r="BT1063" s="305"/>
      <c r="BU1063" s="305"/>
      <c r="BV1063" s="305"/>
      <c r="BX1063" s="319"/>
    </row>
    <row r="1064" spans="1:76" s="303" customFormat="1" x14ac:dyDescent="0.25">
      <c r="A1064" s="275"/>
      <c r="B1064" s="275"/>
      <c r="C1064" s="275"/>
      <c r="D1064" s="275"/>
      <c r="E1064" s="275"/>
      <c r="F1064" s="275"/>
      <c r="V1064" s="304"/>
      <c r="W1064" s="304"/>
      <c r="AD1064" s="304"/>
      <c r="AE1064" s="304"/>
      <c r="AR1064" s="304"/>
      <c r="AS1064" s="304"/>
      <c r="AT1064" s="304"/>
      <c r="AU1064" s="304"/>
      <c r="AV1064" s="304"/>
      <c r="AW1064" s="304"/>
      <c r="AX1064" s="304"/>
      <c r="AY1064" s="304"/>
      <c r="AZ1064" s="304"/>
      <c r="BA1064" s="304"/>
      <c r="BB1064" s="304"/>
      <c r="BC1064" s="304"/>
      <c r="BK1064" s="305"/>
      <c r="BL1064" s="305"/>
      <c r="BM1064" s="305"/>
      <c r="BN1064" s="305"/>
      <c r="BO1064" s="305"/>
      <c r="BP1064" s="305"/>
      <c r="BQ1064" s="305"/>
      <c r="BR1064" s="305"/>
      <c r="BS1064" s="305"/>
      <c r="BT1064" s="305"/>
      <c r="BU1064" s="305"/>
      <c r="BV1064" s="305"/>
      <c r="BX1064" s="319"/>
    </row>
    <row r="1065" spans="1:76" s="303" customFormat="1" x14ac:dyDescent="0.25">
      <c r="A1065" s="275"/>
      <c r="B1065" s="275"/>
      <c r="C1065" s="275"/>
      <c r="D1065" s="275"/>
      <c r="E1065" s="275"/>
      <c r="F1065" s="275"/>
      <c r="V1065" s="304"/>
      <c r="W1065" s="304"/>
      <c r="AD1065" s="304"/>
      <c r="AE1065" s="304"/>
      <c r="AR1065" s="304"/>
      <c r="AS1065" s="304"/>
      <c r="AT1065" s="304"/>
      <c r="AU1065" s="304"/>
      <c r="AV1065" s="304"/>
      <c r="AW1065" s="304"/>
      <c r="AX1065" s="304"/>
      <c r="AY1065" s="304"/>
      <c r="AZ1065" s="304"/>
      <c r="BA1065" s="304"/>
      <c r="BB1065" s="304"/>
      <c r="BC1065" s="304"/>
      <c r="BK1065" s="305"/>
      <c r="BL1065" s="305"/>
      <c r="BM1065" s="305"/>
      <c r="BN1065" s="305"/>
      <c r="BO1065" s="305"/>
      <c r="BP1065" s="305"/>
      <c r="BQ1065" s="305"/>
      <c r="BR1065" s="305"/>
      <c r="BS1065" s="305"/>
      <c r="BT1065" s="305"/>
      <c r="BU1065" s="305"/>
      <c r="BV1065" s="305"/>
      <c r="BX1065" s="319"/>
    </row>
    <row r="1066" spans="1:76" s="303" customFormat="1" x14ac:dyDescent="0.25">
      <c r="A1066" s="275"/>
      <c r="B1066" s="275"/>
      <c r="C1066" s="275"/>
      <c r="D1066" s="275"/>
      <c r="E1066" s="275"/>
      <c r="F1066" s="275"/>
      <c r="V1066" s="304"/>
      <c r="W1066" s="304"/>
      <c r="AD1066" s="304"/>
      <c r="AE1066" s="304"/>
      <c r="AR1066" s="304"/>
      <c r="AS1066" s="304"/>
      <c r="AT1066" s="304"/>
      <c r="AU1066" s="304"/>
      <c r="AV1066" s="304"/>
      <c r="AW1066" s="304"/>
      <c r="AX1066" s="304"/>
      <c r="AY1066" s="304"/>
      <c r="AZ1066" s="304"/>
      <c r="BA1066" s="304"/>
      <c r="BB1066" s="304"/>
      <c r="BC1066" s="304"/>
      <c r="BK1066" s="305"/>
      <c r="BL1066" s="305"/>
      <c r="BM1066" s="305"/>
      <c r="BN1066" s="305"/>
      <c r="BO1066" s="305"/>
      <c r="BP1066" s="305"/>
      <c r="BQ1066" s="305"/>
      <c r="BR1066" s="305"/>
      <c r="BS1066" s="305"/>
      <c r="BT1066" s="305"/>
      <c r="BU1066" s="305"/>
      <c r="BV1066" s="305"/>
      <c r="BX1066" s="319"/>
    </row>
    <row r="1067" spans="1:76" s="303" customFormat="1" x14ac:dyDescent="0.25">
      <c r="A1067" s="275"/>
      <c r="B1067" s="275"/>
      <c r="C1067" s="275"/>
      <c r="D1067" s="275"/>
      <c r="E1067" s="275"/>
      <c r="F1067" s="275"/>
      <c r="V1067" s="304"/>
      <c r="W1067" s="304"/>
      <c r="AD1067" s="304"/>
      <c r="AE1067" s="304"/>
      <c r="AR1067" s="304"/>
      <c r="AS1067" s="304"/>
      <c r="AT1067" s="304"/>
      <c r="AU1067" s="304"/>
      <c r="AV1067" s="304"/>
      <c r="AW1067" s="304"/>
      <c r="AX1067" s="304"/>
      <c r="AY1067" s="304"/>
      <c r="AZ1067" s="304"/>
      <c r="BA1067" s="304"/>
      <c r="BB1067" s="304"/>
      <c r="BC1067" s="304"/>
      <c r="BK1067" s="305"/>
      <c r="BL1067" s="305"/>
      <c r="BM1067" s="305"/>
      <c r="BN1067" s="305"/>
      <c r="BO1067" s="305"/>
      <c r="BP1067" s="305"/>
      <c r="BQ1067" s="305"/>
      <c r="BR1067" s="305"/>
      <c r="BS1067" s="305"/>
      <c r="BT1067" s="305"/>
      <c r="BU1067" s="305"/>
      <c r="BV1067" s="305"/>
      <c r="BX1067" s="319"/>
    </row>
    <row r="1068" spans="1:76" s="303" customFormat="1" x14ac:dyDescent="0.25">
      <c r="A1068" s="275"/>
      <c r="B1068" s="275"/>
      <c r="C1068" s="275"/>
      <c r="D1068" s="275"/>
      <c r="E1068" s="275"/>
      <c r="F1068" s="275"/>
      <c r="V1068" s="304"/>
      <c r="W1068" s="304"/>
      <c r="AD1068" s="304"/>
      <c r="AE1068" s="304"/>
      <c r="AR1068" s="304"/>
      <c r="AS1068" s="304"/>
      <c r="AT1068" s="304"/>
      <c r="AU1068" s="304"/>
      <c r="AV1068" s="304"/>
      <c r="AW1068" s="304"/>
      <c r="AX1068" s="304"/>
      <c r="AY1068" s="304"/>
      <c r="AZ1068" s="304"/>
      <c r="BA1068" s="304"/>
      <c r="BB1068" s="304"/>
      <c r="BC1068" s="304"/>
      <c r="BK1068" s="305"/>
      <c r="BL1068" s="305"/>
      <c r="BM1068" s="305"/>
      <c r="BN1068" s="305"/>
      <c r="BO1068" s="305"/>
      <c r="BP1068" s="305"/>
      <c r="BQ1068" s="305"/>
      <c r="BR1068" s="305"/>
      <c r="BS1068" s="305"/>
      <c r="BT1068" s="305"/>
      <c r="BU1068" s="305"/>
      <c r="BV1068" s="305"/>
      <c r="BX1068" s="319"/>
    </row>
    <row r="1069" spans="1:76" s="303" customFormat="1" x14ac:dyDescent="0.25">
      <c r="A1069" s="275"/>
      <c r="B1069" s="275"/>
      <c r="C1069" s="275"/>
      <c r="D1069" s="275"/>
      <c r="E1069" s="275"/>
      <c r="F1069" s="275"/>
      <c r="V1069" s="304"/>
      <c r="W1069" s="304"/>
      <c r="AD1069" s="304"/>
      <c r="AE1069" s="304"/>
      <c r="AR1069" s="304"/>
      <c r="AS1069" s="304"/>
      <c r="AT1069" s="304"/>
      <c r="AU1069" s="304"/>
      <c r="AV1069" s="304"/>
      <c r="AW1069" s="304"/>
      <c r="AX1069" s="304"/>
      <c r="AY1069" s="304"/>
      <c r="AZ1069" s="304"/>
      <c r="BA1069" s="304"/>
      <c r="BB1069" s="304"/>
      <c r="BC1069" s="304"/>
      <c r="BK1069" s="305"/>
      <c r="BL1069" s="305"/>
      <c r="BM1069" s="305"/>
      <c r="BN1069" s="305"/>
      <c r="BO1069" s="305"/>
      <c r="BP1069" s="305"/>
      <c r="BQ1069" s="305"/>
      <c r="BR1069" s="305"/>
      <c r="BS1069" s="305"/>
      <c r="BT1069" s="305"/>
      <c r="BU1069" s="305"/>
      <c r="BV1069" s="305"/>
      <c r="BX1069" s="319"/>
    </row>
    <row r="1070" spans="1:76" s="303" customFormat="1" x14ac:dyDescent="0.25">
      <c r="A1070" s="275"/>
      <c r="B1070" s="275"/>
      <c r="C1070" s="275"/>
      <c r="D1070" s="275"/>
      <c r="E1070" s="275"/>
      <c r="F1070" s="275"/>
      <c r="V1070" s="304"/>
      <c r="W1070" s="304"/>
      <c r="AD1070" s="304"/>
      <c r="AE1070" s="304"/>
      <c r="AR1070" s="304"/>
      <c r="AS1070" s="304"/>
      <c r="AT1070" s="304"/>
      <c r="AU1070" s="304"/>
      <c r="AV1070" s="304"/>
      <c r="AW1070" s="304"/>
      <c r="AX1070" s="304"/>
      <c r="AY1070" s="304"/>
      <c r="AZ1070" s="304"/>
      <c r="BA1070" s="304"/>
      <c r="BB1070" s="304"/>
      <c r="BC1070" s="304"/>
      <c r="BK1070" s="305"/>
      <c r="BL1070" s="305"/>
      <c r="BM1070" s="305"/>
      <c r="BN1070" s="305"/>
      <c r="BO1070" s="305"/>
      <c r="BP1070" s="305"/>
      <c r="BQ1070" s="305"/>
      <c r="BR1070" s="305"/>
      <c r="BS1070" s="305"/>
      <c r="BT1070" s="305"/>
      <c r="BU1070" s="305"/>
      <c r="BV1070" s="305"/>
      <c r="BX1070" s="319"/>
    </row>
    <row r="1071" spans="1:76" s="303" customFormat="1" x14ac:dyDescent="0.25">
      <c r="A1071" s="275"/>
      <c r="B1071" s="275"/>
      <c r="C1071" s="275"/>
      <c r="D1071" s="275"/>
      <c r="E1071" s="275"/>
      <c r="F1071" s="275"/>
      <c r="V1071" s="304"/>
      <c r="W1071" s="304"/>
      <c r="AD1071" s="304"/>
      <c r="AE1071" s="304"/>
      <c r="AR1071" s="304"/>
      <c r="AS1071" s="304"/>
      <c r="AT1071" s="304"/>
      <c r="AU1071" s="304"/>
      <c r="AV1071" s="304"/>
      <c r="AW1071" s="304"/>
      <c r="AX1071" s="304"/>
      <c r="AY1071" s="304"/>
      <c r="AZ1071" s="304"/>
      <c r="BA1071" s="304"/>
      <c r="BB1071" s="304"/>
      <c r="BC1071" s="304"/>
      <c r="BK1071" s="305"/>
      <c r="BL1071" s="305"/>
      <c r="BM1071" s="305"/>
      <c r="BN1071" s="305"/>
      <c r="BO1071" s="305"/>
      <c r="BP1071" s="305"/>
      <c r="BQ1071" s="305"/>
      <c r="BR1071" s="305"/>
      <c r="BS1071" s="305"/>
      <c r="BT1071" s="305"/>
      <c r="BU1071" s="305"/>
      <c r="BV1071" s="305"/>
      <c r="BX1071" s="319"/>
    </row>
    <row r="1072" spans="1:76" s="303" customFormat="1" x14ac:dyDescent="0.25">
      <c r="A1072" s="275"/>
      <c r="B1072" s="275"/>
      <c r="C1072" s="275"/>
      <c r="D1072" s="275"/>
      <c r="E1072" s="275"/>
      <c r="F1072" s="275"/>
      <c r="V1072" s="304"/>
      <c r="W1072" s="304"/>
      <c r="AD1072" s="304"/>
      <c r="AE1072" s="304"/>
      <c r="AR1072" s="304"/>
      <c r="AS1072" s="304"/>
      <c r="AT1072" s="304"/>
      <c r="AU1072" s="304"/>
      <c r="AV1072" s="304"/>
      <c r="AW1072" s="304"/>
      <c r="AX1072" s="304"/>
      <c r="AY1072" s="304"/>
      <c r="AZ1072" s="304"/>
      <c r="BA1072" s="304"/>
      <c r="BB1072" s="304"/>
      <c r="BC1072" s="304"/>
      <c r="BK1072" s="305"/>
      <c r="BL1072" s="305"/>
      <c r="BM1072" s="305"/>
      <c r="BN1072" s="305"/>
      <c r="BO1072" s="305"/>
      <c r="BP1072" s="305"/>
      <c r="BQ1072" s="305"/>
      <c r="BR1072" s="305"/>
      <c r="BS1072" s="305"/>
      <c r="BT1072" s="305"/>
      <c r="BU1072" s="305"/>
      <c r="BV1072" s="305"/>
      <c r="BX1072" s="319"/>
    </row>
    <row r="1073" spans="1:76" s="303" customFormat="1" x14ac:dyDescent="0.25">
      <c r="A1073" s="275"/>
      <c r="B1073" s="275"/>
      <c r="C1073" s="275"/>
      <c r="D1073" s="275"/>
      <c r="E1073" s="275"/>
      <c r="F1073" s="275"/>
      <c r="V1073" s="304"/>
      <c r="W1073" s="304"/>
      <c r="AD1073" s="304"/>
      <c r="AE1073" s="304"/>
      <c r="AR1073" s="304"/>
      <c r="AS1073" s="304"/>
      <c r="AT1073" s="304"/>
      <c r="AU1073" s="304"/>
      <c r="AV1073" s="304"/>
      <c r="AW1073" s="304"/>
      <c r="AX1073" s="304"/>
      <c r="AY1073" s="304"/>
      <c r="AZ1073" s="304"/>
      <c r="BA1073" s="304"/>
      <c r="BB1073" s="304"/>
      <c r="BC1073" s="304"/>
      <c r="BK1073" s="305"/>
      <c r="BL1073" s="305"/>
      <c r="BM1073" s="305"/>
      <c r="BN1073" s="305"/>
      <c r="BO1073" s="305"/>
      <c r="BP1073" s="305"/>
      <c r="BQ1073" s="305"/>
      <c r="BR1073" s="305"/>
      <c r="BS1073" s="305"/>
      <c r="BT1073" s="305"/>
      <c r="BU1073" s="305"/>
      <c r="BV1073" s="305"/>
      <c r="BX1073" s="319"/>
    </row>
    <row r="1074" spans="1:76" s="303" customFormat="1" x14ac:dyDescent="0.25">
      <c r="A1074" s="275"/>
      <c r="B1074" s="275"/>
      <c r="C1074" s="275"/>
      <c r="D1074" s="275"/>
      <c r="E1074" s="275"/>
      <c r="F1074" s="275"/>
      <c r="V1074" s="304"/>
      <c r="W1074" s="304"/>
      <c r="AD1074" s="304"/>
      <c r="AE1074" s="304"/>
      <c r="AR1074" s="304"/>
      <c r="AS1074" s="304"/>
      <c r="AT1074" s="304"/>
      <c r="AU1074" s="304"/>
      <c r="AV1074" s="304"/>
      <c r="AW1074" s="304"/>
      <c r="AX1074" s="304"/>
      <c r="AY1074" s="304"/>
      <c r="AZ1074" s="304"/>
      <c r="BA1074" s="304"/>
      <c r="BB1074" s="304"/>
      <c r="BC1074" s="304"/>
      <c r="BK1074" s="305"/>
      <c r="BL1074" s="305"/>
      <c r="BM1074" s="305"/>
      <c r="BN1074" s="305"/>
      <c r="BO1074" s="305"/>
      <c r="BP1074" s="305"/>
      <c r="BQ1074" s="305"/>
      <c r="BR1074" s="305"/>
      <c r="BS1074" s="305"/>
      <c r="BT1074" s="305"/>
      <c r="BU1074" s="305"/>
      <c r="BV1074" s="305"/>
      <c r="BX1074" s="319"/>
    </row>
    <row r="1075" spans="1:76" s="303" customFormat="1" x14ac:dyDescent="0.25">
      <c r="A1075" s="275"/>
      <c r="B1075" s="275"/>
      <c r="C1075" s="275"/>
      <c r="D1075" s="275"/>
      <c r="E1075" s="275"/>
      <c r="F1075" s="275"/>
      <c r="V1075" s="304"/>
      <c r="W1075" s="304"/>
      <c r="AD1075" s="304"/>
      <c r="AE1075" s="304"/>
      <c r="AR1075" s="304"/>
      <c r="AS1075" s="304"/>
      <c r="AT1075" s="304"/>
      <c r="AU1075" s="304"/>
      <c r="AV1075" s="304"/>
      <c r="AW1075" s="304"/>
      <c r="AX1075" s="304"/>
      <c r="AY1075" s="304"/>
      <c r="AZ1075" s="304"/>
      <c r="BA1075" s="304"/>
      <c r="BB1075" s="304"/>
      <c r="BC1075" s="304"/>
      <c r="BK1075" s="305"/>
      <c r="BL1075" s="305"/>
      <c r="BM1075" s="305"/>
      <c r="BN1075" s="305"/>
      <c r="BO1075" s="305"/>
      <c r="BP1075" s="305"/>
      <c r="BQ1075" s="305"/>
      <c r="BR1075" s="305"/>
      <c r="BS1075" s="305"/>
      <c r="BT1075" s="305"/>
      <c r="BU1075" s="305"/>
      <c r="BV1075" s="305"/>
      <c r="BX1075" s="319"/>
    </row>
    <row r="1076" spans="1:76" s="303" customFormat="1" x14ac:dyDescent="0.25">
      <c r="A1076" s="275"/>
      <c r="B1076" s="275"/>
      <c r="C1076" s="275"/>
      <c r="D1076" s="275"/>
      <c r="E1076" s="275"/>
      <c r="F1076" s="275"/>
      <c r="V1076" s="304"/>
      <c r="W1076" s="304"/>
      <c r="AD1076" s="304"/>
      <c r="AE1076" s="304"/>
      <c r="AR1076" s="304"/>
      <c r="AS1076" s="304"/>
      <c r="AT1076" s="304"/>
      <c r="AU1076" s="304"/>
      <c r="AV1076" s="304"/>
      <c r="AW1076" s="304"/>
      <c r="AX1076" s="304"/>
      <c r="AY1076" s="304"/>
      <c r="AZ1076" s="304"/>
      <c r="BA1076" s="304"/>
      <c r="BB1076" s="304"/>
      <c r="BC1076" s="304"/>
      <c r="BK1076" s="305"/>
      <c r="BL1076" s="305"/>
      <c r="BM1076" s="305"/>
      <c r="BN1076" s="305"/>
      <c r="BO1076" s="305"/>
      <c r="BP1076" s="305"/>
      <c r="BQ1076" s="305"/>
      <c r="BR1076" s="305"/>
      <c r="BS1076" s="305"/>
      <c r="BT1076" s="305"/>
      <c r="BU1076" s="305"/>
      <c r="BV1076" s="305"/>
      <c r="BX1076" s="319"/>
    </row>
    <row r="1077" spans="1:76" s="303" customFormat="1" x14ac:dyDescent="0.25">
      <c r="A1077" s="275"/>
      <c r="B1077" s="275"/>
      <c r="C1077" s="275"/>
      <c r="D1077" s="275"/>
      <c r="E1077" s="275"/>
      <c r="F1077" s="275"/>
      <c r="V1077" s="304"/>
      <c r="W1077" s="304"/>
      <c r="AD1077" s="304"/>
      <c r="AE1077" s="304"/>
      <c r="AR1077" s="304"/>
      <c r="AS1077" s="304"/>
      <c r="AT1077" s="304"/>
      <c r="AU1077" s="304"/>
      <c r="AV1077" s="304"/>
      <c r="AW1077" s="304"/>
      <c r="AX1077" s="304"/>
      <c r="AY1077" s="304"/>
      <c r="AZ1077" s="304"/>
      <c r="BA1077" s="304"/>
      <c r="BB1077" s="304"/>
      <c r="BC1077" s="304"/>
      <c r="BK1077" s="305"/>
      <c r="BL1077" s="305"/>
      <c r="BM1077" s="305"/>
      <c r="BN1077" s="305"/>
      <c r="BO1077" s="305"/>
      <c r="BP1077" s="305"/>
      <c r="BQ1077" s="305"/>
      <c r="BR1077" s="305"/>
      <c r="BS1077" s="305"/>
      <c r="BT1077" s="305"/>
      <c r="BU1077" s="305"/>
      <c r="BV1077" s="305"/>
      <c r="BX1077" s="319"/>
    </row>
    <row r="1078" spans="1:76" s="303" customFormat="1" x14ac:dyDescent="0.25">
      <c r="A1078" s="275"/>
      <c r="B1078" s="275"/>
      <c r="C1078" s="275"/>
      <c r="D1078" s="275"/>
      <c r="E1078" s="275"/>
      <c r="F1078" s="275"/>
      <c r="V1078" s="304"/>
      <c r="W1078" s="304"/>
      <c r="AD1078" s="304"/>
      <c r="AE1078" s="304"/>
      <c r="AR1078" s="304"/>
      <c r="AS1078" s="304"/>
      <c r="AT1078" s="304"/>
      <c r="AU1078" s="304"/>
      <c r="AV1078" s="304"/>
      <c r="AW1078" s="304"/>
      <c r="AX1078" s="304"/>
      <c r="AY1078" s="304"/>
      <c r="AZ1078" s="304"/>
      <c r="BA1078" s="304"/>
      <c r="BB1078" s="304"/>
      <c r="BC1078" s="304"/>
      <c r="BK1078" s="305"/>
      <c r="BL1078" s="305"/>
      <c r="BM1078" s="305"/>
      <c r="BN1078" s="305"/>
      <c r="BO1078" s="305"/>
      <c r="BP1078" s="305"/>
      <c r="BQ1078" s="305"/>
      <c r="BR1078" s="305"/>
      <c r="BS1078" s="305"/>
      <c r="BT1078" s="305"/>
      <c r="BU1078" s="305"/>
      <c r="BV1078" s="305"/>
      <c r="BX1078" s="319"/>
    </row>
    <row r="1079" spans="1:76" s="303" customFormat="1" x14ac:dyDescent="0.25">
      <c r="A1079" s="275"/>
      <c r="B1079" s="275"/>
      <c r="C1079" s="275"/>
      <c r="D1079" s="275"/>
      <c r="E1079" s="275"/>
      <c r="F1079" s="275"/>
      <c r="V1079" s="304"/>
      <c r="W1079" s="304"/>
      <c r="AD1079" s="304"/>
      <c r="AE1079" s="304"/>
      <c r="AR1079" s="304"/>
      <c r="AS1079" s="304"/>
      <c r="AT1079" s="304"/>
      <c r="AU1079" s="304"/>
      <c r="AV1079" s="304"/>
      <c r="AW1079" s="304"/>
      <c r="AX1079" s="304"/>
      <c r="AY1079" s="304"/>
      <c r="AZ1079" s="304"/>
      <c r="BA1079" s="304"/>
      <c r="BB1079" s="304"/>
      <c r="BC1079" s="304"/>
      <c r="BK1079" s="305"/>
      <c r="BL1079" s="305"/>
      <c r="BM1079" s="305"/>
      <c r="BN1079" s="305"/>
      <c r="BO1079" s="305"/>
      <c r="BP1079" s="305"/>
      <c r="BQ1079" s="305"/>
      <c r="BR1079" s="305"/>
      <c r="BS1079" s="305"/>
      <c r="BT1079" s="305"/>
      <c r="BU1079" s="305"/>
      <c r="BV1079" s="305"/>
      <c r="BX1079" s="319"/>
    </row>
    <row r="1080" spans="1:76" s="303" customFormat="1" x14ac:dyDescent="0.25">
      <c r="A1080" s="275"/>
      <c r="B1080" s="275"/>
      <c r="C1080" s="275"/>
      <c r="D1080" s="275"/>
      <c r="E1080" s="275"/>
      <c r="F1080" s="275"/>
      <c r="V1080" s="304"/>
      <c r="W1080" s="304"/>
      <c r="AD1080" s="304"/>
      <c r="AE1080" s="304"/>
      <c r="AR1080" s="304"/>
      <c r="AS1080" s="304"/>
      <c r="AT1080" s="304"/>
      <c r="AU1080" s="304"/>
      <c r="AV1080" s="304"/>
      <c r="AW1080" s="304"/>
      <c r="AX1080" s="304"/>
      <c r="AY1080" s="304"/>
      <c r="AZ1080" s="304"/>
      <c r="BA1080" s="304"/>
      <c r="BB1080" s="304"/>
      <c r="BC1080" s="304"/>
      <c r="BK1080" s="305"/>
      <c r="BL1080" s="305"/>
      <c r="BM1080" s="305"/>
      <c r="BN1080" s="305"/>
      <c r="BO1080" s="305"/>
      <c r="BP1080" s="305"/>
      <c r="BQ1080" s="305"/>
      <c r="BR1080" s="305"/>
      <c r="BS1080" s="305"/>
      <c r="BT1080" s="305"/>
      <c r="BU1080" s="305"/>
      <c r="BV1080" s="305"/>
      <c r="BX1080" s="319"/>
    </row>
    <row r="1081" spans="1:76" s="303" customFormat="1" x14ac:dyDescent="0.25">
      <c r="A1081" s="275"/>
      <c r="B1081" s="275"/>
      <c r="C1081" s="275"/>
      <c r="D1081" s="275"/>
      <c r="E1081" s="275"/>
      <c r="F1081" s="275"/>
      <c r="V1081" s="304"/>
      <c r="W1081" s="304"/>
      <c r="AD1081" s="304"/>
      <c r="AE1081" s="304"/>
      <c r="AR1081" s="304"/>
      <c r="AS1081" s="304"/>
      <c r="AT1081" s="304"/>
      <c r="AU1081" s="304"/>
      <c r="AV1081" s="304"/>
      <c r="AW1081" s="304"/>
      <c r="AX1081" s="304"/>
      <c r="AY1081" s="304"/>
      <c r="AZ1081" s="304"/>
      <c r="BA1081" s="304"/>
      <c r="BB1081" s="304"/>
      <c r="BC1081" s="304"/>
      <c r="BK1081" s="305"/>
      <c r="BL1081" s="305"/>
      <c r="BM1081" s="305"/>
      <c r="BN1081" s="305"/>
      <c r="BO1081" s="305"/>
      <c r="BP1081" s="305"/>
      <c r="BQ1081" s="305"/>
      <c r="BR1081" s="305"/>
      <c r="BS1081" s="305"/>
      <c r="BT1081" s="305"/>
      <c r="BU1081" s="305"/>
      <c r="BV1081" s="305"/>
      <c r="BX1081" s="319"/>
    </row>
    <row r="1082" spans="1:76" s="303" customFormat="1" x14ac:dyDescent="0.25">
      <c r="A1082" s="275"/>
      <c r="B1082" s="275"/>
      <c r="C1082" s="275"/>
      <c r="D1082" s="275"/>
      <c r="E1082" s="275"/>
      <c r="F1082" s="275"/>
      <c r="V1082" s="304"/>
      <c r="W1082" s="304"/>
      <c r="AD1082" s="304"/>
      <c r="AE1082" s="304"/>
      <c r="AR1082" s="304"/>
      <c r="AS1082" s="304"/>
      <c r="AT1082" s="304"/>
      <c r="AU1082" s="304"/>
      <c r="AV1082" s="304"/>
      <c r="AW1082" s="304"/>
      <c r="AX1082" s="304"/>
      <c r="AY1082" s="304"/>
      <c r="AZ1082" s="304"/>
      <c r="BA1082" s="304"/>
      <c r="BB1082" s="304"/>
      <c r="BC1082" s="304"/>
      <c r="BK1082" s="305"/>
      <c r="BL1082" s="305"/>
      <c r="BM1082" s="305"/>
      <c r="BN1082" s="305"/>
      <c r="BO1082" s="305"/>
      <c r="BP1082" s="305"/>
      <c r="BQ1082" s="305"/>
      <c r="BR1082" s="305"/>
      <c r="BS1082" s="305"/>
      <c r="BT1082" s="305"/>
      <c r="BU1082" s="305"/>
      <c r="BV1082" s="305"/>
      <c r="BX1082" s="319"/>
    </row>
    <row r="1083" spans="1:76" s="303" customFormat="1" x14ac:dyDescent="0.25">
      <c r="A1083" s="275"/>
      <c r="B1083" s="275"/>
      <c r="C1083" s="275"/>
      <c r="D1083" s="275"/>
      <c r="E1083" s="275"/>
      <c r="F1083" s="275"/>
      <c r="V1083" s="304"/>
      <c r="W1083" s="304"/>
      <c r="AD1083" s="304"/>
      <c r="AE1083" s="304"/>
      <c r="AR1083" s="304"/>
      <c r="AS1083" s="304"/>
      <c r="AT1083" s="304"/>
      <c r="AU1083" s="304"/>
      <c r="AV1083" s="304"/>
      <c r="AW1083" s="304"/>
      <c r="AX1083" s="304"/>
      <c r="AY1083" s="304"/>
      <c r="AZ1083" s="304"/>
      <c r="BA1083" s="304"/>
      <c r="BB1083" s="304"/>
      <c r="BC1083" s="304"/>
      <c r="BK1083" s="305"/>
      <c r="BL1083" s="305"/>
      <c r="BM1083" s="305"/>
      <c r="BN1083" s="305"/>
      <c r="BO1083" s="305"/>
      <c r="BP1083" s="305"/>
      <c r="BQ1083" s="305"/>
      <c r="BR1083" s="305"/>
      <c r="BS1083" s="305"/>
      <c r="BT1083" s="305"/>
      <c r="BU1083" s="305"/>
      <c r="BV1083" s="305"/>
      <c r="BX1083" s="319"/>
    </row>
    <row r="1084" spans="1:76" s="303" customFormat="1" x14ac:dyDescent="0.25">
      <c r="A1084" s="275"/>
      <c r="B1084" s="275"/>
      <c r="C1084" s="275"/>
      <c r="D1084" s="275"/>
      <c r="E1084" s="275"/>
      <c r="F1084" s="275"/>
      <c r="V1084" s="304"/>
      <c r="W1084" s="304"/>
      <c r="AD1084" s="304"/>
      <c r="AE1084" s="304"/>
      <c r="AR1084" s="304"/>
      <c r="AS1084" s="304"/>
      <c r="AT1084" s="304"/>
      <c r="AU1084" s="304"/>
      <c r="AV1084" s="304"/>
      <c r="AW1084" s="304"/>
      <c r="AX1084" s="304"/>
      <c r="AY1084" s="304"/>
      <c r="AZ1084" s="304"/>
      <c r="BA1084" s="304"/>
      <c r="BB1084" s="304"/>
      <c r="BC1084" s="304"/>
      <c r="BK1084" s="305"/>
      <c r="BL1084" s="305"/>
      <c r="BM1084" s="305"/>
      <c r="BN1084" s="305"/>
      <c r="BO1084" s="305"/>
      <c r="BP1084" s="305"/>
      <c r="BQ1084" s="305"/>
      <c r="BR1084" s="305"/>
      <c r="BS1084" s="305"/>
      <c r="BT1084" s="305"/>
      <c r="BU1084" s="305"/>
      <c r="BV1084" s="305"/>
      <c r="BX1084" s="319"/>
    </row>
    <row r="1085" spans="1:76" s="303" customFormat="1" x14ac:dyDescent="0.25">
      <c r="A1085" s="275"/>
      <c r="B1085" s="275"/>
      <c r="C1085" s="275"/>
      <c r="D1085" s="275"/>
      <c r="E1085" s="275"/>
      <c r="F1085" s="275"/>
      <c r="V1085" s="304"/>
      <c r="W1085" s="304"/>
      <c r="AD1085" s="304"/>
      <c r="AE1085" s="304"/>
      <c r="AR1085" s="304"/>
      <c r="AS1085" s="304"/>
      <c r="AT1085" s="304"/>
      <c r="AU1085" s="304"/>
      <c r="AV1085" s="304"/>
      <c r="AW1085" s="304"/>
      <c r="AX1085" s="304"/>
      <c r="AY1085" s="304"/>
      <c r="AZ1085" s="304"/>
      <c r="BA1085" s="304"/>
      <c r="BB1085" s="304"/>
      <c r="BC1085" s="304"/>
      <c r="BK1085" s="305"/>
      <c r="BL1085" s="305"/>
      <c r="BM1085" s="305"/>
      <c r="BN1085" s="305"/>
      <c r="BO1085" s="305"/>
      <c r="BP1085" s="305"/>
      <c r="BQ1085" s="305"/>
      <c r="BR1085" s="305"/>
      <c r="BS1085" s="305"/>
      <c r="BT1085" s="305"/>
      <c r="BU1085" s="305"/>
      <c r="BV1085" s="305"/>
      <c r="BX1085" s="319"/>
    </row>
    <row r="1086" spans="1:76" s="303" customFormat="1" x14ac:dyDescent="0.25">
      <c r="A1086" s="275"/>
      <c r="B1086" s="275"/>
      <c r="C1086" s="275"/>
      <c r="D1086" s="275"/>
      <c r="E1086" s="275"/>
      <c r="F1086" s="275"/>
      <c r="V1086" s="304"/>
      <c r="W1086" s="304"/>
      <c r="AD1086" s="304"/>
      <c r="AE1086" s="304"/>
      <c r="AR1086" s="304"/>
      <c r="AS1086" s="304"/>
      <c r="AT1086" s="304"/>
      <c r="AU1086" s="304"/>
      <c r="AV1086" s="304"/>
      <c r="AW1086" s="304"/>
      <c r="AX1086" s="304"/>
      <c r="AY1086" s="304"/>
      <c r="AZ1086" s="304"/>
      <c r="BA1086" s="304"/>
      <c r="BB1086" s="304"/>
      <c r="BC1086" s="304"/>
      <c r="BK1086" s="305"/>
      <c r="BL1086" s="305"/>
      <c r="BM1086" s="305"/>
      <c r="BN1086" s="305"/>
      <c r="BO1086" s="305"/>
      <c r="BP1086" s="305"/>
      <c r="BQ1086" s="305"/>
      <c r="BR1086" s="305"/>
      <c r="BS1086" s="305"/>
      <c r="BT1086" s="305"/>
      <c r="BU1086" s="305"/>
      <c r="BV1086" s="305"/>
      <c r="BX1086" s="319"/>
    </row>
    <row r="1087" spans="1:76" s="303" customFormat="1" x14ac:dyDescent="0.25">
      <c r="A1087" s="275"/>
      <c r="B1087" s="275"/>
      <c r="C1087" s="275"/>
      <c r="D1087" s="275"/>
      <c r="E1087" s="275"/>
      <c r="F1087" s="275"/>
      <c r="V1087" s="304"/>
      <c r="W1087" s="304"/>
      <c r="AD1087" s="304"/>
      <c r="AE1087" s="304"/>
      <c r="AR1087" s="304"/>
      <c r="AS1087" s="304"/>
      <c r="AT1087" s="304"/>
      <c r="AU1087" s="304"/>
      <c r="AV1087" s="304"/>
      <c r="AW1087" s="304"/>
      <c r="AX1087" s="304"/>
      <c r="AY1087" s="304"/>
      <c r="AZ1087" s="304"/>
      <c r="BA1087" s="304"/>
      <c r="BB1087" s="304"/>
      <c r="BC1087" s="304"/>
      <c r="BK1087" s="305"/>
      <c r="BL1087" s="305"/>
      <c r="BM1087" s="305"/>
      <c r="BN1087" s="305"/>
      <c r="BO1087" s="305"/>
      <c r="BP1087" s="305"/>
      <c r="BQ1087" s="305"/>
      <c r="BR1087" s="305"/>
      <c r="BS1087" s="305"/>
      <c r="BT1087" s="305"/>
      <c r="BU1087" s="305"/>
      <c r="BV1087" s="305"/>
      <c r="BX1087" s="319"/>
    </row>
    <row r="1088" spans="1:76" s="303" customFormat="1" x14ac:dyDescent="0.25">
      <c r="A1088" s="275"/>
      <c r="B1088" s="275"/>
      <c r="C1088" s="275"/>
      <c r="D1088" s="275"/>
      <c r="E1088" s="275"/>
      <c r="F1088" s="275"/>
      <c r="V1088" s="304"/>
      <c r="W1088" s="304"/>
      <c r="AD1088" s="304"/>
      <c r="AE1088" s="304"/>
      <c r="AR1088" s="304"/>
      <c r="AS1088" s="304"/>
      <c r="AT1088" s="304"/>
      <c r="AU1088" s="304"/>
      <c r="AV1088" s="304"/>
      <c r="AW1088" s="304"/>
      <c r="AX1088" s="304"/>
      <c r="AY1088" s="304"/>
      <c r="AZ1088" s="304"/>
      <c r="BA1088" s="304"/>
      <c r="BB1088" s="304"/>
      <c r="BC1088" s="304"/>
      <c r="BK1088" s="305"/>
      <c r="BL1088" s="305"/>
      <c r="BM1088" s="305"/>
      <c r="BN1088" s="305"/>
      <c r="BO1088" s="305"/>
      <c r="BP1088" s="305"/>
      <c r="BQ1088" s="305"/>
      <c r="BR1088" s="305"/>
      <c r="BS1088" s="305"/>
      <c r="BT1088" s="305"/>
      <c r="BU1088" s="305"/>
      <c r="BV1088" s="305"/>
      <c r="BX1088" s="319"/>
    </row>
    <row r="1089" spans="1:76" s="303" customFormat="1" x14ac:dyDescent="0.25">
      <c r="A1089" s="275"/>
      <c r="B1089" s="275"/>
      <c r="C1089" s="275"/>
      <c r="D1089" s="275"/>
      <c r="E1089" s="275"/>
      <c r="F1089" s="275"/>
      <c r="V1089" s="304"/>
      <c r="W1089" s="304"/>
      <c r="AD1089" s="304"/>
      <c r="AE1089" s="304"/>
      <c r="AR1089" s="304"/>
      <c r="AS1089" s="304"/>
      <c r="AT1089" s="304"/>
      <c r="AU1089" s="304"/>
      <c r="AV1089" s="304"/>
      <c r="AW1089" s="304"/>
      <c r="AX1089" s="304"/>
      <c r="AY1089" s="304"/>
      <c r="AZ1089" s="304"/>
      <c r="BA1089" s="304"/>
      <c r="BB1089" s="304"/>
      <c r="BC1089" s="304"/>
      <c r="BK1089" s="305"/>
      <c r="BL1089" s="305"/>
      <c r="BM1089" s="305"/>
      <c r="BN1089" s="305"/>
      <c r="BO1089" s="305"/>
      <c r="BP1089" s="305"/>
      <c r="BQ1089" s="305"/>
      <c r="BR1089" s="305"/>
      <c r="BS1089" s="305"/>
      <c r="BT1089" s="305"/>
      <c r="BU1089" s="305"/>
      <c r="BV1089" s="305"/>
      <c r="BX1089" s="319"/>
    </row>
    <row r="1090" spans="1:76" s="303" customFormat="1" x14ac:dyDescent="0.25">
      <c r="A1090" s="275"/>
      <c r="B1090" s="275"/>
      <c r="C1090" s="275"/>
      <c r="D1090" s="275"/>
      <c r="E1090" s="275"/>
      <c r="F1090" s="275"/>
      <c r="V1090" s="304"/>
      <c r="W1090" s="304"/>
      <c r="AD1090" s="304"/>
      <c r="AE1090" s="304"/>
      <c r="AR1090" s="304"/>
      <c r="AS1090" s="304"/>
      <c r="AT1090" s="304"/>
      <c r="AU1090" s="304"/>
      <c r="AV1090" s="304"/>
      <c r="AW1090" s="304"/>
      <c r="AX1090" s="304"/>
      <c r="AY1090" s="304"/>
      <c r="AZ1090" s="304"/>
      <c r="BA1090" s="304"/>
      <c r="BB1090" s="304"/>
      <c r="BC1090" s="304"/>
      <c r="BK1090" s="305"/>
      <c r="BL1090" s="305"/>
      <c r="BM1090" s="305"/>
      <c r="BN1090" s="305"/>
      <c r="BO1090" s="305"/>
      <c r="BP1090" s="305"/>
      <c r="BQ1090" s="305"/>
      <c r="BR1090" s="305"/>
      <c r="BS1090" s="305"/>
      <c r="BT1090" s="305"/>
      <c r="BU1090" s="305"/>
      <c r="BV1090" s="305"/>
      <c r="BX1090" s="319"/>
    </row>
    <row r="1091" spans="1:76" s="303" customFormat="1" x14ac:dyDescent="0.25">
      <c r="A1091" s="275"/>
      <c r="B1091" s="275"/>
      <c r="C1091" s="275"/>
      <c r="D1091" s="275"/>
      <c r="E1091" s="275"/>
      <c r="F1091" s="275"/>
      <c r="V1091" s="304"/>
      <c r="W1091" s="304"/>
      <c r="AD1091" s="304"/>
      <c r="AE1091" s="304"/>
      <c r="AR1091" s="304"/>
      <c r="AS1091" s="304"/>
      <c r="AT1091" s="304"/>
      <c r="AU1091" s="304"/>
      <c r="AV1091" s="304"/>
      <c r="AW1091" s="304"/>
      <c r="AX1091" s="304"/>
      <c r="AY1091" s="304"/>
      <c r="AZ1091" s="304"/>
      <c r="BA1091" s="304"/>
      <c r="BB1091" s="304"/>
      <c r="BC1091" s="304"/>
      <c r="BK1091" s="305"/>
      <c r="BL1091" s="305"/>
      <c r="BM1091" s="305"/>
      <c r="BN1091" s="305"/>
      <c r="BO1091" s="305"/>
      <c r="BP1091" s="305"/>
      <c r="BQ1091" s="305"/>
      <c r="BR1091" s="305"/>
      <c r="BS1091" s="305"/>
      <c r="BT1091" s="305"/>
      <c r="BU1091" s="305"/>
      <c r="BV1091" s="305"/>
      <c r="BX1091" s="319"/>
    </row>
    <row r="1092" spans="1:76" s="303" customFormat="1" x14ac:dyDescent="0.25">
      <c r="A1092" s="275"/>
      <c r="B1092" s="275"/>
      <c r="C1092" s="275"/>
      <c r="D1092" s="275"/>
      <c r="E1092" s="275"/>
      <c r="F1092" s="275"/>
      <c r="V1092" s="304"/>
      <c r="W1092" s="304"/>
      <c r="AD1092" s="304"/>
      <c r="AE1092" s="304"/>
      <c r="AR1092" s="304"/>
      <c r="AS1092" s="304"/>
      <c r="AT1092" s="304"/>
      <c r="AU1092" s="304"/>
      <c r="AV1092" s="304"/>
      <c r="AW1092" s="304"/>
      <c r="AX1092" s="304"/>
      <c r="AY1092" s="304"/>
      <c r="AZ1092" s="304"/>
      <c r="BA1092" s="304"/>
      <c r="BB1092" s="304"/>
      <c r="BC1092" s="304"/>
      <c r="BK1092" s="305"/>
      <c r="BL1092" s="305"/>
      <c r="BM1092" s="305"/>
      <c r="BN1092" s="305"/>
      <c r="BO1092" s="305"/>
      <c r="BP1092" s="305"/>
      <c r="BQ1092" s="305"/>
      <c r="BR1092" s="305"/>
      <c r="BS1092" s="305"/>
      <c r="BT1092" s="305"/>
      <c r="BU1092" s="305"/>
      <c r="BV1092" s="305"/>
      <c r="BX1092" s="319"/>
    </row>
    <row r="1093" spans="1:76" s="303" customFormat="1" x14ac:dyDescent="0.25">
      <c r="A1093" s="275"/>
      <c r="B1093" s="275"/>
      <c r="C1093" s="275"/>
      <c r="D1093" s="275"/>
      <c r="E1093" s="275"/>
      <c r="F1093" s="275"/>
      <c r="V1093" s="304"/>
      <c r="W1093" s="304"/>
      <c r="AD1093" s="304"/>
      <c r="AE1093" s="304"/>
      <c r="AR1093" s="304"/>
      <c r="AS1093" s="304"/>
      <c r="AT1093" s="304"/>
      <c r="AU1093" s="304"/>
      <c r="AV1093" s="304"/>
      <c r="AW1093" s="304"/>
      <c r="AX1093" s="304"/>
      <c r="AY1093" s="304"/>
      <c r="AZ1093" s="304"/>
      <c r="BA1093" s="304"/>
      <c r="BB1093" s="304"/>
      <c r="BC1093" s="304"/>
      <c r="BK1093" s="305"/>
      <c r="BL1093" s="305"/>
      <c r="BM1093" s="305"/>
      <c r="BN1093" s="305"/>
      <c r="BO1093" s="305"/>
      <c r="BP1093" s="305"/>
      <c r="BQ1093" s="305"/>
      <c r="BR1093" s="305"/>
      <c r="BS1093" s="305"/>
      <c r="BT1093" s="305"/>
      <c r="BU1093" s="305"/>
      <c r="BV1093" s="305"/>
      <c r="BX1093" s="319"/>
    </row>
    <row r="1094" spans="1:76" s="303" customFormat="1" x14ac:dyDescent="0.25">
      <c r="A1094" s="275"/>
      <c r="B1094" s="275"/>
      <c r="C1094" s="275"/>
      <c r="D1094" s="275"/>
      <c r="E1094" s="275"/>
      <c r="F1094" s="275"/>
      <c r="V1094" s="304"/>
      <c r="W1094" s="304"/>
      <c r="AD1094" s="304"/>
      <c r="AE1094" s="304"/>
      <c r="AR1094" s="304"/>
      <c r="AS1094" s="304"/>
      <c r="AT1094" s="304"/>
      <c r="AU1094" s="304"/>
      <c r="AV1094" s="304"/>
      <c r="AW1094" s="304"/>
      <c r="AX1094" s="304"/>
      <c r="AY1094" s="304"/>
      <c r="AZ1094" s="304"/>
      <c r="BA1094" s="304"/>
      <c r="BB1094" s="304"/>
      <c r="BC1094" s="304"/>
      <c r="BK1094" s="305"/>
      <c r="BL1094" s="305"/>
      <c r="BM1094" s="305"/>
      <c r="BN1094" s="305"/>
      <c r="BO1094" s="305"/>
      <c r="BP1094" s="305"/>
      <c r="BQ1094" s="305"/>
      <c r="BR1094" s="305"/>
      <c r="BS1094" s="305"/>
      <c r="BT1094" s="305"/>
      <c r="BU1094" s="305"/>
      <c r="BV1094" s="305"/>
      <c r="BX1094" s="319"/>
    </row>
    <row r="1095" spans="1:76" s="303" customFormat="1" x14ac:dyDescent="0.25">
      <c r="A1095" s="275"/>
      <c r="B1095" s="275"/>
      <c r="C1095" s="275"/>
      <c r="D1095" s="275"/>
      <c r="E1095" s="275"/>
      <c r="F1095" s="275"/>
      <c r="V1095" s="304"/>
      <c r="W1095" s="304"/>
      <c r="AD1095" s="304"/>
      <c r="AE1095" s="304"/>
      <c r="AR1095" s="304"/>
      <c r="AS1095" s="304"/>
      <c r="AT1095" s="304"/>
      <c r="AU1095" s="304"/>
      <c r="AV1095" s="304"/>
      <c r="AW1095" s="304"/>
      <c r="AX1095" s="304"/>
      <c r="AY1095" s="304"/>
      <c r="AZ1095" s="304"/>
      <c r="BA1095" s="304"/>
      <c r="BB1095" s="304"/>
      <c r="BC1095" s="304"/>
      <c r="BK1095" s="305"/>
      <c r="BL1095" s="305"/>
      <c r="BM1095" s="305"/>
      <c r="BN1095" s="305"/>
      <c r="BO1095" s="305"/>
      <c r="BP1095" s="305"/>
      <c r="BQ1095" s="305"/>
      <c r="BR1095" s="305"/>
      <c r="BS1095" s="305"/>
      <c r="BT1095" s="305"/>
      <c r="BU1095" s="305"/>
      <c r="BV1095" s="305"/>
      <c r="BX1095" s="319"/>
    </row>
    <row r="1096" spans="1:76" s="303" customFormat="1" x14ac:dyDescent="0.25">
      <c r="A1096" s="275"/>
      <c r="B1096" s="275"/>
      <c r="C1096" s="275"/>
      <c r="D1096" s="275"/>
      <c r="E1096" s="275"/>
      <c r="F1096" s="275"/>
      <c r="V1096" s="304"/>
      <c r="W1096" s="304"/>
      <c r="AD1096" s="304"/>
      <c r="AE1096" s="304"/>
      <c r="AR1096" s="304"/>
      <c r="AS1096" s="304"/>
      <c r="AT1096" s="304"/>
      <c r="AU1096" s="304"/>
      <c r="AV1096" s="304"/>
      <c r="AW1096" s="304"/>
      <c r="AX1096" s="304"/>
      <c r="AY1096" s="304"/>
      <c r="AZ1096" s="304"/>
      <c r="BA1096" s="304"/>
      <c r="BB1096" s="304"/>
      <c r="BC1096" s="304"/>
      <c r="BK1096" s="305"/>
      <c r="BL1096" s="305"/>
      <c r="BM1096" s="305"/>
      <c r="BN1096" s="305"/>
      <c r="BO1096" s="305"/>
      <c r="BP1096" s="305"/>
      <c r="BQ1096" s="305"/>
      <c r="BR1096" s="305"/>
      <c r="BS1096" s="305"/>
      <c r="BT1096" s="305"/>
      <c r="BU1096" s="305"/>
      <c r="BV1096" s="305"/>
      <c r="BX1096" s="319"/>
    </row>
    <row r="1097" spans="1:76" s="303" customFormat="1" x14ac:dyDescent="0.25">
      <c r="A1097" s="275"/>
      <c r="B1097" s="275"/>
      <c r="C1097" s="275"/>
      <c r="D1097" s="275"/>
      <c r="E1097" s="275"/>
      <c r="F1097" s="275"/>
      <c r="V1097" s="304"/>
      <c r="W1097" s="304"/>
      <c r="AD1097" s="304"/>
      <c r="AE1097" s="304"/>
      <c r="AR1097" s="304"/>
      <c r="AS1097" s="304"/>
      <c r="AT1097" s="304"/>
      <c r="AU1097" s="304"/>
      <c r="AV1097" s="304"/>
      <c r="AW1097" s="304"/>
      <c r="AX1097" s="304"/>
      <c r="AY1097" s="304"/>
      <c r="AZ1097" s="304"/>
      <c r="BA1097" s="304"/>
      <c r="BB1097" s="304"/>
      <c r="BC1097" s="304"/>
      <c r="BK1097" s="305"/>
      <c r="BL1097" s="305"/>
      <c r="BM1097" s="305"/>
      <c r="BN1097" s="305"/>
      <c r="BO1097" s="305"/>
      <c r="BP1097" s="305"/>
      <c r="BQ1097" s="305"/>
      <c r="BR1097" s="305"/>
      <c r="BS1097" s="305"/>
      <c r="BT1097" s="305"/>
      <c r="BU1097" s="305"/>
      <c r="BV1097" s="305"/>
      <c r="BX1097" s="319"/>
    </row>
    <row r="1098" spans="1:76" s="303" customFormat="1" x14ac:dyDescent="0.25">
      <c r="A1098" s="275"/>
      <c r="B1098" s="275"/>
      <c r="C1098" s="275"/>
      <c r="D1098" s="275"/>
      <c r="E1098" s="275"/>
      <c r="F1098" s="275"/>
      <c r="V1098" s="304"/>
      <c r="W1098" s="304"/>
      <c r="AD1098" s="304"/>
      <c r="AE1098" s="304"/>
      <c r="AR1098" s="304"/>
      <c r="AS1098" s="304"/>
      <c r="AT1098" s="304"/>
      <c r="AU1098" s="304"/>
      <c r="AV1098" s="304"/>
      <c r="AW1098" s="304"/>
      <c r="AX1098" s="304"/>
      <c r="AY1098" s="304"/>
      <c r="AZ1098" s="304"/>
      <c r="BA1098" s="304"/>
      <c r="BB1098" s="304"/>
      <c r="BC1098" s="304"/>
      <c r="BK1098" s="305"/>
      <c r="BL1098" s="305"/>
      <c r="BM1098" s="305"/>
      <c r="BN1098" s="305"/>
      <c r="BO1098" s="305"/>
      <c r="BP1098" s="305"/>
      <c r="BQ1098" s="305"/>
      <c r="BR1098" s="305"/>
      <c r="BS1098" s="305"/>
      <c r="BT1098" s="305"/>
      <c r="BU1098" s="305"/>
      <c r="BV1098" s="305"/>
      <c r="BX1098" s="319"/>
    </row>
    <row r="1099" spans="1:76" s="303" customFormat="1" x14ac:dyDescent="0.25">
      <c r="A1099" s="275"/>
      <c r="B1099" s="275"/>
      <c r="C1099" s="275"/>
      <c r="D1099" s="275"/>
      <c r="E1099" s="275"/>
      <c r="F1099" s="275"/>
      <c r="V1099" s="304"/>
      <c r="W1099" s="304"/>
      <c r="AD1099" s="304"/>
      <c r="AE1099" s="304"/>
      <c r="AR1099" s="304"/>
      <c r="AS1099" s="304"/>
      <c r="AT1099" s="304"/>
      <c r="AU1099" s="304"/>
      <c r="AV1099" s="304"/>
      <c r="AW1099" s="304"/>
      <c r="AX1099" s="304"/>
      <c r="AY1099" s="304"/>
      <c r="AZ1099" s="304"/>
      <c r="BA1099" s="304"/>
      <c r="BB1099" s="304"/>
      <c r="BC1099" s="304"/>
      <c r="BK1099" s="305"/>
      <c r="BL1099" s="305"/>
      <c r="BM1099" s="305"/>
      <c r="BN1099" s="305"/>
      <c r="BO1099" s="305"/>
      <c r="BP1099" s="305"/>
      <c r="BQ1099" s="305"/>
      <c r="BR1099" s="305"/>
      <c r="BS1099" s="305"/>
      <c r="BT1099" s="305"/>
      <c r="BU1099" s="305"/>
      <c r="BV1099" s="305"/>
      <c r="BX1099" s="319"/>
    </row>
    <row r="1100" spans="1:76" s="303" customFormat="1" x14ac:dyDescent="0.25">
      <c r="A1100" s="275"/>
      <c r="B1100" s="275"/>
      <c r="C1100" s="275"/>
      <c r="D1100" s="275"/>
      <c r="E1100" s="275"/>
      <c r="F1100" s="275"/>
      <c r="V1100" s="304"/>
      <c r="W1100" s="304"/>
      <c r="AD1100" s="304"/>
      <c r="AE1100" s="304"/>
      <c r="AR1100" s="304"/>
      <c r="AS1100" s="304"/>
      <c r="AT1100" s="304"/>
      <c r="AU1100" s="304"/>
      <c r="AV1100" s="304"/>
      <c r="AW1100" s="304"/>
      <c r="AX1100" s="304"/>
      <c r="AY1100" s="304"/>
      <c r="AZ1100" s="304"/>
      <c r="BA1100" s="304"/>
      <c r="BB1100" s="304"/>
      <c r="BC1100" s="304"/>
      <c r="BK1100" s="305"/>
      <c r="BL1100" s="305"/>
      <c r="BM1100" s="305"/>
      <c r="BN1100" s="305"/>
      <c r="BO1100" s="305"/>
      <c r="BP1100" s="305"/>
      <c r="BQ1100" s="305"/>
      <c r="BR1100" s="305"/>
      <c r="BS1100" s="305"/>
      <c r="BT1100" s="305"/>
      <c r="BU1100" s="305"/>
      <c r="BV1100" s="305"/>
      <c r="BX1100" s="319"/>
    </row>
    <row r="1101" spans="1:76" s="303" customFormat="1" x14ac:dyDescent="0.25">
      <c r="A1101" s="275"/>
      <c r="B1101" s="275"/>
      <c r="C1101" s="275"/>
      <c r="D1101" s="275"/>
      <c r="E1101" s="275"/>
      <c r="F1101" s="275"/>
      <c r="V1101" s="304"/>
      <c r="W1101" s="304"/>
      <c r="AD1101" s="304"/>
      <c r="AE1101" s="304"/>
      <c r="AR1101" s="304"/>
      <c r="AS1101" s="304"/>
      <c r="AT1101" s="304"/>
      <c r="AU1101" s="304"/>
      <c r="AV1101" s="304"/>
      <c r="AW1101" s="304"/>
      <c r="AX1101" s="304"/>
      <c r="AY1101" s="304"/>
      <c r="AZ1101" s="304"/>
      <c r="BA1101" s="304"/>
      <c r="BB1101" s="304"/>
      <c r="BC1101" s="304"/>
      <c r="BK1101" s="305"/>
      <c r="BL1101" s="305"/>
      <c r="BM1101" s="305"/>
      <c r="BN1101" s="305"/>
      <c r="BO1101" s="305"/>
      <c r="BP1101" s="305"/>
      <c r="BQ1101" s="305"/>
      <c r="BR1101" s="305"/>
      <c r="BS1101" s="305"/>
      <c r="BT1101" s="305"/>
      <c r="BU1101" s="305"/>
      <c r="BV1101" s="305"/>
      <c r="BX1101" s="319"/>
    </row>
    <row r="1102" spans="1:76" s="303" customFormat="1" x14ac:dyDescent="0.25">
      <c r="A1102" s="275"/>
      <c r="B1102" s="275"/>
      <c r="C1102" s="275"/>
      <c r="D1102" s="275"/>
      <c r="E1102" s="275"/>
      <c r="F1102" s="275"/>
      <c r="V1102" s="304"/>
      <c r="W1102" s="304"/>
      <c r="AD1102" s="304"/>
      <c r="AE1102" s="304"/>
      <c r="AR1102" s="304"/>
      <c r="AS1102" s="304"/>
      <c r="AT1102" s="304"/>
      <c r="AU1102" s="304"/>
      <c r="AV1102" s="304"/>
      <c r="AW1102" s="304"/>
      <c r="AX1102" s="304"/>
      <c r="AY1102" s="304"/>
      <c r="AZ1102" s="304"/>
      <c r="BA1102" s="304"/>
      <c r="BB1102" s="304"/>
      <c r="BC1102" s="304"/>
      <c r="BK1102" s="305"/>
      <c r="BL1102" s="305"/>
      <c r="BM1102" s="305"/>
      <c r="BN1102" s="305"/>
      <c r="BO1102" s="305"/>
      <c r="BP1102" s="305"/>
      <c r="BQ1102" s="305"/>
      <c r="BR1102" s="305"/>
      <c r="BS1102" s="305"/>
      <c r="BT1102" s="305"/>
      <c r="BU1102" s="305"/>
      <c r="BV1102" s="305"/>
      <c r="BX1102" s="319"/>
    </row>
    <row r="1103" spans="1:76" s="303" customFormat="1" x14ac:dyDescent="0.25">
      <c r="A1103" s="275"/>
      <c r="B1103" s="275"/>
      <c r="C1103" s="275"/>
      <c r="D1103" s="275"/>
      <c r="E1103" s="275"/>
      <c r="F1103" s="275"/>
      <c r="V1103" s="304"/>
      <c r="W1103" s="304"/>
      <c r="AD1103" s="304"/>
      <c r="AE1103" s="304"/>
      <c r="AR1103" s="304"/>
      <c r="AS1103" s="304"/>
      <c r="AT1103" s="304"/>
      <c r="AU1103" s="304"/>
      <c r="AV1103" s="304"/>
      <c r="AW1103" s="304"/>
      <c r="AX1103" s="304"/>
      <c r="AY1103" s="304"/>
      <c r="AZ1103" s="304"/>
      <c r="BA1103" s="304"/>
      <c r="BB1103" s="304"/>
      <c r="BC1103" s="304"/>
      <c r="BK1103" s="305"/>
      <c r="BL1103" s="305"/>
      <c r="BM1103" s="305"/>
      <c r="BN1103" s="305"/>
      <c r="BO1103" s="305"/>
      <c r="BP1103" s="305"/>
      <c r="BQ1103" s="305"/>
      <c r="BR1103" s="305"/>
      <c r="BS1103" s="305"/>
      <c r="BT1103" s="305"/>
      <c r="BU1103" s="305"/>
      <c r="BV1103" s="305"/>
      <c r="BX1103" s="319"/>
    </row>
    <row r="1104" spans="1:76" s="303" customFormat="1" x14ac:dyDescent="0.25">
      <c r="A1104" s="275"/>
      <c r="B1104" s="275"/>
      <c r="C1104" s="275"/>
      <c r="D1104" s="275"/>
      <c r="E1104" s="275"/>
      <c r="F1104" s="275"/>
      <c r="V1104" s="304"/>
      <c r="W1104" s="304"/>
      <c r="AD1104" s="304"/>
      <c r="AE1104" s="304"/>
      <c r="AR1104" s="304"/>
      <c r="AS1104" s="304"/>
      <c r="AT1104" s="304"/>
      <c r="AU1104" s="304"/>
      <c r="AV1104" s="304"/>
      <c r="AW1104" s="304"/>
      <c r="AX1104" s="304"/>
      <c r="AY1104" s="304"/>
      <c r="AZ1104" s="304"/>
      <c r="BA1104" s="304"/>
      <c r="BB1104" s="304"/>
      <c r="BC1104" s="304"/>
      <c r="BK1104" s="305"/>
      <c r="BL1104" s="305"/>
      <c r="BM1104" s="305"/>
      <c r="BN1104" s="305"/>
      <c r="BO1104" s="305"/>
      <c r="BP1104" s="305"/>
      <c r="BQ1104" s="305"/>
      <c r="BR1104" s="305"/>
      <c r="BS1104" s="305"/>
      <c r="BT1104" s="305"/>
      <c r="BU1104" s="305"/>
      <c r="BV1104" s="305"/>
      <c r="BX1104" s="319"/>
    </row>
    <row r="1105" spans="1:76" s="303" customFormat="1" x14ac:dyDescent="0.25">
      <c r="A1105" s="275"/>
      <c r="B1105" s="275"/>
      <c r="C1105" s="275"/>
      <c r="D1105" s="275"/>
      <c r="E1105" s="275"/>
      <c r="F1105" s="275"/>
      <c r="V1105" s="304"/>
      <c r="W1105" s="304"/>
      <c r="AD1105" s="304"/>
      <c r="AE1105" s="304"/>
      <c r="AR1105" s="304"/>
      <c r="AS1105" s="304"/>
      <c r="AT1105" s="304"/>
      <c r="AU1105" s="304"/>
      <c r="AV1105" s="304"/>
      <c r="AW1105" s="304"/>
      <c r="AX1105" s="304"/>
      <c r="AY1105" s="304"/>
      <c r="AZ1105" s="304"/>
      <c r="BA1105" s="304"/>
      <c r="BB1105" s="304"/>
      <c r="BC1105" s="304"/>
      <c r="BK1105" s="305"/>
      <c r="BL1105" s="305"/>
      <c r="BM1105" s="305"/>
      <c r="BN1105" s="305"/>
      <c r="BO1105" s="305"/>
      <c r="BP1105" s="305"/>
      <c r="BQ1105" s="305"/>
      <c r="BR1105" s="305"/>
      <c r="BS1105" s="305"/>
      <c r="BT1105" s="305"/>
      <c r="BU1105" s="305"/>
      <c r="BV1105" s="305"/>
      <c r="BX1105" s="319"/>
    </row>
    <row r="1106" spans="1:76" s="303" customFormat="1" x14ac:dyDescent="0.25">
      <c r="A1106" s="275"/>
      <c r="B1106" s="275"/>
      <c r="C1106" s="275"/>
      <c r="D1106" s="275"/>
      <c r="E1106" s="275"/>
      <c r="F1106" s="275"/>
      <c r="V1106" s="304"/>
      <c r="W1106" s="304"/>
      <c r="AD1106" s="304"/>
      <c r="AE1106" s="304"/>
      <c r="AR1106" s="304"/>
      <c r="AS1106" s="304"/>
      <c r="AT1106" s="304"/>
      <c r="AU1106" s="304"/>
      <c r="AV1106" s="304"/>
      <c r="AW1106" s="304"/>
      <c r="AX1106" s="304"/>
      <c r="AY1106" s="304"/>
      <c r="AZ1106" s="304"/>
      <c r="BA1106" s="304"/>
      <c r="BB1106" s="304"/>
      <c r="BC1106" s="304"/>
      <c r="BK1106" s="305"/>
      <c r="BL1106" s="305"/>
      <c r="BM1106" s="305"/>
      <c r="BN1106" s="305"/>
      <c r="BO1106" s="305"/>
      <c r="BP1106" s="305"/>
      <c r="BQ1106" s="305"/>
      <c r="BR1106" s="305"/>
      <c r="BS1106" s="305"/>
      <c r="BT1106" s="305"/>
      <c r="BU1106" s="305"/>
      <c r="BV1106" s="305"/>
      <c r="BX1106" s="319"/>
    </row>
    <row r="1107" spans="1:76" s="303" customFormat="1" x14ac:dyDescent="0.25">
      <c r="A1107" s="275"/>
      <c r="B1107" s="275"/>
      <c r="C1107" s="275"/>
      <c r="D1107" s="275"/>
      <c r="E1107" s="275"/>
      <c r="F1107" s="275"/>
      <c r="V1107" s="304"/>
      <c r="W1107" s="304"/>
      <c r="AD1107" s="304"/>
      <c r="AE1107" s="304"/>
      <c r="AR1107" s="304"/>
      <c r="AS1107" s="304"/>
      <c r="AT1107" s="304"/>
      <c r="AU1107" s="304"/>
      <c r="AV1107" s="304"/>
      <c r="AW1107" s="304"/>
      <c r="AX1107" s="304"/>
      <c r="AY1107" s="304"/>
      <c r="AZ1107" s="304"/>
      <c r="BA1107" s="304"/>
      <c r="BB1107" s="304"/>
      <c r="BC1107" s="304"/>
      <c r="BK1107" s="305"/>
      <c r="BL1107" s="305"/>
      <c r="BM1107" s="305"/>
      <c r="BN1107" s="305"/>
      <c r="BO1107" s="305"/>
      <c r="BP1107" s="305"/>
      <c r="BQ1107" s="305"/>
      <c r="BR1107" s="305"/>
      <c r="BS1107" s="305"/>
      <c r="BT1107" s="305"/>
      <c r="BU1107" s="305"/>
      <c r="BV1107" s="305"/>
      <c r="BX1107" s="319"/>
    </row>
    <row r="1108" spans="1:76" s="303" customFormat="1" x14ac:dyDescent="0.25">
      <c r="A1108" s="275"/>
      <c r="B1108" s="275"/>
      <c r="C1108" s="275"/>
      <c r="D1108" s="275"/>
      <c r="E1108" s="275"/>
      <c r="F1108" s="275"/>
      <c r="V1108" s="304"/>
      <c r="W1108" s="304"/>
      <c r="AD1108" s="304"/>
      <c r="AE1108" s="304"/>
      <c r="AR1108" s="304"/>
      <c r="AS1108" s="304"/>
      <c r="AT1108" s="304"/>
      <c r="AU1108" s="304"/>
      <c r="AV1108" s="304"/>
      <c r="AW1108" s="304"/>
      <c r="AX1108" s="304"/>
      <c r="AY1108" s="304"/>
      <c r="AZ1108" s="304"/>
      <c r="BA1108" s="304"/>
      <c r="BB1108" s="304"/>
      <c r="BC1108" s="304"/>
      <c r="BK1108" s="305"/>
      <c r="BL1108" s="305"/>
      <c r="BM1108" s="305"/>
      <c r="BN1108" s="305"/>
      <c r="BO1108" s="305"/>
      <c r="BP1108" s="305"/>
      <c r="BQ1108" s="305"/>
      <c r="BR1108" s="305"/>
      <c r="BS1108" s="305"/>
      <c r="BT1108" s="305"/>
      <c r="BU1108" s="305"/>
      <c r="BV1108" s="305"/>
      <c r="BX1108" s="319"/>
    </row>
    <row r="1109" spans="1:76" s="303" customFormat="1" x14ac:dyDescent="0.25">
      <c r="A1109" s="275"/>
      <c r="B1109" s="275"/>
      <c r="C1109" s="275"/>
      <c r="D1109" s="275"/>
      <c r="E1109" s="275"/>
      <c r="F1109" s="275"/>
      <c r="V1109" s="304"/>
      <c r="W1109" s="304"/>
      <c r="AD1109" s="304"/>
      <c r="AE1109" s="304"/>
      <c r="AR1109" s="304"/>
      <c r="AS1109" s="304"/>
      <c r="AT1109" s="304"/>
      <c r="AU1109" s="304"/>
      <c r="AV1109" s="304"/>
      <c r="AW1109" s="304"/>
      <c r="AX1109" s="304"/>
      <c r="AY1109" s="304"/>
      <c r="AZ1109" s="304"/>
      <c r="BA1109" s="304"/>
      <c r="BB1109" s="304"/>
      <c r="BC1109" s="304"/>
      <c r="BK1109" s="305"/>
      <c r="BL1109" s="305"/>
      <c r="BM1109" s="305"/>
      <c r="BN1109" s="305"/>
      <c r="BO1109" s="305"/>
      <c r="BP1109" s="305"/>
      <c r="BQ1109" s="305"/>
      <c r="BR1109" s="305"/>
      <c r="BS1109" s="305"/>
      <c r="BT1109" s="305"/>
      <c r="BU1109" s="305"/>
      <c r="BV1109" s="305"/>
      <c r="BX1109" s="319"/>
    </row>
    <row r="1110" spans="1:76" s="303" customFormat="1" x14ac:dyDescent="0.25">
      <c r="A1110" s="275"/>
      <c r="B1110" s="275"/>
      <c r="C1110" s="275"/>
      <c r="D1110" s="275"/>
      <c r="E1110" s="275"/>
      <c r="F1110" s="275"/>
      <c r="V1110" s="304"/>
      <c r="W1110" s="304"/>
      <c r="AD1110" s="304"/>
      <c r="AE1110" s="304"/>
      <c r="AR1110" s="304"/>
      <c r="AS1110" s="304"/>
      <c r="AT1110" s="304"/>
      <c r="AU1110" s="304"/>
      <c r="AV1110" s="304"/>
      <c r="AW1110" s="304"/>
      <c r="AX1110" s="304"/>
      <c r="AY1110" s="304"/>
      <c r="AZ1110" s="304"/>
      <c r="BA1110" s="304"/>
      <c r="BB1110" s="304"/>
      <c r="BC1110" s="304"/>
      <c r="BK1110" s="305"/>
      <c r="BL1110" s="305"/>
      <c r="BM1110" s="305"/>
      <c r="BN1110" s="305"/>
      <c r="BO1110" s="305"/>
      <c r="BP1110" s="305"/>
      <c r="BQ1110" s="305"/>
      <c r="BR1110" s="305"/>
      <c r="BS1110" s="305"/>
      <c r="BT1110" s="305"/>
      <c r="BU1110" s="305"/>
      <c r="BV1110" s="305"/>
      <c r="BX1110" s="319"/>
    </row>
    <row r="1111" spans="1:76" s="303" customFormat="1" x14ac:dyDescent="0.25">
      <c r="A1111" s="275"/>
      <c r="B1111" s="275"/>
      <c r="C1111" s="275"/>
      <c r="D1111" s="275"/>
      <c r="E1111" s="275"/>
      <c r="F1111" s="275"/>
      <c r="V1111" s="304"/>
      <c r="W1111" s="304"/>
      <c r="AD1111" s="304"/>
      <c r="AE1111" s="304"/>
      <c r="AR1111" s="304"/>
      <c r="AS1111" s="304"/>
      <c r="AT1111" s="304"/>
      <c r="AU1111" s="304"/>
      <c r="AV1111" s="304"/>
      <c r="AW1111" s="304"/>
      <c r="AX1111" s="304"/>
      <c r="AY1111" s="304"/>
      <c r="AZ1111" s="304"/>
      <c r="BA1111" s="304"/>
      <c r="BB1111" s="304"/>
      <c r="BC1111" s="304"/>
      <c r="BK1111" s="305"/>
      <c r="BL1111" s="305"/>
      <c r="BM1111" s="305"/>
      <c r="BN1111" s="305"/>
      <c r="BO1111" s="305"/>
      <c r="BP1111" s="305"/>
      <c r="BQ1111" s="305"/>
      <c r="BR1111" s="305"/>
      <c r="BS1111" s="305"/>
      <c r="BT1111" s="305"/>
      <c r="BU1111" s="305"/>
      <c r="BV1111" s="305"/>
      <c r="BX1111" s="319"/>
    </row>
    <row r="1112" spans="1:76" s="303" customFormat="1" x14ac:dyDescent="0.25">
      <c r="A1112" s="275"/>
      <c r="B1112" s="275"/>
      <c r="C1112" s="275"/>
      <c r="D1112" s="275"/>
      <c r="E1112" s="275"/>
      <c r="F1112" s="275"/>
      <c r="V1112" s="304"/>
      <c r="W1112" s="304"/>
      <c r="AD1112" s="304"/>
      <c r="AE1112" s="304"/>
      <c r="AR1112" s="304"/>
      <c r="AS1112" s="304"/>
      <c r="AT1112" s="304"/>
      <c r="AU1112" s="304"/>
      <c r="AV1112" s="304"/>
      <c r="AW1112" s="304"/>
      <c r="AX1112" s="304"/>
      <c r="AY1112" s="304"/>
      <c r="AZ1112" s="304"/>
      <c r="BA1112" s="304"/>
      <c r="BB1112" s="304"/>
      <c r="BC1112" s="304"/>
      <c r="BK1112" s="305"/>
      <c r="BL1112" s="305"/>
      <c r="BM1112" s="305"/>
      <c r="BN1112" s="305"/>
      <c r="BO1112" s="305"/>
      <c r="BP1112" s="305"/>
      <c r="BQ1112" s="305"/>
      <c r="BR1112" s="305"/>
      <c r="BS1112" s="305"/>
      <c r="BT1112" s="305"/>
      <c r="BU1112" s="305"/>
      <c r="BV1112" s="305"/>
      <c r="BX1112" s="319"/>
    </row>
    <row r="1113" spans="1:76" s="303" customFormat="1" x14ac:dyDescent="0.25">
      <c r="A1113" s="275"/>
      <c r="B1113" s="275"/>
      <c r="C1113" s="275"/>
      <c r="D1113" s="275"/>
      <c r="E1113" s="275"/>
      <c r="F1113" s="275"/>
      <c r="V1113" s="304"/>
      <c r="W1113" s="304"/>
      <c r="AD1113" s="304"/>
      <c r="AE1113" s="304"/>
      <c r="AR1113" s="304"/>
      <c r="AS1113" s="304"/>
      <c r="AT1113" s="304"/>
      <c r="AU1113" s="304"/>
      <c r="AV1113" s="304"/>
      <c r="AW1113" s="304"/>
      <c r="AX1113" s="304"/>
      <c r="AY1113" s="304"/>
      <c r="AZ1113" s="304"/>
      <c r="BA1113" s="304"/>
      <c r="BB1113" s="304"/>
      <c r="BC1113" s="304"/>
      <c r="BK1113" s="305"/>
      <c r="BL1113" s="305"/>
      <c r="BM1113" s="305"/>
      <c r="BN1113" s="305"/>
      <c r="BO1113" s="305"/>
      <c r="BP1113" s="305"/>
      <c r="BQ1113" s="305"/>
      <c r="BR1113" s="305"/>
      <c r="BS1113" s="305"/>
      <c r="BT1113" s="305"/>
      <c r="BU1113" s="305"/>
      <c r="BV1113" s="305"/>
      <c r="BX1113" s="319"/>
    </row>
    <row r="1114" spans="1:76" s="303" customFormat="1" x14ac:dyDescent="0.25">
      <c r="A1114" s="275"/>
      <c r="B1114" s="275"/>
      <c r="C1114" s="275"/>
      <c r="D1114" s="275"/>
      <c r="E1114" s="275"/>
      <c r="F1114" s="275"/>
      <c r="V1114" s="304"/>
      <c r="W1114" s="304"/>
      <c r="AD1114" s="304"/>
      <c r="AE1114" s="304"/>
      <c r="AR1114" s="304"/>
      <c r="AS1114" s="304"/>
      <c r="AT1114" s="304"/>
      <c r="AU1114" s="304"/>
      <c r="AV1114" s="304"/>
      <c r="AW1114" s="304"/>
      <c r="AX1114" s="304"/>
      <c r="AY1114" s="304"/>
      <c r="AZ1114" s="304"/>
      <c r="BA1114" s="304"/>
      <c r="BB1114" s="304"/>
      <c r="BC1114" s="304"/>
      <c r="BK1114" s="305"/>
      <c r="BL1114" s="305"/>
      <c r="BM1114" s="305"/>
      <c r="BN1114" s="305"/>
      <c r="BO1114" s="305"/>
      <c r="BP1114" s="305"/>
      <c r="BQ1114" s="305"/>
      <c r="BR1114" s="305"/>
      <c r="BS1114" s="305"/>
      <c r="BT1114" s="305"/>
      <c r="BU1114" s="305"/>
      <c r="BV1114" s="305"/>
      <c r="BX1114" s="319"/>
    </row>
    <row r="1115" spans="1:76" s="303" customFormat="1" x14ac:dyDescent="0.25">
      <c r="A1115" s="275"/>
      <c r="B1115" s="275"/>
      <c r="C1115" s="275"/>
      <c r="D1115" s="275"/>
      <c r="E1115" s="275"/>
      <c r="F1115" s="275"/>
      <c r="V1115" s="304"/>
      <c r="W1115" s="304"/>
      <c r="AD1115" s="304"/>
      <c r="AE1115" s="304"/>
      <c r="AR1115" s="304"/>
      <c r="AS1115" s="304"/>
      <c r="AT1115" s="304"/>
      <c r="AU1115" s="304"/>
      <c r="AV1115" s="304"/>
      <c r="AW1115" s="304"/>
      <c r="AX1115" s="304"/>
      <c r="AY1115" s="304"/>
      <c r="AZ1115" s="304"/>
      <c r="BA1115" s="304"/>
      <c r="BB1115" s="304"/>
      <c r="BC1115" s="304"/>
      <c r="BK1115" s="305"/>
      <c r="BL1115" s="305"/>
      <c r="BM1115" s="305"/>
      <c r="BN1115" s="305"/>
      <c r="BO1115" s="305"/>
      <c r="BP1115" s="305"/>
      <c r="BQ1115" s="305"/>
      <c r="BR1115" s="305"/>
      <c r="BS1115" s="305"/>
      <c r="BT1115" s="305"/>
      <c r="BU1115" s="305"/>
      <c r="BV1115" s="305"/>
      <c r="BX1115" s="319"/>
    </row>
    <row r="1116" spans="1:76" s="303" customFormat="1" x14ac:dyDescent="0.25">
      <c r="A1116" s="275"/>
      <c r="B1116" s="275"/>
      <c r="C1116" s="275"/>
      <c r="D1116" s="275"/>
      <c r="E1116" s="275"/>
      <c r="F1116" s="275"/>
      <c r="V1116" s="304"/>
      <c r="W1116" s="304"/>
      <c r="AD1116" s="304"/>
      <c r="AE1116" s="304"/>
      <c r="AR1116" s="304"/>
      <c r="AS1116" s="304"/>
      <c r="AT1116" s="304"/>
      <c r="AU1116" s="304"/>
      <c r="AV1116" s="304"/>
      <c r="AW1116" s="304"/>
      <c r="AX1116" s="304"/>
      <c r="AY1116" s="304"/>
      <c r="AZ1116" s="304"/>
      <c r="BA1116" s="304"/>
      <c r="BB1116" s="304"/>
      <c r="BC1116" s="304"/>
      <c r="BK1116" s="305"/>
      <c r="BL1116" s="305"/>
      <c r="BM1116" s="305"/>
      <c r="BN1116" s="305"/>
      <c r="BO1116" s="305"/>
      <c r="BP1116" s="305"/>
      <c r="BQ1116" s="305"/>
      <c r="BR1116" s="305"/>
      <c r="BS1116" s="305"/>
      <c r="BT1116" s="305"/>
      <c r="BU1116" s="305"/>
      <c r="BV1116" s="305"/>
      <c r="BX1116" s="319"/>
    </row>
    <row r="1117" spans="1:76" s="303" customFormat="1" x14ac:dyDescent="0.25">
      <c r="A1117" s="275"/>
      <c r="B1117" s="275"/>
      <c r="C1117" s="275"/>
      <c r="D1117" s="275"/>
      <c r="E1117" s="275"/>
      <c r="F1117" s="275"/>
      <c r="V1117" s="304"/>
      <c r="W1117" s="304"/>
      <c r="AD1117" s="304"/>
      <c r="AE1117" s="304"/>
      <c r="AR1117" s="304"/>
      <c r="AS1117" s="304"/>
      <c r="AT1117" s="304"/>
      <c r="AU1117" s="304"/>
      <c r="AV1117" s="304"/>
      <c r="AW1117" s="304"/>
      <c r="AX1117" s="304"/>
      <c r="AY1117" s="304"/>
      <c r="AZ1117" s="304"/>
      <c r="BA1117" s="304"/>
      <c r="BB1117" s="304"/>
      <c r="BC1117" s="304"/>
      <c r="BK1117" s="305"/>
      <c r="BL1117" s="305"/>
      <c r="BM1117" s="305"/>
      <c r="BN1117" s="305"/>
      <c r="BO1117" s="305"/>
      <c r="BP1117" s="305"/>
      <c r="BQ1117" s="305"/>
      <c r="BR1117" s="305"/>
      <c r="BS1117" s="305"/>
      <c r="BT1117" s="305"/>
      <c r="BU1117" s="305"/>
      <c r="BV1117" s="305"/>
      <c r="BX1117" s="319"/>
    </row>
    <row r="1118" spans="1:76" s="303" customFormat="1" x14ac:dyDescent="0.25">
      <c r="A1118" s="275"/>
      <c r="B1118" s="275"/>
      <c r="C1118" s="275"/>
      <c r="D1118" s="275"/>
      <c r="E1118" s="275"/>
      <c r="F1118" s="275"/>
      <c r="V1118" s="304"/>
      <c r="W1118" s="304"/>
      <c r="AD1118" s="304"/>
      <c r="AE1118" s="304"/>
      <c r="AR1118" s="304"/>
      <c r="AS1118" s="304"/>
      <c r="AT1118" s="304"/>
      <c r="AU1118" s="304"/>
      <c r="AV1118" s="304"/>
      <c r="AW1118" s="304"/>
      <c r="AX1118" s="304"/>
      <c r="AY1118" s="304"/>
      <c r="AZ1118" s="304"/>
      <c r="BA1118" s="304"/>
      <c r="BB1118" s="304"/>
      <c r="BC1118" s="304"/>
      <c r="BK1118" s="305"/>
      <c r="BL1118" s="305"/>
      <c r="BM1118" s="305"/>
      <c r="BN1118" s="305"/>
      <c r="BO1118" s="305"/>
      <c r="BP1118" s="305"/>
      <c r="BQ1118" s="305"/>
      <c r="BR1118" s="305"/>
      <c r="BS1118" s="305"/>
      <c r="BT1118" s="305"/>
      <c r="BU1118" s="305"/>
      <c r="BV1118" s="305"/>
      <c r="BX1118" s="319"/>
    </row>
    <row r="1119" spans="1:76" s="303" customFormat="1" x14ac:dyDescent="0.25">
      <c r="A1119" s="275"/>
      <c r="B1119" s="275"/>
      <c r="C1119" s="275"/>
      <c r="D1119" s="275"/>
      <c r="E1119" s="275"/>
      <c r="F1119" s="275"/>
      <c r="V1119" s="304"/>
      <c r="W1119" s="304"/>
      <c r="AD1119" s="304"/>
      <c r="AE1119" s="304"/>
      <c r="AR1119" s="304"/>
      <c r="AS1119" s="304"/>
      <c r="AT1119" s="304"/>
      <c r="AU1119" s="304"/>
      <c r="AV1119" s="304"/>
      <c r="AW1119" s="304"/>
      <c r="AX1119" s="304"/>
      <c r="AY1119" s="304"/>
      <c r="AZ1119" s="304"/>
      <c r="BA1119" s="304"/>
      <c r="BB1119" s="304"/>
      <c r="BC1119" s="304"/>
      <c r="BK1119" s="305"/>
      <c r="BL1119" s="305"/>
      <c r="BM1119" s="305"/>
      <c r="BN1119" s="305"/>
      <c r="BO1119" s="305"/>
      <c r="BP1119" s="305"/>
      <c r="BQ1119" s="305"/>
      <c r="BR1119" s="305"/>
      <c r="BS1119" s="305"/>
      <c r="BT1119" s="305"/>
      <c r="BU1119" s="305"/>
      <c r="BV1119" s="305"/>
      <c r="BX1119" s="319"/>
    </row>
    <row r="1120" spans="1:76" s="303" customFormat="1" x14ac:dyDescent="0.25">
      <c r="A1120" s="275"/>
      <c r="B1120" s="275"/>
      <c r="C1120" s="275"/>
      <c r="D1120" s="275"/>
      <c r="E1120" s="275"/>
      <c r="F1120" s="275"/>
      <c r="V1120" s="304"/>
      <c r="W1120" s="304"/>
      <c r="AD1120" s="304"/>
      <c r="AE1120" s="304"/>
      <c r="AR1120" s="304"/>
      <c r="AS1120" s="304"/>
      <c r="AT1120" s="304"/>
      <c r="AU1120" s="304"/>
      <c r="AV1120" s="304"/>
      <c r="AW1120" s="304"/>
      <c r="AX1120" s="304"/>
      <c r="AY1120" s="304"/>
      <c r="AZ1120" s="304"/>
      <c r="BA1120" s="304"/>
      <c r="BB1120" s="304"/>
      <c r="BC1120" s="304"/>
      <c r="BK1120" s="305"/>
      <c r="BL1120" s="305"/>
      <c r="BM1120" s="305"/>
      <c r="BN1120" s="305"/>
      <c r="BO1120" s="305"/>
      <c r="BP1120" s="305"/>
      <c r="BQ1120" s="305"/>
      <c r="BR1120" s="305"/>
      <c r="BS1120" s="305"/>
      <c r="BT1120" s="305"/>
      <c r="BU1120" s="305"/>
      <c r="BV1120" s="305"/>
      <c r="BX1120" s="319"/>
    </row>
    <row r="1121" spans="1:76" s="303" customFormat="1" x14ac:dyDescent="0.25">
      <c r="A1121" s="275"/>
      <c r="B1121" s="275"/>
      <c r="C1121" s="275"/>
      <c r="D1121" s="275"/>
      <c r="E1121" s="275"/>
      <c r="F1121" s="275"/>
      <c r="V1121" s="304"/>
      <c r="W1121" s="304"/>
      <c r="AD1121" s="304"/>
      <c r="AE1121" s="304"/>
      <c r="AR1121" s="304"/>
      <c r="AS1121" s="304"/>
      <c r="AT1121" s="304"/>
      <c r="AU1121" s="304"/>
      <c r="AV1121" s="304"/>
      <c r="AW1121" s="304"/>
      <c r="AX1121" s="304"/>
      <c r="AY1121" s="304"/>
      <c r="AZ1121" s="304"/>
      <c r="BA1121" s="304"/>
      <c r="BB1121" s="304"/>
      <c r="BC1121" s="304"/>
      <c r="BK1121" s="305"/>
      <c r="BL1121" s="305"/>
      <c r="BM1121" s="305"/>
      <c r="BN1121" s="305"/>
      <c r="BO1121" s="305"/>
      <c r="BP1121" s="305"/>
      <c r="BQ1121" s="305"/>
      <c r="BR1121" s="305"/>
      <c r="BS1121" s="305"/>
      <c r="BT1121" s="305"/>
      <c r="BU1121" s="305"/>
      <c r="BV1121" s="305"/>
      <c r="BX1121" s="319"/>
    </row>
    <row r="1122" spans="1:76" s="303" customFormat="1" x14ac:dyDescent="0.25">
      <c r="A1122" s="275"/>
      <c r="B1122" s="275"/>
      <c r="C1122" s="275"/>
      <c r="D1122" s="275"/>
      <c r="E1122" s="275"/>
      <c r="F1122" s="275"/>
      <c r="V1122" s="304"/>
      <c r="W1122" s="304"/>
      <c r="AD1122" s="304"/>
      <c r="AE1122" s="304"/>
      <c r="AR1122" s="304"/>
      <c r="AS1122" s="304"/>
      <c r="AT1122" s="304"/>
      <c r="AU1122" s="304"/>
      <c r="AV1122" s="304"/>
      <c r="AW1122" s="304"/>
      <c r="AX1122" s="304"/>
      <c r="AY1122" s="304"/>
      <c r="AZ1122" s="304"/>
      <c r="BA1122" s="304"/>
      <c r="BB1122" s="304"/>
      <c r="BC1122" s="304"/>
      <c r="BK1122" s="305"/>
      <c r="BL1122" s="305"/>
      <c r="BM1122" s="305"/>
      <c r="BN1122" s="305"/>
      <c r="BO1122" s="305"/>
      <c r="BP1122" s="305"/>
      <c r="BQ1122" s="305"/>
      <c r="BR1122" s="305"/>
      <c r="BS1122" s="305"/>
      <c r="BT1122" s="305"/>
      <c r="BU1122" s="305"/>
      <c r="BV1122" s="305"/>
      <c r="BX1122" s="319"/>
    </row>
    <row r="1123" spans="1:76" s="303" customFormat="1" x14ac:dyDescent="0.25">
      <c r="A1123" s="275"/>
      <c r="B1123" s="275"/>
      <c r="C1123" s="275"/>
      <c r="D1123" s="275"/>
      <c r="E1123" s="275"/>
      <c r="F1123" s="275"/>
      <c r="V1123" s="304"/>
      <c r="W1123" s="304"/>
      <c r="AD1123" s="304"/>
      <c r="AE1123" s="304"/>
      <c r="AR1123" s="304"/>
      <c r="AS1123" s="304"/>
      <c r="AT1123" s="304"/>
      <c r="AU1123" s="304"/>
      <c r="AV1123" s="304"/>
      <c r="AW1123" s="304"/>
      <c r="AX1123" s="304"/>
      <c r="AY1123" s="304"/>
      <c r="AZ1123" s="304"/>
      <c r="BA1123" s="304"/>
      <c r="BB1123" s="304"/>
      <c r="BC1123" s="304"/>
      <c r="BK1123" s="305"/>
      <c r="BL1123" s="305"/>
      <c r="BM1123" s="305"/>
      <c r="BN1123" s="305"/>
      <c r="BO1123" s="305"/>
      <c r="BP1123" s="305"/>
      <c r="BQ1123" s="305"/>
      <c r="BR1123" s="305"/>
      <c r="BS1123" s="305"/>
      <c r="BT1123" s="305"/>
      <c r="BU1123" s="305"/>
      <c r="BV1123" s="305"/>
      <c r="BX1123" s="319"/>
    </row>
    <row r="1124" spans="1:76" s="303" customFormat="1" x14ac:dyDescent="0.25">
      <c r="A1124" s="275"/>
      <c r="B1124" s="275"/>
      <c r="C1124" s="275"/>
      <c r="D1124" s="275"/>
      <c r="E1124" s="275"/>
      <c r="F1124" s="275"/>
      <c r="V1124" s="304"/>
      <c r="W1124" s="304"/>
      <c r="AD1124" s="304"/>
      <c r="AE1124" s="304"/>
      <c r="AR1124" s="304"/>
      <c r="AS1124" s="304"/>
      <c r="AT1124" s="304"/>
      <c r="AU1124" s="304"/>
      <c r="AV1124" s="304"/>
      <c r="AW1124" s="304"/>
      <c r="AX1124" s="304"/>
      <c r="AY1124" s="304"/>
      <c r="AZ1124" s="304"/>
      <c r="BA1124" s="304"/>
      <c r="BB1124" s="304"/>
      <c r="BC1124" s="304"/>
      <c r="BK1124" s="305"/>
      <c r="BL1124" s="305"/>
      <c r="BM1124" s="305"/>
      <c r="BN1124" s="305"/>
      <c r="BO1124" s="305"/>
      <c r="BP1124" s="305"/>
      <c r="BQ1124" s="305"/>
      <c r="BR1124" s="305"/>
      <c r="BS1124" s="305"/>
      <c r="BT1124" s="305"/>
      <c r="BU1124" s="305"/>
      <c r="BV1124" s="305"/>
      <c r="BX1124" s="319"/>
    </row>
    <row r="1125" spans="1:76" s="303" customFormat="1" x14ac:dyDescent="0.25">
      <c r="A1125" s="275"/>
      <c r="B1125" s="275"/>
      <c r="C1125" s="275"/>
      <c r="D1125" s="275"/>
      <c r="E1125" s="275"/>
      <c r="F1125" s="275"/>
      <c r="V1125" s="304"/>
      <c r="W1125" s="304"/>
      <c r="AD1125" s="304"/>
      <c r="AE1125" s="304"/>
      <c r="AR1125" s="304"/>
      <c r="AS1125" s="304"/>
      <c r="AT1125" s="304"/>
      <c r="AU1125" s="304"/>
      <c r="AV1125" s="304"/>
      <c r="AW1125" s="304"/>
      <c r="AX1125" s="304"/>
      <c r="AY1125" s="304"/>
      <c r="AZ1125" s="304"/>
      <c r="BA1125" s="304"/>
      <c r="BB1125" s="304"/>
      <c r="BC1125" s="304"/>
      <c r="BK1125" s="305"/>
      <c r="BL1125" s="305"/>
      <c r="BM1125" s="305"/>
      <c r="BN1125" s="305"/>
      <c r="BO1125" s="305"/>
      <c r="BP1125" s="305"/>
      <c r="BQ1125" s="305"/>
      <c r="BR1125" s="305"/>
      <c r="BS1125" s="305"/>
      <c r="BT1125" s="305"/>
      <c r="BU1125" s="305"/>
      <c r="BV1125" s="305"/>
      <c r="BX1125" s="319"/>
    </row>
    <row r="1126" spans="1:76" s="303" customFormat="1" x14ac:dyDescent="0.25">
      <c r="A1126" s="275"/>
      <c r="B1126" s="275"/>
      <c r="C1126" s="275"/>
      <c r="D1126" s="275"/>
      <c r="E1126" s="275"/>
      <c r="F1126" s="275"/>
      <c r="V1126" s="304"/>
      <c r="W1126" s="304"/>
      <c r="AD1126" s="304"/>
      <c r="AE1126" s="304"/>
      <c r="AR1126" s="304"/>
      <c r="AS1126" s="304"/>
      <c r="AT1126" s="304"/>
      <c r="AU1126" s="304"/>
      <c r="AV1126" s="304"/>
      <c r="AW1126" s="304"/>
      <c r="AX1126" s="304"/>
      <c r="AY1126" s="304"/>
      <c r="AZ1126" s="304"/>
      <c r="BA1126" s="304"/>
      <c r="BB1126" s="304"/>
      <c r="BC1126" s="304"/>
      <c r="BK1126" s="305"/>
      <c r="BL1126" s="305"/>
      <c r="BM1126" s="305"/>
      <c r="BN1126" s="305"/>
      <c r="BO1126" s="305"/>
      <c r="BP1126" s="305"/>
      <c r="BQ1126" s="305"/>
      <c r="BR1126" s="305"/>
      <c r="BS1126" s="305"/>
      <c r="BT1126" s="305"/>
      <c r="BU1126" s="305"/>
      <c r="BV1126" s="305"/>
      <c r="BX1126" s="319"/>
    </row>
    <row r="1127" spans="1:76" s="303" customFormat="1" x14ac:dyDescent="0.25">
      <c r="A1127" s="275"/>
      <c r="B1127" s="275"/>
      <c r="C1127" s="275"/>
      <c r="D1127" s="275"/>
      <c r="E1127" s="275"/>
      <c r="F1127" s="275"/>
      <c r="V1127" s="304"/>
      <c r="W1127" s="304"/>
      <c r="AD1127" s="304"/>
      <c r="AE1127" s="304"/>
      <c r="AR1127" s="304"/>
      <c r="AS1127" s="304"/>
      <c r="AT1127" s="304"/>
      <c r="AU1127" s="304"/>
      <c r="AV1127" s="304"/>
      <c r="AW1127" s="304"/>
      <c r="AX1127" s="304"/>
      <c r="AY1127" s="304"/>
      <c r="AZ1127" s="304"/>
      <c r="BA1127" s="304"/>
      <c r="BB1127" s="304"/>
      <c r="BC1127" s="304"/>
      <c r="BK1127" s="305"/>
      <c r="BL1127" s="305"/>
      <c r="BM1127" s="305"/>
      <c r="BN1127" s="305"/>
      <c r="BO1127" s="305"/>
      <c r="BP1127" s="305"/>
      <c r="BQ1127" s="305"/>
      <c r="BR1127" s="305"/>
      <c r="BS1127" s="305"/>
      <c r="BT1127" s="305"/>
      <c r="BU1127" s="305"/>
      <c r="BV1127" s="305"/>
      <c r="BX1127" s="319"/>
    </row>
    <row r="1128" spans="1:76" s="303" customFormat="1" x14ac:dyDescent="0.25">
      <c r="A1128" s="275"/>
      <c r="B1128" s="275"/>
      <c r="C1128" s="275"/>
      <c r="D1128" s="275"/>
      <c r="E1128" s="275"/>
      <c r="F1128" s="275"/>
      <c r="V1128" s="304"/>
      <c r="W1128" s="304"/>
      <c r="AD1128" s="304"/>
      <c r="AE1128" s="304"/>
      <c r="AR1128" s="304"/>
      <c r="AS1128" s="304"/>
      <c r="AT1128" s="304"/>
      <c r="AU1128" s="304"/>
      <c r="AV1128" s="304"/>
      <c r="AW1128" s="304"/>
      <c r="AX1128" s="304"/>
      <c r="AY1128" s="304"/>
      <c r="AZ1128" s="304"/>
      <c r="BA1128" s="304"/>
      <c r="BB1128" s="304"/>
      <c r="BC1128" s="304"/>
      <c r="BK1128" s="305"/>
      <c r="BL1128" s="305"/>
      <c r="BM1128" s="305"/>
      <c r="BN1128" s="305"/>
      <c r="BO1128" s="305"/>
      <c r="BP1128" s="305"/>
      <c r="BQ1128" s="305"/>
      <c r="BR1128" s="305"/>
      <c r="BS1128" s="305"/>
      <c r="BT1128" s="305"/>
      <c r="BU1128" s="305"/>
      <c r="BV1128" s="305"/>
      <c r="BX1128" s="319"/>
    </row>
    <row r="1129" spans="1:76" s="303" customFormat="1" x14ac:dyDescent="0.25">
      <c r="A1129" s="275"/>
      <c r="B1129" s="275"/>
      <c r="C1129" s="275"/>
      <c r="D1129" s="275"/>
      <c r="E1129" s="275"/>
      <c r="F1129" s="275"/>
      <c r="V1129" s="304"/>
      <c r="W1129" s="304"/>
      <c r="AD1129" s="304"/>
      <c r="AE1129" s="304"/>
      <c r="AR1129" s="304"/>
      <c r="AS1129" s="304"/>
      <c r="AT1129" s="304"/>
      <c r="AU1129" s="304"/>
      <c r="AV1129" s="304"/>
      <c r="AW1129" s="304"/>
      <c r="AX1129" s="304"/>
      <c r="AY1129" s="304"/>
      <c r="AZ1129" s="304"/>
      <c r="BA1129" s="304"/>
      <c r="BB1129" s="304"/>
      <c r="BC1129" s="304"/>
      <c r="BK1129" s="305"/>
      <c r="BL1129" s="305"/>
      <c r="BM1129" s="305"/>
      <c r="BN1129" s="305"/>
      <c r="BO1129" s="305"/>
      <c r="BP1129" s="305"/>
      <c r="BQ1129" s="305"/>
      <c r="BR1129" s="305"/>
      <c r="BS1129" s="305"/>
      <c r="BT1129" s="305"/>
      <c r="BU1129" s="305"/>
      <c r="BV1129" s="305"/>
      <c r="BX1129" s="319"/>
    </row>
    <row r="1130" spans="1:76" s="303" customFormat="1" x14ac:dyDescent="0.25">
      <c r="A1130" s="275"/>
      <c r="B1130" s="275"/>
      <c r="C1130" s="275"/>
      <c r="D1130" s="275"/>
      <c r="E1130" s="275"/>
      <c r="F1130" s="275"/>
      <c r="V1130" s="304"/>
      <c r="W1130" s="304"/>
      <c r="AD1130" s="304"/>
      <c r="AE1130" s="304"/>
      <c r="AR1130" s="304"/>
      <c r="AS1130" s="304"/>
      <c r="AT1130" s="304"/>
      <c r="AU1130" s="304"/>
      <c r="AV1130" s="304"/>
      <c r="AW1130" s="304"/>
      <c r="AX1130" s="304"/>
      <c r="AY1130" s="304"/>
      <c r="AZ1130" s="304"/>
      <c r="BA1130" s="304"/>
      <c r="BB1130" s="304"/>
      <c r="BC1130" s="304"/>
      <c r="BK1130" s="305"/>
      <c r="BL1130" s="305"/>
      <c r="BM1130" s="305"/>
      <c r="BN1130" s="305"/>
      <c r="BO1130" s="305"/>
      <c r="BP1130" s="305"/>
      <c r="BQ1130" s="305"/>
      <c r="BR1130" s="305"/>
      <c r="BS1130" s="305"/>
      <c r="BT1130" s="305"/>
      <c r="BU1130" s="305"/>
      <c r="BV1130" s="305"/>
      <c r="BX1130" s="319"/>
    </row>
    <row r="1131" spans="1:76" s="303" customFormat="1" x14ac:dyDescent="0.25">
      <c r="A1131" s="275"/>
      <c r="B1131" s="275"/>
      <c r="C1131" s="275"/>
      <c r="D1131" s="275"/>
      <c r="E1131" s="275"/>
      <c r="F1131" s="275"/>
      <c r="V1131" s="304"/>
      <c r="W1131" s="304"/>
      <c r="AD1131" s="304"/>
      <c r="AE1131" s="304"/>
      <c r="AR1131" s="304"/>
      <c r="AS1131" s="304"/>
      <c r="AT1131" s="304"/>
      <c r="AU1131" s="304"/>
      <c r="AV1131" s="304"/>
      <c r="AW1131" s="304"/>
      <c r="AX1131" s="304"/>
      <c r="AY1131" s="304"/>
      <c r="AZ1131" s="304"/>
      <c r="BA1131" s="304"/>
      <c r="BB1131" s="304"/>
      <c r="BC1131" s="304"/>
      <c r="BK1131" s="305"/>
      <c r="BL1131" s="305"/>
      <c r="BM1131" s="305"/>
      <c r="BN1131" s="305"/>
      <c r="BO1131" s="305"/>
      <c r="BP1131" s="305"/>
      <c r="BQ1131" s="305"/>
      <c r="BR1131" s="305"/>
      <c r="BS1131" s="305"/>
      <c r="BT1131" s="305"/>
      <c r="BU1131" s="305"/>
      <c r="BV1131" s="305"/>
      <c r="BX1131" s="319"/>
    </row>
    <row r="1132" spans="1:76" s="303" customFormat="1" x14ac:dyDescent="0.25">
      <c r="A1132" s="275"/>
      <c r="B1132" s="275"/>
      <c r="C1132" s="275"/>
      <c r="D1132" s="275"/>
      <c r="E1132" s="275"/>
      <c r="F1132" s="275"/>
      <c r="V1132" s="304"/>
      <c r="W1132" s="304"/>
      <c r="AD1132" s="304"/>
      <c r="AE1132" s="304"/>
      <c r="AR1132" s="304"/>
      <c r="AS1132" s="304"/>
      <c r="AT1132" s="304"/>
      <c r="AU1132" s="304"/>
      <c r="AV1132" s="304"/>
      <c r="AW1132" s="304"/>
      <c r="AX1132" s="304"/>
      <c r="AY1132" s="304"/>
      <c r="AZ1132" s="304"/>
      <c r="BA1132" s="304"/>
      <c r="BB1132" s="304"/>
      <c r="BC1132" s="304"/>
      <c r="BK1132" s="305"/>
      <c r="BL1132" s="305"/>
      <c r="BM1132" s="305"/>
      <c r="BN1132" s="305"/>
      <c r="BO1132" s="305"/>
      <c r="BP1132" s="305"/>
      <c r="BQ1132" s="305"/>
      <c r="BR1132" s="305"/>
      <c r="BS1132" s="305"/>
      <c r="BT1132" s="305"/>
      <c r="BU1132" s="305"/>
      <c r="BV1132" s="305"/>
      <c r="BX1132" s="319"/>
    </row>
    <row r="1133" spans="1:76" s="303" customFormat="1" x14ac:dyDescent="0.25">
      <c r="A1133" s="275"/>
      <c r="B1133" s="275"/>
      <c r="C1133" s="275"/>
      <c r="D1133" s="275"/>
      <c r="E1133" s="275"/>
      <c r="F1133" s="275"/>
      <c r="V1133" s="304"/>
      <c r="W1133" s="304"/>
      <c r="AD1133" s="304"/>
      <c r="AE1133" s="304"/>
      <c r="AR1133" s="304"/>
      <c r="AS1133" s="304"/>
      <c r="AT1133" s="304"/>
      <c r="AU1133" s="304"/>
      <c r="AV1133" s="304"/>
      <c r="AW1133" s="304"/>
      <c r="AX1133" s="304"/>
      <c r="AY1133" s="304"/>
      <c r="AZ1133" s="304"/>
      <c r="BA1133" s="304"/>
      <c r="BB1133" s="304"/>
      <c r="BC1133" s="304"/>
      <c r="BK1133" s="305"/>
      <c r="BL1133" s="305"/>
      <c r="BM1133" s="305"/>
      <c r="BN1133" s="305"/>
      <c r="BO1133" s="305"/>
      <c r="BP1133" s="305"/>
      <c r="BQ1133" s="305"/>
      <c r="BR1133" s="305"/>
      <c r="BS1133" s="305"/>
      <c r="BT1133" s="305"/>
      <c r="BU1133" s="305"/>
      <c r="BV1133" s="305"/>
      <c r="BX1133" s="319"/>
    </row>
    <row r="1134" spans="1:76" s="303" customFormat="1" x14ac:dyDescent="0.25">
      <c r="A1134" s="275"/>
      <c r="B1134" s="275"/>
      <c r="C1134" s="275"/>
      <c r="D1134" s="275"/>
      <c r="E1134" s="275"/>
      <c r="F1134" s="275"/>
      <c r="V1134" s="304"/>
      <c r="W1134" s="304"/>
      <c r="AD1134" s="304"/>
      <c r="AE1134" s="304"/>
      <c r="AR1134" s="304"/>
      <c r="AS1134" s="304"/>
      <c r="AT1134" s="304"/>
      <c r="AU1134" s="304"/>
      <c r="AV1134" s="304"/>
      <c r="AW1134" s="304"/>
      <c r="AX1134" s="304"/>
      <c r="AY1134" s="304"/>
      <c r="AZ1134" s="304"/>
      <c r="BA1134" s="304"/>
      <c r="BB1134" s="304"/>
      <c r="BC1134" s="304"/>
      <c r="BK1134" s="305"/>
      <c r="BL1134" s="305"/>
      <c r="BM1134" s="305"/>
      <c r="BN1134" s="305"/>
      <c r="BO1134" s="305"/>
      <c r="BP1134" s="305"/>
      <c r="BQ1134" s="305"/>
      <c r="BR1134" s="305"/>
      <c r="BS1134" s="305"/>
      <c r="BT1134" s="305"/>
      <c r="BU1134" s="305"/>
      <c r="BV1134" s="305"/>
      <c r="BX1134" s="319"/>
    </row>
    <row r="1135" spans="1:76" s="303" customFormat="1" x14ac:dyDescent="0.25">
      <c r="A1135" s="275"/>
      <c r="B1135" s="275"/>
      <c r="C1135" s="275"/>
      <c r="D1135" s="275"/>
      <c r="E1135" s="275"/>
      <c r="F1135" s="275"/>
      <c r="V1135" s="304"/>
      <c r="W1135" s="304"/>
      <c r="AD1135" s="304"/>
      <c r="AE1135" s="304"/>
      <c r="AR1135" s="304"/>
      <c r="AS1135" s="304"/>
      <c r="AT1135" s="304"/>
      <c r="AU1135" s="304"/>
      <c r="AV1135" s="304"/>
      <c r="AW1135" s="304"/>
      <c r="AX1135" s="304"/>
      <c r="AY1135" s="304"/>
      <c r="AZ1135" s="304"/>
      <c r="BA1135" s="304"/>
      <c r="BB1135" s="304"/>
      <c r="BC1135" s="304"/>
      <c r="BK1135" s="305"/>
      <c r="BL1135" s="305"/>
      <c r="BM1135" s="305"/>
      <c r="BN1135" s="305"/>
      <c r="BO1135" s="305"/>
      <c r="BP1135" s="305"/>
      <c r="BQ1135" s="305"/>
      <c r="BR1135" s="305"/>
      <c r="BS1135" s="305"/>
      <c r="BT1135" s="305"/>
      <c r="BU1135" s="305"/>
      <c r="BV1135" s="305"/>
      <c r="BX1135" s="319"/>
    </row>
    <row r="1136" spans="1:76" s="303" customFormat="1" x14ac:dyDescent="0.25">
      <c r="A1136" s="275"/>
      <c r="B1136" s="275"/>
      <c r="C1136" s="275"/>
      <c r="D1136" s="275"/>
      <c r="E1136" s="275"/>
      <c r="F1136" s="275"/>
      <c r="V1136" s="304"/>
      <c r="W1136" s="304"/>
      <c r="AD1136" s="304"/>
      <c r="AE1136" s="304"/>
      <c r="AR1136" s="304"/>
      <c r="AS1136" s="304"/>
      <c r="AT1136" s="304"/>
      <c r="AU1136" s="304"/>
      <c r="AV1136" s="304"/>
      <c r="AW1136" s="304"/>
      <c r="AX1136" s="304"/>
      <c r="AY1136" s="304"/>
      <c r="AZ1136" s="304"/>
      <c r="BA1136" s="304"/>
      <c r="BB1136" s="304"/>
      <c r="BC1136" s="304"/>
      <c r="BK1136" s="305"/>
      <c r="BL1136" s="305"/>
      <c r="BM1136" s="305"/>
      <c r="BN1136" s="305"/>
      <c r="BO1136" s="305"/>
      <c r="BP1136" s="305"/>
      <c r="BQ1136" s="305"/>
      <c r="BR1136" s="305"/>
      <c r="BS1136" s="305"/>
      <c r="BT1136" s="305"/>
      <c r="BU1136" s="305"/>
      <c r="BV1136" s="305"/>
      <c r="BX1136" s="319"/>
    </row>
    <row r="1137" spans="1:76" s="303" customFormat="1" x14ac:dyDescent="0.25">
      <c r="A1137" s="275"/>
      <c r="B1137" s="275"/>
      <c r="C1137" s="275"/>
      <c r="D1137" s="275"/>
      <c r="E1137" s="275"/>
      <c r="F1137" s="275"/>
      <c r="V1137" s="304"/>
      <c r="W1137" s="304"/>
      <c r="AD1137" s="304"/>
      <c r="AE1137" s="304"/>
      <c r="AR1137" s="304"/>
      <c r="AS1137" s="304"/>
      <c r="AT1137" s="304"/>
      <c r="AU1137" s="304"/>
      <c r="AV1137" s="304"/>
      <c r="AW1137" s="304"/>
      <c r="AX1137" s="304"/>
      <c r="AY1137" s="304"/>
      <c r="AZ1137" s="304"/>
      <c r="BA1137" s="304"/>
      <c r="BB1137" s="304"/>
      <c r="BC1137" s="304"/>
      <c r="BK1137" s="305"/>
      <c r="BL1137" s="305"/>
      <c r="BM1137" s="305"/>
      <c r="BN1137" s="305"/>
      <c r="BO1137" s="305"/>
      <c r="BP1137" s="305"/>
      <c r="BQ1137" s="305"/>
      <c r="BR1137" s="305"/>
      <c r="BS1137" s="305"/>
      <c r="BT1137" s="305"/>
      <c r="BU1137" s="305"/>
      <c r="BV1137" s="305"/>
      <c r="BX1137" s="319"/>
    </row>
    <row r="1138" spans="1:76" s="303" customFormat="1" x14ac:dyDescent="0.25">
      <c r="A1138" s="275"/>
      <c r="B1138" s="275"/>
      <c r="C1138" s="275"/>
      <c r="D1138" s="275"/>
      <c r="E1138" s="275"/>
      <c r="F1138" s="275"/>
      <c r="V1138" s="304"/>
      <c r="W1138" s="304"/>
      <c r="AD1138" s="304"/>
      <c r="AE1138" s="304"/>
      <c r="AR1138" s="304"/>
      <c r="AS1138" s="304"/>
      <c r="AT1138" s="304"/>
      <c r="AU1138" s="304"/>
      <c r="AV1138" s="304"/>
      <c r="AW1138" s="304"/>
      <c r="AX1138" s="304"/>
      <c r="AY1138" s="304"/>
      <c r="AZ1138" s="304"/>
      <c r="BA1138" s="304"/>
      <c r="BB1138" s="304"/>
      <c r="BC1138" s="304"/>
      <c r="BK1138" s="305"/>
      <c r="BL1138" s="305"/>
      <c r="BM1138" s="305"/>
      <c r="BN1138" s="305"/>
      <c r="BO1138" s="305"/>
      <c r="BP1138" s="305"/>
      <c r="BQ1138" s="305"/>
      <c r="BR1138" s="305"/>
      <c r="BS1138" s="305"/>
      <c r="BT1138" s="305"/>
      <c r="BU1138" s="305"/>
      <c r="BV1138" s="305"/>
      <c r="BX1138" s="319"/>
    </row>
    <row r="1139" spans="1:76" s="303" customFormat="1" x14ac:dyDescent="0.25">
      <c r="A1139" s="275"/>
      <c r="B1139" s="275"/>
      <c r="C1139" s="275"/>
      <c r="D1139" s="275"/>
      <c r="E1139" s="275"/>
      <c r="F1139" s="275"/>
      <c r="V1139" s="304"/>
      <c r="W1139" s="304"/>
      <c r="AD1139" s="304"/>
      <c r="AE1139" s="304"/>
      <c r="AR1139" s="304"/>
      <c r="AS1139" s="304"/>
      <c r="AT1139" s="304"/>
      <c r="AU1139" s="304"/>
      <c r="AV1139" s="304"/>
      <c r="AW1139" s="304"/>
      <c r="AX1139" s="304"/>
      <c r="AY1139" s="304"/>
      <c r="AZ1139" s="304"/>
      <c r="BA1139" s="304"/>
      <c r="BB1139" s="304"/>
      <c r="BC1139" s="304"/>
      <c r="BK1139" s="305"/>
      <c r="BL1139" s="305"/>
      <c r="BM1139" s="305"/>
      <c r="BN1139" s="305"/>
      <c r="BO1139" s="305"/>
      <c r="BP1139" s="305"/>
      <c r="BQ1139" s="305"/>
      <c r="BR1139" s="305"/>
      <c r="BS1139" s="305"/>
      <c r="BT1139" s="305"/>
      <c r="BU1139" s="305"/>
      <c r="BV1139" s="305"/>
      <c r="BX1139" s="319"/>
    </row>
    <row r="1140" spans="1:76" s="303" customFormat="1" x14ac:dyDescent="0.25">
      <c r="A1140" s="275"/>
      <c r="B1140" s="275"/>
      <c r="C1140" s="275"/>
      <c r="D1140" s="275"/>
      <c r="E1140" s="275"/>
      <c r="F1140" s="275"/>
      <c r="V1140" s="304"/>
      <c r="W1140" s="304"/>
      <c r="AD1140" s="304"/>
      <c r="AE1140" s="304"/>
      <c r="AR1140" s="304"/>
      <c r="AS1140" s="304"/>
      <c r="AT1140" s="304"/>
      <c r="AU1140" s="304"/>
      <c r="AV1140" s="304"/>
      <c r="AW1140" s="304"/>
      <c r="AX1140" s="304"/>
      <c r="AY1140" s="304"/>
      <c r="AZ1140" s="304"/>
      <c r="BA1140" s="304"/>
      <c r="BB1140" s="304"/>
      <c r="BC1140" s="304"/>
      <c r="BK1140" s="305"/>
      <c r="BL1140" s="305"/>
      <c r="BM1140" s="305"/>
      <c r="BN1140" s="305"/>
      <c r="BO1140" s="305"/>
      <c r="BP1140" s="305"/>
      <c r="BQ1140" s="305"/>
      <c r="BR1140" s="305"/>
      <c r="BS1140" s="305"/>
      <c r="BT1140" s="305"/>
      <c r="BU1140" s="305"/>
      <c r="BV1140" s="305"/>
      <c r="BX1140" s="319"/>
    </row>
    <row r="1141" spans="1:76" s="303" customFormat="1" x14ac:dyDescent="0.25">
      <c r="A1141" s="275"/>
      <c r="B1141" s="275"/>
      <c r="C1141" s="275"/>
      <c r="D1141" s="275"/>
      <c r="E1141" s="275"/>
      <c r="F1141" s="275"/>
      <c r="V1141" s="304"/>
      <c r="W1141" s="304"/>
      <c r="AD1141" s="304"/>
      <c r="AE1141" s="304"/>
      <c r="AR1141" s="304"/>
      <c r="AS1141" s="304"/>
      <c r="AT1141" s="304"/>
      <c r="AU1141" s="304"/>
      <c r="AV1141" s="304"/>
      <c r="AW1141" s="304"/>
      <c r="AX1141" s="304"/>
      <c r="AY1141" s="304"/>
      <c r="AZ1141" s="304"/>
      <c r="BA1141" s="304"/>
      <c r="BB1141" s="304"/>
      <c r="BC1141" s="304"/>
      <c r="BK1141" s="305"/>
      <c r="BL1141" s="305"/>
      <c r="BM1141" s="305"/>
      <c r="BN1141" s="305"/>
      <c r="BO1141" s="305"/>
      <c r="BP1141" s="305"/>
      <c r="BQ1141" s="305"/>
      <c r="BR1141" s="305"/>
      <c r="BS1141" s="305"/>
      <c r="BT1141" s="305"/>
      <c r="BU1141" s="305"/>
      <c r="BV1141" s="305"/>
      <c r="BX1141" s="319"/>
    </row>
    <row r="1142" spans="1:76" s="303" customFormat="1" x14ac:dyDescent="0.25">
      <c r="A1142" s="275"/>
      <c r="B1142" s="275"/>
      <c r="C1142" s="275"/>
      <c r="D1142" s="275"/>
      <c r="E1142" s="275"/>
      <c r="F1142" s="275"/>
      <c r="V1142" s="304"/>
      <c r="W1142" s="304"/>
      <c r="AD1142" s="304"/>
      <c r="AE1142" s="304"/>
      <c r="AR1142" s="304"/>
      <c r="AS1142" s="304"/>
      <c r="AT1142" s="304"/>
      <c r="AU1142" s="304"/>
      <c r="AV1142" s="304"/>
      <c r="AW1142" s="304"/>
      <c r="AX1142" s="304"/>
      <c r="AY1142" s="304"/>
      <c r="AZ1142" s="304"/>
      <c r="BA1142" s="304"/>
      <c r="BB1142" s="304"/>
      <c r="BC1142" s="304"/>
      <c r="BK1142" s="305"/>
      <c r="BL1142" s="305"/>
      <c r="BM1142" s="305"/>
      <c r="BN1142" s="305"/>
      <c r="BO1142" s="305"/>
      <c r="BP1142" s="305"/>
      <c r="BQ1142" s="305"/>
      <c r="BR1142" s="305"/>
      <c r="BS1142" s="305"/>
      <c r="BT1142" s="305"/>
      <c r="BU1142" s="305"/>
      <c r="BV1142" s="305"/>
      <c r="BX1142" s="319"/>
    </row>
    <row r="1143" spans="1:76" s="303" customFormat="1" x14ac:dyDescent="0.25">
      <c r="A1143" s="275"/>
      <c r="B1143" s="275"/>
      <c r="C1143" s="275"/>
      <c r="D1143" s="275"/>
      <c r="E1143" s="275"/>
      <c r="F1143" s="275"/>
      <c r="V1143" s="304"/>
      <c r="W1143" s="304"/>
      <c r="AD1143" s="304"/>
      <c r="AE1143" s="304"/>
      <c r="AR1143" s="304"/>
      <c r="AS1143" s="304"/>
      <c r="AT1143" s="304"/>
      <c r="AU1143" s="304"/>
      <c r="AV1143" s="304"/>
      <c r="AW1143" s="304"/>
      <c r="AX1143" s="304"/>
      <c r="AY1143" s="304"/>
      <c r="AZ1143" s="304"/>
      <c r="BA1143" s="304"/>
      <c r="BB1143" s="304"/>
      <c r="BC1143" s="304"/>
      <c r="BK1143" s="305"/>
      <c r="BL1143" s="305"/>
      <c r="BM1143" s="305"/>
      <c r="BN1143" s="305"/>
      <c r="BO1143" s="305"/>
      <c r="BP1143" s="305"/>
      <c r="BQ1143" s="305"/>
      <c r="BR1143" s="305"/>
      <c r="BS1143" s="305"/>
      <c r="BT1143" s="305"/>
      <c r="BU1143" s="305"/>
      <c r="BV1143" s="305"/>
      <c r="BX1143" s="319"/>
    </row>
    <row r="1144" spans="1:76" s="303" customFormat="1" x14ac:dyDescent="0.25">
      <c r="A1144" s="275"/>
      <c r="B1144" s="275"/>
      <c r="C1144" s="275"/>
      <c r="D1144" s="275"/>
      <c r="E1144" s="275"/>
      <c r="F1144" s="275"/>
      <c r="V1144" s="304"/>
      <c r="W1144" s="304"/>
      <c r="AD1144" s="304"/>
      <c r="AE1144" s="304"/>
      <c r="AR1144" s="304"/>
      <c r="AS1144" s="304"/>
      <c r="AT1144" s="304"/>
      <c r="AU1144" s="304"/>
      <c r="AV1144" s="304"/>
      <c r="AW1144" s="304"/>
      <c r="AX1144" s="304"/>
      <c r="AY1144" s="304"/>
      <c r="AZ1144" s="304"/>
      <c r="BA1144" s="304"/>
      <c r="BB1144" s="304"/>
      <c r="BC1144" s="304"/>
      <c r="BK1144" s="305"/>
      <c r="BL1144" s="305"/>
      <c r="BM1144" s="305"/>
      <c r="BN1144" s="305"/>
      <c r="BO1144" s="305"/>
      <c r="BP1144" s="305"/>
      <c r="BQ1144" s="305"/>
      <c r="BR1144" s="305"/>
      <c r="BS1144" s="305"/>
      <c r="BT1144" s="305"/>
      <c r="BU1144" s="305"/>
      <c r="BV1144" s="305"/>
      <c r="BX1144" s="319"/>
    </row>
    <row r="1145" spans="1:76" s="303" customFormat="1" x14ac:dyDescent="0.25">
      <c r="A1145" s="275"/>
      <c r="B1145" s="275"/>
      <c r="C1145" s="275"/>
      <c r="D1145" s="275"/>
      <c r="E1145" s="275"/>
      <c r="F1145" s="275"/>
      <c r="V1145" s="304"/>
      <c r="W1145" s="304"/>
      <c r="AD1145" s="304"/>
      <c r="AE1145" s="304"/>
      <c r="AR1145" s="304"/>
      <c r="AS1145" s="304"/>
      <c r="AT1145" s="304"/>
      <c r="AU1145" s="304"/>
      <c r="AV1145" s="304"/>
      <c r="AW1145" s="304"/>
      <c r="AX1145" s="304"/>
      <c r="AY1145" s="304"/>
      <c r="AZ1145" s="304"/>
      <c r="BA1145" s="304"/>
      <c r="BB1145" s="304"/>
      <c r="BC1145" s="304"/>
      <c r="BK1145" s="305"/>
      <c r="BL1145" s="305"/>
      <c r="BM1145" s="305"/>
      <c r="BN1145" s="305"/>
      <c r="BO1145" s="305"/>
      <c r="BP1145" s="305"/>
      <c r="BQ1145" s="305"/>
      <c r="BR1145" s="305"/>
      <c r="BS1145" s="305"/>
      <c r="BT1145" s="305"/>
      <c r="BU1145" s="305"/>
      <c r="BV1145" s="305"/>
      <c r="BX1145" s="319"/>
    </row>
    <row r="1146" spans="1:76" s="303" customFormat="1" x14ac:dyDescent="0.25">
      <c r="A1146" s="275"/>
      <c r="B1146" s="275"/>
      <c r="C1146" s="275"/>
      <c r="D1146" s="275"/>
      <c r="E1146" s="275"/>
      <c r="F1146" s="275"/>
      <c r="V1146" s="304"/>
      <c r="W1146" s="304"/>
      <c r="AD1146" s="304"/>
      <c r="AE1146" s="304"/>
      <c r="AR1146" s="304"/>
      <c r="AS1146" s="304"/>
      <c r="AT1146" s="304"/>
      <c r="AU1146" s="304"/>
      <c r="AV1146" s="304"/>
      <c r="AW1146" s="304"/>
      <c r="AX1146" s="304"/>
      <c r="AY1146" s="304"/>
      <c r="AZ1146" s="304"/>
      <c r="BA1146" s="304"/>
      <c r="BB1146" s="304"/>
      <c r="BC1146" s="304"/>
      <c r="BK1146" s="305"/>
      <c r="BL1146" s="305"/>
      <c r="BM1146" s="305"/>
      <c r="BN1146" s="305"/>
      <c r="BO1146" s="305"/>
      <c r="BP1146" s="305"/>
      <c r="BQ1146" s="305"/>
      <c r="BR1146" s="305"/>
      <c r="BS1146" s="305"/>
      <c r="BT1146" s="305"/>
      <c r="BU1146" s="305"/>
      <c r="BV1146" s="305"/>
      <c r="BX1146" s="319"/>
    </row>
    <row r="1147" spans="1:76" s="303" customFormat="1" x14ac:dyDescent="0.25">
      <c r="A1147" s="275"/>
      <c r="B1147" s="275"/>
      <c r="C1147" s="275"/>
      <c r="D1147" s="275"/>
      <c r="E1147" s="275"/>
      <c r="F1147" s="275"/>
      <c r="V1147" s="304"/>
      <c r="W1147" s="304"/>
      <c r="AD1147" s="304"/>
      <c r="AE1147" s="304"/>
      <c r="AR1147" s="304"/>
      <c r="AS1147" s="304"/>
      <c r="AT1147" s="304"/>
      <c r="AU1147" s="304"/>
      <c r="AV1147" s="304"/>
      <c r="AW1147" s="304"/>
      <c r="AX1147" s="304"/>
      <c r="AY1147" s="304"/>
      <c r="AZ1147" s="304"/>
      <c r="BA1147" s="304"/>
      <c r="BB1147" s="304"/>
      <c r="BC1147" s="304"/>
      <c r="BK1147" s="305"/>
      <c r="BL1147" s="305"/>
      <c r="BM1147" s="305"/>
      <c r="BN1147" s="305"/>
      <c r="BO1147" s="305"/>
      <c r="BP1147" s="305"/>
      <c r="BQ1147" s="305"/>
      <c r="BR1147" s="305"/>
      <c r="BS1147" s="305"/>
      <c r="BT1147" s="305"/>
      <c r="BU1147" s="305"/>
      <c r="BV1147" s="305"/>
      <c r="BX1147" s="319"/>
    </row>
    <row r="1148" spans="1:76" s="303" customFormat="1" x14ac:dyDescent="0.25">
      <c r="A1148" s="275"/>
      <c r="B1148" s="275"/>
      <c r="C1148" s="275"/>
      <c r="D1148" s="275"/>
      <c r="E1148" s="275"/>
      <c r="F1148" s="275"/>
      <c r="V1148" s="304"/>
      <c r="W1148" s="304"/>
      <c r="AD1148" s="304"/>
      <c r="AE1148" s="304"/>
      <c r="AR1148" s="304"/>
      <c r="AS1148" s="304"/>
      <c r="AT1148" s="304"/>
      <c r="AU1148" s="304"/>
      <c r="AV1148" s="304"/>
      <c r="AW1148" s="304"/>
      <c r="AX1148" s="304"/>
      <c r="AY1148" s="304"/>
      <c r="AZ1148" s="304"/>
      <c r="BA1148" s="304"/>
      <c r="BB1148" s="304"/>
      <c r="BC1148" s="304"/>
      <c r="BK1148" s="305"/>
      <c r="BL1148" s="305"/>
      <c r="BM1148" s="305"/>
      <c r="BN1148" s="305"/>
      <c r="BO1148" s="305"/>
      <c r="BP1148" s="305"/>
      <c r="BQ1148" s="305"/>
      <c r="BR1148" s="305"/>
      <c r="BS1148" s="305"/>
      <c r="BT1148" s="305"/>
      <c r="BU1148" s="305"/>
      <c r="BV1148" s="305"/>
      <c r="BX1148" s="319"/>
    </row>
    <row r="1149" spans="1:76" s="303" customFormat="1" x14ac:dyDescent="0.25">
      <c r="A1149" s="275"/>
      <c r="B1149" s="275"/>
      <c r="C1149" s="275"/>
      <c r="D1149" s="275"/>
      <c r="E1149" s="275"/>
      <c r="F1149" s="275"/>
      <c r="V1149" s="304"/>
      <c r="W1149" s="304"/>
      <c r="AD1149" s="304"/>
      <c r="AE1149" s="304"/>
      <c r="AR1149" s="304"/>
      <c r="AS1149" s="304"/>
      <c r="AT1149" s="304"/>
      <c r="AU1149" s="304"/>
      <c r="AV1149" s="304"/>
      <c r="AW1149" s="304"/>
      <c r="AX1149" s="304"/>
      <c r="AY1149" s="304"/>
      <c r="AZ1149" s="304"/>
      <c r="BA1149" s="304"/>
      <c r="BB1149" s="304"/>
      <c r="BC1149" s="304"/>
      <c r="BK1149" s="305"/>
      <c r="BL1149" s="305"/>
      <c r="BM1149" s="305"/>
      <c r="BN1149" s="305"/>
      <c r="BO1149" s="305"/>
      <c r="BP1149" s="305"/>
      <c r="BQ1149" s="305"/>
      <c r="BR1149" s="305"/>
      <c r="BS1149" s="305"/>
      <c r="BT1149" s="305"/>
      <c r="BU1149" s="305"/>
      <c r="BV1149" s="305"/>
      <c r="BX1149" s="319"/>
    </row>
    <row r="1150" spans="1:76" s="303" customFormat="1" x14ac:dyDescent="0.25">
      <c r="A1150" s="275"/>
      <c r="B1150" s="275"/>
      <c r="C1150" s="275"/>
      <c r="D1150" s="275"/>
      <c r="E1150" s="275"/>
      <c r="F1150" s="275"/>
      <c r="V1150" s="304"/>
      <c r="W1150" s="304"/>
      <c r="AD1150" s="304"/>
      <c r="AE1150" s="304"/>
      <c r="AR1150" s="304"/>
      <c r="AS1150" s="304"/>
      <c r="AT1150" s="304"/>
      <c r="AU1150" s="304"/>
      <c r="AV1150" s="304"/>
      <c r="AW1150" s="304"/>
      <c r="AX1150" s="304"/>
      <c r="AY1150" s="304"/>
      <c r="AZ1150" s="304"/>
      <c r="BA1150" s="304"/>
      <c r="BB1150" s="304"/>
      <c r="BC1150" s="304"/>
      <c r="BK1150" s="305"/>
      <c r="BL1150" s="305"/>
      <c r="BM1150" s="305"/>
      <c r="BN1150" s="305"/>
      <c r="BO1150" s="305"/>
      <c r="BP1150" s="305"/>
      <c r="BQ1150" s="305"/>
      <c r="BR1150" s="305"/>
      <c r="BS1150" s="305"/>
      <c r="BT1150" s="305"/>
      <c r="BU1150" s="305"/>
      <c r="BV1150" s="305"/>
      <c r="BX1150" s="319"/>
    </row>
    <row r="1151" spans="1:76" s="303" customFormat="1" x14ac:dyDescent="0.25">
      <c r="A1151" s="275"/>
      <c r="B1151" s="275"/>
      <c r="C1151" s="275"/>
      <c r="D1151" s="275"/>
      <c r="E1151" s="275"/>
      <c r="F1151" s="275"/>
      <c r="V1151" s="304"/>
      <c r="W1151" s="304"/>
      <c r="AD1151" s="304"/>
      <c r="AE1151" s="304"/>
      <c r="AR1151" s="304"/>
      <c r="AS1151" s="304"/>
      <c r="AT1151" s="304"/>
      <c r="AU1151" s="304"/>
      <c r="AV1151" s="304"/>
      <c r="AW1151" s="304"/>
      <c r="AX1151" s="304"/>
      <c r="AY1151" s="304"/>
      <c r="AZ1151" s="304"/>
      <c r="BA1151" s="304"/>
      <c r="BB1151" s="304"/>
      <c r="BC1151" s="304"/>
      <c r="BK1151" s="305"/>
      <c r="BL1151" s="305"/>
      <c r="BM1151" s="305"/>
      <c r="BN1151" s="305"/>
      <c r="BO1151" s="305"/>
      <c r="BP1151" s="305"/>
      <c r="BQ1151" s="305"/>
      <c r="BR1151" s="305"/>
      <c r="BS1151" s="305"/>
      <c r="BT1151" s="305"/>
      <c r="BU1151" s="305"/>
      <c r="BV1151" s="305"/>
      <c r="BX1151" s="319"/>
    </row>
    <row r="1152" spans="1:76" s="303" customFormat="1" x14ac:dyDescent="0.25">
      <c r="A1152" s="275"/>
      <c r="B1152" s="275"/>
      <c r="C1152" s="275"/>
      <c r="D1152" s="275"/>
      <c r="E1152" s="275"/>
      <c r="F1152" s="275"/>
      <c r="V1152" s="304"/>
      <c r="W1152" s="304"/>
      <c r="AD1152" s="304"/>
      <c r="AE1152" s="304"/>
      <c r="AR1152" s="304"/>
      <c r="AS1152" s="304"/>
      <c r="AT1152" s="304"/>
      <c r="AU1152" s="304"/>
      <c r="AV1152" s="304"/>
      <c r="AW1152" s="304"/>
      <c r="AX1152" s="304"/>
      <c r="AY1152" s="304"/>
      <c r="AZ1152" s="304"/>
      <c r="BA1152" s="304"/>
      <c r="BB1152" s="304"/>
      <c r="BC1152" s="304"/>
      <c r="BK1152" s="305"/>
      <c r="BL1152" s="305"/>
      <c r="BM1152" s="305"/>
      <c r="BN1152" s="305"/>
      <c r="BO1152" s="305"/>
      <c r="BP1152" s="305"/>
      <c r="BQ1152" s="305"/>
      <c r="BR1152" s="305"/>
      <c r="BS1152" s="305"/>
      <c r="BT1152" s="305"/>
      <c r="BU1152" s="305"/>
      <c r="BV1152" s="305"/>
      <c r="BX1152" s="319"/>
    </row>
    <row r="1153" spans="1:76" s="303" customFormat="1" x14ac:dyDescent="0.25">
      <c r="A1153" s="275"/>
      <c r="B1153" s="275"/>
      <c r="C1153" s="275"/>
      <c r="D1153" s="275"/>
      <c r="E1153" s="275"/>
      <c r="F1153" s="275"/>
      <c r="V1153" s="304"/>
      <c r="W1153" s="304"/>
      <c r="AD1153" s="304"/>
      <c r="AE1153" s="304"/>
      <c r="AR1153" s="304"/>
      <c r="AS1153" s="304"/>
      <c r="AT1153" s="304"/>
      <c r="AU1153" s="304"/>
      <c r="AV1153" s="304"/>
      <c r="AW1153" s="304"/>
      <c r="AX1153" s="304"/>
      <c r="AY1153" s="304"/>
      <c r="AZ1153" s="304"/>
      <c r="BA1153" s="304"/>
      <c r="BB1153" s="304"/>
      <c r="BC1153" s="304"/>
      <c r="BK1153" s="305"/>
      <c r="BL1153" s="305"/>
      <c r="BM1153" s="305"/>
      <c r="BN1153" s="305"/>
      <c r="BO1153" s="305"/>
      <c r="BP1153" s="305"/>
      <c r="BQ1153" s="305"/>
      <c r="BR1153" s="305"/>
      <c r="BS1153" s="305"/>
      <c r="BT1153" s="305"/>
      <c r="BU1153" s="305"/>
      <c r="BV1153" s="305"/>
      <c r="BX1153" s="319"/>
    </row>
    <row r="1154" spans="1:76" s="303" customFormat="1" x14ac:dyDescent="0.25">
      <c r="A1154" s="275"/>
      <c r="B1154" s="275"/>
      <c r="C1154" s="275"/>
      <c r="D1154" s="275"/>
      <c r="E1154" s="275"/>
      <c r="F1154" s="275"/>
      <c r="V1154" s="304"/>
      <c r="W1154" s="304"/>
      <c r="AD1154" s="304"/>
      <c r="AE1154" s="304"/>
      <c r="AR1154" s="304"/>
      <c r="AS1154" s="304"/>
      <c r="AT1154" s="304"/>
      <c r="AU1154" s="304"/>
      <c r="AV1154" s="304"/>
      <c r="AW1154" s="304"/>
      <c r="AX1154" s="304"/>
      <c r="AY1154" s="304"/>
      <c r="AZ1154" s="304"/>
      <c r="BA1154" s="304"/>
      <c r="BB1154" s="304"/>
      <c r="BC1154" s="304"/>
      <c r="BK1154" s="305"/>
      <c r="BL1154" s="305"/>
      <c r="BM1154" s="305"/>
      <c r="BN1154" s="305"/>
      <c r="BO1154" s="305"/>
      <c r="BP1154" s="305"/>
      <c r="BQ1154" s="305"/>
      <c r="BR1154" s="305"/>
      <c r="BS1154" s="305"/>
      <c r="BT1154" s="305"/>
      <c r="BU1154" s="305"/>
      <c r="BV1154" s="305"/>
      <c r="BX1154" s="319"/>
    </row>
    <row r="1155" spans="1:76" s="303" customFormat="1" x14ac:dyDescent="0.25">
      <c r="A1155" s="275"/>
      <c r="B1155" s="275"/>
      <c r="C1155" s="275"/>
      <c r="D1155" s="275"/>
      <c r="E1155" s="275"/>
      <c r="F1155" s="275"/>
      <c r="V1155" s="304"/>
      <c r="W1155" s="304"/>
      <c r="AD1155" s="304"/>
      <c r="AE1155" s="304"/>
      <c r="AR1155" s="304"/>
      <c r="AS1155" s="304"/>
      <c r="AT1155" s="304"/>
      <c r="AU1155" s="304"/>
      <c r="AV1155" s="304"/>
      <c r="AW1155" s="304"/>
      <c r="AX1155" s="304"/>
      <c r="AY1155" s="304"/>
      <c r="AZ1155" s="304"/>
      <c r="BA1155" s="304"/>
      <c r="BB1155" s="304"/>
      <c r="BC1155" s="304"/>
      <c r="BK1155" s="305"/>
      <c r="BL1155" s="305"/>
      <c r="BM1155" s="305"/>
      <c r="BN1155" s="305"/>
      <c r="BO1155" s="305"/>
      <c r="BP1155" s="305"/>
      <c r="BQ1155" s="305"/>
      <c r="BR1155" s="305"/>
      <c r="BS1155" s="305"/>
      <c r="BT1155" s="305"/>
      <c r="BU1155" s="305"/>
      <c r="BV1155" s="305"/>
      <c r="BX1155" s="319"/>
    </row>
    <row r="1156" spans="1:76" s="303" customFormat="1" x14ac:dyDescent="0.25">
      <c r="A1156" s="275"/>
      <c r="B1156" s="275"/>
      <c r="C1156" s="275"/>
      <c r="D1156" s="275"/>
      <c r="E1156" s="275"/>
      <c r="F1156" s="275"/>
      <c r="V1156" s="304"/>
      <c r="W1156" s="304"/>
      <c r="AD1156" s="304"/>
      <c r="AE1156" s="304"/>
      <c r="AR1156" s="304"/>
      <c r="AS1156" s="304"/>
      <c r="AT1156" s="304"/>
      <c r="AU1156" s="304"/>
      <c r="AV1156" s="304"/>
      <c r="AW1156" s="304"/>
      <c r="AX1156" s="304"/>
      <c r="AY1156" s="304"/>
      <c r="AZ1156" s="304"/>
      <c r="BA1156" s="304"/>
      <c r="BB1156" s="304"/>
      <c r="BC1156" s="304"/>
      <c r="BK1156" s="305"/>
      <c r="BL1156" s="305"/>
      <c r="BM1156" s="305"/>
      <c r="BN1156" s="305"/>
      <c r="BO1156" s="305"/>
      <c r="BP1156" s="305"/>
      <c r="BQ1156" s="305"/>
      <c r="BR1156" s="305"/>
      <c r="BS1156" s="305"/>
      <c r="BT1156" s="305"/>
      <c r="BU1156" s="305"/>
      <c r="BV1156" s="305"/>
      <c r="BX1156" s="319"/>
    </row>
    <row r="1157" spans="1:76" s="303" customFormat="1" x14ac:dyDescent="0.25">
      <c r="A1157" s="275"/>
      <c r="B1157" s="275"/>
      <c r="C1157" s="275"/>
      <c r="D1157" s="275"/>
      <c r="E1157" s="275"/>
      <c r="F1157" s="275"/>
      <c r="V1157" s="304"/>
      <c r="W1157" s="304"/>
      <c r="AD1157" s="304"/>
      <c r="AE1157" s="304"/>
      <c r="AR1157" s="304"/>
      <c r="AS1157" s="304"/>
      <c r="AT1157" s="304"/>
      <c r="AU1157" s="304"/>
      <c r="AV1157" s="304"/>
      <c r="AW1157" s="304"/>
      <c r="AX1157" s="304"/>
      <c r="AY1157" s="304"/>
      <c r="AZ1157" s="304"/>
      <c r="BA1157" s="304"/>
      <c r="BB1157" s="304"/>
      <c r="BC1157" s="304"/>
      <c r="BK1157" s="305"/>
      <c r="BL1157" s="305"/>
      <c r="BM1157" s="305"/>
      <c r="BN1157" s="305"/>
      <c r="BO1157" s="305"/>
      <c r="BP1157" s="305"/>
      <c r="BQ1157" s="305"/>
      <c r="BR1157" s="305"/>
      <c r="BS1157" s="305"/>
      <c r="BT1157" s="305"/>
      <c r="BU1157" s="305"/>
      <c r="BV1157" s="305"/>
      <c r="BX1157" s="319"/>
    </row>
    <row r="1158" spans="1:76" s="303" customFormat="1" x14ac:dyDescent="0.25">
      <c r="A1158" s="275"/>
      <c r="B1158" s="275"/>
      <c r="C1158" s="275"/>
      <c r="D1158" s="275"/>
      <c r="E1158" s="275"/>
      <c r="F1158" s="275"/>
      <c r="V1158" s="304"/>
      <c r="W1158" s="304"/>
      <c r="AD1158" s="304"/>
      <c r="AE1158" s="304"/>
      <c r="AR1158" s="304"/>
      <c r="AS1158" s="304"/>
      <c r="AT1158" s="304"/>
      <c r="AU1158" s="304"/>
      <c r="AV1158" s="304"/>
      <c r="AW1158" s="304"/>
      <c r="AX1158" s="304"/>
      <c r="AY1158" s="304"/>
      <c r="AZ1158" s="304"/>
      <c r="BA1158" s="304"/>
      <c r="BB1158" s="304"/>
      <c r="BC1158" s="304"/>
      <c r="BK1158" s="305"/>
      <c r="BL1158" s="305"/>
      <c r="BM1158" s="305"/>
      <c r="BN1158" s="305"/>
      <c r="BO1158" s="305"/>
      <c r="BP1158" s="305"/>
      <c r="BQ1158" s="305"/>
      <c r="BR1158" s="305"/>
      <c r="BS1158" s="305"/>
      <c r="BT1158" s="305"/>
      <c r="BU1158" s="305"/>
      <c r="BV1158" s="305"/>
      <c r="BX1158" s="319"/>
    </row>
    <row r="1159" spans="1:76" s="303" customFormat="1" x14ac:dyDescent="0.25">
      <c r="A1159" s="275"/>
      <c r="B1159" s="275"/>
      <c r="C1159" s="275"/>
      <c r="D1159" s="275"/>
      <c r="E1159" s="275"/>
      <c r="F1159" s="275"/>
      <c r="V1159" s="304"/>
      <c r="W1159" s="304"/>
      <c r="AD1159" s="304"/>
      <c r="AE1159" s="304"/>
      <c r="AR1159" s="304"/>
      <c r="AS1159" s="304"/>
      <c r="AT1159" s="304"/>
      <c r="AU1159" s="304"/>
      <c r="AV1159" s="304"/>
      <c r="AW1159" s="304"/>
      <c r="AX1159" s="304"/>
      <c r="AY1159" s="304"/>
      <c r="AZ1159" s="304"/>
      <c r="BA1159" s="304"/>
      <c r="BB1159" s="304"/>
      <c r="BC1159" s="304"/>
      <c r="BK1159" s="305"/>
      <c r="BL1159" s="305"/>
      <c r="BM1159" s="305"/>
      <c r="BN1159" s="305"/>
      <c r="BO1159" s="305"/>
      <c r="BP1159" s="305"/>
      <c r="BQ1159" s="305"/>
      <c r="BR1159" s="305"/>
      <c r="BS1159" s="305"/>
      <c r="BT1159" s="305"/>
      <c r="BU1159" s="305"/>
      <c r="BV1159" s="305"/>
      <c r="BX1159" s="319"/>
    </row>
    <row r="1160" spans="1:76" s="303" customFormat="1" x14ac:dyDescent="0.25">
      <c r="A1160" s="275"/>
      <c r="B1160" s="275"/>
      <c r="C1160" s="275"/>
      <c r="D1160" s="275"/>
      <c r="E1160" s="275"/>
      <c r="F1160" s="275"/>
      <c r="V1160" s="304"/>
      <c r="W1160" s="304"/>
      <c r="AD1160" s="304"/>
      <c r="AE1160" s="304"/>
      <c r="AR1160" s="304"/>
      <c r="AS1160" s="304"/>
      <c r="AT1160" s="304"/>
      <c r="AU1160" s="304"/>
      <c r="AV1160" s="304"/>
      <c r="AW1160" s="304"/>
      <c r="AX1160" s="304"/>
      <c r="AY1160" s="304"/>
      <c r="AZ1160" s="304"/>
      <c r="BA1160" s="304"/>
      <c r="BB1160" s="304"/>
      <c r="BC1160" s="304"/>
      <c r="BK1160" s="305"/>
      <c r="BL1160" s="305"/>
      <c r="BM1160" s="305"/>
      <c r="BN1160" s="305"/>
      <c r="BO1160" s="305"/>
      <c r="BP1160" s="305"/>
      <c r="BQ1160" s="305"/>
      <c r="BR1160" s="305"/>
      <c r="BS1160" s="305"/>
      <c r="BT1160" s="305"/>
      <c r="BU1160" s="305"/>
      <c r="BV1160" s="305"/>
      <c r="BX1160" s="319"/>
    </row>
    <row r="1161" spans="1:76" s="303" customFormat="1" x14ac:dyDescent="0.25">
      <c r="A1161" s="275"/>
      <c r="B1161" s="275"/>
      <c r="C1161" s="275"/>
      <c r="D1161" s="275"/>
      <c r="E1161" s="275"/>
      <c r="F1161" s="275"/>
      <c r="V1161" s="304"/>
      <c r="W1161" s="304"/>
      <c r="AD1161" s="304"/>
      <c r="AE1161" s="304"/>
      <c r="AR1161" s="304"/>
      <c r="AS1161" s="304"/>
      <c r="AT1161" s="304"/>
      <c r="AU1161" s="304"/>
      <c r="AV1161" s="304"/>
      <c r="AW1161" s="304"/>
      <c r="AX1161" s="304"/>
      <c r="AY1161" s="304"/>
      <c r="AZ1161" s="304"/>
      <c r="BA1161" s="304"/>
      <c r="BB1161" s="304"/>
      <c r="BC1161" s="304"/>
      <c r="BK1161" s="305"/>
      <c r="BL1161" s="305"/>
      <c r="BM1161" s="305"/>
      <c r="BN1161" s="305"/>
      <c r="BO1161" s="305"/>
      <c r="BP1161" s="305"/>
      <c r="BQ1161" s="305"/>
      <c r="BR1161" s="305"/>
      <c r="BS1161" s="305"/>
      <c r="BT1161" s="305"/>
      <c r="BU1161" s="305"/>
      <c r="BV1161" s="305"/>
      <c r="BX1161" s="319"/>
    </row>
    <row r="1162" spans="1:76" s="303" customFormat="1" x14ac:dyDescent="0.25">
      <c r="A1162" s="275"/>
      <c r="B1162" s="275"/>
      <c r="C1162" s="275"/>
      <c r="D1162" s="275"/>
      <c r="E1162" s="275"/>
      <c r="F1162" s="275"/>
      <c r="V1162" s="304"/>
      <c r="W1162" s="304"/>
      <c r="AD1162" s="304"/>
      <c r="AE1162" s="304"/>
      <c r="AR1162" s="304"/>
      <c r="AS1162" s="304"/>
      <c r="AT1162" s="304"/>
      <c r="AU1162" s="304"/>
      <c r="AV1162" s="304"/>
      <c r="AW1162" s="304"/>
      <c r="AX1162" s="304"/>
      <c r="AY1162" s="304"/>
      <c r="AZ1162" s="304"/>
      <c r="BA1162" s="304"/>
      <c r="BB1162" s="304"/>
      <c r="BC1162" s="304"/>
      <c r="BK1162" s="305"/>
      <c r="BL1162" s="305"/>
      <c r="BM1162" s="305"/>
      <c r="BN1162" s="305"/>
      <c r="BO1162" s="305"/>
      <c r="BP1162" s="305"/>
      <c r="BQ1162" s="305"/>
      <c r="BR1162" s="305"/>
      <c r="BS1162" s="305"/>
      <c r="BT1162" s="305"/>
      <c r="BU1162" s="305"/>
      <c r="BV1162" s="305"/>
      <c r="BX1162" s="319"/>
    </row>
    <row r="1163" spans="1:76" s="303" customFormat="1" x14ac:dyDescent="0.25">
      <c r="A1163" s="275"/>
      <c r="B1163" s="275"/>
      <c r="C1163" s="275"/>
      <c r="D1163" s="275"/>
      <c r="E1163" s="275"/>
      <c r="F1163" s="275"/>
      <c r="V1163" s="304"/>
      <c r="W1163" s="304"/>
      <c r="AD1163" s="304"/>
      <c r="AE1163" s="304"/>
      <c r="AR1163" s="304"/>
      <c r="AS1163" s="304"/>
      <c r="AT1163" s="304"/>
      <c r="AU1163" s="304"/>
      <c r="AV1163" s="304"/>
      <c r="AW1163" s="304"/>
      <c r="AX1163" s="304"/>
      <c r="AY1163" s="304"/>
      <c r="AZ1163" s="304"/>
      <c r="BA1163" s="304"/>
      <c r="BB1163" s="304"/>
      <c r="BC1163" s="304"/>
      <c r="BK1163" s="305"/>
      <c r="BL1163" s="305"/>
      <c r="BM1163" s="305"/>
      <c r="BN1163" s="305"/>
      <c r="BO1163" s="305"/>
      <c r="BP1163" s="305"/>
      <c r="BQ1163" s="305"/>
      <c r="BR1163" s="305"/>
      <c r="BS1163" s="305"/>
      <c r="BT1163" s="305"/>
      <c r="BU1163" s="305"/>
      <c r="BV1163" s="305"/>
      <c r="BX1163" s="319"/>
    </row>
    <row r="1164" spans="1:76" s="303" customFormat="1" x14ac:dyDescent="0.25">
      <c r="A1164" s="275"/>
      <c r="B1164" s="275"/>
      <c r="C1164" s="275"/>
      <c r="D1164" s="275"/>
      <c r="E1164" s="275"/>
      <c r="F1164" s="275"/>
      <c r="V1164" s="304"/>
      <c r="W1164" s="304"/>
      <c r="AD1164" s="304"/>
      <c r="AE1164" s="304"/>
      <c r="AR1164" s="304"/>
      <c r="AS1164" s="304"/>
      <c r="AT1164" s="304"/>
      <c r="AU1164" s="304"/>
      <c r="AV1164" s="304"/>
      <c r="AW1164" s="304"/>
      <c r="AX1164" s="304"/>
      <c r="AY1164" s="304"/>
      <c r="AZ1164" s="304"/>
      <c r="BA1164" s="304"/>
      <c r="BB1164" s="304"/>
      <c r="BC1164" s="304"/>
      <c r="BK1164" s="305"/>
      <c r="BL1164" s="305"/>
      <c r="BM1164" s="305"/>
      <c r="BN1164" s="305"/>
      <c r="BO1164" s="305"/>
      <c r="BP1164" s="305"/>
      <c r="BQ1164" s="305"/>
      <c r="BR1164" s="305"/>
      <c r="BS1164" s="305"/>
      <c r="BT1164" s="305"/>
      <c r="BU1164" s="305"/>
      <c r="BV1164" s="305"/>
      <c r="BX1164" s="319"/>
    </row>
    <row r="1165" spans="1:76" s="303" customFormat="1" x14ac:dyDescent="0.25">
      <c r="A1165" s="275"/>
      <c r="B1165" s="275"/>
      <c r="C1165" s="275"/>
      <c r="D1165" s="275"/>
      <c r="E1165" s="275"/>
      <c r="F1165" s="275"/>
      <c r="V1165" s="304"/>
      <c r="W1165" s="304"/>
      <c r="AD1165" s="304"/>
      <c r="AE1165" s="304"/>
      <c r="AR1165" s="304"/>
      <c r="AS1165" s="304"/>
      <c r="AT1165" s="304"/>
      <c r="AU1165" s="304"/>
      <c r="AV1165" s="304"/>
      <c r="AW1165" s="304"/>
      <c r="AX1165" s="304"/>
      <c r="AY1165" s="304"/>
      <c r="AZ1165" s="304"/>
      <c r="BA1165" s="304"/>
      <c r="BB1165" s="304"/>
      <c r="BC1165" s="304"/>
      <c r="BK1165" s="305"/>
      <c r="BL1165" s="305"/>
      <c r="BM1165" s="305"/>
      <c r="BN1165" s="305"/>
      <c r="BO1165" s="305"/>
      <c r="BP1165" s="305"/>
      <c r="BQ1165" s="305"/>
      <c r="BR1165" s="305"/>
      <c r="BS1165" s="305"/>
      <c r="BT1165" s="305"/>
      <c r="BU1165" s="305"/>
      <c r="BV1165" s="305"/>
      <c r="BX1165" s="319"/>
    </row>
    <row r="1166" spans="1:76" s="303" customFormat="1" x14ac:dyDescent="0.25">
      <c r="A1166" s="275"/>
      <c r="B1166" s="275"/>
      <c r="C1166" s="275"/>
      <c r="D1166" s="275"/>
      <c r="E1166" s="275"/>
      <c r="F1166" s="275"/>
      <c r="V1166" s="304"/>
      <c r="W1166" s="304"/>
      <c r="AD1166" s="304"/>
      <c r="AE1166" s="304"/>
      <c r="AR1166" s="304"/>
      <c r="AS1166" s="304"/>
      <c r="AT1166" s="304"/>
      <c r="AU1166" s="304"/>
      <c r="AV1166" s="304"/>
      <c r="AW1166" s="304"/>
      <c r="AX1166" s="304"/>
      <c r="AY1166" s="304"/>
      <c r="AZ1166" s="304"/>
      <c r="BA1166" s="304"/>
      <c r="BB1166" s="304"/>
      <c r="BC1166" s="304"/>
      <c r="BK1166" s="305"/>
      <c r="BL1166" s="305"/>
      <c r="BM1166" s="305"/>
      <c r="BN1166" s="305"/>
      <c r="BO1166" s="305"/>
      <c r="BP1166" s="305"/>
      <c r="BQ1166" s="305"/>
      <c r="BR1166" s="305"/>
      <c r="BS1166" s="305"/>
      <c r="BT1166" s="305"/>
      <c r="BU1166" s="305"/>
      <c r="BV1166" s="305"/>
      <c r="BX1166" s="319"/>
    </row>
    <row r="1167" spans="1:76" s="303" customFormat="1" x14ac:dyDescent="0.25">
      <c r="A1167" s="275"/>
      <c r="B1167" s="275"/>
      <c r="C1167" s="275"/>
      <c r="D1167" s="275"/>
      <c r="E1167" s="275"/>
      <c r="F1167" s="275"/>
      <c r="V1167" s="304"/>
      <c r="W1167" s="304"/>
      <c r="AD1167" s="304"/>
      <c r="AE1167" s="304"/>
      <c r="AR1167" s="304"/>
      <c r="AS1167" s="304"/>
      <c r="AT1167" s="304"/>
      <c r="AU1167" s="304"/>
      <c r="AV1167" s="304"/>
      <c r="AW1167" s="304"/>
      <c r="AX1167" s="304"/>
      <c r="AY1167" s="304"/>
      <c r="AZ1167" s="304"/>
      <c r="BA1167" s="304"/>
      <c r="BB1167" s="304"/>
      <c r="BC1167" s="304"/>
      <c r="BK1167" s="305"/>
      <c r="BL1167" s="305"/>
      <c r="BM1167" s="305"/>
      <c r="BN1167" s="305"/>
      <c r="BO1167" s="305"/>
      <c r="BP1167" s="305"/>
      <c r="BQ1167" s="305"/>
      <c r="BR1167" s="305"/>
      <c r="BS1167" s="305"/>
      <c r="BT1167" s="305"/>
      <c r="BU1167" s="305"/>
      <c r="BV1167" s="305"/>
      <c r="BX1167" s="319"/>
    </row>
    <row r="1168" spans="1:76" s="303" customFormat="1" x14ac:dyDescent="0.25">
      <c r="A1168" s="275"/>
      <c r="B1168" s="275"/>
      <c r="C1168" s="275"/>
      <c r="D1168" s="275"/>
      <c r="E1168" s="275"/>
      <c r="F1168" s="275"/>
      <c r="V1168" s="304"/>
      <c r="W1168" s="304"/>
      <c r="AD1168" s="304"/>
      <c r="AE1168" s="304"/>
      <c r="AR1168" s="304"/>
      <c r="AS1168" s="304"/>
      <c r="AT1168" s="304"/>
      <c r="AU1168" s="304"/>
      <c r="AV1168" s="304"/>
      <c r="AW1168" s="304"/>
      <c r="AX1168" s="304"/>
      <c r="AY1168" s="304"/>
      <c r="AZ1168" s="304"/>
      <c r="BA1168" s="304"/>
      <c r="BB1168" s="304"/>
      <c r="BC1168" s="304"/>
      <c r="BK1168" s="305"/>
      <c r="BL1168" s="305"/>
      <c r="BM1168" s="305"/>
      <c r="BN1168" s="305"/>
      <c r="BO1168" s="305"/>
      <c r="BP1168" s="305"/>
      <c r="BQ1168" s="305"/>
      <c r="BR1168" s="305"/>
      <c r="BS1168" s="305"/>
      <c r="BT1168" s="305"/>
      <c r="BU1168" s="305"/>
      <c r="BV1168" s="305"/>
      <c r="BX1168" s="319"/>
    </row>
    <row r="1169" spans="1:76" s="303" customFormat="1" x14ac:dyDescent="0.25">
      <c r="A1169" s="275"/>
      <c r="B1169" s="275"/>
      <c r="C1169" s="275"/>
      <c r="D1169" s="275"/>
      <c r="E1169" s="275"/>
      <c r="F1169" s="275"/>
      <c r="V1169" s="304"/>
      <c r="W1169" s="304"/>
      <c r="AD1169" s="304"/>
      <c r="AE1169" s="304"/>
      <c r="AR1169" s="304"/>
      <c r="AS1169" s="304"/>
      <c r="AT1169" s="304"/>
      <c r="AU1169" s="304"/>
      <c r="AV1169" s="304"/>
      <c r="AW1169" s="304"/>
      <c r="AX1169" s="304"/>
      <c r="AY1169" s="304"/>
      <c r="AZ1169" s="304"/>
      <c r="BA1169" s="304"/>
      <c r="BB1169" s="304"/>
      <c r="BC1169" s="304"/>
      <c r="BK1169" s="305"/>
      <c r="BL1169" s="305"/>
      <c r="BM1169" s="305"/>
      <c r="BN1169" s="305"/>
      <c r="BO1169" s="305"/>
      <c r="BP1169" s="305"/>
      <c r="BQ1169" s="305"/>
      <c r="BR1169" s="305"/>
      <c r="BS1169" s="305"/>
      <c r="BT1169" s="305"/>
      <c r="BU1169" s="305"/>
      <c r="BV1169" s="305"/>
      <c r="BX1169" s="319"/>
    </row>
    <row r="1170" spans="1:76" s="303" customFormat="1" x14ac:dyDescent="0.25">
      <c r="A1170" s="275"/>
      <c r="B1170" s="275"/>
      <c r="C1170" s="275"/>
      <c r="D1170" s="275"/>
      <c r="E1170" s="275"/>
      <c r="F1170" s="275"/>
      <c r="V1170" s="304"/>
      <c r="W1170" s="304"/>
      <c r="AD1170" s="304"/>
      <c r="AE1170" s="304"/>
      <c r="AR1170" s="304"/>
      <c r="AS1170" s="304"/>
      <c r="AT1170" s="304"/>
      <c r="AU1170" s="304"/>
      <c r="AV1170" s="304"/>
      <c r="AW1170" s="304"/>
      <c r="AX1170" s="304"/>
      <c r="AY1170" s="304"/>
      <c r="AZ1170" s="304"/>
      <c r="BA1170" s="304"/>
      <c r="BB1170" s="304"/>
      <c r="BC1170" s="304"/>
      <c r="BK1170" s="305"/>
      <c r="BL1170" s="305"/>
      <c r="BM1170" s="305"/>
      <c r="BN1170" s="305"/>
      <c r="BO1170" s="305"/>
      <c r="BP1170" s="305"/>
      <c r="BQ1170" s="305"/>
      <c r="BR1170" s="305"/>
      <c r="BS1170" s="305"/>
      <c r="BT1170" s="305"/>
      <c r="BU1170" s="305"/>
      <c r="BV1170" s="305"/>
      <c r="BX1170" s="319"/>
    </row>
    <row r="1171" spans="1:76" s="303" customFormat="1" x14ac:dyDescent="0.25">
      <c r="A1171" s="275"/>
      <c r="B1171" s="275"/>
      <c r="C1171" s="275"/>
      <c r="D1171" s="275"/>
      <c r="E1171" s="275"/>
      <c r="F1171" s="275"/>
      <c r="V1171" s="304"/>
      <c r="W1171" s="304"/>
      <c r="AD1171" s="304"/>
      <c r="AE1171" s="304"/>
      <c r="AR1171" s="304"/>
      <c r="AS1171" s="304"/>
      <c r="AT1171" s="304"/>
      <c r="AU1171" s="304"/>
      <c r="AV1171" s="304"/>
      <c r="AW1171" s="304"/>
      <c r="AX1171" s="304"/>
      <c r="AY1171" s="304"/>
      <c r="AZ1171" s="304"/>
      <c r="BA1171" s="304"/>
      <c r="BB1171" s="304"/>
      <c r="BC1171" s="304"/>
      <c r="BK1171" s="305"/>
      <c r="BL1171" s="305"/>
      <c r="BM1171" s="305"/>
      <c r="BN1171" s="305"/>
      <c r="BO1171" s="305"/>
      <c r="BP1171" s="305"/>
      <c r="BQ1171" s="305"/>
      <c r="BR1171" s="305"/>
      <c r="BS1171" s="305"/>
      <c r="BT1171" s="305"/>
      <c r="BU1171" s="305"/>
      <c r="BV1171" s="305"/>
      <c r="BX1171" s="319"/>
    </row>
    <row r="1172" spans="1:76" s="303" customFormat="1" x14ac:dyDescent="0.25">
      <c r="A1172" s="275"/>
      <c r="B1172" s="275"/>
      <c r="C1172" s="275"/>
      <c r="D1172" s="275"/>
      <c r="E1172" s="275"/>
      <c r="F1172" s="275"/>
      <c r="V1172" s="304"/>
      <c r="W1172" s="304"/>
      <c r="AD1172" s="304"/>
      <c r="AE1172" s="304"/>
      <c r="AR1172" s="304"/>
      <c r="AS1172" s="304"/>
      <c r="AT1172" s="304"/>
      <c r="AU1172" s="304"/>
      <c r="AV1172" s="304"/>
      <c r="AW1172" s="304"/>
      <c r="AX1172" s="304"/>
      <c r="AY1172" s="304"/>
      <c r="AZ1172" s="304"/>
      <c r="BA1172" s="304"/>
      <c r="BB1172" s="304"/>
      <c r="BC1172" s="304"/>
      <c r="BK1172" s="305"/>
      <c r="BL1172" s="305"/>
      <c r="BM1172" s="305"/>
      <c r="BN1172" s="305"/>
      <c r="BO1172" s="305"/>
      <c r="BP1172" s="305"/>
      <c r="BQ1172" s="305"/>
      <c r="BR1172" s="305"/>
      <c r="BS1172" s="305"/>
      <c r="BT1172" s="305"/>
      <c r="BU1172" s="305"/>
      <c r="BV1172" s="305"/>
      <c r="BX1172" s="319"/>
    </row>
    <row r="1173" spans="1:76" s="303" customFormat="1" x14ac:dyDescent="0.25">
      <c r="A1173" s="275"/>
      <c r="B1173" s="275"/>
      <c r="C1173" s="275"/>
      <c r="D1173" s="275"/>
      <c r="E1173" s="275"/>
      <c r="F1173" s="275"/>
      <c r="V1173" s="304"/>
      <c r="W1173" s="304"/>
      <c r="AD1173" s="304"/>
      <c r="AE1173" s="304"/>
      <c r="AR1173" s="304"/>
      <c r="AS1173" s="304"/>
      <c r="AT1173" s="304"/>
      <c r="AU1173" s="304"/>
      <c r="AV1173" s="304"/>
      <c r="AW1173" s="304"/>
      <c r="AX1173" s="304"/>
      <c r="AY1173" s="304"/>
      <c r="AZ1173" s="304"/>
      <c r="BA1173" s="304"/>
      <c r="BB1173" s="304"/>
      <c r="BC1173" s="304"/>
      <c r="BK1173" s="305"/>
      <c r="BL1173" s="305"/>
      <c r="BM1173" s="305"/>
      <c r="BN1173" s="305"/>
      <c r="BO1173" s="305"/>
      <c r="BP1173" s="305"/>
      <c r="BQ1173" s="305"/>
      <c r="BR1173" s="305"/>
      <c r="BS1173" s="305"/>
      <c r="BT1173" s="305"/>
      <c r="BU1173" s="305"/>
      <c r="BV1173" s="305"/>
      <c r="BX1173" s="319"/>
    </row>
    <row r="1174" spans="1:76" s="303" customFormat="1" x14ac:dyDescent="0.25">
      <c r="A1174" s="275"/>
      <c r="B1174" s="275"/>
      <c r="C1174" s="275"/>
      <c r="D1174" s="275"/>
      <c r="E1174" s="275"/>
      <c r="F1174" s="275"/>
      <c r="V1174" s="304"/>
      <c r="W1174" s="304"/>
      <c r="AD1174" s="304"/>
      <c r="AE1174" s="304"/>
      <c r="AR1174" s="304"/>
      <c r="AS1174" s="304"/>
      <c r="AT1174" s="304"/>
      <c r="AU1174" s="304"/>
      <c r="AV1174" s="304"/>
      <c r="AW1174" s="304"/>
      <c r="AX1174" s="304"/>
      <c r="AY1174" s="304"/>
      <c r="AZ1174" s="304"/>
      <c r="BA1174" s="304"/>
      <c r="BB1174" s="304"/>
      <c r="BC1174" s="304"/>
      <c r="BK1174" s="305"/>
      <c r="BL1174" s="305"/>
      <c r="BM1174" s="305"/>
      <c r="BN1174" s="305"/>
      <c r="BO1174" s="305"/>
      <c r="BP1174" s="305"/>
      <c r="BQ1174" s="305"/>
      <c r="BR1174" s="305"/>
      <c r="BS1174" s="305"/>
      <c r="BT1174" s="305"/>
      <c r="BU1174" s="305"/>
      <c r="BV1174" s="305"/>
      <c r="BX1174" s="319"/>
    </row>
    <row r="1175" spans="1:76" s="303" customFormat="1" x14ac:dyDescent="0.25">
      <c r="A1175" s="275"/>
      <c r="B1175" s="275"/>
      <c r="C1175" s="275"/>
      <c r="D1175" s="275"/>
      <c r="E1175" s="275"/>
      <c r="F1175" s="275"/>
      <c r="V1175" s="304"/>
      <c r="W1175" s="304"/>
      <c r="AD1175" s="304"/>
      <c r="AE1175" s="304"/>
      <c r="AR1175" s="304"/>
      <c r="AS1175" s="304"/>
      <c r="AT1175" s="304"/>
      <c r="AU1175" s="304"/>
      <c r="AV1175" s="304"/>
      <c r="AW1175" s="304"/>
      <c r="AX1175" s="304"/>
      <c r="AY1175" s="304"/>
      <c r="AZ1175" s="304"/>
      <c r="BA1175" s="304"/>
      <c r="BB1175" s="304"/>
      <c r="BC1175" s="304"/>
      <c r="BK1175" s="305"/>
      <c r="BL1175" s="305"/>
      <c r="BM1175" s="305"/>
      <c r="BN1175" s="305"/>
      <c r="BO1175" s="305"/>
      <c r="BP1175" s="305"/>
      <c r="BQ1175" s="305"/>
      <c r="BR1175" s="305"/>
      <c r="BS1175" s="305"/>
      <c r="BT1175" s="305"/>
      <c r="BU1175" s="305"/>
      <c r="BV1175" s="305"/>
      <c r="BX1175" s="319"/>
    </row>
    <row r="1176" spans="1:76" s="303" customFormat="1" x14ac:dyDescent="0.25">
      <c r="A1176" s="275"/>
      <c r="B1176" s="275"/>
      <c r="C1176" s="275"/>
      <c r="D1176" s="275"/>
      <c r="E1176" s="275"/>
      <c r="F1176" s="275"/>
      <c r="V1176" s="304"/>
      <c r="W1176" s="304"/>
      <c r="AD1176" s="304"/>
      <c r="AE1176" s="304"/>
      <c r="AR1176" s="304"/>
      <c r="AS1176" s="304"/>
      <c r="AT1176" s="304"/>
      <c r="AU1176" s="304"/>
      <c r="AV1176" s="304"/>
      <c r="AW1176" s="304"/>
      <c r="AX1176" s="304"/>
      <c r="AY1176" s="304"/>
      <c r="AZ1176" s="304"/>
      <c r="BA1176" s="304"/>
      <c r="BB1176" s="304"/>
      <c r="BC1176" s="304"/>
      <c r="BK1176" s="305"/>
      <c r="BL1176" s="305"/>
      <c r="BM1176" s="305"/>
      <c r="BN1176" s="305"/>
      <c r="BO1176" s="305"/>
      <c r="BP1176" s="305"/>
      <c r="BQ1176" s="305"/>
      <c r="BR1176" s="305"/>
      <c r="BS1176" s="305"/>
      <c r="BT1176" s="305"/>
      <c r="BU1176" s="305"/>
      <c r="BV1176" s="305"/>
      <c r="BX1176" s="319"/>
    </row>
    <row r="1177" spans="1:76" s="303" customFormat="1" x14ac:dyDescent="0.25">
      <c r="A1177" s="275"/>
      <c r="B1177" s="275"/>
      <c r="C1177" s="275"/>
      <c r="D1177" s="275"/>
      <c r="E1177" s="275"/>
      <c r="F1177" s="275"/>
      <c r="V1177" s="304"/>
      <c r="W1177" s="304"/>
      <c r="AD1177" s="304"/>
      <c r="AE1177" s="304"/>
      <c r="AR1177" s="304"/>
      <c r="AS1177" s="304"/>
      <c r="AT1177" s="304"/>
      <c r="AU1177" s="304"/>
      <c r="AV1177" s="304"/>
      <c r="AW1177" s="304"/>
      <c r="AX1177" s="304"/>
      <c r="AY1177" s="304"/>
      <c r="AZ1177" s="304"/>
      <c r="BA1177" s="304"/>
      <c r="BB1177" s="304"/>
      <c r="BC1177" s="304"/>
      <c r="BK1177" s="305"/>
      <c r="BL1177" s="305"/>
      <c r="BM1177" s="305"/>
      <c r="BN1177" s="305"/>
      <c r="BO1177" s="305"/>
      <c r="BP1177" s="305"/>
      <c r="BQ1177" s="305"/>
      <c r="BR1177" s="305"/>
      <c r="BS1177" s="305"/>
      <c r="BT1177" s="305"/>
      <c r="BU1177" s="305"/>
      <c r="BV1177" s="305"/>
      <c r="BX1177" s="319"/>
    </row>
    <row r="1178" spans="1:76" s="303" customFormat="1" x14ac:dyDescent="0.25">
      <c r="A1178" s="275"/>
      <c r="B1178" s="275"/>
      <c r="C1178" s="275"/>
      <c r="D1178" s="275"/>
      <c r="E1178" s="275"/>
      <c r="F1178" s="275"/>
      <c r="V1178" s="304"/>
      <c r="W1178" s="304"/>
      <c r="AD1178" s="304"/>
      <c r="AE1178" s="304"/>
      <c r="AR1178" s="304"/>
      <c r="AS1178" s="304"/>
      <c r="AT1178" s="304"/>
      <c r="AU1178" s="304"/>
      <c r="AV1178" s="304"/>
      <c r="AW1178" s="304"/>
      <c r="AX1178" s="304"/>
      <c r="AY1178" s="304"/>
      <c r="AZ1178" s="304"/>
      <c r="BA1178" s="304"/>
      <c r="BB1178" s="304"/>
      <c r="BC1178" s="304"/>
      <c r="BK1178" s="305"/>
      <c r="BL1178" s="305"/>
      <c r="BM1178" s="305"/>
      <c r="BN1178" s="305"/>
      <c r="BO1178" s="305"/>
      <c r="BP1178" s="305"/>
      <c r="BQ1178" s="305"/>
      <c r="BR1178" s="305"/>
      <c r="BS1178" s="305"/>
      <c r="BT1178" s="305"/>
      <c r="BU1178" s="305"/>
      <c r="BV1178" s="305"/>
      <c r="BX1178" s="319"/>
    </row>
    <row r="1179" spans="1:76" s="303" customFormat="1" x14ac:dyDescent="0.25">
      <c r="A1179" s="275"/>
      <c r="B1179" s="275"/>
      <c r="C1179" s="275"/>
      <c r="D1179" s="275"/>
      <c r="E1179" s="275"/>
      <c r="F1179" s="275"/>
      <c r="V1179" s="304"/>
      <c r="W1179" s="304"/>
      <c r="AD1179" s="304"/>
      <c r="AE1179" s="304"/>
      <c r="AR1179" s="304"/>
      <c r="AS1179" s="304"/>
      <c r="AT1179" s="304"/>
      <c r="AU1179" s="304"/>
      <c r="AV1179" s="304"/>
      <c r="AW1179" s="304"/>
      <c r="AX1179" s="304"/>
      <c r="AY1179" s="304"/>
      <c r="AZ1179" s="304"/>
      <c r="BA1179" s="304"/>
      <c r="BB1179" s="304"/>
      <c r="BC1179" s="304"/>
      <c r="BK1179" s="305"/>
      <c r="BL1179" s="305"/>
      <c r="BM1179" s="305"/>
      <c r="BN1179" s="305"/>
      <c r="BO1179" s="305"/>
      <c r="BP1179" s="305"/>
      <c r="BQ1179" s="305"/>
      <c r="BR1179" s="305"/>
      <c r="BS1179" s="305"/>
      <c r="BT1179" s="305"/>
      <c r="BU1179" s="305"/>
      <c r="BV1179" s="305"/>
      <c r="BX1179" s="319"/>
    </row>
    <row r="1180" spans="1:76" s="303" customFormat="1" x14ac:dyDescent="0.25">
      <c r="A1180" s="275"/>
      <c r="B1180" s="275"/>
      <c r="C1180" s="275"/>
      <c r="D1180" s="275"/>
      <c r="E1180" s="275"/>
      <c r="F1180" s="275"/>
      <c r="V1180" s="304"/>
      <c r="W1180" s="304"/>
      <c r="AD1180" s="304"/>
      <c r="AE1180" s="304"/>
      <c r="AR1180" s="304"/>
      <c r="AS1180" s="304"/>
      <c r="AT1180" s="304"/>
      <c r="AU1180" s="304"/>
      <c r="AV1180" s="304"/>
      <c r="AW1180" s="304"/>
      <c r="AX1180" s="304"/>
      <c r="AY1180" s="304"/>
      <c r="AZ1180" s="304"/>
      <c r="BA1180" s="304"/>
      <c r="BB1180" s="304"/>
      <c r="BC1180" s="304"/>
      <c r="BK1180" s="305"/>
      <c r="BL1180" s="305"/>
      <c r="BM1180" s="305"/>
      <c r="BN1180" s="305"/>
      <c r="BO1180" s="305"/>
      <c r="BP1180" s="305"/>
      <c r="BQ1180" s="305"/>
      <c r="BR1180" s="305"/>
      <c r="BS1180" s="305"/>
      <c r="BT1180" s="305"/>
      <c r="BU1180" s="305"/>
      <c r="BV1180" s="305"/>
      <c r="BX1180" s="319"/>
    </row>
    <row r="1181" spans="1:76" s="303" customFormat="1" x14ac:dyDescent="0.25">
      <c r="A1181" s="275"/>
      <c r="B1181" s="275"/>
      <c r="C1181" s="275"/>
      <c r="D1181" s="275"/>
      <c r="E1181" s="275"/>
      <c r="F1181" s="275"/>
      <c r="V1181" s="304"/>
      <c r="W1181" s="304"/>
      <c r="AD1181" s="304"/>
      <c r="AE1181" s="304"/>
      <c r="AR1181" s="304"/>
      <c r="AS1181" s="304"/>
      <c r="AT1181" s="304"/>
      <c r="AU1181" s="304"/>
      <c r="AV1181" s="304"/>
      <c r="AW1181" s="304"/>
      <c r="AX1181" s="304"/>
      <c r="AY1181" s="304"/>
      <c r="AZ1181" s="304"/>
      <c r="BA1181" s="304"/>
      <c r="BB1181" s="304"/>
      <c r="BC1181" s="304"/>
      <c r="BK1181" s="305"/>
      <c r="BL1181" s="305"/>
      <c r="BM1181" s="305"/>
      <c r="BN1181" s="305"/>
      <c r="BO1181" s="305"/>
      <c r="BP1181" s="305"/>
      <c r="BQ1181" s="305"/>
      <c r="BR1181" s="305"/>
      <c r="BS1181" s="305"/>
      <c r="BT1181" s="305"/>
      <c r="BU1181" s="305"/>
      <c r="BV1181" s="305"/>
      <c r="BX1181" s="319"/>
    </row>
    <row r="1182" spans="1:76" s="303" customFormat="1" x14ac:dyDescent="0.25">
      <c r="A1182" s="275"/>
      <c r="B1182" s="275"/>
      <c r="C1182" s="275"/>
      <c r="D1182" s="275"/>
      <c r="E1182" s="275"/>
      <c r="F1182" s="275"/>
      <c r="V1182" s="304"/>
      <c r="W1182" s="304"/>
      <c r="AD1182" s="304"/>
      <c r="AE1182" s="304"/>
      <c r="AR1182" s="304"/>
      <c r="AS1182" s="304"/>
      <c r="AT1182" s="304"/>
      <c r="AU1182" s="304"/>
      <c r="AV1182" s="304"/>
      <c r="AW1182" s="304"/>
      <c r="AX1182" s="304"/>
      <c r="AY1182" s="304"/>
      <c r="AZ1182" s="304"/>
      <c r="BA1182" s="304"/>
      <c r="BB1182" s="304"/>
      <c r="BC1182" s="304"/>
      <c r="BK1182" s="305"/>
      <c r="BL1182" s="305"/>
      <c r="BM1182" s="305"/>
      <c r="BN1182" s="305"/>
      <c r="BO1182" s="305"/>
      <c r="BP1182" s="305"/>
      <c r="BQ1182" s="305"/>
      <c r="BR1182" s="305"/>
      <c r="BS1182" s="305"/>
      <c r="BT1182" s="305"/>
      <c r="BU1182" s="305"/>
      <c r="BV1182" s="305"/>
      <c r="BX1182" s="319"/>
    </row>
    <row r="1183" spans="1:76" s="303" customFormat="1" x14ac:dyDescent="0.25">
      <c r="A1183" s="275"/>
      <c r="B1183" s="275"/>
      <c r="C1183" s="275"/>
      <c r="D1183" s="275"/>
      <c r="E1183" s="275"/>
      <c r="F1183" s="275"/>
      <c r="V1183" s="304"/>
      <c r="W1183" s="304"/>
      <c r="AD1183" s="304"/>
      <c r="AE1183" s="304"/>
      <c r="AR1183" s="304"/>
      <c r="AS1183" s="304"/>
      <c r="AT1183" s="304"/>
      <c r="AU1183" s="304"/>
      <c r="AV1183" s="304"/>
      <c r="AW1183" s="304"/>
      <c r="AX1183" s="304"/>
      <c r="AY1183" s="304"/>
      <c r="AZ1183" s="304"/>
      <c r="BA1183" s="304"/>
      <c r="BB1183" s="304"/>
      <c r="BC1183" s="304"/>
      <c r="BK1183" s="305"/>
      <c r="BL1183" s="305"/>
      <c r="BM1183" s="305"/>
      <c r="BN1183" s="305"/>
      <c r="BO1183" s="305"/>
      <c r="BP1183" s="305"/>
      <c r="BQ1183" s="305"/>
      <c r="BR1183" s="305"/>
      <c r="BS1183" s="305"/>
      <c r="BT1183" s="305"/>
      <c r="BU1183" s="305"/>
      <c r="BV1183" s="305"/>
      <c r="BX1183" s="319"/>
    </row>
    <row r="1184" spans="1:76" s="303" customFormat="1" x14ac:dyDescent="0.25">
      <c r="A1184" s="275"/>
      <c r="B1184" s="275"/>
      <c r="C1184" s="275"/>
      <c r="D1184" s="275"/>
      <c r="E1184" s="275"/>
      <c r="F1184" s="275"/>
      <c r="V1184" s="304"/>
      <c r="W1184" s="304"/>
      <c r="AD1184" s="304"/>
      <c r="AE1184" s="304"/>
      <c r="AR1184" s="304"/>
      <c r="AS1184" s="304"/>
      <c r="AT1184" s="304"/>
      <c r="AU1184" s="304"/>
      <c r="AV1184" s="304"/>
      <c r="AW1184" s="304"/>
      <c r="AX1184" s="304"/>
      <c r="AY1184" s="304"/>
      <c r="AZ1184" s="304"/>
      <c r="BA1184" s="304"/>
      <c r="BB1184" s="304"/>
      <c r="BC1184" s="304"/>
      <c r="BK1184" s="305"/>
      <c r="BL1184" s="305"/>
      <c r="BM1184" s="305"/>
      <c r="BN1184" s="305"/>
      <c r="BO1184" s="305"/>
      <c r="BP1184" s="305"/>
      <c r="BQ1184" s="305"/>
      <c r="BR1184" s="305"/>
      <c r="BS1184" s="305"/>
      <c r="BT1184" s="305"/>
      <c r="BU1184" s="305"/>
      <c r="BV1184" s="305"/>
      <c r="BX1184" s="319"/>
    </row>
    <row r="1185" spans="1:76" s="303" customFormat="1" x14ac:dyDescent="0.25">
      <c r="A1185" s="275"/>
      <c r="B1185" s="275"/>
      <c r="C1185" s="275"/>
      <c r="D1185" s="275"/>
      <c r="E1185" s="275"/>
      <c r="F1185" s="275"/>
      <c r="V1185" s="304"/>
      <c r="W1185" s="304"/>
      <c r="AD1185" s="304"/>
      <c r="AE1185" s="304"/>
      <c r="AR1185" s="304"/>
      <c r="AS1185" s="304"/>
      <c r="AT1185" s="304"/>
      <c r="AU1185" s="304"/>
      <c r="AV1185" s="304"/>
      <c r="AW1185" s="304"/>
      <c r="AX1185" s="304"/>
      <c r="AY1185" s="304"/>
      <c r="AZ1185" s="304"/>
      <c r="BA1185" s="304"/>
      <c r="BB1185" s="304"/>
      <c r="BC1185" s="304"/>
      <c r="BK1185" s="305"/>
      <c r="BL1185" s="305"/>
      <c r="BM1185" s="305"/>
      <c r="BN1185" s="305"/>
      <c r="BO1185" s="305"/>
      <c r="BP1185" s="305"/>
      <c r="BQ1185" s="305"/>
      <c r="BR1185" s="305"/>
      <c r="BS1185" s="305"/>
      <c r="BT1185" s="305"/>
      <c r="BU1185" s="305"/>
      <c r="BV1185" s="305"/>
      <c r="BX1185" s="319"/>
    </row>
    <row r="1186" spans="1:76" s="303" customFormat="1" x14ac:dyDescent="0.25">
      <c r="A1186" s="275"/>
      <c r="B1186" s="275"/>
      <c r="C1186" s="275"/>
      <c r="D1186" s="275"/>
      <c r="E1186" s="275"/>
      <c r="F1186" s="275"/>
      <c r="V1186" s="304"/>
      <c r="W1186" s="304"/>
      <c r="AD1186" s="304"/>
      <c r="AE1186" s="304"/>
      <c r="AR1186" s="304"/>
      <c r="AS1186" s="304"/>
      <c r="AT1186" s="304"/>
      <c r="AU1186" s="304"/>
      <c r="AV1186" s="304"/>
      <c r="AW1186" s="304"/>
      <c r="AX1186" s="304"/>
      <c r="AY1186" s="304"/>
      <c r="AZ1186" s="304"/>
      <c r="BA1186" s="304"/>
      <c r="BB1186" s="304"/>
      <c r="BC1186" s="304"/>
      <c r="BK1186" s="305"/>
      <c r="BL1186" s="305"/>
      <c r="BM1186" s="305"/>
      <c r="BN1186" s="305"/>
      <c r="BO1186" s="305"/>
      <c r="BP1186" s="305"/>
      <c r="BQ1186" s="305"/>
      <c r="BR1186" s="305"/>
      <c r="BS1186" s="305"/>
      <c r="BT1186" s="305"/>
      <c r="BU1186" s="305"/>
      <c r="BV1186" s="305"/>
      <c r="BX1186" s="319"/>
    </row>
    <row r="1187" spans="1:76" s="303" customFormat="1" x14ac:dyDescent="0.25">
      <c r="A1187" s="275"/>
      <c r="B1187" s="275"/>
      <c r="C1187" s="275"/>
      <c r="D1187" s="275"/>
      <c r="E1187" s="275"/>
      <c r="F1187" s="275"/>
      <c r="V1187" s="304"/>
      <c r="W1187" s="304"/>
      <c r="AD1187" s="304"/>
      <c r="AE1187" s="304"/>
      <c r="AR1187" s="304"/>
      <c r="AS1187" s="304"/>
      <c r="AT1187" s="304"/>
      <c r="AU1187" s="304"/>
      <c r="AV1187" s="304"/>
      <c r="AW1187" s="304"/>
      <c r="AX1187" s="304"/>
      <c r="AY1187" s="304"/>
      <c r="AZ1187" s="304"/>
      <c r="BA1187" s="304"/>
      <c r="BB1187" s="304"/>
      <c r="BC1187" s="304"/>
      <c r="BK1187" s="305"/>
      <c r="BL1187" s="305"/>
      <c r="BM1187" s="305"/>
      <c r="BN1187" s="305"/>
      <c r="BO1187" s="305"/>
      <c r="BP1187" s="305"/>
      <c r="BQ1187" s="305"/>
      <c r="BR1187" s="305"/>
      <c r="BS1187" s="305"/>
      <c r="BT1187" s="305"/>
      <c r="BU1187" s="305"/>
      <c r="BV1187" s="305"/>
      <c r="BX1187" s="319"/>
    </row>
    <row r="1188" spans="1:76" s="303" customFormat="1" x14ac:dyDescent="0.25">
      <c r="A1188" s="275"/>
      <c r="B1188" s="275"/>
      <c r="C1188" s="275"/>
      <c r="D1188" s="275"/>
      <c r="E1188" s="275"/>
      <c r="F1188" s="275"/>
      <c r="V1188" s="304"/>
      <c r="W1188" s="304"/>
      <c r="AD1188" s="304"/>
      <c r="AE1188" s="304"/>
      <c r="AR1188" s="304"/>
      <c r="AS1188" s="304"/>
      <c r="AT1188" s="304"/>
      <c r="AU1188" s="304"/>
      <c r="AV1188" s="304"/>
      <c r="AW1188" s="304"/>
      <c r="AX1188" s="304"/>
      <c r="AY1188" s="304"/>
      <c r="AZ1188" s="304"/>
      <c r="BA1188" s="304"/>
      <c r="BB1188" s="304"/>
      <c r="BC1188" s="304"/>
      <c r="BK1188" s="305"/>
      <c r="BL1188" s="305"/>
      <c r="BM1188" s="305"/>
      <c r="BN1188" s="305"/>
      <c r="BO1188" s="305"/>
      <c r="BP1188" s="305"/>
      <c r="BQ1188" s="305"/>
      <c r="BR1188" s="305"/>
      <c r="BS1188" s="305"/>
      <c r="BT1188" s="305"/>
      <c r="BU1188" s="305"/>
      <c r="BV1188" s="305"/>
      <c r="BX1188" s="319"/>
    </row>
    <row r="1189" spans="1:76" s="303" customFormat="1" x14ac:dyDescent="0.25">
      <c r="A1189" s="275"/>
      <c r="B1189" s="275"/>
      <c r="C1189" s="275"/>
      <c r="D1189" s="275"/>
      <c r="E1189" s="275"/>
      <c r="F1189" s="275"/>
      <c r="V1189" s="304"/>
      <c r="W1189" s="304"/>
      <c r="AD1189" s="304"/>
      <c r="AE1189" s="304"/>
      <c r="AR1189" s="304"/>
      <c r="AS1189" s="304"/>
      <c r="AT1189" s="304"/>
      <c r="AU1189" s="304"/>
      <c r="AV1189" s="304"/>
      <c r="AW1189" s="304"/>
      <c r="AX1189" s="304"/>
      <c r="AY1189" s="304"/>
      <c r="AZ1189" s="304"/>
      <c r="BA1189" s="304"/>
      <c r="BB1189" s="304"/>
      <c r="BC1189" s="304"/>
      <c r="BK1189" s="305"/>
      <c r="BL1189" s="305"/>
      <c r="BM1189" s="305"/>
      <c r="BN1189" s="305"/>
      <c r="BO1189" s="305"/>
      <c r="BP1189" s="305"/>
      <c r="BQ1189" s="305"/>
      <c r="BR1189" s="305"/>
      <c r="BS1189" s="305"/>
      <c r="BT1189" s="305"/>
      <c r="BU1189" s="305"/>
      <c r="BV1189" s="305"/>
      <c r="BX1189" s="319"/>
    </row>
    <row r="1190" spans="1:76" s="303" customFormat="1" x14ac:dyDescent="0.25">
      <c r="A1190" s="275"/>
      <c r="B1190" s="275"/>
      <c r="C1190" s="275"/>
      <c r="D1190" s="275"/>
      <c r="E1190" s="275"/>
      <c r="F1190" s="275"/>
      <c r="V1190" s="304"/>
      <c r="W1190" s="304"/>
      <c r="AD1190" s="304"/>
      <c r="AE1190" s="304"/>
      <c r="AR1190" s="304"/>
      <c r="AS1190" s="304"/>
      <c r="AT1190" s="304"/>
      <c r="AU1190" s="304"/>
      <c r="AV1190" s="304"/>
      <c r="AW1190" s="304"/>
      <c r="AX1190" s="304"/>
      <c r="AY1190" s="304"/>
      <c r="AZ1190" s="304"/>
      <c r="BA1190" s="304"/>
      <c r="BB1190" s="304"/>
      <c r="BC1190" s="304"/>
      <c r="BK1190" s="305"/>
      <c r="BL1190" s="305"/>
      <c r="BM1190" s="305"/>
      <c r="BN1190" s="305"/>
      <c r="BO1190" s="305"/>
      <c r="BP1190" s="305"/>
      <c r="BQ1190" s="305"/>
      <c r="BR1190" s="305"/>
      <c r="BS1190" s="305"/>
      <c r="BT1190" s="305"/>
      <c r="BU1190" s="305"/>
      <c r="BV1190" s="305"/>
      <c r="BX1190" s="319"/>
    </row>
    <row r="1191" spans="1:76" s="303" customFormat="1" x14ac:dyDescent="0.25">
      <c r="A1191" s="275"/>
      <c r="B1191" s="275"/>
      <c r="C1191" s="275"/>
      <c r="D1191" s="275"/>
      <c r="E1191" s="275"/>
      <c r="F1191" s="275"/>
      <c r="V1191" s="304"/>
      <c r="W1191" s="304"/>
      <c r="AD1191" s="304"/>
      <c r="AE1191" s="304"/>
      <c r="AR1191" s="304"/>
      <c r="AS1191" s="304"/>
      <c r="AT1191" s="304"/>
      <c r="AU1191" s="304"/>
      <c r="AV1191" s="304"/>
      <c r="AW1191" s="304"/>
      <c r="AX1191" s="304"/>
      <c r="AY1191" s="304"/>
      <c r="AZ1191" s="304"/>
      <c r="BA1191" s="304"/>
      <c r="BB1191" s="304"/>
      <c r="BC1191" s="304"/>
      <c r="BK1191" s="305"/>
      <c r="BL1191" s="305"/>
      <c r="BM1191" s="305"/>
      <c r="BN1191" s="305"/>
      <c r="BO1191" s="305"/>
      <c r="BP1191" s="305"/>
      <c r="BQ1191" s="305"/>
      <c r="BR1191" s="305"/>
      <c r="BS1191" s="305"/>
      <c r="BT1191" s="305"/>
      <c r="BU1191" s="305"/>
      <c r="BV1191" s="305"/>
      <c r="BX1191" s="319"/>
    </row>
    <row r="1192" spans="1:76" s="303" customFormat="1" x14ac:dyDescent="0.25">
      <c r="A1192" s="275"/>
      <c r="B1192" s="275"/>
      <c r="C1192" s="275"/>
      <c r="D1192" s="275"/>
      <c r="E1192" s="275"/>
      <c r="F1192" s="275"/>
      <c r="V1192" s="304"/>
      <c r="W1192" s="304"/>
      <c r="AD1192" s="304"/>
      <c r="AE1192" s="304"/>
      <c r="AR1192" s="304"/>
      <c r="AS1192" s="304"/>
      <c r="AT1192" s="304"/>
      <c r="AU1192" s="304"/>
      <c r="AV1192" s="304"/>
      <c r="AW1192" s="304"/>
      <c r="AX1192" s="304"/>
      <c r="AY1192" s="304"/>
      <c r="AZ1192" s="304"/>
      <c r="BA1192" s="304"/>
      <c r="BB1192" s="304"/>
      <c r="BC1192" s="304"/>
      <c r="BK1192" s="305"/>
      <c r="BL1192" s="305"/>
      <c r="BM1192" s="305"/>
      <c r="BN1192" s="305"/>
      <c r="BO1192" s="305"/>
      <c r="BP1192" s="305"/>
      <c r="BQ1192" s="305"/>
      <c r="BR1192" s="305"/>
      <c r="BS1192" s="305"/>
      <c r="BT1192" s="305"/>
      <c r="BU1192" s="305"/>
      <c r="BV1192" s="305"/>
      <c r="BX1192" s="319"/>
    </row>
    <row r="1193" spans="1:76" s="303" customFormat="1" x14ac:dyDescent="0.25">
      <c r="A1193" s="275"/>
      <c r="B1193" s="275"/>
      <c r="C1193" s="275"/>
      <c r="D1193" s="275"/>
      <c r="E1193" s="275"/>
      <c r="F1193" s="275"/>
      <c r="V1193" s="304"/>
      <c r="W1193" s="304"/>
      <c r="AD1193" s="304"/>
      <c r="AE1193" s="304"/>
      <c r="AR1193" s="304"/>
      <c r="AS1193" s="304"/>
      <c r="AT1193" s="304"/>
      <c r="AU1193" s="304"/>
      <c r="AV1193" s="304"/>
      <c r="AW1193" s="304"/>
      <c r="AX1193" s="304"/>
      <c r="AY1193" s="304"/>
      <c r="AZ1193" s="304"/>
      <c r="BA1193" s="304"/>
      <c r="BB1193" s="304"/>
      <c r="BC1193" s="304"/>
      <c r="BK1193" s="305"/>
      <c r="BL1193" s="305"/>
      <c r="BM1193" s="305"/>
      <c r="BN1193" s="305"/>
      <c r="BO1193" s="305"/>
      <c r="BP1193" s="305"/>
      <c r="BQ1193" s="305"/>
      <c r="BR1193" s="305"/>
      <c r="BS1193" s="305"/>
      <c r="BT1193" s="305"/>
      <c r="BU1193" s="305"/>
      <c r="BV1193" s="305"/>
      <c r="BX1193" s="319"/>
    </row>
    <row r="1194" spans="1:76" s="303" customFormat="1" x14ac:dyDescent="0.25">
      <c r="A1194" s="275"/>
      <c r="B1194" s="275"/>
      <c r="C1194" s="275"/>
      <c r="D1194" s="275"/>
      <c r="E1194" s="275"/>
      <c r="F1194" s="275"/>
      <c r="V1194" s="304"/>
      <c r="W1194" s="304"/>
      <c r="AD1194" s="304"/>
      <c r="AE1194" s="304"/>
      <c r="AR1194" s="304"/>
      <c r="AS1194" s="304"/>
      <c r="AT1194" s="304"/>
      <c r="AU1194" s="304"/>
      <c r="AV1194" s="304"/>
      <c r="AW1194" s="304"/>
      <c r="AX1194" s="304"/>
      <c r="AY1194" s="304"/>
      <c r="AZ1194" s="304"/>
      <c r="BA1194" s="304"/>
      <c r="BB1194" s="304"/>
      <c r="BC1194" s="304"/>
      <c r="BK1194" s="305"/>
      <c r="BL1194" s="305"/>
      <c r="BM1194" s="305"/>
      <c r="BN1194" s="305"/>
      <c r="BO1194" s="305"/>
      <c r="BP1194" s="305"/>
      <c r="BQ1194" s="305"/>
      <c r="BR1194" s="305"/>
      <c r="BS1194" s="305"/>
      <c r="BT1194" s="305"/>
      <c r="BU1194" s="305"/>
      <c r="BV1194" s="305"/>
      <c r="BX1194" s="319"/>
    </row>
    <row r="1195" spans="1:76" s="303" customFormat="1" x14ac:dyDescent="0.25">
      <c r="A1195" s="275"/>
      <c r="B1195" s="275"/>
      <c r="C1195" s="275"/>
      <c r="D1195" s="275"/>
      <c r="E1195" s="275"/>
      <c r="F1195" s="275"/>
      <c r="V1195" s="304"/>
      <c r="W1195" s="304"/>
      <c r="AD1195" s="304"/>
      <c r="AE1195" s="304"/>
      <c r="AR1195" s="304"/>
      <c r="AS1195" s="304"/>
      <c r="AT1195" s="304"/>
      <c r="AU1195" s="304"/>
      <c r="AV1195" s="304"/>
      <c r="AW1195" s="304"/>
      <c r="AX1195" s="304"/>
      <c r="AY1195" s="304"/>
      <c r="AZ1195" s="304"/>
      <c r="BA1195" s="304"/>
      <c r="BB1195" s="304"/>
      <c r="BC1195" s="304"/>
      <c r="BK1195" s="305"/>
      <c r="BL1195" s="305"/>
      <c r="BM1195" s="305"/>
      <c r="BN1195" s="305"/>
      <c r="BO1195" s="305"/>
      <c r="BP1195" s="305"/>
      <c r="BQ1195" s="305"/>
      <c r="BR1195" s="305"/>
      <c r="BS1195" s="305"/>
      <c r="BT1195" s="305"/>
      <c r="BU1195" s="305"/>
      <c r="BV1195" s="305"/>
      <c r="BX1195" s="319"/>
    </row>
    <row r="1196" spans="1:76" s="303" customFormat="1" x14ac:dyDescent="0.25">
      <c r="A1196" s="275"/>
      <c r="B1196" s="275"/>
      <c r="C1196" s="275"/>
      <c r="D1196" s="275"/>
      <c r="E1196" s="275"/>
      <c r="F1196" s="275"/>
      <c r="V1196" s="304"/>
      <c r="W1196" s="304"/>
      <c r="AD1196" s="304"/>
      <c r="AE1196" s="304"/>
      <c r="AR1196" s="304"/>
      <c r="AS1196" s="304"/>
      <c r="AT1196" s="304"/>
      <c r="AU1196" s="304"/>
      <c r="AV1196" s="304"/>
      <c r="AW1196" s="304"/>
      <c r="AX1196" s="304"/>
      <c r="AY1196" s="304"/>
      <c r="AZ1196" s="304"/>
      <c r="BA1196" s="304"/>
      <c r="BB1196" s="304"/>
      <c r="BC1196" s="304"/>
      <c r="BK1196" s="305"/>
      <c r="BL1196" s="305"/>
      <c r="BM1196" s="305"/>
      <c r="BN1196" s="305"/>
      <c r="BO1196" s="305"/>
      <c r="BP1196" s="305"/>
      <c r="BQ1196" s="305"/>
      <c r="BR1196" s="305"/>
      <c r="BS1196" s="305"/>
      <c r="BT1196" s="305"/>
      <c r="BU1196" s="305"/>
      <c r="BV1196" s="305"/>
      <c r="BX1196" s="319"/>
    </row>
    <row r="1197" spans="1:76" s="303" customFormat="1" x14ac:dyDescent="0.25">
      <c r="A1197" s="275"/>
      <c r="B1197" s="275"/>
      <c r="C1197" s="275"/>
      <c r="D1197" s="275"/>
      <c r="E1197" s="275"/>
      <c r="F1197" s="275"/>
      <c r="V1197" s="304"/>
      <c r="W1197" s="304"/>
      <c r="AD1197" s="304"/>
      <c r="AE1197" s="304"/>
      <c r="AR1197" s="304"/>
      <c r="AS1197" s="304"/>
      <c r="AT1197" s="304"/>
      <c r="AU1197" s="304"/>
      <c r="AV1197" s="304"/>
      <c r="AW1197" s="304"/>
      <c r="AX1197" s="304"/>
      <c r="AY1197" s="304"/>
      <c r="AZ1197" s="304"/>
      <c r="BA1197" s="304"/>
      <c r="BB1197" s="304"/>
      <c r="BC1197" s="304"/>
      <c r="BK1197" s="305"/>
      <c r="BL1197" s="305"/>
      <c r="BM1197" s="305"/>
      <c r="BN1197" s="305"/>
      <c r="BO1197" s="305"/>
      <c r="BP1197" s="305"/>
      <c r="BQ1197" s="305"/>
      <c r="BR1197" s="305"/>
      <c r="BS1197" s="305"/>
      <c r="BT1197" s="305"/>
      <c r="BU1197" s="305"/>
      <c r="BV1197" s="305"/>
      <c r="BX1197" s="319"/>
    </row>
    <row r="1198" spans="1:76" s="303" customFormat="1" x14ac:dyDescent="0.25">
      <c r="A1198" s="275"/>
      <c r="B1198" s="275"/>
      <c r="C1198" s="275"/>
      <c r="D1198" s="275"/>
      <c r="E1198" s="275"/>
      <c r="F1198" s="275"/>
      <c r="V1198" s="304"/>
      <c r="W1198" s="304"/>
      <c r="AD1198" s="304"/>
      <c r="AE1198" s="304"/>
      <c r="AR1198" s="304"/>
      <c r="AS1198" s="304"/>
      <c r="AT1198" s="304"/>
      <c r="AU1198" s="304"/>
      <c r="AV1198" s="304"/>
      <c r="AW1198" s="304"/>
      <c r="AX1198" s="304"/>
      <c r="AY1198" s="304"/>
      <c r="AZ1198" s="304"/>
      <c r="BA1198" s="304"/>
      <c r="BB1198" s="304"/>
      <c r="BC1198" s="304"/>
      <c r="BK1198" s="305"/>
      <c r="BL1198" s="305"/>
      <c r="BM1198" s="305"/>
      <c r="BN1198" s="305"/>
      <c r="BO1198" s="305"/>
      <c r="BP1198" s="305"/>
      <c r="BQ1198" s="305"/>
      <c r="BR1198" s="305"/>
      <c r="BS1198" s="305"/>
      <c r="BT1198" s="305"/>
      <c r="BU1198" s="305"/>
      <c r="BV1198" s="305"/>
      <c r="BX1198" s="319"/>
    </row>
    <row r="1199" spans="1:76" s="303" customFormat="1" x14ac:dyDescent="0.25">
      <c r="A1199" s="275"/>
      <c r="B1199" s="275"/>
      <c r="C1199" s="275"/>
      <c r="D1199" s="275"/>
      <c r="E1199" s="275"/>
      <c r="F1199" s="275"/>
      <c r="V1199" s="304"/>
      <c r="W1199" s="304"/>
      <c r="AD1199" s="304"/>
      <c r="AE1199" s="304"/>
      <c r="AR1199" s="304"/>
      <c r="AS1199" s="304"/>
      <c r="AT1199" s="304"/>
      <c r="AU1199" s="304"/>
      <c r="AV1199" s="304"/>
      <c r="AW1199" s="304"/>
      <c r="AX1199" s="304"/>
      <c r="AY1199" s="304"/>
      <c r="AZ1199" s="304"/>
      <c r="BA1199" s="304"/>
      <c r="BB1199" s="304"/>
      <c r="BC1199" s="304"/>
      <c r="BK1199" s="305"/>
      <c r="BL1199" s="305"/>
      <c r="BM1199" s="305"/>
      <c r="BN1199" s="305"/>
      <c r="BO1199" s="305"/>
      <c r="BP1199" s="305"/>
      <c r="BQ1199" s="305"/>
      <c r="BR1199" s="305"/>
      <c r="BS1199" s="305"/>
      <c r="BT1199" s="305"/>
      <c r="BU1199" s="305"/>
      <c r="BV1199" s="305"/>
      <c r="BX1199" s="319"/>
    </row>
    <row r="1200" spans="1:76" s="303" customFormat="1" x14ac:dyDescent="0.25">
      <c r="A1200" s="275"/>
      <c r="B1200" s="275"/>
      <c r="C1200" s="275"/>
      <c r="D1200" s="275"/>
      <c r="E1200" s="275"/>
      <c r="F1200" s="275"/>
      <c r="V1200" s="304"/>
      <c r="W1200" s="304"/>
      <c r="AD1200" s="304"/>
      <c r="AE1200" s="304"/>
      <c r="AR1200" s="304"/>
      <c r="AS1200" s="304"/>
      <c r="AT1200" s="304"/>
      <c r="AU1200" s="304"/>
      <c r="AV1200" s="304"/>
      <c r="AW1200" s="304"/>
      <c r="AX1200" s="304"/>
      <c r="AY1200" s="304"/>
      <c r="AZ1200" s="304"/>
      <c r="BA1200" s="304"/>
      <c r="BB1200" s="304"/>
      <c r="BC1200" s="304"/>
      <c r="BK1200" s="305"/>
      <c r="BL1200" s="305"/>
      <c r="BM1200" s="305"/>
      <c r="BN1200" s="305"/>
      <c r="BO1200" s="305"/>
      <c r="BP1200" s="305"/>
      <c r="BQ1200" s="305"/>
      <c r="BR1200" s="305"/>
      <c r="BS1200" s="305"/>
      <c r="BT1200" s="305"/>
      <c r="BU1200" s="305"/>
      <c r="BV1200" s="305"/>
      <c r="BX1200" s="319"/>
    </row>
    <row r="1201" spans="1:76" s="303" customFormat="1" x14ac:dyDescent="0.25">
      <c r="A1201" s="275"/>
      <c r="B1201" s="275"/>
      <c r="C1201" s="275"/>
      <c r="D1201" s="275"/>
      <c r="E1201" s="275"/>
      <c r="F1201" s="275"/>
      <c r="V1201" s="304"/>
      <c r="W1201" s="304"/>
      <c r="AD1201" s="304"/>
      <c r="AE1201" s="304"/>
      <c r="AR1201" s="304"/>
      <c r="AS1201" s="304"/>
      <c r="AT1201" s="304"/>
      <c r="AU1201" s="304"/>
      <c r="AV1201" s="304"/>
      <c r="AW1201" s="304"/>
      <c r="AX1201" s="304"/>
      <c r="AY1201" s="304"/>
      <c r="AZ1201" s="304"/>
      <c r="BA1201" s="304"/>
      <c r="BB1201" s="304"/>
      <c r="BC1201" s="304"/>
      <c r="BK1201" s="305"/>
      <c r="BL1201" s="305"/>
      <c r="BM1201" s="305"/>
      <c r="BN1201" s="305"/>
      <c r="BO1201" s="305"/>
      <c r="BP1201" s="305"/>
      <c r="BQ1201" s="305"/>
      <c r="BR1201" s="305"/>
      <c r="BS1201" s="305"/>
      <c r="BT1201" s="305"/>
      <c r="BU1201" s="305"/>
      <c r="BV1201" s="305"/>
      <c r="BX1201" s="319"/>
    </row>
    <row r="1202" spans="1:76" s="303" customFormat="1" x14ac:dyDescent="0.25">
      <c r="A1202" s="275"/>
      <c r="B1202" s="275"/>
      <c r="C1202" s="275"/>
      <c r="D1202" s="275"/>
      <c r="E1202" s="275"/>
      <c r="F1202" s="275"/>
      <c r="V1202" s="304"/>
      <c r="W1202" s="304"/>
      <c r="AD1202" s="304"/>
      <c r="AE1202" s="304"/>
      <c r="AR1202" s="304"/>
      <c r="AS1202" s="304"/>
      <c r="AT1202" s="304"/>
      <c r="AU1202" s="304"/>
      <c r="AV1202" s="304"/>
      <c r="AW1202" s="304"/>
      <c r="AX1202" s="304"/>
      <c r="AY1202" s="304"/>
      <c r="AZ1202" s="304"/>
      <c r="BA1202" s="304"/>
      <c r="BB1202" s="304"/>
      <c r="BC1202" s="304"/>
      <c r="BK1202" s="305"/>
      <c r="BL1202" s="305"/>
      <c r="BM1202" s="305"/>
      <c r="BN1202" s="305"/>
      <c r="BO1202" s="305"/>
      <c r="BP1202" s="305"/>
      <c r="BQ1202" s="305"/>
      <c r="BR1202" s="305"/>
      <c r="BS1202" s="305"/>
      <c r="BT1202" s="305"/>
      <c r="BU1202" s="305"/>
      <c r="BV1202" s="305"/>
      <c r="BX1202" s="319"/>
    </row>
    <row r="1203" spans="1:76" s="303" customFormat="1" x14ac:dyDescent="0.25">
      <c r="A1203" s="275"/>
      <c r="B1203" s="275"/>
      <c r="C1203" s="275"/>
      <c r="D1203" s="275"/>
      <c r="E1203" s="275"/>
      <c r="F1203" s="275"/>
      <c r="V1203" s="304"/>
      <c r="W1203" s="304"/>
      <c r="AD1203" s="304"/>
      <c r="AE1203" s="304"/>
      <c r="AR1203" s="304"/>
      <c r="AS1203" s="304"/>
      <c r="AT1203" s="304"/>
      <c r="AU1203" s="304"/>
      <c r="AV1203" s="304"/>
      <c r="AW1203" s="304"/>
      <c r="AX1203" s="304"/>
      <c r="AY1203" s="304"/>
      <c r="AZ1203" s="304"/>
      <c r="BA1203" s="304"/>
      <c r="BB1203" s="304"/>
      <c r="BC1203" s="304"/>
      <c r="BK1203" s="305"/>
      <c r="BL1203" s="305"/>
      <c r="BM1203" s="305"/>
      <c r="BN1203" s="305"/>
      <c r="BO1203" s="305"/>
      <c r="BP1203" s="305"/>
      <c r="BQ1203" s="305"/>
      <c r="BR1203" s="305"/>
      <c r="BS1203" s="305"/>
      <c r="BT1203" s="305"/>
      <c r="BU1203" s="305"/>
      <c r="BV1203" s="305"/>
      <c r="BX1203" s="319"/>
    </row>
    <row r="1204" spans="1:76" s="303" customFormat="1" x14ac:dyDescent="0.25">
      <c r="A1204" s="275"/>
      <c r="B1204" s="275"/>
      <c r="C1204" s="275"/>
      <c r="D1204" s="275"/>
      <c r="E1204" s="275"/>
      <c r="F1204" s="275"/>
      <c r="V1204" s="304"/>
      <c r="W1204" s="304"/>
      <c r="AD1204" s="304"/>
      <c r="AE1204" s="304"/>
      <c r="AR1204" s="304"/>
      <c r="AS1204" s="304"/>
      <c r="AT1204" s="304"/>
      <c r="AU1204" s="304"/>
      <c r="AV1204" s="304"/>
      <c r="AW1204" s="304"/>
      <c r="AX1204" s="304"/>
      <c r="AY1204" s="304"/>
      <c r="AZ1204" s="304"/>
      <c r="BA1204" s="304"/>
      <c r="BB1204" s="304"/>
      <c r="BC1204" s="304"/>
      <c r="BK1204" s="305"/>
      <c r="BL1204" s="305"/>
      <c r="BM1204" s="305"/>
      <c r="BN1204" s="305"/>
      <c r="BO1204" s="305"/>
      <c r="BP1204" s="305"/>
      <c r="BQ1204" s="305"/>
      <c r="BR1204" s="305"/>
      <c r="BS1204" s="305"/>
      <c r="BT1204" s="305"/>
      <c r="BU1204" s="305"/>
      <c r="BV1204" s="305"/>
      <c r="BX1204" s="319"/>
    </row>
    <row r="1205" spans="1:76" s="303" customFormat="1" x14ac:dyDescent="0.25">
      <c r="A1205" s="275"/>
      <c r="B1205" s="275"/>
      <c r="C1205" s="275"/>
      <c r="D1205" s="275"/>
      <c r="E1205" s="275"/>
      <c r="F1205" s="275"/>
      <c r="V1205" s="304"/>
      <c r="W1205" s="304"/>
      <c r="AD1205" s="304"/>
      <c r="AE1205" s="304"/>
      <c r="AR1205" s="304"/>
      <c r="AS1205" s="304"/>
      <c r="AT1205" s="304"/>
      <c r="AU1205" s="304"/>
      <c r="AV1205" s="304"/>
      <c r="AW1205" s="304"/>
      <c r="AX1205" s="304"/>
      <c r="AY1205" s="304"/>
      <c r="AZ1205" s="304"/>
      <c r="BA1205" s="304"/>
      <c r="BB1205" s="304"/>
      <c r="BC1205" s="304"/>
      <c r="BK1205" s="305"/>
      <c r="BL1205" s="305"/>
      <c r="BM1205" s="305"/>
      <c r="BN1205" s="305"/>
      <c r="BO1205" s="305"/>
      <c r="BP1205" s="305"/>
      <c r="BQ1205" s="305"/>
      <c r="BR1205" s="305"/>
      <c r="BS1205" s="305"/>
      <c r="BT1205" s="305"/>
      <c r="BU1205" s="305"/>
      <c r="BV1205" s="305"/>
      <c r="BX1205" s="319"/>
    </row>
    <row r="1206" spans="1:76" s="303" customFormat="1" x14ac:dyDescent="0.25">
      <c r="A1206" s="275"/>
      <c r="B1206" s="275"/>
      <c r="C1206" s="275"/>
      <c r="D1206" s="275"/>
      <c r="E1206" s="275"/>
      <c r="F1206" s="275"/>
      <c r="V1206" s="304"/>
      <c r="W1206" s="304"/>
      <c r="AD1206" s="304"/>
      <c r="AE1206" s="304"/>
      <c r="AR1206" s="304"/>
      <c r="AS1206" s="304"/>
      <c r="AT1206" s="304"/>
      <c r="AU1206" s="304"/>
      <c r="AV1206" s="304"/>
      <c r="AW1206" s="304"/>
      <c r="AX1206" s="304"/>
      <c r="AY1206" s="304"/>
      <c r="AZ1206" s="304"/>
      <c r="BA1206" s="304"/>
      <c r="BB1206" s="304"/>
      <c r="BC1206" s="304"/>
      <c r="BK1206" s="305"/>
      <c r="BL1206" s="305"/>
      <c r="BM1206" s="305"/>
      <c r="BN1206" s="305"/>
      <c r="BO1206" s="305"/>
      <c r="BP1206" s="305"/>
      <c r="BQ1206" s="305"/>
      <c r="BR1206" s="305"/>
      <c r="BS1206" s="305"/>
      <c r="BT1206" s="305"/>
      <c r="BU1206" s="305"/>
      <c r="BV1206" s="305"/>
      <c r="BX1206" s="319"/>
    </row>
    <row r="1207" spans="1:76" s="303" customFormat="1" x14ac:dyDescent="0.25">
      <c r="A1207" s="275"/>
      <c r="B1207" s="275"/>
      <c r="C1207" s="275"/>
      <c r="D1207" s="275"/>
      <c r="E1207" s="275"/>
      <c r="F1207" s="275"/>
      <c r="V1207" s="304"/>
      <c r="W1207" s="304"/>
      <c r="AD1207" s="304"/>
      <c r="AE1207" s="304"/>
      <c r="AR1207" s="304"/>
      <c r="AS1207" s="304"/>
      <c r="AT1207" s="304"/>
      <c r="AU1207" s="304"/>
      <c r="AV1207" s="304"/>
      <c r="AW1207" s="304"/>
      <c r="AX1207" s="304"/>
      <c r="AY1207" s="304"/>
      <c r="AZ1207" s="304"/>
      <c r="BA1207" s="304"/>
      <c r="BB1207" s="304"/>
      <c r="BC1207" s="304"/>
      <c r="BK1207" s="305"/>
      <c r="BL1207" s="305"/>
      <c r="BM1207" s="305"/>
      <c r="BN1207" s="305"/>
      <c r="BO1207" s="305"/>
      <c r="BP1207" s="305"/>
      <c r="BQ1207" s="305"/>
      <c r="BR1207" s="305"/>
      <c r="BS1207" s="305"/>
      <c r="BT1207" s="305"/>
      <c r="BU1207" s="305"/>
      <c r="BV1207" s="305"/>
      <c r="BX1207" s="319"/>
    </row>
    <row r="1208" spans="1:76" s="303" customFormat="1" x14ac:dyDescent="0.25">
      <c r="A1208" s="275"/>
      <c r="B1208" s="275"/>
      <c r="C1208" s="275"/>
      <c r="D1208" s="275"/>
      <c r="E1208" s="275"/>
      <c r="F1208" s="275"/>
      <c r="V1208" s="304"/>
      <c r="W1208" s="304"/>
      <c r="AD1208" s="304"/>
      <c r="AE1208" s="304"/>
      <c r="AR1208" s="304"/>
      <c r="AS1208" s="304"/>
      <c r="AT1208" s="304"/>
      <c r="AU1208" s="304"/>
      <c r="AV1208" s="304"/>
      <c r="AW1208" s="304"/>
      <c r="AX1208" s="304"/>
      <c r="AY1208" s="304"/>
      <c r="AZ1208" s="304"/>
      <c r="BA1208" s="304"/>
      <c r="BB1208" s="304"/>
      <c r="BC1208" s="304"/>
      <c r="BK1208" s="305"/>
      <c r="BL1208" s="305"/>
      <c r="BM1208" s="305"/>
      <c r="BN1208" s="305"/>
      <c r="BO1208" s="305"/>
      <c r="BP1208" s="305"/>
      <c r="BQ1208" s="305"/>
      <c r="BR1208" s="305"/>
      <c r="BS1208" s="305"/>
      <c r="BT1208" s="305"/>
      <c r="BU1208" s="305"/>
      <c r="BV1208" s="305"/>
      <c r="BX1208" s="319"/>
    </row>
    <row r="1209" spans="1:76" s="303" customFormat="1" x14ac:dyDescent="0.25">
      <c r="A1209" s="275"/>
      <c r="B1209" s="275"/>
      <c r="C1209" s="275"/>
      <c r="D1209" s="275"/>
      <c r="E1209" s="275"/>
      <c r="F1209" s="275"/>
      <c r="V1209" s="304"/>
      <c r="W1209" s="304"/>
      <c r="AD1209" s="304"/>
      <c r="AE1209" s="304"/>
      <c r="AR1209" s="304"/>
      <c r="AS1209" s="304"/>
      <c r="AT1209" s="304"/>
      <c r="AU1209" s="304"/>
      <c r="AV1209" s="304"/>
      <c r="AW1209" s="304"/>
      <c r="AX1209" s="304"/>
      <c r="AY1209" s="304"/>
      <c r="AZ1209" s="304"/>
      <c r="BA1209" s="304"/>
      <c r="BB1209" s="304"/>
      <c r="BC1209" s="304"/>
      <c r="BK1209" s="305"/>
      <c r="BL1209" s="305"/>
      <c r="BM1209" s="305"/>
      <c r="BN1209" s="305"/>
      <c r="BO1209" s="305"/>
      <c r="BP1209" s="305"/>
      <c r="BQ1209" s="305"/>
      <c r="BR1209" s="305"/>
      <c r="BS1209" s="305"/>
      <c r="BT1209" s="305"/>
      <c r="BU1209" s="305"/>
      <c r="BV1209" s="305"/>
      <c r="BX1209" s="319"/>
    </row>
    <row r="1210" spans="1:76" s="303" customFormat="1" x14ac:dyDescent="0.25">
      <c r="A1210" s="275"/>
      <c r="B1210" s="275"/>
      <c r="C1210" s="275"/>
      <c r="D1210" s="275"/>
      <c r="E1210" s="275"/>
      <c r="F1210" s="275"/>
      <c r="V1210" s="304"/>
      <c r="W1210" s="304"/>
      <c r="AD1210" s="304"/>
      <c r="AE1210" s="304"/>
      <c r="AR1210" s="304"/>
      <c r="AS1210" s="304"/>
      <c r="AT1210" s="304"/>
      <c r="AU1210" s="304"/>
      <c r="AV1210" s="304"/>
      <c r="AW1210" s="304"/>
      <c r="AX1210" s="304"/>
      <c r="AY1210" s="304"/>
      <c r="AZ1210" s="304"/>
      <c r="BA1210" s="304"/>
      <c r="BB1210" s="304"/>
      <c r="BC1210" s="304"/>
      <c r="BK1210" s="305"/>
      <c r="BL1210" s="305"/>
      <c r="BM1210" s="305"/>
      <c r="BN1210" s="305"/>
      <c r="BO1210" s="305"/>
      <c r="BP1210" s="305"/>
      <c r="BQ1210" s="305"/>
      <c r="BR1210" s="305"/>
      <c r="BS1210" s="305"/>
      <c r="BT1210" s="305"/>
      <c r="BU1210" s="305"/>
      <c r="BV1210" s="305"/>
      <c r="BX1210" s="319"/>
    </row>
    <row r="1211" spans="1:76" s="303" customFormat="1" x14ac:dyDescent="0.25">
      <c r="A1211" s="275"/>
      <c r="B1211" s="275"/>
      <c r="C1211" s="275"/>
      <c r="D1211" s="275"/>
      <c r="E1211" s="275"/>
      <c r="F1211" s="275"/>
      <c r="V1211" s="304"/>
      <c r="W1211" s="304"/>
      <c r="AD1211" s="304"/>
      <c r="AE1211" s="304"/>
      <c r="AR1211" s="304"/>
      <c r="AS1211" s="304"/>
      <c r="AT1211" s="304"/>
      <c r="AU1211" s="304"/>
      <c r="AV1211" s="304"/>
      <c r="AW1211" s="304"/>
      <c r="AX1211" s="304"/>
      <c r="AY1211" s="304"/>
      <c r="AZ1211" s="304"/>
      <c r="BA1211" s="304"/>
      <c r="BB1211" s="304"/>
      <c r="BC1211" s="304"/>
      <c r="BK1211" s="305"/>
      <c r="BL1211" s="305"/>
      <c r="BM1211" s="305"/>
      <c r="BN1211" s="305"/>
      <c r="BO1211" s="305"/>
      <c r="BP1211" s="305"/>
      <c r="BQ1211" s="305"/>
      <c r="BR1211" s="305"/>
      <c r="BS1211" s="305"/>
      <c r="BT1211" s="305"/>
      <c r="BU1211" s="305"/>
      <c r="BV1211" s="305"/>
      <c r="BX1211" s="319"/>
    </row>
    <row r="1212" spans="1:76" s="303" customFormat="1" x14ac:dyDescent="0.25">
      <c r="A1212" s="275"/>
      <c r="B1212" s="275"/>
      <c r="C1212" s="275"/>
      <c r="D1212" s="275"/>
      <c r="E1212" s="275"/>
      <c r="F1212" s="275"/>
      <c r="V1212" s="304"/>
      <c r="W1212" s="304"/>
      <c r="AD1212" s="304"/>
      <c r="AE1212" s="304"/>
      <c r="AR1212" s="304"/>
      <c r="AS1212" s="304"/>
      <c r="AT1212" s="304"/>
      <c r="AU1212" s="304"/>
      <c r="AV1212" s="304"/>
      <c r="AW1212" s="304"/>
      <c r="AX1212" s="304"/>
      <c r="AY1212" s="304"/>
      <c r="AZ1212" s="304"/>
      <c r="BA1212" s="304"/>
      <c r="BB1212" s="304"/>
      <c r="BC1212" s="304"/>
      <c r="BK1212" s="305"/>
      <c r="BL1212" s="305"/>
      <c r="BM1212" s="305"/>
      <c r="BN1212" s="305"/>
      <c r="BO1212" s="305"/>
      <c r="BP1212" s="305"/>
      <c r="BQ1212" s="305"/>
      <c r="BR1212" s="305"/>
      <c r="BS1212" s="305"/>
      <c r="BT1212" s="305"/>
      <c r="BU1212" s="305"/>
      <c r="BV1212" s="305"/>
      <c r="BX1212" s="319"/>
    </row>
    <row r="1213" spans="1:76" s="303" customFormat="1" x14ac:dyDescent="0.25">
      <c r="A1213" s="275"/>
      <c r="B1213" s="275"/>
      <c r="C1213" s="275"/>
      <c r="D1213" s="275"/>
      <c r="E1213" s="275"/>
      <c r="F1213" s="275"/>
      <c r="V1213" s="304"/>
      <c r="W1213" s="304"/>
      <c r="AD1213" s="304"/>
      <c r="AE1213" s="304"/>
      <c r="AR1213" s="304"/>
      <c r="AS1213" s="304"/>
      <c r="AT1213" s="304"/>
      <c r="AU1213" s="304"/>
      <c r="AV1213" s="304"/>
      <c r="AW1213" s="304"/>
      <c r="AX1213" s="304"/>
      <c r="AY1213" s="304"/>
      <c r="AZ1213" s="304"/>
      <c r="BA1213" s="304"/>
      <c r="BB1213" s="304"/>
      <c r="BC1213" s="304"/>
      <c r="BK1213" s="305"/>
      <c r="BL1213" s="305"/>
      <c r="BM1213" s="305"/>
      <c r="BN1213" s="305"/>
      <c r="BO1213" s="305"/>
      <c r="BP1213" s="305"/>
      <c r="BQ1213" s="305"/>
      <c r="BR1213" s="305"/>
      <c r="BS1213" s="305"/>
      <c r="BT1213" s="305"/>
      <c r="BU1213" s="305"/>
      <c r="BV1213" s="305"/>
      <c r="BX1213" s="319"/>
    </row>
    <row r="1214" spans="1:76" s="303" customFormat="1" x14ac:dyDescent="0.25">
      <c r="A1214" s="275"/>
      <c r="B1214" s="275"/>
      <c r="C1214" s="275"/>
      <c r="D1214" s="275"/>
      <c r="E1214" s="275"/>
      <c r="F1214" s="275"/>
      <c r="V1214" s="304"/>
      <c r="W1214" s="304"/>
      <c r="AD1214" s="304"/>
      <c r="AE1214" s="304"/>
      <c r="AR1214" s="304"/>
      <c r="AS1214" s="304"/>
      <c r="AT1214" s="304"/>
      <c r="AU1214" s="304"/>
      <c r="AV1214" s="304"/>
      <c r="AW1214" s="304"/>
      <c r="AX1214" s="304"/>
      <c r="AY1214" s="304"/>
      <c r="AZ1214" s="304"/>
      <c r="BA1214" s="304"/>
      <c r="BB1214" s="304"/>
      <c r="BC1214" s="304"/>
      <c r="BK1214" s="305"/>
      <c r="BL1214" s="305"/>
      <c r="BM1214" s="305"/>
      <c r="BN1214" s="305"/>
      <c r="BO1214" s="305"/>
      <c r="BP1214" s="305"/>
      <c r="BQ1214" s="305"/>
      <c r="BR1214" s="305"/>
      <c r="BS1214" s="305"/>
      <c r="BT1214" s="305"/>
      <c r="BU1214" s="305"/>
      <c r="BV1214" s="305"/>
      <c r="BX1214" s="319"/>
    </row>
    <row r="1215" spans="1:76" s="303" customFormat="1" x14ac:dyDescent="0.25">
      <c r="A1215" s="275"/>
      <c r="B1215" s="275"/>
      <c r="C1215" s="275"/>
      <c r="D1215" s="275"/>
      <c r="E1215" s="275"/>
      <c r="F1215" s="275"/>
      <c r="V1215" s="304"/>
      <c r="W1215" s="304"/>
      <c r="AD1215" s="304"/>
      <c r="AE1215" s="304"/>
      <c r="AR1215" s="304"/>
      <c r="AS1215" s="304"/>
      <c r="AT1215" s="304"/>
      <c r="AU1215" s="304"/>
      <c r="AV1215" s="304"/>
      <c r="AW1215" s="304"/>
      <c r="AX1215" s="304"/>
      <c r="AY1215" s="304"/>
      <c r="AZ1215" s="304"/>
      <c r="BA1215" s="304"/>
      <c r="BB1215" s="304"/>
      <c r="BC1215" s="304"/>
      <c r="BK1215" s="305"/>
      <c r="BL1215" s="305"/>
      <c r="BM1215" s="305"/>
      <c r="BN1215" s="305"/>
      <c r="BO1215" s="305"/>
      <c r="BP1215" s="305"/>
      <c r="BQ1215" s="305"/>
      <c r="BR1215" s="305"/>
      <c r="BS1215" s="305"/>
      <c r="BT1215" s="305"/>
      <c r="BU1215" s="305"/>
      <c r="BV1215" s="305"/>
      <c r="BX1215" s="319"/>
    </row>
    <row r="1216" spans="1:76" s="303" customFormat="1" x14ac:dyDescent="0.25">
      <c r="A1216" s="275"/>
      <c r="B1216" s="275"/>
      <c r="C1216" s="275"/>
      <c r="D1216" s="275"/>
      <c r="E1216" s="275"/>
      <c r="F1216" s="275"/>
      <c r="V1216" s="304"/>
      <c r="W1216" s="304"/>
      <c r="AD1216" s="304"/>
      <c r="AE1216" s="304"/>
      <c r="AR1216" s="304"/>
      <c r="AS1216" s="304"/>
      <c r="AT1216" s="304"/>
      <c r="AU1216" s="304"/>
      <c r="AV1216" s="304"/>
      <c r="AW1216" s="304"/>
      <c r="AX1216" s="304"/>
      <c r="AY1216" s="304"/>
      <c r="AZ1216" s="304"/>
      <c r="BA1216" s="304"/>
      <c r="BB1216" s="304"/>
      <c r="BC1216" s="304"/>
      <c r="BK1216" s="305"/>
      <c r="BL1216" s="305"/>
      <c r="BM1216" s="305"/>
      <c r="BN1216" s="305"/>
      <c r="BO1216" s="305"/>
      <c r="BP1216" s="305"/>
      <c r="BQ1216" s="305"/>
      <c r="BR1216" s="305"/>
      <c r="BS1216" s="305"/>
      <c r="BT1216" s="305"/>
      <c r="BU1216" s="305"/>
      <c r="BV1216" s="305"/>
      <c r="BX1216" s="319"/>
    </row>
    <row r="1217" spans="1:76" s="303" customFormat="1" x14ac:dyDescent="0.25">
      <c r="A1217" s="275"/>
      <c r="B1217" s="275"/>
      <c r="C1217" s="275"/>
      <c r="D1217" s="275"/>
      <c r="E1217" s="275"/>
      <c r="F1217" s="275"/>
      <c r="V1217" s="304"/>
      <c r="W1217" s="304"/>
      <c r="AD1217" s="304"/>
      <c r="AE1217" s="304"/>
      <c r="AR1217" s="304"/>
      <c r="AS1217" s="304"/>
      <c r="AT1217" s="304"/>
      <c r="AU1217" s="304"/>
      <c r="AV1217" s="304"/>
      <c r="AW1217" s="304"/>
      <c r="AX1217" s="304"/>
      <c r="AY1217" s="304"/>
      <c r="AZ1217" s="304"/>
      <c r="BA1217" s="304"/>
      <c r="BB1217" s="304"/>
      <c r="BC1217" s="304"/>
      <c r="BK1217" s="305"/>
      <c r="BL1217" s="305"/>
      <c r="BM1217" s="305"/>
      <c r="BN1217" s="305"/>
      <c r="BO1217" s="305"/>
      <c r="BP1217" s="305"/>
      <c r="BQ1217" s="305"/>
      <c r="BR1217" s="305"/>
      <c r="BS1217" s="305"/>
      <c r="BT1217" s="305"/>
      <c r="BU1217" s="305"/>
      <c r="BV1217" s="305"/>
      <c r="BX1217" s="319"/>
    </row>
    <row r="1218" spans="1:76" s="303" customFormat="1" x14ac:dyDescent="0.25">
      <c r="A1218" s="275"/>
      <c r="B1218" s="275"/>
      <c r="C1218" s="275"/>
      <c r="D1218" s="275"/>
      <c r="E1218" s="275"/>
      <c r="F1218" s="275"/>
      <c r="V1218" s="304"/>
      <c r="W1218" s="304"/>
      <c r="AD1218" s="304"/>
      <c r="AE1218" s="304"/>
      <c r="AR1218" s="304"/>
      <c r="AS1218" s="304"/>
      <c r="AT1218" s="304"/>
      <c r="AU1218" s="304"/>
      <c r="AV1218" s="304"/>
      <c r="AW1218" s="304"/>
      <c r="AX1218" s="304"/>
      <c r="AY1218" s="304"/>
      <c r="AZ1218" s="304"/>
      <c r="BA1218" s="304"/>
      <c r="BB1218" s="304"/>
      <c r="BC1218" s="304"/>
      <c r="BK1218" s="305"/>
      <c r="BL1218" s="305"/>
      <c r="BM1218" s="305"/>
      <c r="BN1218" s="305"/>
      <c r="BO1218" s="305"/>
      <c r="BP1218" s="305"/>
      <c r="BQ1218" s="305"/>
      <c r="BR1218" s="305"/>
      <c r="BS1218" s="305"/>
      <c r="BT1218" s="305"/>
      <c r="BU1218" s="305"/>
      <c r="BV1218" s="305"/>
      <c r="BX1218" s="319"/>
    </row>
    <row r="1219" spans="1:76" s="303" customFormat="1" x14ac:dyDescent="0.25">
      <c r="A1219" s="275"/>
      <c r="B1219" s="275"/>
      <c r="C1219" s="275"/>
      <c r="D1219" s="275"/>
      <c r="E1219" s="275"/>
      <c r="F1219" s="275"/>
      <c r="V1219" s="304"/>
      <c r="W1219" s="304"/>
      <c r="AD1219" s="304"/>
      <c r="AE1219" s="304"/>
      <c r="AR1219" s="304"/>
      <c r="AS1219" s="304"/>
      <c r="AT1219" s="304"/>
      <c r="AU1219" s="304"/>
      <c r="AV1219" s="304"/>
      <c r="AW1219" s="304"/>
      <c r="AX1219" s="304"/>
      <c r="AY1219" s="304"/>
      <c r="AZ1219" s="304"/>
      <c r="BA1219" s="304"/>
      <c r="BB1219" s="304"/>
      <c r="BC1219" s="304"/>
      <c r="BK1219" s="305"/>
      <c r="BL1219" s="305"/>
      <c r="BM1219" s="305"/>
      <c r="BN1219" s="305"/>
      <c r="BO1219" s="305"/>
      <c r="BP1219" s="305"/>
      <c r="BQ1219" s="305"/>
      <c r="BR1219" s="305"/>
      <c r="BS1219" s="305"/>
      <c r="BT1219" s="305"/>
      <c r="BU1219" s="305"/>
      <c r="BV1219" s="305"/>
      <c r="BX1219" s="319"/>
    </row>
    <row r="1220" spans="1:76" s="303" customFormat="1" x14ac:dyDescent="0.25">
      <c r="A1220" s="275"/>
      <c r="B1220" s="275"/>
      <c r="C1220" s="275"/>
      <c r="D1220" s="275"/>
      <c r="E1220" s="275"/>
      <c r="F1220" s="275"/>
      <c r="V1220" s="304"/>
      <c r="W1220" s="304"/>
      <c r="AD1220" s="304"/>
      <c r="AE1220" s="304"/>
      <c r="AR1220" s="304"/>
      <c r="AS1220" s="304"/>
      <c r="AT1220" s="304"/>
      <c r="AU1220" s="304"/>
      <c r="AV1220" s="304"/>
      <c r="AW1220" s="304"/>
      <c r="AX1220" s="304"/>
      <c r="AY1220" s="304"/>
      <c r="AZ1220" s="304"/>
      <c r="BA1220" s="304"/>
      <c r="BB1220" s="304"/>
      <c r="BC1220" s="304"/>
      <c r="BK1220" s="305"/>
      <c r="BL1220" s="305"/>
      <c r="BM1220" s="305"/>
      <c r="BN1220" s="305"/>
      <c r="BO1220" s="305"/>
      <c r="BP1220" s="305"/>
      <c r="BQ1220" s="305"/>
      <c r="BR1220" s="305"/>
      <c r="BS1220" s="305"/>
      <c r="BT1220" s="305"/>
      <c r="BU1220" s="305"/>
      <c r="BV1220" s="305"/>
      <c r="BX1220" s="319"/>
    </row>
    <row r="1221" spans="1:76" s="303" customFormat="1" x14ac:dyDescent="0.25">
      <c r="A1221" s="275"/>
      <c r="B1221" s="275"/>
      <c r="C1221" s="275"/>
      <c r="D1221" s="275"/>
      <c r="E1221" s="275"/>
      <c r="F1221" s="275"/>
      <c r="V1221" s="304"/>
      <c r="W1221" s="304"/>
      <c r="AD1221" s="304"/>
      <c r="AE1221" s="304"/>
      <c r="AR1221" s="304"/>
      <c r="AS1221" s="304"/>
      <c r="AT1221" s="304"/>
      <c r="AU1221" s="304"/>
      <c r="AV1221" s="304"/>
      <c r="AW1221" s="304"/>
      <c r="AX1221" s="304"/>
      <c r="AY1221" s="304"/>
      <c r="AZ1221" s="304"/>
      <c r="BA1221" s="304"/>
      <c r="BB1221" s="304"/>
      <c r="BC1221" s="304"/>
      <c r="BK1221" s="305"/>
      <c r="BL1221" s="305"/>
      <c r="BM1221" s="305"/>
      <c r="BN1221" s="305"/>
      <c r="BO1221" s="305"/>
      <c r="BP1221" s="305"/>
      <c r="BQ1221" s="305"/>
      <c r="BR1221" s="305"/>
      <c r="BS1221" s="305"/>
      <c r="BT1221" s="305"/>
      <c r="BU1221" s="305"/>
      <c r="BV1221" s="305"/>
      <c r="BX1221" s="319"/>
    </row>
    <row r="1222" spans="1:76" s="303" customFormat="1" x14ac:dyDescent="0.25">
      <c r="A1222" s="275"/>
      <c r="B1222" s="275"/>
      <c r="C1222" s="275"/>
      <c r="D1222" s="275"/>
      <c r="E1222" s="275"/>
      <c r="F1222" s="275"/>
      <c r="V1222" s="304"/>
      <c r="W1222" s="304"/>
      <c r="AD1222" s="304"/>
      <c r="AE1222" s="304"/>
      <c r="AR1222" s="304"/>
      <c r="AS1222" s="304"/>
      <c r="AT1222" s="304"/>
      <c r="AU1222" s="304"/>
      <c r="AV1222" s="304"/>
      <c r="AW1222" s="304"/>
      <c r="AX1222" s="304"/>
      <c r="AY1222" s="304"/>
      <c r="AZ1222" s="304"/>
      <c r="BA1222" s="304"/>
      <c r="BB1222" s="304"/>
      <c r="BC1222" s="304"/>
      <c r="BK1222" s="305"/>
      <c r="BL1222" s="305"/>
      <c r="BM1222" s="305"/>
      <c r="BN1222" s="305"/>
      <c r="BO1222" s="305"/>
      <c r="BP1222" s="305"/>
      <c r="BQ1222" s="305"/>
      <c r="BR1222" s="305"/>
      <c r="BS1222" s="305"/>
      <c r="BT1222" s="305"/>
      <c r="BU1222" s="305"/>
      <c r="BV1222" s="305"/>
      <c r="BX1222" s="319"/>
    </row>
    <row r="1223" spans="1:76" s="303" customFormat="1" x14ac:dyDescent="0.25">
      <c r="A1223" s="275"/>
      <c r="B1223" s="275"/>
      <c r="C1223" s="275"/>
      <c r="D1223" s="275"/>
      <c r="E1223" s="275"/>
      <c r="F1223" s="275"/>
      <c r="V1223" s="304"/>
      <c r="W1223" s="304"/>
      <c r="AD1223" s="304"/>
      <c r="AE1223" s="304"/>
      <c r="AR1223" s="304"/>
      <c r="AS1223" s="304"/>
      <c r="AT1223" s="304"/>
      <c r="AU1223" s="304"/>
      <c r="AV1223" s="304"/>
      <c r="AW1223" s="304"/>
      <c r="AX1223" s="304"/>
      <c r="AY1223" s="304"/>
      <c r="AZ1223" s="304"/>
      <c r="BA1223" s="304"/>
      <c r="BB1223" s="304"/>
      <c r="BC1223" s="304"/>
      <c r="BK1223" s="305"/>
      <c r="BL1223" s="305"/>
      <c r="BM1223" s="305"/>
      <c r="BN1223" s="305"/>
      <c r="BO1223" s="305"/>
      <c r="BP1223" s="305"/>
      <c r="BQ1223" s="305"/>
      <c r="BR1223" s="305"/>
      <c r="BS1223" s="305"/>
      <c r="BT1223" s="305"/>
      <c r="BU1223" s="305"/>
      <c r="BV1223" s="305"/>
      <c r="BX1223" s="319"/>
    </row>
    <row r="1224" spans="1:76" s="303" customFormat="1" x14ac:dyDescent="0.25">
      <c r="A1224" s="275"/>
      <c r="B1224" s="275"/>
      <c r="C1224" s="275"/>
      <c r="D1224" s="275"/>
      <c r="E1224" s="275"/>
      <c r="F1224" s="275"/>
      <c r="V1224" s="304"/>
      <c r="W1224" s="304"/>
      <c r="AD1224" s="304"/>
      <c r="AE1224" s="304"/>
      <c r="AR1224" s="304"/>
      <c r="AS1224" s="304"/>
      <c r="AT1224" s="304"/>
      <c r="AU1224" s="304"/>
      <c r="AV1224" s="304"/>
      <c r="AW1224" s="304"/>
      <c r="AX1224" s="304"/>
      <c r="AY1224" s="304"/>
      <c r="AZ1224" s="304"/>
      <c r="BA1224" s="304"/>
      <c r="BB1224" s="304"/>
      <c r="BC1224" s="304"/>
      <c r="BK1224" s="305"/>
      <c r="BL1224" s="305"/>
      <c r="BM1224" s="305"/>
      <c r="BN1224" s="305"/>
      <c r="BO1224" s="305"/>
      <c r="BP1224" s="305"/>
      <c r="BQ1224" s="305"/>
      <c r="BR1224" s="305"/>
      <c r="BS1224" s="305"/>
      <c r="BT1224" s="305"/>
      <c r="BU1224" s="305"/>
      <c r="BV1224" s="305"/>
      <c r="BX1224" s="319"/>
    </row>
    <row r="1225" spans="1:76" s="303" customFormat="1" x14ac:dyDescent="0.25">
      <c r="A1225" s="275"/>
      <c r="B1225" s="275"/>
      <c r="C1225" s="275"/>
      <c r="D1225" s="275"/>
      <c r="E1225" s="275"/>
      <c r="F1225" s="275"/>
      <c r="V1225" s="304"/>
      <c r="W1225" s="304"/>
      <c r="AD1225" s="304"/>
      <c r="AE1225" s="304"/>
      <c r="AR1225" s="304"/>
      <c r="AS1225" s="304"/>
      <c r="AT1225" s="304"/>
      <c r="AU1225" s="304"/>
      <c r="AV1225" s="304"/>
      <c r="AW1225" s="304"/>
      <c r="AX1225" s="304"/>
      <c r="AY1225" s="304"/>
      <c r="AZ1225" s="304"/>
      <c r="BA1225" s="304"/>
      <c r="BB1225" s="304"/>
      <c r="BC1225" s="304"/>
      <c r="BK1225" s="305"/>
      <c r="BL1225" s="305"/>
      <c r="BM1225" s="305"/>
      <c r="BN1225" s="305"/>
      <c r="BO1225" s="305"/>
      <c r="BP1225" s="305"/>
      <c r="BQ1225" s="305"/>
      <c r="BR1225" s="305"/>
      <c r="BS1225" s="305"/>
      <c r="BT1225" s="305"/>
      <c r="BU1225" s="305"/>
      <c r="BV1225" s="305"/>
      <c r="BX1225" s="319"/>
    </row>
    <row r="1226" spans="1:76" s="303" customFormat="1" x14ac:dyDescent="0.25">
      <c r="A1226" s="275"/>
      <c r="B1226" s="275"/>
      <c r="C1226" s="275"/>
      <c r="D1226" s="275"/>
      <c r="E1226" s="275"/>
      <c r="F1226" s="275"/>
      <c r="V1226" s="304"/>
      <c r="W1226" s="304"/>
      <c r="AD1226" s="304"/>
      <c r="AE1226" s="304"/>
      <c r="AR1226" s="304"/>
      <c r="AS1226" s="304"/>
      <c r="AT1226" s="304"/>
      <c r="AU1226" s="304"/>
      <c r="AV1226" s="304"/>
      <c r="AW1226" s="304"/>
      <c r="AX1226" s="304"/>
      <c r="AY1226" s="304"/>
      <c r="AZ1226" s="304"/>
      <c r="BA1226" s="304"/>
      <c r="BB1226" s="304"/>
      <c r="BC1226" s="304"/>
      <c r="BK1226" s="305"/>
      <c r="BL1226" s="305"/>
      <c r="BM1226" s="305"/>
      <c r="BN1226" s="305"/>
      <c r="BO1226" s="305"/>
      <c r="BP1226" s="305"/>
      <c r="BQ1226" s="305"/>
      <c r="BR1226" s="305"/>
      <c r="BS1226" s="305"/>
      <c r="BT1226" s="305"/>
      <c r="BU1226" s="305"/>
      <c r="BV1226" s="305"/>
      <c r="BX1226" s="319"/>
    </row>
    <row r="1227" spans="1:76" s="303" customFormat="1" x14ac:dyDescent="0.25">
      <c r="A1227" s="275"/>
      <c r="B1227" s="275"/>
      <c r="C1227" s="275"/>
      <c r="D1227" s="275"/>
      <c r="E1227" s="275"/>
      <c r="F1227" s="275"/>
      <c r="V1227" s="304"/>
      <c r="W1227" s="304"/>
      <c r="AD1227" s="304"/>
      <c r="AE1227" s="304"/>
      <c r="AR1227" s="304"/>
      <c r="AS1227" s="304"/>
      <c r="AT1227" s="304"/>
      <c r="AU1227" s="304"/>
      <c r="AV1227" s="304"/>
      <c r="AW1227" s="304"/>
      <c r="AX1227" s="304"/>
      <c r="AY1227" s="304"/>
      <c r="AZ1227" s="304"/>
      <c r="BA1227" s="304"/>
      <c r="BB1227" s="304"/>
      <c r="BC1227" s="304"/>
      <c r="BK1227" s="305"/>
      <c r="BL1227" s="305"/>
      <c r="BM1227" s="305"/>
      <c r="BN1227" s="305"/>
      <c r="BO1227" s="305"/>
      <c r="BP1227" s="305"/>
      <c r="BQ1227" s="305"/>
      <c r="BR1227" s="305"/>
      <c r="BS1227" s="305"/>
      <c r="BT1227" s="305"/>
      <c r="BU1227" s="305"/>
      <c r="BV1227" s="305"/>
      <c r="BX1227" s="319"/>
    </row>
    <row r="1228" spans="1:76" s="303" customFormat="1" x14ac:dyDescent="0.25">
      <c r="A1228" s="275"/>
      <c r="B1228" s="275"/>
      <c r="C1228" s="275"/>
      <c r="D1228" s="275"/>
      <c r="E1228" s="275"/>
      <c r="F1228" s="275"/>
      <c r="V1228" s="304"/>
      <c r="W1228" s="304"/>
      <c r="AD1228" s="304"/>
      <c r="AE1228" s="304"/>
      <c r="AR1228" s="304"/>
      <c r="AS1228" s="304"/>
      <c r="AT1228" s="304"/>
      <c r="AU1228" s="304"/>
      <c r="AV1228" s="304"/>
      <c r="AW1228" s="304"/>
      <c r="AX1228" s="304"/>
      <c r="AY1228" s="304"/>
      <c r="AZ1228" s="304"/>
      <c r="BA1228" s="304"/>
      <c r="BB1228" s="304"/>
      <c r="BC1228" s="304"/>
      <c r="BK1228" s="305"/>
      <c r="BL1228" s="305"/>
      <c r="BM1228" s="305"/>
      <c r="BN1228" s="305"/>
      <c r="BO1228" s="305"/>
      <c r="BP1228" s="305"/>
      <c r="BQ1228" s="305"/>
      <c r="BR1228" s="305"/>
      <c r="BS1228" s="305"/>
      <c r="BT1228" s="305"/>
      <c r="BU1228" s="305"/>
      <c r="BV1228" s="305"/>
      <c r="BX1228" s="319"/>
    </row>
    <row r="1229" spans="1:76" s="303" customFormat="1" x14ac:dyDescent="0.25">
      <c r="A1229" s="275"/>
      <c r="B1229" s="275"/>
      <c r="C1229" s="275"/>
      <c r="D1229" s="275"/>
      <c r="E1229" s="275"/>
      <c r="F1229" s="275"/>
      <c r="V1229" s="304"/>
      <c r="W1229" s="304"/>
      <c r="AD1229" s="304"/>
      <c r="AE1229" s="304"/>
      <c r="AR1229" s="304"/>
      <c r="AS1229" s="304"/>
      <c r="AT1229" s="304"/>
      <c r="AU1229" s="304"/>
      <c r="AV1229" s="304"/>
      <c r="AW1229" s="304"/>
      <c r="AX1229" s="304"/>
      <c r="AY1229" s="304"/>
      <c r="AZ1229" s="304"/>
      <c r="BA1229" s="304"/>
      <c r="BB1229" s="304"/>
      <c r="BC1229" s="304"/>
      <c r="BK1229" s="305"/>
      <c r="BL1229" s="305"/>
      <c r="BM1229" s="305"/>
      <c r="BN1229" s="305"/>
      <c r="BO1229" s="305"/>
      <c r="BP1229" s="305"/>
      <c r="BQ1229" s="305"/>
      <c r="BR1229" s="305"/>
      <c r="BS1229" s="305"/>
      <c r="BT1229" s="305"/>
      <c r="BU1229" s="305"/>
      <c r="BV1229" s="305"/>
      <c r="BX1229" s="319"/>
    </row>
    <row r="1230" spans="1:76" s="303" customFormat="1" x14ac:dyDescent="0.25">
      <c r="A1230" s="275"/>
      <c r="B1230" s="275"/>
      <c r="C1230" s="275"/>
      <c r="D1230" s="275"/>
      <c r="E1230" s="275"/>
      <c r="F1230" s="275"/>
      <c r="V1230" s="304"/>
      <c r="W1230" s="304"/>
      <c r="AD1230" s="304"/>
      <c r="AE1230" s="304"/>
      <c r="AR1230" s="304"/>
      <c r="AS1230" s="304"/>
      <c r="AT1230" s="304"/>
      <c r="AU1230" s="304"/>
      <c r="AV1230" s="304"/>
      <c r="AW1230" s="304"/>
      <c r="AX1230" s="304"/>
      <c r="AY1230" s="304"/>
      <c r="AZ1230" s="304"/>
      <c r="BA1230" s="304"/>
      <c r="BB1230" s="304"/>
      <c r="BC1230" s="304"/>
      <c r="BK1230" s="305"/>
      <c r="BL1230" s="305"/>
      <c r="BM1230" s="305"/>
      <c r="BN1230" s="305"/>
      <c r="BO1230" s="305"/>
      <c r="BP1230" s="305"/>
      <c r="BQ1230" s="305"/>
      <c r="BR1230" s="305"/>
      <c r="BS1230" s="305"/>
      <c r="BT1230" s="305"/>
      <c r="BU1230" s="305"/>
      <c r="BV1230" s="305"/>
      <c r="BX1230" s="319"/>
    </row>
    <row r="1231" spans="1:76" s="303" customFormat="1" x14ac:dyDescent="0.25">
      <c r="A1231" s="275"/>
      <c r="B1231" s="275"/>
      <c r="C1231" s="275"/>
      <c r="D1231" s="275"/>
      <c r="E1231" s="275"/>
      <c r="F1231" s="275"/>
      <c r="V1231" s="304"/>
      <c r="W1231" s="304"/>
      <c r="AD1231" s="304"/>
      <c r="AE1231" s="304"/>
      <c r="AR1231" s="304"/>
      <c r="AS1231" s="304"/>
      <c r="AT1231" s="304"/>
      <c r="AU1231" s="304"/>
      <c r="AV1231" s="304"/>
      <c r="AW1231" s="304"/>
      <c r="AX1231" s="304"/>
      <c r="AY1231" s="304"/>
      <c r="AZ1231" s="304"/>
      <c r="BA1231" s="304"/>
      <c r="BB1231" s="304"/>
      <c r="BC1231" s="304"/>
      <c r="BK1231" s="305"/>
      <c r="BL1231" s="305"/>
      <c r="BM1231" s="305"/>
      <c r="BN1231" s="305"/>
      <c r="BO1231" s="305"/>
      <c r="BP1231" s="305"/>
      <c r="BQ1231" s="305"/>
      <c r="BR1231" s="305"/>
      <c r="BS1231" s="305"/>
      <c r="BT1231" s="305"/>
      <c r="BU1231" s="305"/>
      <c r="BV1231" s="305"/>
      <c r="BX1231" s="319"/>
    </row>
    <row r="1232" spans="1:76" s="303" customFormat="1" x14ac:dyDescent="0.25">
      <c r="A1232" s="275"/>
      <c r="B1232" s="275"/>
      <c r="C1232" s="275"/>
      <c r="D1232" s="275"/>
      <c r="E1232" s="275"/>
      <c r="F1232" s="275"/>
      <c r="V1232" s="304"/>
      <c r="W1232" s="304"/>
      <c r="AD1232" s="304"/>
      <c r="AE1232" s="304"/>
      <c r="AR1232" s="304"/>
      <c r="AS1232" s="304"/>
      <c r="AT1232" s="304"/>
      <c r="AU1232" s="304"/>
      <c r="AV1232" s="304"/>
      <c r="AW1232" s="304"/>
      <c r="AX1232" s="304"/>
      <c r="AY1232" s="304"/>
      <c r="AZ1232" s="304"/>
      <c r="BA1232" s="304"/>
      <c r="BB1232" s="304"/>
      <c r="BC1232" s="304"/>
      <c r="BK1232" s="305"/>
      <c r="BL1232" s="305"/>
      <c r="BM1232" s="305"/>
      <c r="BN1232" s="305"/>
      <c r="BO1232" s="305"/>
      <c r="BP1232" s="305"/>
      <c r="BQ1232" s="305"/>
      <c r="BR1232" s="305"/>
      <c r="BS1232" s="305"/>
      <c r="BT1232" s="305"/>
      <c r="BU1232" s="305"/>
      <c r="BV1232" s="305"/>
      <c r="BX1232" s="319"/>
    </row>
    <row r="1233" spans="1:76" s="303" customFormat="1" x14ac:dyDescent="0.25">
      <c r="A1233" s="275"/>
      <c r="B1233" s="275"/>
      <c r="C1233" s="275"/>
      <c r="D1233" s="275"/>
      <c r="E1233" s="275"/>
      <c r="F1233" s="275"/>
      <c r="V1233" s="304"/>
      <c r="W1233" s="304"/>
      <c r="AD1233" s="304"/>
      <c r="AE1233" s="304"/>
      <c r="AR1233" s="304"/>
      <c r="AS1233" s="304"/>
      <c r="AT1233" s="304"/>
      <c r="AU1233" s="304"/>
      <c r="AV1233" s="304"/>
      <c r="AW1233" s="304"/>
      <c r="AX1233" s="304"/>
      <c r="AY1233" s="304"/>
      <c r="AZ1233" s="304"/>
      <c r="BA1233" s="304"/>
      <c r="BB1233" s="304"/>
      <c r="BC1233" s="304"/>
      <c r="BK1233" s="305"/>
      <c r="BL1233" s="305"/>
      <c r="BM1233" s="305"/>
      <c r="BN1233" s="305"/>
      <c r="BO1233" s="305"/>
      <c r="BP1233" s="305"/>
      <c r="BQ1233" s="305"/>
      <c r="BR1233" s="305"/>
      <c r="BS1233" s="305"/>
      <c r="BT1233" s="305"/>
      <c r="BU1233" s="305"/>
      <c r="BV1233" s="305"/>
      <c r="BX1233" s="319"/>
    </row>
    <row r="1234" spans="1:76" s="303" customFormat="1" x14ac:dyDescent="0.25">
      <c r="A1234" s="275"/>
      <c r="B1234" s="275"/>
      <c r="C1234" s="275"/>
      <c r="D1234" s="275"/>
      <c r="E1234" s="275"/>
      <c r="F1234" s="275"/>
      <c r="V1234" s="304"/>
      <c r="W1234" s="304"/>
      <c r="AD1234" s="304"/>
      <c r="AE1234" s="304"/>
      <c r="AR1234" s="304"/>
      <c r="AS1234" s="304"/>
      <c r="AT1234" s="304"/>
      <c r="AU1234" s="304"/>
      <c r="AV1234" s="304"/>
      <c r="AW1234" s="304"/>
      <c r="AX1234" s="304"/>
      <c r="AY1234" s="304"/>
      <c r="AZ1234" s="304"/>
      <c r="BA1234" s="304"/>
      <c r="BB1234" s="304"/>
      <c r="BC1234" s="304"/>
      <c r="BK1234" s="305"/>
      <c r="BL1234" s="305"/>
      <c r="BM1234" s="305"/>
      <c r="BN1234" s="305"/>
      <c r="BO1234" s="305"/>
      <c r="BP1234" s="305"/>
      <c r="BQ1234" s="305"/>
      <c r="BR1234" s="305"/>
      <c r="BS1234" s="305"/>
      <c r="BT1234" s="305"/>
      <c r="BU1234" s="305"/>
      <c r="BV1234" s="305"/>
      <c r="BX1234" s="319"/>
    </row>
    <row r="1235" spans="1:76" s="303" customFormat="1" x14ac:dyDescent="0.25">
      <c r="A1235" s="275"/>
      <c r="B1235" s="275"/>
      <c r="C1235" s="275"/>
      <c r="D1235" s="275"/>
      <c r="E1235" s="275"/>
      <c r="F1235" s="275"/>
      <c r="V1235" s="304"/>
      <c r="W1235" s="304"/>
      <c r="AD1235" s="304"/>
      <c r="AE1235" s="304"/>
      <c r="AR1235" s="304"/>
      <c r="AS1235" s="304"/>
      <c r="AT1235" s="304"/>
      <c r="AU1235" s="304"/>
      <c r="AV1235" s="304"/>
      <c r="AW1235" s="304"/>
      <c r="AX1235" s="304"/>
      <c r="AY1235" s="304"/>
      <c r="AZ1235" s="304"/>
      <c r="BA1235" s="304"/>
      <c r="BB1235" s="304"/>
      <c r="BC1235" s="304"/>
      <c r="BK1235" s="305"/>
      <c r="BL1235" s="305"/>
      <c r="BM1235" s="305"/>
      <c r="BN1235" s="305"/>
      <c r="BO1235" s="305"/>
      <c r="BP1235" s="305"/>
      <c r="BQ1235" s="305"/>
      <c r="BR1235" s="305"/>
      <c r="BS1235" s="305"/>
      <c r="BT1235" s="305"/>
      <c r="BU1235" s="305"/>
      <c r="BV1235" s="305"/>
      <c r="BX1235" s="319"/>
    </row>
    <row r="1236" spans="1:76" s="303" customFormat="1" x14ac:dyDescent="0.25">
      <c r="A1236" s="275"/>
      <c r="B1236" s="275"/>
      <c r="C1236" s="275"/>
      <c r="D1236" s="275"/>
      <c r="E1236" s="275"/>
      <c r="F1236" s="275"/>
      <c r="V1236" s="304"/>
      <c r="W1236" s="304"/>
      <c r="AD1236" s="304"/>
      <c r="AE1236" s="304"/>
      <c r="AR1236" s="304"/>
      <c r="AS1236" s="304"/>
      <c r="AT1236" s="304"/>
      <c r="AU1236" s="304"/>
      <c r="AV1236" s="304"/>
      <c r="AW1236" s="304"/>
      <c r="AX1236" s="304"/>
      <c r="AY1236" s="304"/>
      <c r="AZ1236" s="304"/>
      <c r="BA1236" s="304"/>
      <c r="BB1236" s="304"/>
      <c r="BC1236" s="304"/>
      <c r="BK1236" s="305"/>
      <c r="BL1236" s="305"/>
      <c r="BM1236" s="305"/>
      <c r="BN1236" s="305"/>
      <c r="BO1236" s="305"/>
      <c r="BP1236" s="305"/>
      <c r="BQ1236" s="305"/>
      <c r="BR1236" s="305"/>
      <c r="BS1236" s="305"/>
      <c r="BT1236" s="305"/>
      <c r="BU1236" s="305"/>
      <c r="BV1236" s="305"/>
      <c r="BX1236" s="319"/>
    </row>
    <row r="1237" spans="1:76" s="303" customFormat="1" x14ac:dyDescent="0.25">
      <c r="A1237" s="275"/>
      <c r="B1237" s="275"/>
      <c r="C1237" s="275"/>
      <c r="D1237" s="275"/>
      <c r="E1237" s="275"/>
      <c r="F1237" s="275"/>
      <c r="V1237" s="304"/>
      <c r="W1237" s="304"/>
      <c r="AD1237" s="304"/>
      <c r="AE1237" s="304"/>
      <c r="AR1237" s="304"/>
      <c r="AS1237" s="304"/>
      <c r="AT1237" s="304"/>
      <c r="AU1237" s="304"/>
      <c r="AV1237" s="304"/>
      <c r="AW1237" s="304"/>
      <c r="AX1237" s="304"/>
      <c r="AY1237" s="304"/>
      <c r="AZ1237" s="304"/>
      <c r="BA1237" s="304"/>
      <c r="BB1237" s="304"/>
      <c r="BC1237" s="304"/>
      <c r="BK1237" s="305"/>
      <c r="BL1237" s="305"/>
      <c r="BM1237" s="305"/>
      <c r="BN1237" s="305"/>
      <c r="BO1237" s="305"/>
      <c r="BP1237" s="305"/>
      <c r="BQ1237" s="305"/>
      <c r="BR1237" s="305"/>
      <c r="BS1237" s="305"/>
      <c r="BT1237" s="305"/>
      <c r="BU1237" s="305"/>
      <c r="BV1237" s="305"/>
      <c r="BX1237" s="319"/>
    </row>
    <row r="1238" spans="1:76" s="303" customFormat="1" x14ac:dyDescent="0.25">
      <c r="A1238" s="275"/>
      <c r="B1238" s="275"/>
      <c r="C1238" s="275"/>
      <c r="D1238" s="275"/>
      <c r="E1238" s="275"/>
      <c r="F1238" s="275"/>
      <c r="V1238" s="304"/>
      <c r="W1238" s="304"/>
      <c r="AD1238" s="304"/>
      <c r="AE1238" s="304"/>
      <c r="AR1238" s="304"/>
      <c r="AS1238" s="304"/>
      <c r="AT1238" s="304"/>
      <c r="AU1238" s="304"/>
      <c r="AV1238" s="304"/>
      <c r="AW1238" s="304"/>
      <c r="AX1238" s="304"/>
      <c r="AY1238" s="304"/>
      <c r="AZ1238" s="304"/>
      <c r="BA1238" s="304"/>
      <c r="BB1238" s="304"/>
      <c r="BC1238" s="304"/>
      <c r="BK1238" s="305"/>
      <c r="BL1238" s="305"/>
      <c r="BM1238" s="305"/>
      <c r="BN1238" s="305"/>
      <c r="BO1238" s="305"/>
      <c r="BP1238" s="305"/>
      <c r="BQ1238" s="305"/>
      <c r="BR1238" s="305"/>
      <c r="BS1238" s="305"/>
      <c r="BT1238" s="305"/>
      <c r="BU1238" s="305"/>
      <c r="BV1238" s="305"/>
      <c r="BX1238" s="319"/>
    </row>
    <row r="1239" spans="1:76" s="303" customFormat="1" x14ac:dyDescent="0.25">
      <c r="A1239" s="275"/>
      <c r="B1239" s="275"/>
      <c r="C1239" s="275"/>
      <c r="D1239" s="275"/>
      <c r="E1239" s="275"/>
      <c r="F1239" s="275"/>
      <c r="V1239" s="304"/>
      <c r="W1239" s="304"/>
      <c r="AD1239" s="304"/>
      <c r="AE1239" s="304"/>
      <c r="AR1239" s="304"/>
      <c r="AS1239" s="304"/>
      <c r="AT1239" s="304"/>
      <c r="AU1239" s="304"/>
      <c r="AV1239" s="304"/>
      <c r="AW1239" s="304"/>
      <c r="AX1239" s="304"/>
      <c r="AY1239" s="304"/>
      <c r="AZ1239" s="304"/>
      <c r="BA1239" s="304"/>
      <c r="BB1239" s="304"/>
      <c r="BC1239" s="304"/>
      <c r="BK1239" s="305"/>
      <c r="BL1239" s="305"/>
      <c r="BM1239" s="305"/>
      <c r="BN1239" s="305"/>
      <c r="BO1239" s="305"/>
      <c r="BP1239" s="305"/>
      <c r="BQ1239" s="305"/>
      <c r="BR1239" s="305"/>
      <c r="BS1239" s="305"/>
      <c r="BT1239" s="305"/>
      <c r="BU1239" s="305"/>
      <c r="BV1239" s="305"/>
      <c r="BX1239" s="319"/>
    </row>
    <row r="1240" spans="1:76" s="303" customFormat="1" x14ac:dyDescent="0.25">
      <c r="A1240" s="275"/>
      <c r="B1240" s="275"/>
      <c r="C1240" s="275"/>
      <c r="D1240" s="275"/>
      <c r="E1240" s="275"/>
      <c r="F1240" s="275"/>
      <c r="V1240" s="304"/>
      <c r="W1240" s="304"/>
      <c r="AD1240" s="304"/>
      <c r="AE1240" s="304"/>
      <c r="AR1240" s="304"/>
      <c r="AS1240" s="304"/>
      <c r="AT1240" s="304"/>
      <c r="AU1240" s="304"/>
      <c r="AV1240" s="304"/>
      <c r="AW1240" s="304"/>
      <c r="AX1240" s="304"/>
      <c r="AY1240" s="304"/>
      <c r="AZ1240" s="304"/>
      <c r="BA1240" s="304"/>
      <c r="BB1240" s="304"/>
      <c r="BC1240" s="304"/>
      <c r="BK1240" s="305"/>
      <c r="BL1240" s="305"/>
      <c r="BM1240" s="305"/>
      <c r="BN1240" s="305"/>
      <c r="BO1240" s="305"/>
      <c r="BP1240" s="305"/>
      <c r="BQ1240" s="305"/>
      <c r="BR1240" s="305"/>
      <c r="BS1240" s="305"/>
      <c r="BT1240" s="305"/>
      <c r="BU1240" s="305"/>
      <c r="BV1240" s="305"/>
      <c r="BX1240" s="319"/>
    </row>
    <row r="1241" spans="1:76" s="303" customFormat="1" x14ac:dyDescent="0.25">
      <c r="A1241" s="275"/>
      <c r="B1241" s="275"/>
      <c r="C1241" s="275"/>
      <c r="D1241" s="275"/>
      <c r="E1241" s="275"/>
      <c r="F1241" s="275"/>
      <c r="V1241" s="304"/>
      <c r="W1241" s="304"/>
      <c r="AD1241" s="304"/>
      <c r="AE1241" s="304"/>
      <c r="AR1241" s="304"/>
      <c r="AS1241" s="304"/>
      <c r="AT1241" s="304"/>
      <c r="AU1241" s="304"/>
      <c r="AV1241" s="304"/>
      <c r="AW1241" s="304"/>
      <c r="AX1241" s="304"/>
      <c r="AY1241" s="304"/>
      <c r="AZ1241" s="304"/>
      <c r="BA1241" s="304"/>
      <c r="BB1241" s="304"/>
      <c r="BC1241" s="304"/>
      <c r="BK1241" s="305"/>
      <c r="BL1241" s="305"/>
      <c r="BM1241" s="305"/>
      <c r="BN1241" s="305"/>
      <c r="BO1241" s="305"/>
      <c r="BP1241" s="305"/>
      <c r="BQ1241" s="305"/>
      <c r="BR1241" s="305"/>
      <c r="BS1241" s="305"/>
      <c r="BT1241" s="305"/>
      <c r="BU1241" s="305"/>
      <c r="BV1241" s="305"/>
      <c r="BX1241" s="319"/>
    </row>
    <row r="1242" spans="1:76" s="303" customFormat="1" x14ac:dyDescent="0.25">
      <c r="A1242" s="275"/>
      <c r="B1242" s="275"/>
      <c r="C1242" s="275"/>
      <c r="D1242" s="275"/>
      <c r="E1242" s="275"/>
      <c r="F1242" s="275"/>
      <c r="V1242" s="304"/>
      <c r="W1242" s="304"/>
      <c r="AD1242" s="304"/>
      <c r="AE1242" s="304"/>
      <c r="AR1242" s="304"/>
      <c r="AS1242" s="304"/>
      <c r="AT1242" s="304"/>
      <c r="AU1242" s="304"/>
      <c r="AV1242" s="304"/>
      <c r="AW1242" s="304"/>
      <c r="AX1242" s="304"/>
      <c r="AY1242" s="304"/>
      <c r="AZ1242" s="304"/>
      <c r="BA1242" s="304"/>
      <c r="BB1242" s="304"/>
      <c r="BC1242" s="304"/>
      <c r="BK1242" s="305"/>
      <c r="BL1242" s="305"/>
      <c r="BM1242" s="305"/>
      <c r="BN1242" s="305"/>
      <c r="BO1242" s="305"/>
      <c r="BP1242" s="305"/>
      <c r="BQ1242" s="305"/>
      <c r="BR1242" s="305"/>
      <c r="BS1242" s="305"/>
      <c r="BT1242" s="305"/>
      <c r="BU1242" s="305"/>
      <c r="BV1242" s="305"/>
      <c r="BX1242" s="319"/>
    </row>
    <row r="1243" spans="1:76" s="303" customFormat="1" x14ac:dyDescent="0.25">
      <c r="A1243" s="275"/>
      <c r="B1243" s="275"/>
      <c r="C1243" s="275"/>
      <c r="D1243" s="275"/>
      <c r="E1243" s="275"/>
      <c r="F1243" s="275"/>
      <c r="V1243" s="304"/>
      <c r="W1243" s="304"/>
      <c r="AD1243" s="304"/>
      <c r="AE1243" s="304"/>
      <c r="AR1243" s="304"/>
      <c r="AS1243" s="304"/>
      <c r="AT1243" s="304"/>
      <c r="AU1243" s="304"/>
      <c r="AV1243" s="304"/>
      <c r="AW1243" s="304"/>
      <c r="AX1243" s="304"/>
      <c r="AY1243" s="304"/>
      <c r="AZ1243" s="304"/>
      <c r="BA1243" s="304"/>
      <c r="BB1243" s="304"/>
      <c r="BC1243" s="304"/>
      <c r="BK1243" s="305"/>
      <c r="BL1243" s="305"/>
      <c r="BM1243" s="305"/>
      <c r="BN1243" s="305"/>
      <c r="BO1243" s="305"/>
      <c r="BP1243" s="305"/>
      <c r="BQ1243" s="305"/>
      <c r="BR1243" s="305"/>
      <c r="BS1243" s="305"/>
      <c r="BT1243" s="305"/>
      <c r="BU1243" s="305"/>
      <c r="BV1243" s="305"/>
      <c r="BX1243" s="319"/>
    </row>
    <row r="1244" spans="1:76" s="303" customFormat="1" x14ac:dyDescent="0.25">
      <c r="A1244" s="275"/>
      <c r="B1244" s="275"/>
      <c r="C1244" s="275"/>
      <c r="D1244" s="275"/>
      <c r="E1244" s="275"/>
      <c r="F1244" s="275"/>
      <c r="V1244" s="304"/>
      <c r="W1244" s="304"/>
      <c r="AD1244" s="304"/>
      <c r="AE1244" s="304"/>
      <c r="AR1244" s="304"/>
      <c r="AS1244" s="304"/>
      <c r="AT1244" s="304"/>
      <c r="AU1244" s="304"/>
      <c r="AV1244" s="304"/>
      <c r="AW1244" s="304"/>
      <c r="AX1244" s="304"/>
      <c r="AY1244" s="304"/>
      <c r="AZ1244" s="304"/>
      <c r="BA1244" s="304"/>
      <c r="BB1244" s="304"/>
      <c r="BC1244" s="304"/>
      <c r="BK1244" s="305"/>
      <c r="BL1244" s="305"/>
      <c r="BM1244" s="305"/>
      <c r="BN1244" s="305"/>
      <c r="BO1244" s="305"/>
      <c r="BP1244" s="305"/>
      <c r="BQ1244" s="305"/>
      <c r="BR1244" s="305"/>
      <c r="BS1244" s="305"/>
      <c r="BT1244" s="305"/>
      <c r="BU1244" s="305"/>
      <c r="BV1244" s="305"/>
      <c r="BX1244" s="319"/>
    </row>
    <row r="1245" spans="1:76" s="303" customFormat="1" x14ac:dyDescent="0.25">
      <c r="A1245" s="275"/>
      <c r="B1245" s="275"/>
      <c r="C1245" s="275"/>
      <c r="D1245" s="275"/>
      <c r="E1245" s="275"/>
      <c r="F1245" s="275"/>
      <c r="V1245" s="304"/>
      <c r="W1245" s="304"/>
      <c r="AD1245" s="304"/>
      <c r="AE1245" s="304"/>
      <c r="AR1245" s="304"/>
      <c r="AS1245" s="304"/>
      <c r="AT1245" s="304"/>
      <c r="AU1245" s="304"/>
      <c r="AV1245" s="304"/>
      <c r="AW1245" s="304"/>
      <c r="AX1245" s="304"/>
      <c r="AY1245" s="304"/>
      <c r="AZ1245" s="304"/>
      <c r="BA1245" s="304"/>
      <c r="BB1245" s="304"/>
      <c r="BC1245" s="304"/>
      <c r="BK1245" s="305"/>
      <c r="BL1245" s="305"/>
      <c r="BM1245" s="305"/>
      <c r="BN1245" s="305"/>
      <c r="BO1245" s="305"/>
      <c r="BP1245" s="305"/>
      <c r="BQ1245" s="305"/>
      <c r="BR1245" s="305"/>
      <c r="BS1245" s="305"/>
      <c r="BT1245" s="305"/>
      <c r="BU1245" s="305"/>
      <c r="BV1245" s="305"/>
      <c r="BX1245" s="319"/>
    </row>
    <row r="1246" spans="1:76" s="303" customFormat="1" x14ac:dyDescent="0.25">
      <c r="A1246" s="275"/>
      <c r="B1246" s="275"/>
      <c r="C1246" s="275"/>
      <c r="D1246" s="275"/>
      <c r="E1246" s="275"/>
      <c r="F1246" s="275"/>
      <c r="V1246" s="304"/>
      <c r="W1246" s="304"/>
      <c r="AD1246" s="304"/>
      <c r="AE1246" s="304"/>
      <c r="AR1246" s="304"/>
      <c r="AS1246" s="304"/>
      <c r="AT1246" s="304"/>
      <c r="AU1246" s="304"/>
      <c r="AV1246" s="304"/>
      <c r="AW1246" s="304"/>
      <c r="AX1246" s="304"/>
      <c r="AY1246" s="304"/>
      <c r="AZ1246" s="304"/>
      <c r="BA1246" s="304"/>
      <c r="BB1246" s="304"/>
      <c r="BC1246" s="304"/>
      <c r="BK1246" s="305"/>
      <c r="BL1246" s="305"/>
      <c r="BM1246" s="305"/>
      <c r="BN1246" s="305"/>
      <c r="BO1246" s="305"/>
      <c r="BP1246" s="305"/>
      <c r="BQ1246" s="305"/>
      <c r="BR1246" s="305"/>
      <c r="BS1246" s="305"/>
      <c r="BT1246" s="305"/>
      <c r="BU1246" s="305"/>
      <c r="BV1246" s="305"/>
      <c r="BX1246" s="319"/>
    </row>
    <row r="1247" spans="1:76" s="303" customFormat="1" x14ac:dyDescent="0.25">
      <c r="A1247" s="275"/>
      <c r="B1247" s="275"/>
      <c r="C1247" s="275"/>
      <c r="D1247" s="275"/>
      <c r="E1247" s="275"/>
      <c r="F1247" s="275"/>
      <c r="V1247" s="304"/>
      <c r="W1247" s="304"/>
      <c r="AD1247" s="304"/>
      <c r="AE1247" s="304"/>
      <c r="AR1247" s="304"/>
      <c r="AS1247" s="304"/>
      <c r="AT1247" s="304"/>
      <c r="AU1247" s="304"/>
      <c r="AV1247" s="304"/>
      <c r="AW1247" s="304"/>
      <c r="AX1247" s="304"/>
      <c r="AY1247" s="304"/>
      <c r="AZ1247" s="304"/>
      <c r="BA1247" s="304"/>
      <c r="BB1247" s="304"/>
      <c r="BC1247" s="304"/>
      <c r="BK1247" s="305"/>
      <c r="BL1247" s="305"/>
      <c r="BM1247" s="305"/>
      <c r="BN1247" s="305"/>
      <c r="BO1247" s="305"/>
      <c r="BP1247" s="305"/>
      <c r="BQ1247" s="305"/>
      <c r="BR1247" s="305"/>
      <c r="BS1247" s="305"/>
      <c r="BT1247" s="305"/>
      <c r="BU1247" s="305"/>
      <c r="BV1247" s="305"/>
      <c r="BX1247" s="319"/>
    </row>
    <row r="1248" spans="1:76" s="303" customFormat="1" x14ac:dyDescent="0.25">
      <c r="A1248" s="275"/>
      <c r="B1248" s="275"/>
      <c r="C1248" s="275"/>
      <c r="D1248" s="275"/>
      <c r="E1248" s="275"/>
      <c r="F1248" s="275"/>
      <c r="V1248" s="304"/>
      <c r="W1248" s="304"/>
      <c r="AD1248" s="304"/>
      <c r="AE1248" s="304"/>
      <c r="AR1248" s="304"/>
      <c r="AS1248" s="304"/>
      <c r="AT1248" s="304"/>
      <c r="AU1248" s="304"/>
      <c r="AV1248" s="304"/>
      <c r="AW1248" s="304"/>
      <c r="AX1248" s="304"/>
      <c r="AY1248" s="304"/>
      <c r="AZ1248" s="304"/>
      <c r="BA1248" s="304"/>
      <c r="BB1248" s="304"/>
      <c r="BC1248" s="304"/>
      <c r="BK1248" s="305"/>
      <c r="BL1248" s="305"/>
      <c r="BM1248" s="305"/>
      <c r="BN1248" s="305"/>
      <c r="BO1248" s="305"/>
      <c r="BP1248" s="305"/>
      <c r="BQ1248" s="305"/>
      <c r="BR1248" s="305"/>
      <c r="BS1248" s="305"/>
      <c r="BT1248" s="305"/>
      <c r="BU1248" s="305"/>
      <c r="BV1248" s="305"/>
      <c r="BX1248" s="319"/>
    </row>
    <row r="1249" spans="1:76" s="303" customFormat="1" x14ac:dyDescent="0.25">
      <c r="A1249" s="275"/>
      <c r="B1249" s="275"/>
      <c r="C1249" s="275"/>
      <c r="D1249" s="275"/>
      <c r="E1249" s="275"/>
      <c r="F1249" s="275"/>
      <c r="V1249" s="304"/>
      <c r="W1249" s="304"/>
      <c r="AD1249" s="304"/>
      <c r="AE1249" s="304"/>
      <c r="AR1249" s="304"/>
      <c r="AS1249" s="304"/>
      <c r="AT1249" s="304"/>
      <c r="AU1249" s="304"/>
      <c r="AV1249" s="304"/>
      <c r="AW1249" s="304"/>
      <c r="AX1249" s="304"/>
      <c r="AY1249" s="304"/>
      <c r="AZ1249" s="304"/>
      <c r="BA1249" s="304"/>
      <c r="BB1249" s="304"/>
      <c r="BC1249" s="304"/>
      <c r="BK1249" s="305"/>
      <c r="BL1249" s="305"/>
      <c r="BM1249" s="305"/>
      <c r="BN1249" s="305"/>
      <c r="BO1249" s="305"/>
      <c r="BP1249" s="305"/>
      <c r="BQ1249" s="305"/>
      <c r="BR1249" s="305"/>
      <c r="BS1249" s="305"/>
      <c r="BT1249" s="305"/>
      <c r="BU1249" s="305"/>
      <c r="BV1249" s="305"/>
      <c r="BX1249" s="319"/>
    </row>
    <row r="1250" spans="1:76" s="303" customFormat="1" x14ac:dyDescent="0.25">
      <c r="A1250" s="275"/>
      <c r="B1250" s="275"/>
      <c r="C1250" s="275"/>
      <c r="D1250" s="275"/>
      <c r="E1250" s="275"/>
      <c r="F1250" s="275"/>
      <c r="V1250" s="304"/>
      <c r="W1250" s="304"/>
      <c r="AD1250" s="304"/>
      <c r="AE1250" s="304"/>
      <c r="AR1250" s="304"/>
      <c r="AS1250" s="304"/>
      <c r="AT1250" s="304"/>
      <c r="AU1250" s="304"/>
      <c r="AV1250" s="304"/>
      <c r="AW1250" s="304"/>
      <c r="AX1250" s="304"/>
      <c r="AY1250" s="304"/>
      <c r="AZ1250" s="304"/>
      <c r="BA1250" s="304"/>
      <c r="BB1250" s="304"/>
      <c r="BC1250" s="304"/>
      <c r="BK1250" s="305"/>
      <c r="BL1250" s="305"/>
      <c r="BM1250" s="305"/>
      <c r="BN1250" s="305"/>
      <c r="BO1250" s="305"/>
      <c r="BP1250" s="305"/>
      <c r="BQ1250" s="305"/>
      <c r="BR1250" s="305"/>
      <c r="BS1250" s="305"/>
      <c r="BT1250" s="305"/>
      <c r="BU1250" s="305"/>
      <c r="BV1250" s="305"/>
      <c r="BX1250" s="319"/>
    </row>
    <row r="1251" spans="1:76" s="303" customFormat="1" x14ac:dyDescent="0.25">
      <c r="A1251" s="275"/>
      <c r="B1251" s="275"/>
      <c r="C1251" s="275"/>
      <c r="D1251" s="275"/>
      <c r="E1251" s="275"/>
      <c r="F1251" s="275"/>
      <c r="V1251" s="304"/>
      <c r="W1251" s="304"/>
      <c r="AD1251" s="304"/>
      <c r="AE1251" s="304"/>
      <c r="AR1251" s="304"/>
      <c r="AS1251" s="304"/>
      <c r="AT1251" s="304"/>
      <c r="AU1251" s="304"/>
      <c r="AV1251" s="304"/>
      <c r="AW1251" s="304"/>
      <c r="AX1251" s="304"/>
      <c r="AY1251" s="304"/>
      <c r="AZ1251" s="304"/>
      <c r="BA1251" s="304"/>
      <c r="BB1251" s="304"/>
      <c r="BC1251" s="304"/>
      <c r="BK1251" s="305"/>
      <c r="BL1251" s="305"/>
      <c r="BM1251" s="305"/>
      <c r="BN1251" s="305"/>
      <c r="BO1251" s="305"/>
      <c r="BP1251" s="305"/>
      <c r="BQ1251" s="305"/>
      <c r="BR1251" s="305"/>
      <c r="BS1251" s="305"/>
      <c r="BT1251" s="305"/>
      <c r="BU1251" s="305"/>
      <c r="BV1251" s="305"/>
      <c r="BX1251" s="319"/>
    </row>
    <row r="1252" spans="1:76" s="303" customFormat="1" x14ac:dyDescent="0.25">
      <c r="A1252" s="275"/>
      <c r="B1252" s="275"/>
      <c r="C1252" s="275"/>
      <c r="D1252" s="275"/>
      <c r="E1252" s="275"/>
      <c r="F1252" s="275"/>
      <c r="V1252" s="304"/>
      <c r="W1252" s="304"/>
      <c r="AD1252" s="304"/>
      <c r="AE1252" s="304"/>
      <c r="AR1252" s="304"/>
      <c r="AS1252" s="304"/>
      <c r="AT1252" s="304"/>
      <c r="AU1252" s="304"/>
      <c r="AV1252" s="304"/>
      <c r="AW1252" s="304"/>
      <c r="AX1252" s="304"/>
      <c r="AY1252" s="304"/>
      <c r="AZ1252" s="304"/>
      <c r="BA1252" s="304"/>
      <c r="BB1252" s="304"/>
      <c r="BC1252" s="304"/>
      <c r="BK1252" s="305"/>
      <c r="BL1252" s="305"/>
      <c r="BM1252" s="305"/>
      <c r="BN1252" s="305"/>
      <c r="BO1252" s="305"/>
      <c r="BP1252" s="305"/>
      <c r="BQ1252" s="305"/>
      <c r="BR1252" s="305"/>
      <c r="BS1252" s="305"/>
      <c r="BT1252" s="305"/>
      <c r="BU1252" s="305"/>
      <c r="BV1252" s="305"/>
      <c r="BX1252" s="319"/>
    </row>
    <row r="1253" spans="1:76" s="303" customFormat="1" x14ac:dyDescent="0.25">
      <c r="A1253" s="275"/>
      <c r="B1253" s="275"/>
      <c r="C1253" s="275"/>
      <c r="D1253" s="275"/>
      <c r="E1253" s="275"/>
      <c r="F1253" s="275"/>
      <c r="V1253" s="304"/>
      <c r="W1253" s="304"/>
      <c r="AD1253" s="304"/>
      <c r="AE1253" s="304"/>
      <c r="AR1253" s="304"/>
      <c r="AS1253" s="304"/>
      <c r="AT1253" s="304"/>
      <c r="AU1253" s="304"/>
      <c r="AV1253" s="304"/>
      <c r="AW1253" s="304"/>
      <c r="AX1253" s="304"/>
      <c r="AY1253" s="304"/>
      <c r="AZ1253" s="304"/>
      <c r="BA1253" s="304"/>
      <c r="BB1253" s="304"/>
      <c r="BC1253" s="304"/>
      <c r="BK1253" s="305"/>
      <c r="BL1253" s="305"/>
      <c r="BM1253" s="305"/>
      <c r="BN1253" s="305"/>
      <c r="BO1253" s="305"/>
      <c r="BP1253" s="305"/>
      <c r="BQ1253" s="305"/>
      <c r="BR1253" s="305"/>
      <c r="BS1253" s="305"/>
      <c r="BT1253" s="305"/>
      <c r="BU1253" s="305"/>
      <c r="BV1253" s="305"/>
      <c r="BX1253" s="319"/>
    </row>
    <row r="1254" spans="1:76" s="303" customFormat="1" x14ac:dyDescent="0.25">
      <c r="A1254" s="275"/>
      <c r="B1254" s="275"/>
      <c r="C1254" s="275"/>
      <c r="D1254" s="275"/>
      <c r="E1254" s="275"/>
      <c r="F1254" s="275"/>
      <c r="V1254" s="304"/>
      <c r="W1254" s="304"/>
      <c r="AD1254" s="304"/>
      <c r="AE1254" s="304"/>
      <c r="AR1254" s="304"/>
      <c r="AS1254" s="304"/>
      <c r="AT1254" s="304"/>
      <c r="AU1254" s="304"/>
      <c r="AV1254" s="304"/>
      <c r="AW1254" s="304"/>
      <c r="AX1254" s="304"/>
      <c r="AY1254" s="304"/>
      <c r="AZ1254" s="304"/>
      <c r="BA1254" s="304"/>
      <c r="BB1254" s="304"/>
      <c r="BC1254" s="304"/>
      <c r="BK1254" s="305"/>
      <c r="BL1254" s="305"/>
      <c r="BM1254" s="305"/>
      <c r="BN1254" s="305"/>
      <c r="BO1254" s="305"/>
      <c r="BP1254" s="305"/>
      <c r="BQ1254" s="305"/>
      <c r="BR1254" s="305"/>
      <c r="BS1254" s="305"/>
      <c r="BT1254" s="305"/>
      <c r="BU1254" s="305"/>
      <c r="BV1254" s="305"/>
      <c r="BX1254" s="319"/>
    </row>
    <row r="1255" spans="1:76" s="303" customFormat="1" x14ac:dyDescent="0.25">
      <c r="A1255" s="275"/>
      <c r="B1255" s="275"/>
      <c r="C1255" s="275"/>
      <c r="D1255" s="275"/>
      <c r="E1255" s="275"/>
      <c r="F1255" s="275"/>
      <c r="V1255" s="304"/>
      <c r="W1255" s="304"/>
      <c r="AD1255" s="304"/>
      <c r="AE1255" s="304"/>
      <c r="AR1255" s="304"/>
      <c r="AS1255" s="304"/>
      <c r="AT1255" s="304"/>
      <c r="AU1255" s="304"/>
      <c r="AV1255" s="304"/>
      <c r="AW1255" s="304"/>
      <c r="AX1255" s="304"/>
      <c r="AY1255" s="304"/>
      <c r="AZ1255" s="304"/>
      <c r="BA1255" s="304"/>
      <c r="BB1255" s="304"/>
      <c r="BC1255" s="304"/>
      <c r="BK1255" s="305"/>
      <c r="BL1255" s="305"/>
      <c r="BM1255" s="305"/>
      <c r="BN1255" s="305"/>
      <c r="BO1255" s="305"/>
      <c r="BP1255" s="305"/>
      <c r="BQ1255" s="305"/>
      <c r="BR1255" s="305"/>
      <c r="BS1255" s="305"/>
      <c r="BT1255" s="305"/>
      <c r="BU1255" s="305"/>
      <c r="BV1255" s="305"/>
      <c r="BX1255" s="319"/>
    </row>
    <row r="1256" spans="1:76" s="303" customFormat="1" x14ac:dyDescent="0.25">
      <c r="A1256" s="275"/>
      <c r="B1256" s="275"/>
      <c r="C1256" s="275"/>
      <c r="D1256" s="275"/>
      <c r="E1256" s="275"/>
      <c r="F1256" s="275"/>
      <c r="V1256" s="304"/>
      <c r="W1256" s="304"/>
      <c r="AD1256" s="304"/>
      <c r="AE1256" s="304"/>
      <c r="AR1256" s="304"/>
      <c r="AS1256" s="304"/>
      <c r="AT1256" s="304"/>
      <c r="AU1256" s="304"/>
      <c r="AV1256" s="304"/>
      <c r="AW1256" s="304"/>
      <c r="AX1256" s="304"/>
      <c r="AY1256" s="304"/>
      <c r="AZ1256" s="304"/>
      <c r="BA1256" s="304"/>
      <c r="BB1256" s="304"/>
      <c r="BC1256" s="304"/>
      <c r="BK1256" s="305"/>
      <c r="BL1256" s="305"/>
      <c r="BM1256" s="305"/>
      <c r="BN1256" s="305"/>
      <c r="BO1256" s="305"/>
      <c r="BP1256" s="305"/>
      <c r="BQ1256" s="305"/>
      <c r="BR1256" s="305"/>
      <c r="BS1256" s="305"/>
      <c r="BT1256" s="305"/>
      <c r="BU1256" s="305"/>
      <c r="BV1256" s="305"/>
      <c r="BX1256" s="319"/>
    </row>
    <row r="1257" spans="1:76" s="303" customFormat="1" x14ac:dyDescent="0.25">
      <c r="A1257" s="275"/>
      <c r="B1257" s="275"/>
      <c r="C1257" s="275"/>
      <c r="D1257" s="275"/>
      <c r="E1257" s="275"/>
      <c r="F1257" s="275"/>
      <c r="V1257" s="304"/>
      <c r="W1257" s="304"/>
      <c r="AD1257" s="304"/>
      <c r="AE1257" s="304"/>
      <c r="AR1257" s="304"/>
      <c r="AS1257" s="304"/>
      <c r="AT1257" s="304"/>
      <c r="AU1257" s="304"/>
      <c r="AV1257" s="304"/>
      <c r="AW1257" s="304"/>
      <c r="AX1257" s="304"/>
      <c r="AY1257" s="304"/>
      <c r="AZ1257" s="304"/>
      <c r="BA1257" s="304"/>
      <c r="BB1257" s="304"/>
      <c r="BC1257" s="304"/>
      <c r="BK1257" s="305"/>
      <c r="BL1257" s="305"/>
      <c r="BM1257" s="305"/>
      <c r="BN1257" s="305"/>
      <c r="BO1257" s="305"/>
      <c r="BP1257" s="305"/>
      <c r="BQ1257" s="305"/>
      <c r="BR1257" s="305"/>
      <c r="BS1257" s="305"/>
      <c r="BT1257" s="305"/>
      <c r="BU1257" s="305"/>
      <c r="BV1257" s="305"/>
      <c r="BX1257" s="319"/>
    </row>
    <row r="1258" spans="1:76" s="303" customFormat="1" x14ac:dyDescent="0.25">
      <c r="A1258" s="275"/>
      <c r="B1258" s="275"/>
      <c r="C1258" s="275"/>
      <c r="D1258" s="275"/>
      <c r="E1258" s="275"/>
      <c r="F1258" s="275"/>
      <c r="V1258" s="304"/>
      <c r="W1258" s="304"/>
      <c r="AD1258" s="304"/>
      <c r="AE1258" s="304"/>
      <c r="AR1258" s="304"/>
      <c r="AS1258" s="304"/>
      <c r="AT1258" s="304"/>
      <c r="AU1258" s="304"/>
      <c r="AV1258" s="304"/>
      <c r="AW1258" s="304"/>
      <c r="AX1258" s="304"/>
      <c r="AY1258" s="304"/>
      <c r="AZ1258" s="304"/>
      <c r="BA1258" s="304"/>
      <c r="BB1258" s="304"/>
      <c r="BC1258" s="304"/>
      <c r="BK1258" s="305"/>
      <c r="BL1258" s="305"/>
      <c r="BM1258" s="305"/>
      <c r="BN1258" s="305"/>
      <c r="BO1258" s="305"/>
      <c r="BP1258" s="305"/>
      <c r="BQ1258" s="305"/>
      <c r="BR1258" s="305"/>
      <c r="BS1258" s="305"/>
      <c r="BT1258" s="305"/>
      <c r="BU1258" s="305"/>
      <c r="BV1258" s="305"/>
      <c r="BX1258" s="319"/>
    </row>
    <row r="1259" spans="1:76" s="303" customFormat="1" x14ac:dyDescent="0.25">
      <c r="A1259" s="275"/>
      <c r="B1259" s="275"/>
      <c r="C1259" s="275"/>
      <c r="D1259" s="275"/>
      <c r="E1259" s="275"/>
      <c r="F1259" s="275"/>
      <c r="V1259" s="304"/>
      <c r="W1259" s="304"/>
      <c r="AD1259" s="304"/>
      <c r="AE1259" s="304"/>
      <c r="AR1259" s="304"/>
      <c r="AS1259" s="304"/>
      <c r="AT1259" s="304"/>
      <c r="AU1259" s="304"/>
      <c r="AV1259" s="304"/>
      <c r="AW1259" s="304"/>
      <c r="AX1259" s="304"/>
      <c r="AY1259" s="304"/>
      <c r="AZ1259" s="304"/>
      <c r="BA1259" s="304"/>
      <c r="BB1259" s="304"/>
      <c r="BC1259" s="304"/>
      <c r="BK1259" s="305"/>
      <c r="BL1259" s="305"/>
      <c r="BM1259" s="305"/>
      <c r="BN1259" s="305"/>
      <c r="BO1259" s="305"/>
      <c r="BP1259" s="305"/>
      <c r="BQ1259" s="305"/>
      <c r="BR1259" s="305"/>
      <c r="BS1259" s="305"/>
      <c r="BT1259" s="305"/>
      <c r="BU1259" s="305"/>
      <c r="BV1259" s="305"/>
      <c r="BX1259" s="319"/>
    </row>
    <row r="1260" spans="1:76" s="303" customFormat="1" x14ac:dyDescent="0.25">
      <c r="A1260" s="275"/>
      <c r="B1260" s="275"/>
      <c r="C1260" s="275"/>
      <c r="D1260" s="275"/>
      <c r="E1260" s="275"/>
      <c r="F1260" s="275"/>
      <c r="V1260" s="304"/>
      <c r="W1260" s="304"/>
      <c r="AD1260" s="304"/>
      <c r="AE1260" s="304"/>
      <c r="AR1260" s="304"/>
      <c r="AS1260" s="304"/>
      <c r="AT1260" s="304"/>
      <c r="AU1260" s="304"/>
      <c r="AV1260" s="304"/>
      <c r="AW1260" s="304"/>
      <c r="AX1260" s="304"/>
      <c r="AY1260" s="304"/>
      <c r="AZ1260" s="304"/>
      <c r="BA1260" s="304"/>
      <c r="BB1260" s="304"/>
      <c r="BC1260" s="304"/>
      <c r="BK1260" s="305"/>
      <c r="BL1260" s="305"/>
      <c r="BM1260" s="305"/>
      <c r="BN1260" s="305"/>
      <c r="BO1260" s="305"/>
      <c r="BP1260" s="305"/>
      <c r="BQ1260" s="305"/>
      <c r="BR1260" s="305"/>
      <c r="BS1260" s="305"/>
      <c r="BT1260" s="305"/>
      <c r="BU1260" s="305"/>
      <c r="BV1260" s="305"/>
      <c r="BX1260" s="319"/>
    </row>
    <row r="1261" spans="1:76" s="303" customFormat="1" x14ac:dyDescent="0.25">
      <c r="A1261" s="275"/>
      <c r="B1261" s="275"/>
      <c r="C1261" s="275"/>
      <c r="D1261" s="275"/>
      <c r="E1261" s="275"/>
      <c r="F1261" s="275"/>
      <c r="V1261" s="304"/>
      <c r="W1261" s="304"/>
      <c r="AD1261" s="304"/>
      <c r="AE1261" s="304"/>
      <c r="AR1261" s="304"/>
      <c r="AS1261" s="304"/>
      <c r="AT1261" s="304"/>
      <c r="AU1261" s="304"/>
      <c r="AV1261" s="304"/>
      <c r="AW1261" s="304"/>
      <c r="AX1261" s="304"/>
      <c r="AY1261" s="304"/>
      <c r="AZ1261" s="304"/>
      <c r="BA1261" s="304"/>
      <c r="BB1261" s="304"/>
      <c r="BC1261" s="304"/>
      <c r="BK1261" s="305"/>
      <c r="BL1261" s="305"/>
      <c r="BM1261" s="305"/>
      <c r="BN1261" s="305"/>
      <c r="BO1261" s="305"/>
      <c r="BP1261" s="305"/>
      <c r="BQ1261" s="305"/>
      <c r="BR1261" s="305"/>
      <c r="BS1261" s="305"/>
      <c r="BT1261" s="305"/>
      <c r="BU1261" s="305"/>
      <c r="BV1261" s="305"/>
      <c r="BX1261" s="319"/>
    </row>
    <row r="1262" spans="1:76" s="303" customFormat="1" x14ac:dyDescent="0.25">
      <c r="A1262" s="275"/>
      <c r="B1262" s="275"/>
      <c r="C1262" s="275"/>
      <c r="D1262" s="275"/>
      <c r="E1262" s="275"/>
      <c r="F1262" s="275"/>
      <c r="V1262" s="304"/>
      <c r="W1262" s="304"/>
      <c r="AD1262" s="304"/>
      <c r="AE1262" s="304"/>
      <c r="AR1262" s="304"/>
      <c r="AS1262" s="304"/>
      <c r="AT1262" s="304"/>
      <c r="AU1262" s="304"/>
      <c r="AV1262" s="304"/>
      <c r="AW1262" s="304"/>
      <c r="AX1262" s="304"/>
      <c r="AY1262" s="304"/>
      <c r="AZ1262" s="304"/>
      <c r="BA1262" s="304"/>
      <c r="BB1262" s="304"/>
      <c r="BC1262" s="304"/>
      <c r="BK1262" s="305"/>
      <c r="BL1262" s="305"/>
      <c r="BM1262" s="305"/>
      <c r="BN1262" s="305"/>
      <c r="BO1262" s="305"/>
      <c r="BP1262" s="305"/>
      <c r="BQ1262" s="305"/>
      <c r="BR1262" s="305"/>
      <c r="BS1262" s="305"/>
      <c r="BT1262" s="305"/>
      <c r="BU1262" s="305"/>
      <c r="BV1262" s="305"/>
      <c r="BX1262" s="319"/>
    </row>
    <row r="1263" spans="1:76" s="303" customFormat="1" x14ac:dyDescent="0.25">
      <c r="A1263" s="275"/>
      <c r="B1263" s="275"/>
      <c r="C1263" s="275"/>
      <c r="D1263" s="275"/>
      <c r="E1263" s="275"/>
      <c r="F1263" s="275"/>
      <c r="V1263" s="304"/>
      <c r="W1263" s="304"/>
      <c r="AD1263" s="304"/>
      <c r="AE1263" s="304"/>
      <c r="AR1263" s="304"/>
      <c r="AS1263" s="304"/>
      <c r="AT1263" s="304"/>
      <c r="AU1263" s="304"/>
      <c r="AV1263" s="304"/>
      <c r="AW1263" s="304"/>
      <c r="AX1263" s="304"/>
      <c r="AY1263" s="304"/>
      <c r="AZ1263" s="304"/>
      <c r="BA1263" s="304"/>
      <c r="BB1263" s="304"/>
      <c r="BC1263" s="304"/>
      <c r="BK1263" s="305"/>
      <c r="BL1263" s="305"/>
      <c r="BM1263" s="305"/>
      <c r="BN1263" s="305"/>
      <c r="BO1263" s="305"/>
      <c r="BP1263" s="305"/>
      <c r="BQ1263" s="305"/>
      <c r="BR1263" s="305"/>
      <c r="BS1263" s="305"/>
      <c r="BT1263" s="305"/>
      <c r="BU1263" s="305"/>
      <c r="BV1263" s="305"/>
      <c r="BX1263" s="319"/>
    </row>
    <row r="1264" spans="1:76" s="303" customFormat="1" x14ac:dyDescent="0.25">
      <c r="A1264" s="275"/>
      <c r="B1264" s="275"/>
      <c r="C1264" s="275"/>
      <c r="D1264" s="275"/>
      <c r="E1264" s="275"/>
      <c r="F1264" s="275"/>
      <c r="V1264" s="304"/>
      <c r="W1264" s="304"/>
      <c r="AD1264" s="304"/>
      <c r="AE1264" s="304"/>
      <c r="AR1264" s="304"/>
      <c r="AS1264" s="304"/>
      <c r="AT1264" s="304"/>
      <c r="AU1264" s="304"/>
      <c r="AV1264" s="304"/>
      <c r="AW1264" s="304"/>
      <c r="AX1264" s="304"/>
      <c r="AY1264" s="304"/>
      <c r="AZ1264" s="304"/>
      <c r="BA1264" s="304"/>
      <c r="BB1264" s="304"/>
      <c r="BC1264" s="304"/>
      <c r="BK1264" s="305"/>
      <c r="BL1264" s="305"/>
      <c r="BM1264" s="305"/>
      <c r="BN1264" s="305"/>
      <c r="BO1264" s="305"/>
      <c r="BP1264" s="305"/>
      <c r="BQ1264" s="305"/>
      <c r="BR1264" s="305"/>
      <c r="BS1264" s="305"/>
      <c r="BT1264" s="305"/>
      <c r="BU1264" s="305"/>
      <c r="BV1264" s="305"/>
      <c r="BX1264" s="319"/>
    </row>
    <row r="1265" spans="1:76" s="303" customFormat="1" x14ac:dyDescent="0.25">
      <c r="A1265" s="275"/>
      <c r="B1265" s="275"/>
      <c r="C1265" s="275"/>
      <c r="D1265" s="275"/>
      <c r="E1265" s="275"/>
      <c r="F1265" s="275"/>
      <c r="V1265" s="304"/>
      <c r="W1265" s="304"/>
      <c r="AD1265" s="304"/>
      <c r="AE1265" s="304"/>
      <c r="AR1265" s="304"/>
      <c r="AS1265" s="304"/>
      <c r="AT1265" s="304"/>
      <c r="AU1265" s="304"/>
      <c r="AV1265" s="304"/>
      <c r="AW1265" s="304"/>
      <c r="AX1265" s="304"/>
      <c r="AY1265" s="304"/>
      <c r="AZ1265" s="304"/>
      <c r="BA1265" s="304"/>
      <c r="BB1265" s="304"/>
      <c r="BC1265" s="304"/>
      <c r="BK1265" s="305"/>
      <c r="BL1265" s="305"/>
      <c r="BM1265" s="305"/>
      <c r="BN1265" s="305"/>
      <c r="BO1265" s="305"/>
      <c r="BP1265" s="305"/>
      <c r="BQ1265" s="305"/>
      <c r="BR1265" s="305"/>
      <c r="BS1265" s="305"/>
      <c r="BT1265" s="305"/>
      <c r="BU1265" s="305"/>
      <c r="BV1265" s="305"/>
      <c r="BX1265" s="319"/>
    </row>
    <row r="1266" spans="1:76" s="303" customFormat="1" x14ac:dyDescent="0.25">
      <c r="A1266" s="275"/>
      <c r="B1266" s="275"/>
      <c r="C1266" s="275"/>
      <c r="D1266" s="275"/>
      <c r="E1266" s="275"/>
      <c r="F1266" s="275"/>
      <c r="V1266" s="304"/>
      <c r="W1266" s="304"/>
      <c r="AD1266" s="304"/>
      <c r="AE1266" s="304"/>
      <c r="AR1266" s="304"/>
      <c r="AS1266" s="304"/>
      <c r="AT1266" s="304"/>
      <c r="AU1266" s="304"/>
      <c r="AV1266" s="304"/>
      <c r="AW1266" s="304"/>
      <c r="AX1266" s="304"/>
      <c r="AY1266" s="304"/>
      <c r="AZ1266" s="304"/>
      <c r="BA1266" s="304"/>
      <c r="BB1266" s="304"/>
      <c r="BC1266" s="304"/>
      <c r="BK1266" s="305"/>
      <c r="BL1266" s="305"/>
      <c r="BM1266" s="305"/>
      <c r="BN1266" s="305"/>
      <c r="BO1266" s="305"/>
      <c r="BP1266" s="305"/>
      <c r="BQ1266" s="305"/>
      <c r="BR1266" s="305"/>
      <c r="BS1266" s="305"/>
      <c r="BT1266" s="305"/>
      <c r="BU1266" s="305"/>
      <c r="BV1266" s="305"/>
      <c r="BX1266" s="319"/>
    </row>
    <row r="1267" spans="1:76" s="303" customFormat="1" x14ac:dyDescent="0.25">
      <c r="A1267" s="275"/>
      <c r="B1267" s="275"/>
      <c r="C1267" s="275"/>
      <c r="D1267" s="275"/>
      <c r="E1267" s="275"/>
      <c r="F1267" s="275"/>
      <c r="V1267" s="304"/>
      <c r="W1267" s="304"/>
      <c r="AD1267" s="304"/>
      <c r="AE1267" s="304"/>
      <c r="AR1267" s="304"/>
      <c r="AS1267" s="304"/>
      <c r="AT1267" s="304"/>
      <c r="AU1267" s="304"/>
      <c r="AV1267" s="304"/>
      <c r="AW1267" s="304"/>
      <c r="AX1267" s="304"/>
      <c r="AY1267" s="304"/>
      <c r="AZ1267" s="304"/>
      <c r="BA1267" s="304"/>
      <c r="BB1267" s="304"/>
      <c r="BC1267" s="304"/>
      <c r="BK1267" s="305"/>
      <c r="BL1267" s="305"/>
      <c r="BM1267" s="305"/>
      <c r="BN1267" s="305"/>
      <c r="BO1267" s="305"/>
      <c r="BP1267" s="305"/>
      <c r="BQ1267" s="305"/>
      <c r="BR1267" s="305"/>
      <c r="BS1267" s="305"/>
      <c r="BT1267" s="305"/>
      <c r="BU1267" s="305"/>
      <c r="BV1267" s="305"/>
      <c r="BX1267" s="319"/>
    </row>
    <row r="1268" spans="1:76" s="303" customFormat="1" x14ac:dyDescent="0.25">
      <c r="A1268" s="275"/>
      <c r="B1268" s="275"/>
      <c r="C1268" s="275"/>
      <c r="D1268" s="275"/>
      <c r="E1268" s="275"/>
      <c r="F1268" s="275"/>
      <c r="V1268" s="304"/>
      <c r="W1268" s="304"/>
      <c r="AD1268" s="304"/>
      <c r="AE1268" s="304"/>
      <c r="AR1268" s="304"/>
      <c r="AS1268" s="304"/>
      <c r="AT1268" s="304"/>
      <c r="AU1268" s="304"/>
      <c r="AV1268" s="304"/>
      <c r="AW1268" s="304"/>
      <c r="AX1268" s="304"/>
      <c r="AY1268" s="304"/>
      <c r="AZ1268" s="304"/>
      <c r="BA1268" s="304"/>
      <c r="BB1268" s="304"/>
      <c r="BC1268" s="304"/>
      <c r="BK1268" s="305"/>
      <c r="BL1268" s="305"/>
      <c r="BM1268" s="305"/>
      <c r="BN1268" s="305"/>
      <c r="BO1268" s="305"/>
      <c r="BP1268" s="305"/>
      <c r="BQ1268" s="305"/>
      <c r="BR1268" s="305"/>
      <c r="BS1268" s="305"/>
      <c r="BT1268" s="305"/>
      <c r="BU1268" s="305"/>
      <c r="BV1268" s="305"/>
      <c r="BX1268" s="319"/>
    </row>
    <row r="1269" spans="1:76" s="303" customFormat="1" x14ac:dyDescent="0.25">
      <c r="A1269" s="275"/>
      <c r="B1269" s="275"/>
      <c r="C1269" s="275"/>
      <c r="D1269" s="275"/>
      <c r="E1269" s="275"/>
      <c r="F1269" s="275"/>
      <c r="V1269" s="304"/>
      <c r="W1269" s="304"/>
      <c r="AD1269" s="304"/>
      <c r="AE1269" s="304"/>
      <c r="AR1269" s="304"/>
      <c r="AS1269" s="304"/>
      <c r="AT1269" s="304"/>
      <c r="AU1269" s="304"/>
      <c r="AV1269" s="304"/>
      <c r="AW1269" s="304"/>
      <c r="AX1269" s="304"/>
      <c r="AY1269" s="304"/>
      <c r="AZ1269" s="304"/>
      <c r="BA1269" s="304"/>
      <c r="BB1269" s="304"/>
      <c r="BC1269" s="304"/>
      <c r="BK1269" s="305"/>
      <c r="BL1269" s="305"/>
      <c r="BM1269" s="305"/>
      <c r="BN1269" s="305"/>
      <c r="BO1269" s="305"/>
      <c r="BP1269" s="305"/>
      <c r="BQ1269" s="305"/>
      <c r="BR1269" s="305"/>
      <c r="BS1269" s="305"/>
      <c r="BT1269" s="305"/>
      <c r="BU1269" s="305"/>
      <c r="BV1269" s="305"/>
      <c r="BX1269" s="319"/>
    </row>
    <row r="1270" spans="1:76" s="303" customFormat="1" x14ac:dyDescent="0.25">
      <c r="A1270" s="275"/>
      <c r="B1270" s="275"/>
      <c r="C1270" s="275"/>
      <c r="D1270" s="275"/>
      <c r="E1270" s="275"/>
      <c r="F1270" s="275"/>
      <c r="V1270" s="304"/>
      <c r="W1270" s="304"/>
      <c r="AD1270" s="304"/>
      <c r="AE1270" s="304"/>
      <c r="AR1270" s="304"/>
      <c r="AS1270" s="304"/>
      <c r="AT1270" s="304"/>
      <c r="AU1270" s="304"/>
      <c r="AV1270" s="304"/>
      <c r="AW1270" s="304"/>
      <c r="AX1270" s="304"/>
      <c r="AY1270" s="304"/>
      <c r="AZ1270" s="304"/>
      <c r="BA1270" s="304"/>
      <c r="BB1270" s="304"/>
      <c r="BC1270" s="304"/>
      <c r="BK1270" s="305"/>
      <c r="BL1270" s="305"/>
      <c r="BM1270" s="305"/>
      <c r="BN1270" s="305"/>
      <c r="BO1270" s="305"/>
      <c r="BP1270" s="305"/>
      <c r="BQ1270" s="305"/>
      <c r="BR1270" s="305"/>
      <c r="BS1270" s="305"/>
      <c r="BT1270" s="305"/>
      <c r="BU1270" s="305"/>
      <c r="BV1270" s="305"/>
      <c r="BX1270" s="319"/>
    </row>
    <row r="1271" spans="1:76" s="303" customFormat="1" x14ac:dyDescent="0.25">
      <c r="A1271" s="275"/>
      <c r="B1271" s="275"/>
      <c r="C1271" s="275"/>
      <c r="D1271" s="275"/>
      <c r="E1271" s="275"/>
      <c r="F1271" s="275"/>
      <c r="V1271" s="304"/>
      <c r="W1271" s="304"/>
      <c r="AD1271" s="304"/>
      <c r="AE1271" s="304"/>
      <c r="AR1271" s="304"/>
      <c r="AS1271" s="304"/>
      <c r="AT1271" s="304"/>
      <c r="AU1271" s="304"/>
      <c r="AV1271" s="304"/>
      <c r="AW1271" s="304"/>
      <c r="AX1271" s="304"/>
      <c r="AY1271" s="304"/>
      <c r="AZ1271" s="304"/>
      <c r="BA1271" s="304"/>
      <c r="BB1271" s="304"/>
      <c r="BC1271" s="304"/>
      <c r="BK1271" s="305"/>
      <c r="BL1271" s="305"/>
      <c r="BM1271" s="305"/>
      <c r="BN1271" s="305"/>
      <c r="BO1271" s="305"/>
      <c r="BP1271" s="305"/>
      <c r="BQ1271" s="305"/>
      <c r="BR1271" s="305"/>
      <c r="BS1271" s="305"/>
      <c r="BT1271" s="305"/>
      <c r="BU1271" s="305"/>
      <c r="BV1271" s="305"/>
      <c r="BX1271" s="319"/>
    </row>
    <row r="1272" spans="1:76" s="303" customFormat="1" x14ac:dyDescent="0.25">
      <c r="A1272" s="275"/>
      <c r="B1272" s="275"/>
      <c r="C1272" s="275"/>
      <c r="D1272" s="275"/>
      <c r="E1272" s="275"/>
      <c r="F1272" s="275"/>
      <c r="V1272" s="304"/>
      <c r="W1272" s="304"/>
      <c r="AD1272" s="304"/>
      <c r="AE1272" s="304"/>
      <c r="AR1272" s="304"/>
      <c r="AS1272" s="304"/>
      <c r="AT1272" s="304"/>
      <c r="AU1272" s="304"/>
      <c r="AV1272" s="304"/>
      <c r="AW1272" s="304"/>
      <c r="AX1272" s="304"/>
      <c r="AY1272" s="304"/>
      <c r="AZ1272" s="304"/>
      <c r="BA1272" s="304"/>
      <c r="BB1272" s="304"/>
      <c r="BC1272" s="304"/>
      <c r="BK1272" s="305"/>
      <c r="BL1272" s="305"/>
      <c r="BM1272" s="305"/>
      <c r="BN1272" s="305"/>
      <c r="BO1272" s="305"/>
      <c r="BP1272" s="305"/>
      <c r="BQ1272" s="305"/>
      <c r="BR1272" s="305"/>
      <c r="BS1272" s="305"/>
      <c r="BT1272" s="305"/>
      <c r="BU1272" s="305"/>
      <c r="BV1272" s="305"/>
      <c r="BX1272" s="319"/>
    </row>
    <row r="1273" spans="1:76" s="303" customFormat="1" x14ac:dyDescent="0.25">
      <c r="A1273" s="275"/>
      <c r="B1273" s="275"/>
      <c r="C1273" s="275"/>
      <c r="D1273" s="275"/>
      <c r="E1273" s="275"/>
      <c r="F1273" s="275"/>
      <c r="V1273" s="304"/>
      <c r="W1273" s="304"/>
      <c r="AD1273" s="304"/>
      <c r="AE1273" s="304"/>
      <c r="AR1273" s="304"/>
      <c r="AS1273" s="304"/>
      <c r="AT1273" s="304"/>
      <c r="AU1273" s="304"/>
      <c r="AV1273" s="304"/>
      <c r="AW1273" s="304"/>
      <c r="AX1273" s="304"/>
      <c r="AY1273" s="304"/>
      <c r="AZ1273" s="304"/>
      <c r="BA1273" s="304"/>
      <c r="BB1273" s="304"/>
      <c r="BC1273" s="304"/>
      <c r="BK1273" s="305"/>
      <c r="BL1273" s="305"/>
      <c r="BM1273" s="305"/>
      <c r="BN1273" s="305"/>
      <c r="BO1273" s="305"/>
      <c r="BP1273" s="305"/>
      <c r="BQ1273" s="305"/>
      <c r="BR1273" s="305"/>
      <c r="BS1273" s="305"/>
      <c r="BT1273" s="305"/>
      <c r="BU1273" s="305"/>
      <c r="BV1273" s="305"/>
      <c r="BX1273" s="319"/>
    </row>
    <row r="1274" spans="1:76" s="303" customFormat="1" x14ac:dyDescent="0.25">
      <c r="A1274" s="275"/>
      <c r="B1274" s="275"/>
      <c r="C1274" s="275"/>
      <c r="D1274" s="275"/>
      <c r="E1274" s="275"/>
      <c r="F1274" s="275"/>
      <c r="V1274" s="304"/>
      <c r="W1274" s="304"/>
      <c r="AD1274" s="304"/>
      <c r="AE1274" s="304"/>
      <c r="AR1274" s="304"/>
      <c r="AS1274" s="304"/>
      <c r="AT1274" s="304"/>
      <c r="AU1274" s="304"/>
      <c r="AV1274" s="304"/>
      <c r="AW1274" s="304"/>
      <c r="AX1274" s="304"/>
      <c r="AY1274" s="304"/>
      <c r="AZ1274" s="304"/>
      <c r="BA1274" s="304"/>
      <c r="BB1274" s="304"/>
      <c r="BC1274" s="304"/>
      <c r="BK1274" s="305"/>
      <c r="BL1274" s="305"/>
      <c r="BM1274" s="305"/>
      <c r="BN1274" s="305"/>
      <c r="BO1274" s="305"/>
      <c r="BP1274" s="305"/>
      <c r="BQ1274" s="305"/>
      <c r="BR1274" s="305"/>
      <c r="BS1274" s="305"/>
      <c r="BT1274" s="305"/>
      <c r="BU1274" s="305"/>
      <c r="BV1274" s="305"/>
      <c r="BX1274" s="319"/>
    </row>
    <row r="1275" spans="1:76" s="303" customFormat="1" x14ac:dyDescent="0.25">
      <c r="A1275" s="275"/>
      <c r="B1275" s="275"/>
      <c r="C1275" s="275"/>
      <c r="D1275" s="275"/>
      <c r="E1275" s="275"/>
      <c r="F1275" s="275"/>
      <c r="V1275" s="304"/>
      <c r="W1275" s="304"/>
      <c r="AD1275" s="304"/>
      <c r="AE1275" s="304"/>
      <c r="AR1275" s="304"/>
      <c r="AS1275" s="304"/>
      <c r="AT1275" s="304"/>
      <c r="AU1275" s="304"/>
      <c r="AV1275" s="304"/>
      <c r="AW1275" s="304"/>
      <c r="AX1275" s="304"/>
      <c r="AY1275" s="304"/>
      <c r="AZ1275" s="304"/>
      <c r="BA1275" s="304"/>
      <c r="BB1275" s="304"/>
      <c r="BC1275" s="304"/>
      <c r="BK1275" s="305"/>
      <c r="BL1275" s="305"/>
      <c r="BM1275" s="305"/>
      <c r="BN1275" s="305"/>
      <c r="BO1275" s="305"/>
      <c r="BP1275" s="305"/>
      <c r="BQ1275" s="305"/>
      <c r="BR1275" s="305"/>
      <c r="BS1275" s="305"/>
      <c r="BT1275" s="305"/>
      <c r="BU1275" s="305"/>
      <c r="BV1275" s="305"/>
      <c r="BX1275" s="319"/>
    </row>
    <row r="1276" spans="1:76" s="303" customFormat="1" x14ac:dyDescent="0.25">
      <c r="A1276" s="275"/>
      <c r="B1276" s="275"/>
      <c r="C1276" s="275"/>
      <c r="D1276" s="275"/>
      <c r="E1276" s="275"/>
      <c r="F1276" s="275"/>
      <c r="V1276" s="304"/>
      <c r="W1276" s="304"/>
      <c r="AD1276" s="304"/>
      <c r="AE1276" s="304"/>
      <c r="AR1276" s="304"/>
      <c r="AS1276" s="304"/>
      <c r="AT1276" s="304"/>
      <c r="AU1276" s="304"/>
      <c r="AV1276" s="304"/>
      <c r="AW1276" s="304"/>
      <c r="AX1276" s="304"/>
      <c r="AY1276" s="304"/>
      <c r="AZ1276" s="304"/>
      <c r="BA1276" s="304"/>
      <c r="BB1276" s="304"/>
      <c r="BC1276" s="304"/>
      <c r="BK1276" s="305"/>
      <c r="BL1276" s="305"/>
      <c r="BM1276" s="305"/>
      <c r="BN1276" s="305"/>
      <c r="BO1276" s="305"/>
      <c r="BP1276" s="305"/>
      <c r="BQ1276" s="305"/>
      <c r="BR1276" s="305"/>
      <c r="BS1276" s="305"/>
      <c r="BT1276" s="305"/>
      <c r="BU1276" s="305"/>
      <c r="BV1276" s="305"/>
      <c r="BX1276" s="319"/>
    </row>
    <row r="1277" spans="1:76" s="303" customFormat="1" x14ac:dyDescent="0.25">
      <c r="A1277" s="275"/>
      <c r="B1277" s="275"/>
      <c r="C1277" s="275"/>
      <c r="D1277" s="275"/>
      <c r="E1277" s="275"/>
      <c r="F1277" s="275"/>
      <c r="V1277" s="304"/>
      <c r="W1277" s="304"/>
      <c r="AD1277" s="304"/>
      <c r="AE1277" s="304"/>
      <c r="AR1277" s="304"/>
      <c r="AS1277" s="304"/>
      <c r="AT1277" s="304"/>
      <c r="AU1277" s="304"/>
      <c r="AV1277" s="304"/>
      <c r="AW1277" s="304"/>
      <c r="AX1277" s="304"/>
      <c r="AY1277" s="304"/>
      <c r="AZ1277" s="304"/>
      <c r="BA1277" s="304"/>
      <c r="BB1277" s="304"/>
      <c r="BC1277" s="304"/>
      <c r="BK1277" s="305"/>
      <c r="BL1277" s="305"/>
      <c r="BM1277" s="305"/>
      <c r="BN1277" s="305"/>
      <c r="BO1277" s="305"/>
      <c r="BP1277" s="305"/>
      <c r="BQ1277" s="305"/>
      <c r="BR1277" s="305"/>
      <c r="BS1277" s="305"/>
      <c r="BT1277" s="305"/>
      <c r="BU1277" s="305"/>
      <c r="BV1277" s="305"/>
      <c r="BX1277" s="319"/>
    </row>
    <row r="1278" spans="1:76" s="303" customFormat="1" x14ac:dyDescent="0.25">
      <c r="A1278" s="275"/>
      <c r="B1278" s="275"/>
      <c r="C1278" s="275"/>
      <c r="D1278" s="275"/>
      <c r="E1278" s="275"/>
      <c r="F1278" s="275"/>
      <c r="V1278" s="304"/>
      <c r="W1278" s="304"/>
      <c r="AD1278" s="304"/>
      <c r="AE1278" s="304"/>
      <c r="AR1278" s="304"/>
      <c r="AS1278" s="304"/>
      <c r="AT1278" s="304"/>
      <c r="AU1278" s="304"/>
      <c r="AV1278" s="304"/>
      <c r="AW1278" s="304"/>
      <c r="AX1278" s="304"/>
      <c r="AY1278" s="304"/>
      <c r="AZ1278" s="304"/>
      <c r="BA1278" s="304"/>
      <c r="BB1278" s="304"/>
      <c r="BC1278" s="304"/>
      <c r="BK1278" s="305"/>
      <c r="BL1278" s="305"/>
      <c r="BM1278" s="305"/>
      <c r="BN1278" s="305"/>
      <c r="BO1278" s="305"/>
      <c r="BP1278" s="305"/>
      <c r="BQ1278" s="305"/>
      <c r="BR1278" s="305"/>
      <c r="BS1278" s="305"/>
      <c r="BT1278" s="305"/>
      <c r="BU1278" s="305"/>
      <c r="BV1278" s="305"/>
      <c r="BX1278" s="319"/>
    </row>
    <row r="1279" spans="1:76" s="303" customFormat="1" x14ac:dyDescent="0.25">
      <c r="A1279" s="275"/>
      <c r="B1279" s="275"/>
      <c r="C1279" s="275"/>
      <c r="D1279" s="275"/>
      <c r="E1279" s="275"/>
      <c r="F1279" s="275"/>
      <c r="V1279" s="304"/>
      <c r="W1279" s="304"/>
      <c r="AD1279" s="304"/>
      <c r="AE1279" s="304"/>
      <c r="AR1279" s="304"/>
      <c r="AS1279" s="304"/>
      <c r="AT1279" s="304"/>
      <c r="AU1279" s="304"/>
      <c r="AV1279" s="304"/>
      <c r="AW1279" s="304"/>
      <c r="AX1279" s="304"/>
      <c r="AY1279" s="304"/>
      <c r="AZ1279" s="304"/>
      <c r="BA1279" s="304"/>
      <c r="BB1279" s="304"/>
      <c r="BC1279" s="304"/>
      <c r="BK1279" s="305"/>
      <c r="BL1279" s="305"/>
      <c r="BM1279" s="305"/>
      <c r="BN1279" s="305"/>
      <c r="BO1279" s="305"/>
      <c r="BP1279" s="305"/>
      <c r="BQ1279" s="305"/>
      <c r="BR1279" s="305"/>
      <c r="BS1279" s="305"/>
      <c r="BT1279" s="305"/>
      <c r="BU1279" s="305"/>
      <c r="BV1279" s="305"/>
      <c r="BX1279" s="319"/>
    </row>
    <row r="1280" spans="1:76" s="303" customFormat="1" x14ac:dyDescent="0.25">
      <c r="A1280" s="275"/>
      <c r="B1280" s="275"/>
      <c r="C1280" s="275"/>
      <c r="D1280" s="275"/>
      <c r="E1280" s="275"/>
      <c r="F1280" s="275"/>
      <c r="V1280" s="304"/>
      <c r="W1280" s="304"/>
      <c r="AD1280" s="304"/>
      <c r="AE1280" s="304"/>
      <c r="AR1280" s="304"/>
      <c r="AS1280" s="304"/>
      <c r="AT1280" s="304"/>
      <c r="AU1280" s="304"/>
      <c r="AV1280" s="304"/>
      <c r="AW1280" s="304"/>
      <c r="AX1280" s="304"/>
      <c r="AY1280" s="304"/>
      <c r="AZ1280" s="304"/>
      <c r="BA1280" s="304"/>
      <c r="BB1280" s="304"/>
      <c r="BC1280" s="304"/>
      <c r="BK1280" s="305"/>
      <c r="BL1280" s="305"/>
      <c r="BM1280" s="305"/>
      <c r="BN1280" s="305"/>
      <c r="BO1280" s="305"/>
      <c r="BP1280" s="305"/>
      <c r="BQ1280" s="305"/>
      <c r="BR1280" s="305"/>
      <c r="BS1280" s="305"/>
      <c r="BT1280" s="305"/>
      <c r="BU1280" s="305"/>
      <c r="BV1280" s="305"/>
      <c r="BX1280" s="319"/>
    </row>
    <row r="1281" spans="1:76" s="303" customFormat="1" x14ac:dyDescent="0.25">
      <c r="A1281" s="275"/>
      <c r="B1281" s="275"/>
      <c r="C1281" s="275"/>
      <c r="D1281" s="275"/>
      <c r="E1281" s="275"/>
      <c r="F1281" s="275"/>
      <c r="V1281" s="304"/>
      <c r="W1281" s="304"/>
      <c r="AD1281" s="304"/>
      <c r="AE1281" s="304"/>
      <c r="AR1281" s="304"/>
      <c r="AS1281" s="304"/>
      <c r="AT1281" s="304"/>
      <c r="AU1281" s="304"/>
      <c r="AV1281" s="304"/>
      <c r="AW1281" s="304"/>
      <c r="AX1281" s="304"/>
      <c r="AY1281" s="304"/>
      <c r="AZ1281" s="304"/>
      <c r="BA1281" s="304"/>
      <c r="BB1281" s="304"/>
      <c r="BC1281" s="304"/>
      <c r="BK1281" s="305"/>
      <c r="BL1281" s="305"/>
      <c r="BM1281" s="305"/>
      <c r="BN1281" s="305"/>
      <c r="BO1281" s="305"/>
      <c r="BP1281" s="305"/>
      <c r="BQ1281" s="305"/>
      <c r="BR1281" s="305"/>
      <c r="BS1281" s="305"/>
      <c r="BT1281" s="305"/>
      <c r="BU1281" s="305"/>
      <c r="BV1281" s="305"/>
      <c r="BX1281" s="319"/>
    </row>
    <row r="1282" spans="1:76" s="303" customFormat="1" x14ac:dyDescent="0.25">
      <c r="A1282" s="275"/>
      <c r="B1282" s="275"/>
      <c r="C1282" s="275"/>
      <c r="D1282" s="275"/>
      <c r="E1282" s="275"/>
      <c r="F1282" s="275"/>
      <c r="V1282" s="304"/>
      <c r="W1282" s="304"/>
      <c r="AD1282" s="304"/>
      <c r="AE1282" s="304"/>
      <c r="AR1282" s="304"/>
      <c r="AS1282" s="304"/>
      <c r="AT1282" s="304"/>
      <c r="AU1282" s="304"/>
      <c r="AV1282" s="304"/>
      <c r="AW1282" s="304"/>
      <c r="AX1282" s="304"/>
      <c r="AY1282" s="304"/>
      <c r="AZ1282" s="304"/>
      <c r="BA1282" s="304"/>
      <c r="BB1282" s="304"/>
      <c r="BC1282" s="304"/>
      <c r="BK1282" s="305"/>
      <c r="BL1282" s="305"/>
      <c r="BM1282" s="305"/>
      <c r="BN1282" s="305"/>
      <c r="BO1282" s="305"/>
      <c r="BP1282" s="305"/>
      <c r="BQ1282" s="305"/>
      <c r="BR1282" s="305"/>
      <c r="BS1282" s="305"/>
      <c r="BT1282" s="305"/>
      <c r="BU1282" s="305"/>
      <c r="BV1282" s="305"/>
      <c r="BX1282" s="319"/>
    </row>
    <row r="1283" spans="1:76" s="303" customFormat="1" x14ac:dyDescent="0.25">
      <c r="A1283" s="275"/>
      <c r="B1283" s="275"/>
      <c r="C1283" s="275"/>
      <c r="D1283" s="275"/>
      <c r="E1283" s="275"/>
      <c r="F1283" s="275"/>
      <c r="V1283" s="304"/>
      <c r="W1283" s="304"/>
      <c r="AD1283" s="304"/>
      <c r="AE1283" s="304"/>
      <c r="AR1283" s="304"/>
      <c r="AS1283" s="304"/>
      <c r="AT1283" s="304"/>
      <c r="AU1283" s="304"/>
      <c r="AV1283" s="304"/>
      <c r="AW1283" s="304"/>
      <c r="AX1283" s="304"/>
      <c r="AY1283" s="304"/>
      <c r="AZ1283" s="304"/>
      <c r="BA1283" s="304"/>
      <c r="BB1283" s="304"/>
      <c r="BC1283" s="304"/>
      <c r="BK1283" s="305"/>
      <c r="BL1283" s="305"/>
      <c r="BM1283" s="305"/>
      <c r="BN1283" s="305"/>
      <c r="BO1283" s="305"/>
      <c r="BP1283" s="305"/>
      <c r="BQ1283" s="305"/>
      <c r="BR1283" s="305"/>
      <c r="BS1283" s="305"/>
      <c r="BT1283" s="305"/>
      <c r="BU1283" s="305"/>
      <c r="BV1283" s="305"/>
      <c r="BX1283" s="319"/>
    </row>
    <row r="1284" spans="1:76" s="303" customFormat="1" x14ac:dyDescent="0.25">
      <c r="A1284" s="275"/>
      <c r="B1284" s="275"/>
      <c r="C1284" s="275"/>
      <c r="D1284" s="275"/>
      <c r="E1284" s="275"/>
      <c r="F1284" s="275"/>
      <c r="V1284" s="304"/>
      <c r="W1284" s="304"/>
      <c r="AD1284" s="304"/>
      <c r="AE1284" s="304"/>
      <c r="AR1284" s="304"/>
      <c r="AS1284" s="304"/>
      <c r="AT1284" s="304"/>
      <c r="AU1284" s="304"/>
      <c r="AV1284" s="304"/>
      <c r="AW1284" s="304"/>
      <c r="AX1284" s="304"/>
      <c r="AY1284" s="304"/>
      <c r="AZ1284" s="304"/>
      <c r="BA1284" s="304"/>
      <c r="BB1284" s="304"/>
      <c r="BC1284" s="304"/>
      <c r="BK1284" s="305"/>
      <c r="BL1284" s="305"/>
      <c r="BM1284" s="305"/>
      <c r="BN1284" s="305"/>
      <c r="BO1284" s="305"/>
      <c r="BP1284" s="305"/>
      <c r="BQ1284" s="305"/>
      <c r="BR1284" s="305"/>
      <c r="BS1284" s="305"/>
      <c r="BT1284" s="305"/>
      <c r="BU1284" s="305"/>
      <c r="BV1284" s="305"/>
      <c r="BX1284" s="319"/>
    </row>
    <row r="1285" spans="1:76" s="303" customFormat="1" x14ac:dyDescent="0.25">
      <c r="A1285" s="275"/>
      <c r="B1285" s="275"/>
      <c r="C1285" s="275"/>
      <c r="D1285" s="275"/>
      <c r="E1285" s="275"/>
      <c r="F1285" s="275"/>
      <c r="V1285" s="304"/>
      <c r="W1285" s="304"/>
      <c r="AD1285" s="304"/>
      <c r="AE1285" s="304"/>
      <c r="AR1285" s="304"/>
      <c r="AS1285" s="304"/>
      <c r="AT1285" s="304"/>
      <c r="AU1285" s="304"/>
      <c r="AV1285" s="304"/>
      <c r="AW1285" s="304"/>
      <c r="AX1285" s="304"/>
      <c r="AY1285" s="304"/>
      <c r="AZ1285" s="304"/>
      <c r="BA1285" s="304"/>
      <c r="BB1285" s="304"/>
      <c r="BC1285" s="304"/>
      <c r="BK1285" s="305"/>
      <c r="BL1285" s="305"/>
      <c r="BM1285" s="305"/>
      <c r="BN1285" s="305"/>
      <c r="BO1285" s="305"/>
      <c r="BP1285" s="305"/>
      <c r="BQ1285" s="305"/>
      <c r="BR1285" s="305"/>
      <c r="BS1285" s="305"/>
      <c r="BT1285" s="305"/>
      <c r="BU1285" s="305"/>
      <c r="BV1285" s="305"/>
      <c r="BX1285" s="319"/>
    </row>
    <row r="1286" spans="1:76" s="303" customFormat="1" x14ac:dyDescent="0.25">
      <c r="A1286" s="275"/>
      <c r="B1286" s="275"/>
      <c r="C1286" s="275"/>
      <c r="D1286" s="275"/>
      <c r="E1286" s="275"/>
      <c r="F1286" s="275"/>
      <c r="V1286" s="304"/>
      <c r="W1286" s="304"/>
      <c r="AD1286" s="304"/>
      <c r="AE1286" s="304"/>
      <c r="AR1286" s="304"/>
      <c r="AS1286" s="304"/>
      <c r="AT1286" s="304"/>
      <c r="AU1286" s="304"/>
      <c r="AV1286" s="304"/>
      <c r="AW1286" s="304"/>
      <c r="AX1286" s="304"/>
      <c r="AY1286" s="304"/>
      <c r="AZ1286" s="304"/>
      <c r="BA1286" s="304"/>
      <c r="BB1286" s="304"/>
      <c r="BC1286" s="304"/>
      <c r="BK1286" s="305"/>
      <c r="BL1286" s="305"/>
      <c r="BM1286" s="305"/>
      <c r="BN1286" s="305"/>
      <c r="BO1286" s="305"/>
      <c r="BP1286" s="305"/>
      <c r="BQ1286" s="305"/>
      <c r="BR1286" s="305"/>
      <c r="BS1286" s="305"/>
      <c r="BT1286" s="305"/>
      <c r="BU1286" s="305"/>
      <c r="BV1286" s="305"/>
      <c r="BX1286" s="319"/>
    </row>
    <row r="1287" spans="1:76" s="303" customFormat="1" x14ac:dyDescent="0.25">
      <c r="A1287" s="275"/>
      <c r="B1287" s="275"/>
      <c r="C1287" s="275"/>
      <c r="D1287" s="275"/>
      <c r="E1287" s="275"/>
      <c r="F1287" s="275"/>
      <c r="V1287" s="304"/>
      <c r="W1287" s="304"/>
      <c r="AD1287" s="304"/>
      <c r="AE1287" s="304"/>
      <c r="AR1287" s="304"/>
      <c r="AS1287" s="304"/>
      <c r="AT1287" s="304"/>
      <c r="AU1287" s="304"/>
      <c r="AV1287" s="304"/>
      <c r="AW1287" s="304"/>
      <c r="AX1287" s="304"/>
      <c r="AY1287" s="304"/>
      <c r="AZ1287" s="304"/>
      <c r="BA1287" s="304"/>
      <c r="BB1287" s="304"/>
      <c r="BC1287" s="304"/>
      <c r="BK1287" s="305"/>
      <c r="BL1287" s="305"/>
      <c r="BM1287" s="305"/>
      <c r="BN1287" s="305"/>
      <c r="BO1287" s="305"/>
      <c r="BP1287" s="305"/>
      <c r="BQ1287" s="305"/>
      <c r="BR1287" s="305"/>
      <c r="BS1287" s="305"/>
      <c r="BT1287" s="305"/>
      <c r="BU1287" s="305"/>
      <c r="BV1287" s="305"/>
      <c r="BX1287" s="319"/>
    </row>
    <row r="1288" spans="1:76" s="303" customFormat="1" x14ac:dyDescent="0.25">
      <c r="A1288" s="275"/>
      <c r="B1288" s="275"/>
      <c r="C1288" s="275"/>
      <c r="D1288" s="275"/>
      <c r="E1288" s="275"/>
      <c r="F1288" s="275"/>
      <c r="V1288" s="304"/>
      <c r="W1288" s="304"/>
      <c r="AD1288" s="304"/>
      <c r="AE1288" s="304"/>
      <c r="AR1288" s="304"/>
      <c r="AS1288" s="304"/>
      <c r="AT1288" s="304"/>
      <c r="AU1288" s="304"/>
      <c r="AV1288" s="304"/>
      <c r="AW1288" s="304"/>
      <c r="AX1288" s="304"/>
      <c r="AY1288" s="304"/>
      <c r="AZ1288" s="304"/>
      <c r="BA1288" s="304"/>
      <c r="BB1288" s="304"/>
      <c r="BC1288" s="304"/>
      <c r="BK1288" s="305"/>
      <c r="BL1288" s="305"/>
      <c r="BM1288" s="305"/>
      <c r="BN1288" s="305"/>
      <c r="BO1288" s="305"/>
      <c r="BP1288" s="305"/>
      <c r="BQ1288" s="305"/>
      <c r="BR1288" s="305"/>
      <c r="BS1288" s="305"/>
      <c r="BT1288" s="305"/>
      <c r="BU1288" s="305"/>
      <c r="BV1288" s="305"/>
      <c r="BX1288" s="319"/>
    </row>
    <row r="1289" spans="1:76" s="303" customFormat="1" x14ac:dyDescent="0.25">
      <c r="A1289" s="275"/>
      <c r="B1289" s="275"/>
      <c r="C1289" s="275"/>
      <c r="D1289" s="275"/>
      <c r="E1289" s="275"/>
      <c r="F1289" s="275"/>
      <c r="V1289" s="304"/>
      <c r="W1289" s="304"/>
      <c r="AD1289" s="304"/>
      <c r="AE1289" s="304"/>
      <c r="AR1289" s="304"/>
      <c r="AS1289" s="304"/>
      <c r="AT1289" s="304"/>
      <c r="AU1289" s="304"/>
      <c r="AV1289" s="304"/>
      <c r="AW1289" s="304"/>
      <c r="AX1289" s="304"/>
      <c r="AY1289" s="304"/>
      <c r="AZ1289" s="304"/>
      <c r="BA1289" s="304"/>
      <c r="BB1289" s="304"/>
      <c r="BC1289" s="304"/>
      <c r="BK1289" s="305"/>
      <c r="BL1289" s="305"/>
      <c r="BM1289" s="305"/>
      <c r="BN1289" s="305"/>
      <c r="BO1289" s="305"/>
      <c r="BP1289" s="305"/>
      <c r="BQ1289" s="305"/>
      <c r="BR1289" s="305"/>
      <c r="BS1289" s="305"/>
      <c r="BT1289" s="305"/>
      <c r="BU1289" s="305"/>
      <c r="BV1289" s="305"/>
      <c r="BX1289" s="319"/>
    </row>
    <row r="1290" spans="1:76" s="303" customFormat="1" x14ac:dyDescent="0.25">
      <c r="A1290" s="275"/>
      <c r="B1290" s="275"/>
      <c r="C1290" s="275"/>
      <c r="D1290" s="275"/>
      <c r="E1290" s="275"/>
      <c r="F1290" s="275"/>
      <c r="V1290" s="304"/>
      <c r="W1290" s="304"/>
      <c r="AD1290" s="304"/>
      <c r="AE1290" s="304"/>
      <c r="AR1290" s="304"/>
      <c r="AS1290" s="304"/>
      <c r="AT1290" s="304"/>
      <c r="AU1290" s="304"/>
      <c r="AV1290" s="304"/>
      <c r="AW1290" s="304"/>
      <c r="AX1290" s="304"/>
      <c r="AY1290" s="304"/>
      <c r="AZ1290" s="304"/>
      <c r="BA1290" s="304"/>
      <c r="BB1290" s="304"/>
      <c r="BC1290" s="304"/>
      <c r="BK1290" s="305"/>
      <c r="BL1290" s="305"/>
      <c r="BM1290" s="305"/>
      <c r="BN1290" s="305"/>
      <c r="BO1290" s="305"/>
      <c r="BP1290" s="305"/>
      <c r="BQ1290" s="305"/>
      <c r="BR1290" s="305"/>
      <c r="BS1290" s="305"/>
      <c r="BT1290" s="305"/>
      <c r="BU1290" s="305"/>
      <c r="BV1290" s="305"/>
      <c r="BX1290" s="319"/>
    </row>
    <row r="1291" spans="1:76" s="303" customFormat="1" x14ac:dyDescent="0.25">
      <c r="A1291" s="275"/>
      <c r="B1291" s="275"/>
      <c r="C1291" s="275"/>
      <c r="D1291" s="275"/>
      <c r="E1291" s="275"/>
      <c r="F1291" s="275"/>
      <c r="V1291" s="304"/>
      <c r="W1291" s="304"/>
      <c r="AD1291" s="304"/>
      <c r="AE1291" s="304"/>
      <c r="AR1291" s="304"/>
      <c r="AS1291" s="304"/>
      <c r="AT1291" s="304"/>
      <c r="AU1291" s="304"/>
      <c r="AV1291" s="304"/>
      <c r="AW1291" s="304"/>
      <c r="AX1291" s="304"/>
      <c r="AY1291" s="304"/>
      <c r="AZ1291" s="304"/>
      <c r="BA1291" s="304"/>
      <c r="BB1291" s="304"/>
      <c r="BC1291" s="304"/>
      <c r="BK1291" s="305"/>
      <c r="BL1291" s="305"/>
      <c r="BM1291" s="305"/>
      <c r="BN1291" s="305"/>
      <c r="BO1291" s="305"/>
      <c r="BP1291" s="305"/>
      <c r="BQ1291" s="305"/>
      <c r="BR1291" s="305"/>
      <c r="BS1291" s="305"/>
      <c r="BT1291" s="305"/>
      <c r="BU1291" s="305"/>
      <c r="BV1291" s="305"/>
      <c r="BX1291" s="319"/>
    </row>
    <row r="1292" spans="1:76" s="303" customFormat="1" x14ac:dyDescent="0.25">
      <c r="A1292" s="275"/>
      <c r="B1292" s="275"/>
      <c r="C1292" s="275"/>
      <c r="D1292" s="275"/>
      <c r="E1292" s="275"/>
      <c r="F1292" s="275"/>
      <c r="V1292" s="304"/>
      <c r="W1292" s="304"/>
      <c r="AD1292" s="304"/>
      <c r="AE1292" s="304"/>
      <c r="AR1292" s="304"/>
      <c r="AS1292" s="304"/>
      <c r="AT1292" s="304"/>
      <c r="AU1292" s="304"/>
      <c r="AV1292" s="304"/>
      <c r="AW1292" s="304"/>
      <c r="AX1292" s="304"/>
      <c r="AY1292" s="304"/>
      <c r="AZ1292" s="304"/>
      <c r="BA1292" s="304"/>
      <c r="BB1292" s="304"/>
      <c r="BC1292" s="304"/>
      <c r="BK1292" s="305"/>
      <c r="BL1292" s="305"/>
      <c r="BM1292" s="305"/>
      <c r="BN1292" s="305"/>
      <c r="BO1292" s="305"/>
      <c r="BP1292" s="305"/>
      <c r="BQ1292" s="305"/>
      <c r="BR1292" s="305"/>
      <c r="BS1292" s="305"/>
      <c r="BT1292" s="305"/>
      <c r="BU1292" s="305"/>
      <c r="BV1292" s="305"/>
      <c r="BX1292" s="319"/>
    </row>
    <row r="1293" spans="1:76" s="303" customFormat="1" x14ac:dyDescent="0.25">
      <c r="A1293" s="275"/>
      <c r="B1293" s="275"/>
      <c r="C1293" s="275"/>
      <c r="D1293" s="275"/>
      <c r="E1293" s="275"/>
      <c r="F1293" s="275"/>
      <c r="V1293" s="304"/>
      <c r="W1293" s="304"/>
      <c r="AD1293" s="304"/>
      <c r="AE1293" s="304"/>
      <c r="AR1293" s="304"/>
      <c r="AS1293" s="304"/>
      <c r="AT1293" s="304"/>
      <c r="AU1293" s="304"/>
      <c r="AV1293" s="304"/>
      <c r="AW1293" s="304"/>
      <c r="AX1293" s="304"/>
      <c r="AY1293" s="304"/>
      <c r="AZ1293" s="304"/>
      <c r="BA1293" s="304"/>
      <c r="BB1293" s="304"/>
      <c r="BC1293" s="304"/>
      <c r="BK1293" s="305"/>
      <c r="BL1293" s="305"/>
      <c r="BM1293" s="305"/>
      <c r="BN1293" s="305"/>
      <c r="BO1293" s="305"/>
      <c r="BP1293" s="305"/>
      <c r="BQ1293" s="305"/>
      <c r="BR1293" s="305"/>
      <c r="BS1293" s="305"/>
      <c r="BT1293" s="305"/>
      <c r="BU1293" s="305"/>
      <c r="BV1293" s="305"/>
      <c r="BX1293" s="319"/>
    </row>
    <row r="1294" spans="1:76" s="303" customFormat="1" x14ac:dyDescent="0.25">
      <c r="A1294" s="275"/>
      <c r="B1294" s="275"/>
      <c r="C1294" s="275"/>
      <c r="D1294" s="275"/>
      <c r="E1294" s="275"/>
      <c r="F1294" s="275"/>
      <c r="V1294" s="304"/>
      <c r="W1294" s="304"/>
      <c r="AD1294" s="304"/>
      <c r="AE1294" s="304"/>
      <c r="AR1294" s="304"/>
      <c r="AS1294" s="304"/>
      <c r="AT1294" s="304"/>
      <c r="AU1294" s="304"/>
      <c r="AV1294" s="304"/>
      <c r="AW1294" s="304"/>
      <c r="AX1294" s="304"/>
      <c r="AY1294" s="304"/>
      <c r="AZ1294" s="304"/>
      <c r="BA1294" s="304"/>
      <c r="BB1294" s="304"/>
      <c r="BC1294" s="304"/>
      <c r="BK1294" s="305"/>
      <c r="BL1294" s="305"/>
      <c r="BM1294" s="305"/>
      <c r="BN1294" s="305"/>
      <c r="BO1294" s="305"/>
      <c r="BP1294" s="305"/>
      <c r="BQ1294" s="305"/>
      <c r="BR1294" s="305"/>
      <c r="BS1294" s="305"/>
      <c r="BT1294" s="305"/>
      <c r="BU1294" s="305"/>
      <c r="BV1294" s="305"/>
      <c r="BX1294" s="319"/>
    </row>
    <row r="1295" spans="1:76" s="303" customFormat="1" x14ac:dyDescent="0.25">
      <c r="A1295" s="275"/>
      <c r="B1295" s="275"/>
      <c r="C1295" s="275"/>
      <c r="D1295" s="275"/>
      <c r="E1295" s="275"/>
      <c r="F1295" s="275"/>
      <c r="V1295" s="304"/>
      <c r="W1295" s="304"/>
      <c r="AD1295" s="304"/>
      <c r="AE1295" s="304"/>
      <c r="AR1295" s="304"/>
      <c r="AS1295" s="304"/>
      <c r="AT1295" s="304"/>
      <c r="AU1295" s="304"/>
      <c r="AV1295" s="304"/>
      <c r="AW1295" s="304"/>
      <c r="AX1295" s="304"/>
      <c r="AY1295" s="304"/>
      <c r="AZ1295" s="304"/>
      <c r="BA1295" s="304"/>
      <c r="BB1295" s="304"/>
      <c r="BC1295" s="304"/>
      <c r="BK1295" s="305"/>
      <c r="BL1295" s="305"/>
      <c r="BM1295" s="305"/>
      <c r="BN1295" s="305"/>
      <c r="BO1295" s="305"/>
      <c r="BP1295" s="305"/>
      <c r="BQ1295" s="305"/>
      <c r="BR1295" s="305"/>
      <c r="BS1295" s="305"/>
      <c r="BT1295" s="305"/>
      <c r="BU1295" s="305"/>
      <c r="BV1295" s="305"/>
      <c r="BX1295" s="319"/>
    </row>
    <row r="1296" spans="1:76" s="303" customFormat="1" x14ac:dyDescent="0.25">
      <c r="A1296" s="275"/>
      <c r="B1296" s="275"/>
      <c r="C1296" s="275"/>
      <c r="D1296" s="275"/>
      <c r="E1296" s="275"/>
      <c r="F1296" s="275"/>
      <c r="V1296" s="304"/>
      <c r="W1296" s="304"/>
      <c r="AD1296" s="304"/>
      <c r="AE1296" s="304"/>
      <c r="AR1296" s="304"/>
      <c r="AS1296" s="304"/>
      <c r="AT1296" s="304"/>
      <c r="AU1296" s="304"/>
      <c r="AV1296" s="304"/>
      <c r="AW1296" s="304"/>
      <c r="AX1296" s="304"/>
      <c r="AY1296" s="304"/>
      <c r="AZ1296" s="304"/>
      <c r="BA1296" s="304"/>
      <c r="BB1296" s="304"/>
      <c r="BC1296" s="304"/>
      <c r="BK1296" s="305"/>
      <c r="BL1296" s="305"/>
      <c r="BM1296" s="305"/>
      <c r="BN1296" s="305"/>
      <c r="BO1296" s="305"/>
      <c r="BP1296" s="305"/>
      <c r="BQ1296" s="305"/>
      <c r="BR1296" s="305"/>
      <c r="BS1296" s="305"/>
      <c r="BT1296" s="305"/>
      <c r="BU1296" s="305"/>
      <c r="BV1296" s="305"/>
      <c r="BX1296" s="319"/>
    </row>
    <row r="1297" spans="1:76" s="303" customFormat="1" x14ac:dyDescent="0.25">
      <c r="A1297" s="275"/>
      <c r="B1297" s="275"/>
      <c r="C1297" s="275"/>
      <c r="D1297" s="275"/>
      <c r="E1297" s="275"/>
      <c r="F1297" s="275"/>
      <c r="V1297" s="304"/>
      <c r="W1297" s="304"/>
      <c r="AD1297" s="304"/>
      <c r="AE1297" s="304"/>
      <c r="AR1297" s="304"/>
      <c r="AS1297" s="304"/>
      <c r="AT1297" s="304"/>
      <c r="AU1297" s="304"/>
      <c r="AV1297" s="304"/>
      <c r="AW1297" s="304"/>
      <c r="AX1297" s="304"/>
      <c r="AY1297" s="304"/>
      <c r="AZ1297" s="304"/>
      <c r="BA1297" s="304"/>
      <c r="BB1297" s="304"/>
      <c r="BC1297" s="304"/>
      <c r="BK1297" s="305"/>
      <c r="BL1297" s="305"/>
      <c r="BM1297" s="305"/>
      <c r="BN1297" s="305"/>
      <c r="BO1297" s="305"/>
      <c r="BP1297" s="305"/>
      <c r="BQ1297" s="305"/>
      <c r="BR1297" s="305"/>
      <c r="BS1297" s="305"/>
      <c r="BT1297" s="305"/>
      <c r="BU1297" s="305"/>
      <c r="BV1297" s="305"/>
      <c r="BX1297" s="319"/>
    </row>
    <row r="1298" spans="1:76" s="303" customFormat="1" x14ac:dyDescent="0.25">
      <c r="A1298" s="275"/>
      <c r="B1298" s="275"/>
      <c r="C1298" s="275"/>
      <c r="D1298" s="275"/>
      <c r="E1298" s="275"/>
      <c r="F1298" s="275"/>
      <c r="V1298" s="304"/>
      <c r="W1298" s="304"/>
      <c r="AD1298" s="304"/>
      <c r="AE1298" s="304"/>
      <c r="AR1298" s="304"/>
      <c r="AS1298" s="304"/>
      <c r="AT1298" s="304"/>
      <c r="AU1298" s="304"/>
      <c r="AV1298" s="304"/>
      <c r="AW1298" s="304"/>
      <c r="AX1298" s="304"/>
      <c r="AY1298" s="304"/>
      <c r="AZ1298" s="304"/>
      <c r="BA1298" s="304"/>
      <c r="BB1298" s="304"/>
      <c r="BC1298" s="304"/>
      <c r="BK1298" s="305"/>
      <c r="BL1298" s="305"/>
      <c r="BM1298" s="305"/>
      <c r="BN1298" s="305"/>
      <c r="BO1298" s="305"/>
      <c r="BP1298" s="305"/>
      <c r="BQ1298" s="305"/>
      <c r="BR1298" s="305"/>
      <c r="BS1298" s="305"/>
      <c r="BT1298" s="305"/>
      <c r="BU1298" s="305"/>
      <c r="BV1298" s="305"/>
      <c r="BX1298" s="319"/>
    </row>
    <row r="1299" spans="1:76" s="303" customFormat="1" x14ac:dyDescent="0.25">
      <c r="A1299" s="275"/>
      <c r="B1299" s="275"/>
      <c r="C1299" s="275"/>
      <c r="D1299" s="275"/>
      <c r="E1299" s="275"/>
      <c r="F1299" s="275"/>
      <c r="V1299" s="304"/>
      <c r="W1299" s="304"/>
      <c r="AD1299" s="304"/>
      <c r="AE1299" s="304"/>
      <c r="AR1299" s="304"/>
      <c r="AS1299" s="304"/>
      <c r="AT1299" s="304"/>
      <c r="AU1299" s="304"/>
      <c r="AV1299" s="304"/>
      <c r="AW1299" s="304"/>
      <c r="AX1299" s="304"/>
      <c r="AY1299" s="304"/>
      <c r="AZ1299" s="304"/>
      <c r="BA1299" s="304"/>
      <c r="BB1299" s="304"/>
      <c r="BC1299" s="304"/>
      <c r="BK1299" s="305"/>
      <c r="BL1299" s="305"/>
      <c r="BM1299" s="305"/>
      <c r="BN1299" s="305"/>
      <c r="BO1299" s="305"/>
      <c r="BP1299" s="305"/>
      <c r="BQ1299" s="305"/>
      <c r="BR1299" s="305"/>
      <c r="BS1299" s="305"/>
      <c r="BT1299" s="305"/>
      <c r="BU1299" s="305"/>
      <c r="BV1299" s="305"/>
      <c r="BX1299" s="319"/>
    </row>
    <row r="1300" spans="1:76" s="303" customFormat="1" x14ac:dyDescent="0.25">
      <c r="A1300" s="275"/>
      <c r="B1300" s="275"/>
      <c r="C1300" s="275"/>
      <c r="D1300" s="275"/>
      <c r="E1300" s="275"/>
      <c r="F1300" s="275"/>
      <c r="V1300" s="304"/>
      <c r="W1300" s="304"/>
      <c r="AD1300" s="304"/>
      <c r="AE1300" s="304"/>
      <c r="AR1300" s="304"/>
      <c r="AS1300" s="304"/>
      <c r="AT1300" s="304"/>
      <c r="AU1300" s="304"/>
      <c r="AV1300" s="304"/>
      <c r="AW1300" s="304"/>
      <c r="AX1300" s="304"/>
      <c r="AY1300" s="304"/>
      <c r="AZ1300" s="304"/>
      <c r="BA1300" s="304"/>
      <c r="BB1300" s="304"/>
      <c r="BC1300" s="304"/>
      <c r="BK1300" s="305"/>
      <c r="BL1300" s="305"/>
      <c r="BM1300" s="305"/>
      <c r="BN1300" s="305"/>
      <c r="BO1300" s="305"/>
      <c r="BP1300" s="305"/>
      <c r="BQ1300" s="305"/>
      <c r="BR1300" s="305"/>
      <c r="BS1300" s="305"/>
      <c r="BT1300" s="305"/>
      <c r="BU1300" s="305"/>
      <c r="BV1300" s="305"/>
      <c r="BX1300" s="319"/>
    </row>
    <row r="1301" spans="1:76" s="303" customFormat="1" x14ac:dyDescent="0.25">
      <c r="A1301" s="275"/>
      <c r="B1301" s="275"/>
      <c r="C1301" s="275"/>
      <c r="D1301" s="275"/>
      <c r="E1301" s="275"/>
      <c r="F1301" s="275"/>
      <c r="V1301" s="304"/>
      <c r="W1301" s="304"/>
      <c r="AD1301" s="304"/>
      <c r="AE1301" s="304"/>
      <c r="AR1301" s="304"/>
      <c r="AS1301" s="304"/>
      <c r="AT1301" s="304"/>
      <c r="AU1301" s="304"/>
      <c r="AV1301" s="304"/>
      <c r="AW1301" s="304"/>
      <c r="AX1301" s="304"/>
      <c r="AY1301" s="304"/>
      <c r="AZ1301" s="304"/>
      <c r="BA1301" s="304"/>
      <c r="BB1301" s="304"/>
      <c r="BC1301" s="304"/>
      <c r="BK1301" s="305"/>
      <c r="BL1301" s="305"/>
      <c r="BM1301" s="305"/>
      <c r="BN1301" s="305"/>
      <c r="BO1301" s="305"/>
      <c r="BP1301" s="305"/>
      <c r="BQ1301" s="305"/>
      <c r="BR1301" s="305"/>
      <c r="BS1301" s="305"/>
      <c r="BT1301" s="305"/>
      <c r="BU1301" s="305"/>
      <c r="BV1301" s="305"/>
      <c r="BX1301" s="319"/>
    </row>
    <row r="1302" spans="1:76" s="303" customFormat="1" x14ac:dyDescent="0.25">
      <c r="A1302" s="275"/>
      <c r="B1302" s="275"/>
      <c r="C1302" s="275"/>
      <c r="D1302" s="275"/>
      <c r="E1302" s="275"/>
      <c r="F1302" s="275"/>
      <c r="V1302" s="304"/>
      <c r="W1302" s="304"/>
      <c r="AD1302" s="304"/>
      <c r="AE1302" s="304"/>
      <c r="AR1302" s="304"/>
      <c r="AS1302" s="304"/>
      <c r="AT1302" s="304"/>
      <c r="AU1302" s="304"/>
      <c r="AV1302" s="304"/>
      <c r="AW1302" s="304"/>
      <c r="AX1302" s="304"/>
      <c r="AY1302" s="304"/>
      <c r="AZ1302" s="304"/>
      <c r="BA1302" s="304"/>
      <c r="BB1302" s="304"/>
      <c r="BC1302" s="304"/>
      <c r="BK1302" s="305"/>
      <c r="BL1302" s="305"/>
      <c r="BM1302" s="305"/>
      <c r="BN1302" s="305"/>
      <c r="BO1302" s="305"/>
      <c r="BP1302" s="305"/>
      <c r="BQ1302" s="305"/>
      <c r="BR1302" s="305"/>
      <c r="BS1302" s="305"/>
      <c r="BT1302" s="305"/>
      <c r="BU1302" s="305"/>
      <c r="BV1302" s="305"/>
      <c r="BX1302" s="319"/>
    </row>
    <row r="1303" spans="1:76" s="303" customFormat="1" x14ac:dyDescent="0.25">
      <c r="A1303" s="275"/>
      <c r="B1303" s="275"/>
      <c r="C1303" s="275"/>
      <c r="D1303" s="275"/>
      <c r="E1303" s="275"/>
      <c r="F1303" s="275"/>
      <c r="V1303" s="304"/>
      <c r="W1303" s="304"/>
      <c r="AD1303" s="304"/>
      <c r="AE1303" s="304"/>
      <c r="AR1303" s="304"/>
      <c r="AS1303" s="304"/>
      <c r="AT1303" s="304"/>
      <c r="AU1303" s="304"/>
      <c r="AV1303" s="304"/>
      <c r="AW1303" s="304"/>
      <c r="AX1303" s="304"/>
      <c r="AY1303" s="304"/>
      <c r="AZ1303" s="304"/>
      <c r="BA1303" s="304"/>
      <c r="BB1303" s="304"/>
      <c r="BC1303" s="304"/>
      <c r="BK1303" s="305"/>
      <c r="BL1303" s="305"/>
      <c r="BM1303" s="305"/>
      <c r="BN1303" s="305"/>
      <c r="BO1303" s="305"/>
      <c r="BP1303" s="305"/>
      <c r="BQ1303" s="305"/>
      <c r="BR1303" s="305"/>
      <c r="BS1303" s="305"/>
      <c r="BT1303" s="305"/>
      <c r="BU1303" s="305"/>
      <c r="BV1303" s="305"/>
      <c r="BX1303" s="319"/>
    </row>
    <row r="1304" spans="1:76" s="303" customFormat="1" x14ac:dyDescent="0.25">
      <c r="A1304" s="275"/>
      <c r="B1304" s="275"/>
      <c r="C1304" s="275"/>
      <c r="D1304" s="275"/>
      <c r="E1304" s="275"/>
      <c r="F1304" s="275"/>
      <c r="V1304" s="304"/>
      <c r="W1304" s="304"/>
      <c r="AD1304" s="304"/>
      <c r="AE1304" s="304"/>
      <c r="AR1304" s="304"/>
      <c r="AS1304" s="304"/>
      <c r="AT1304" s="304"/>
      <c r="AU1304" s="304"/>
      <c r="AV1304" s="304"/>
      <c r="AW1304" s="304"/>
      <c r="AX1304" s="304"/>
      <c r="AY1304" s="304"/>
      <c r="AZ1304" s="304"/>
      <c r="BA1304" s="304"/>
      <c r="BB1304" s="304"/>
      <c r="BC1304" s="304"/>
      <c r="BK1304" s="305"/>
      <c r="BL1304" s="305"/>
      <c r="BM1304" s="305"/>
      <c r="BN1304" s="305"/>
      <c r="BO1304" s="305"/>
      <c r="BP1304" s="305"/>
      <c r="BQ1304" s="305"/>
      <c r="BR1304" s="305"/>
      <c r="BS1304" s="305"/>
      <c r="BT1304" s="305"/>
      <c r="BU1304" s="305"/>
      <c r="BV1304" s="305"/>
      <c r="BX1304" s="319"/>
    </row>
    <row r="1305" spans="1:76" s="303" customFormat="1" x14ac:dyDescent="0.25">
      <c r="A1305" s="275"/>
      <c r="B1305" s="275"/>
      <c r="C1305" s="275"/>
      <c r="D1305" s="275"/>
      <c r="E1305" s="275"/>
      <c r="F1305" s="275"/>
      <c r="V1305" s="304"/>
      <c r="W1305" s="304"/>
      <c r="AD1305" s="304"/>
      <c r="AE1305" s="304"/>
      <c r="AR1305" s="304"/>
      <c r="AS1305" s="304"/>
      <c r="AT1305" s="304"/>
      <c r="AU1305" s="304"/>
      <c r="AV1305" s="304"/>
      <c r="AW1305" s="304"/>
      <c r="AX1305" s="304"/>
      <c r="AY1305" s="304"/>
      <c r="AZ1305" s="304"/>
      <c r="BA1305" s="304"/>
      <c r="BB1305" s="304"/>
      <c r="BC1305" s="304"/>
      <c r="BK1305" s="305"/>
      <c r="BL1305" s="305"/>
      <c r="BM1305" s="305"/>
      <c r="BN1305" s="305"/>
      <c r="BO1305" s="305"/>
      <c r="BP1305" s="305"/>
      <c r="BQ1305" s="305"/>
      <c r="BR1305" s="305"/>
      <c r="BS1305" s="305"/>
      <c r="BT1305" s="305"/>
      <c r="BU1305" s="305"/>
      <c r="BV1305" s="305"/>
      <c r="BX1305" s="319"/>
    </row>
    <row r="1306" spans="1:76" s="303" customFormat="1" x14ac:dyDescent="0.25">
      <c r="A1306" s="275"/>
      <c r="B1306" s="275"/>
      <c r="C1306" s="275"/>
      <c r="D1306" s="275"/>
      <c r="E1306" s="275"/>
      <c r="F1306" s="275"/>
      <c r="V1306" s="304"/>
      <c r="W1306" s="304"/>
      <c r="AD1306" s="304"/>
      <c r="AE1306" s="304"/>
      <c r="AR1306" s="304"/>
      <c r="AS1306" s="304"/>
      <c r="AT1306" s="304"/>
      <c r="AU1306" s="304"/>
      <c r="AV1306" s="304"/>
      <c r="AW1306" s="304"/>
      <c r="AX1306" s="304"/>
      <c r="AY1306" s="304"/>
      <c r="AZ1306" s="304"/>
      <c r="BA1306" s="304"/>
      <c r="BB1306" s="304"/>
      <c r="BC1306" s="304"/>
      <c r="BK1306" s="305"/>
      <c r="BL1306" s="305"/>
      <c r="BM1306" s="305"/>
      <c r="BN1306" s="305"/>
      <c r="BO1306" s="305"/>
      <c r="BP1306" s="305"/>
      <c r="BQ1306" s="305"/>
      <c r="BR1306" s="305"/>
      <c r="BS1306" s="305"/>
      <c r="BT1306" s="305"/>
      <c r="BU1306" s="305"/>
      <c r="BV1306" s="305"/>
      <c r="BX1306" s="319"/>
    </row>
    <row r="1307" spans="1:76" s="303" customFormat="1" x14ac:dyDescent="0.25">
      <c r="A1307" s="275"/>
      <c r="B1307" s="275"/>
      <c r="C1307" s="275"/>
      <c r="D1307" s="275"/>
      <c r="E1307" s="275"/>
      <c r="F1307" s="275"/>
      <c r="V1307" s="304"/>
      <c r="W1307" s="304"/>
      <c r="AD1307" s="304"/>
      <c r="AE1307" s="304"/>
      <c r="AR1307" s="304"/>
      <c r="AS1307" s="304"/>
      <c r="AT1307" s="304"/>
      <c r="AU1307" s="304"/>
      <c r="AV1307" s="304"/>
      <c r="AW1307" s="304"/>
      <c r="AX1307" s="304"/>
      <c r="AY1307" s="304"/>
      <c r="AZ1307" s="304"/>
      <c r="BA1307" s="304"/>
      <c r="BB1307" s="304"/>
      <c r="BC1307" s="304"/>
      <c r="BK1307" s="305"/>
      <c r="BL1307" s="305"/>
      <c r="BM1307" s="305"/>
      <c r="BN1307" s="305"/>
      <c r="BO1307" s="305"/>
      <c r="BP1307" s="305"/>
      <c r="BQ1307" s="305"/>
      <c r="BR1307" s="305"/>
      <c r="BS1307" s="305"/>
      <c r="BT1307" s="305"/>
      <c r="BU1307" s="305"/>
      <c r="BV1307" s="305"/>
      <c r="BX1307" s="319"/>
    </row>
    <row r="1308" spans="1:76" s="303" customFormat="1" x14ac:dyDescent="0.25">
      <c r="A1308" s="275"/>
      <c r="B1308" s="275"/>
      <c r="C1308" s="275"/>
      <c r="D1308" s="275"/>
      <c r="E1308" s="275"/>
      <c r="F1308" s="275"/>
      <c r="V1308" s="304"/>
      <c r="W1308" s="304"/>
      <c r="AD1308" s="304"/>
      <c r="AE1308" s="304"/>
      <c r="AR1308" s="304"/>
      <c r="AS1308" s="304"/>
      <c r="AT1308" s="304"/>
      <c r="AU1308" s="304"/>
      <c r="AV1308" s="304"/>
      <c r="AW1308" s="304"/>
      <c r="AX1308" s="304"/>
      <c r="AY1308" s="304"/>
      <c r="AZ1308" s="304"/>
      <c r="BA1308" s="304"/>
      <c r="BB1308" s="304"/>
      <c r="BC1308" s="304"/>
      <c r="BK1308" s="305"/>
      <c r="BL1308" s="305"/>
      <c r="BM1308" s="305"/>
      <c r="BN1308" s="305"/>
      <c r="BO1308" s="305"/>
      <c r="BP1308" s="305"/>
      <c r="BQ1308" s="305"/>
      <c r="BR1308" s="305"/>
      <c r="BS1308" s="305"/>
      <c r="BT1308" s="305"/>
      <c r="BU1308" s="305"/>
      <c r="BV1308" s="305"/>
      <c r="BX1308" s="319"/>
    </row>
    <row r="1309" spans="1:76" s="303" customFormat="1" x14ac:dyDescent="0.25">
      <c r="A1309" s="275"/>
      <c r="B1309" s="275"/>
      <c r="C1309" s="275"/>
      <c r="D1309" s="275"/>
      <c r="E1309" s="275"/>
      <c r="F1309" s="275"/>
      <c r="V1309" s="304"/>
      <c r="W1309" s="304"/>
      <c r="AD1309" s="304"/>
      <c r="AE1309" s="304"/>
      <c r="AR1309" s="304"/>
      <c r="AS1309" s="304"/>
      <c r="AT1309" s="304"/>
      <c r="AU1309" s="304"/>
      <c r="AV1309" s="304"/>
      <c r="AW1309" s="304"/>
      <c r="AX1309" s="304"/>
      <c r="AY1309" s="304"/>
      <c r="AZ1309" s="304"/>
      <c r="BA1309" s="304"/>
      <c r="BB1309" s="304"/>
      <c r="BC1309" s="304"/>
      <c r="BK1309" s="305"/>
      <c r="BL1309" s="305"/>
      <c r="BM1309" s="305"/>
      <c r="BN1309" s="305"/>
      <c r="BO1309" s="305"/>
      <c r="BP1309" s="305"/>
      <c r="BQ1309" s="305"/>
      <c r="BR1309" s="305"/>
      <c r="BS1309" s="305"/>
      <c r="BT1309" s="305"/>
      <c r="BU1309" s="305"/>
      <c r="BV1309" s="305"/>
      <c r="BX1309" s="319"/>
    </row>
    <row r="1310" spans="1:76" s="303" customFormat="1" x14ac:dyDescent="0.25">
      <c r="A1310" s="275"/>
      <c r="B1310" s="275"/>
      <c r="C1310" s="275"/>
      <c r="D1310" s="275"/>
      <c r="E1310" s="275"/>
      <c r="F1310" s="275"/>
      <c r="V1310" s="304"/>
      <c r="W1310" s="304"/>
      <c r="AD1310" s="304"/>
      <c r="AE1310" s="304"/>
      <c r="AR1310" s="304"/>
      <c r="AS1310" s="304"/>
      <c r="AT1310" s="304"/>
      <c r="AU1310" s="304"/>
      <c r="AV1310" s="304"/>
      <c r="AW1310" s="304"/>
      <c r="AX1310" s="304"/>
      <c r="AY1310" s="304"/>
      <c r="AZ1310" s="304"/>
      <c r="BA1310" s="304"/>
      <c r="BB1310" s="304"/>
      <c r="BC1310" s="304"/>
      <c r="BK1310" s="305"/>
      <c r="BL1310" s="305"/>
      <c r="BM1310" s="305"/>
      <c r="BN1310" s="305"/>
      <c r="BO1310" s="305"/>
      <c r="BP1310" s="305"/>
      <c r="BQ1310" s="305"/>
      <c r="BR1310" s="305"/>
      <c r="BS1310" s="305"/>
      <c r="BT1310" s="305"/>
      <c r="BU1310" s="305"/>
      <c r="BV1310" s="305"/>
      <c r="BX1310" s="319"/>
    </row>
    <row r="1311" spans="1:76" s="303" customFormat="1" x14ac:dyDescent="0.25">
      <c r="A1311" s="275"/>
      <c r="B1311" s="275"/>
      <c r="C1311" s="275"/>
      <c r="D1311" s="275"/>
      <c r="E1311" s="275"/>
      <c r="F1311" s="275"/>
      <c r="V1311" s="304"/>
      <c r="W1311" s="304"/>
      <c r="AD1311" s="304"/>
      <c r="AE1311" s="304"/>
      <c r="AR1311" s="304"/>
      <c r="AS1311" s="304"/>
      <c r="AT1311" s="304"/>
      <c r="AU1311" s="304"/>
      <c r="AV1311" s="304"/>
      <c r="AW1311" s="304"/>
      <c r="AX1311" s="304"/>
      <c r="AY1311" s="304"/>
      <c r="AZ1311" s="304"/>
      <c r="BA1311" s="304"/>
      <c r="BB1311" s="304"/>
      <c r="BC1311" s="304"/>
      <c r="BK1311" s="305"/>
      <c r="BL1311" s="305"/>
      <c r="BM1311" s="305"/>
      <c r="BN1311" s="305"/>
      <c r="BO1311" s="305"/>
      <c r="BP1311" s="305"/>
      <c r="BQ1311" s="305"/>
      <c r="BR1311" s="305"/>
      <c r="BS1311" s="305"/>
      <c r="BT1311" s="305"/>
      <c r="BU1311" s="305"/>
      <c r="BV1311" s="305"/>
      <c r="BX1311" s="319"/>
    </row>
    <row r="1312" spans="1:76" s="303" customFormat="1" x14ac:dyDescent="0.25">
      <c r="A1312" s="275"/>
      <c r="B1312" s="275"/>
      <c r="C1312" s="275"/>
      <c r="D1312" s="275"/>
      <c r="E1312" s="275"/>
      <c r="F1312" s="275"/>
      <c r="V1312" s="304"/>
      <c r="W1312" s="304"/>
      <c r="AD1312" s="304"/>
      <c r="AE1312" s="304"/>
      <c r="AR1312" s="304"/>
      <c r="AS1312" s="304"/>
      <c r="AT1312" s="304"/>
      <c r="AU1312" s="304"/>
      <c r="AV1312" s="304"/>
      <c r="AW1312" s="304"/>
      <c r="AX1312" s="304"/>
      <c r="AY1312" s="304"/>
      <c r="AZ1312" s="304"/>
      <c r="BA1312" s="304"/>
      <c r="BB1312" s="304"/>
      <c r="BC1312" s="304"/>
      <c r="BK1312" s="305"/>
      <c r="BL1312" s="305"/>
      <c r="BM1312" s="305"/>
      <c r="BN1312" s="305"/>
      <c r="BO1312" s="305"/>
      <c r="BP1312" s="305"/>
      <c r="BQ1312" s="305"/>
      <c r="BR1312" s="305"/>
      <c r="BS1312" s="305"/>
      <c r="BT1312" s="305"/>
      <c r="BU1312" s="305"/>
      <c r="BV1312" s="305"/>
      <c r="BX1312" s="319"/>
    </row>
    <row r="1313" spans="1:76" s="303" customFormat="1" x14ac:dyDescent="0.25">
      <c r="A1313" s="275"/>
      <c r="B1313" s="275"/>
      <c r="C1313" s="275"/>
      <c r="D1313" s="275"/>
      <c r="E1313" s="275"/>
      <c r="F1313" s="275"/>
      <c r="V1313" s="304"/>
      <c r="W1313" s="304"/>
      <c r="AD1313" s="304"/>
      <c r="AE1313" s="304"/>
      <c r="AR1313" s="304"/>
      <c r="AS1313" s="304"/>
      <c r="AT1313" s="304"/>
      <c r="AU1313" s="304"/>
      <c r="AV1313" s="304"/>
      <c r="AW1313" s="304"/>
      <c r="AX1313" s="304"/>
      <c r="AY1313" s="304"/>
      <c r="AZ1313" s="304"/>
      <c r="BA1313" s="304"/>
      <c r="BB1313" s="304"/>
      <c r="BC1313" s="304"/>
      <c r="BK1313" s="305"/>
      <c r="BL1313" s="305"/>
      <c r="BM1313" s="305"/>
      <c r="BN1313" s="305"/>
      <c r="BO1313" s="305"/>
      <c r="BP1313" s="305"/>
      <c r="BQ1313" s="305"/>
      <c r="BR1313" s="305"/>
      <c r="BS1313" s="305"/>
      <c r="BT1313" s="305"/>
      <c r="BU1313" s="305"/>
      <c r="BV1313" s="305"/>
      <c r="BX1313" s="319"/>
    </row>
    <row r="1314" spans="1:76" s="303" customFormat="1" x14ac:dyDescent="0.25">
      <c r="A1314" s="275"/>
      <c r="B1314" s="275"/>
      <c r="C1314" s="275"/>
      <c r="D1314" s="275"/>
      <c r="E1314" s="275"/>
      <c r="F1314" s="275"/>
      <c r="V1314" s="304"/>
      <c r="W1314" s="304"/>
      <c r="AD1314" s="304"/>
      <c r="AE1314" s="304"/>
      <c r="AR1314" s="304"/>
      <c r="AS1314" s="304"/>
      <c r="AT1314" s="304"/>
      <c r="AU1314" s="304"/>
      <c r="AV1314" s="304"/>
      <c r="AW1314" s="304"/>
      <c r="AX1314" s="304"/>
      <c r="AY1314" s="304"/>
      <c r="AZ1314" s="304"/>
      <c r="BA1314" s="304"/>
      <c r="BB1314" s="304"/>
      <c r="BC1314" s="304"/>
      <c r="BK1314" s="305"/>
      <c r="BL1314" s="305"/>
      <c r="BM1314" s="305"/>
      <c r="BN1314" s="305"/>
      <c r="BO1314" s="305"/>
      <c r="BP1314" s="305"/>
      <c r="BQ1314" s="305"/>
      <c r="BR1314" s="305"/>
      <c r="BS1314" s="305"/>
      <c r="BT1314" s="305"/>
      <c r="BU1314" s="305"/>
      <c r="BV1314" s="305"/>
      <c r="BX1314" s="319"/>
    </row>
    <row r="1315" spans="1:76" s="303" customFormat="1" x14ac:dyDescent="0.25">
      <c r="A1315" s="275"/>
      <c r="B1315" s="275"/>
      <c r="C1315" s="275"/>
      <c r="D1315" s="275"/>
      <c r="E1315" s="275"/>
      <c r="F1315" s="275"/>
      <c r="V1315" s="304"/>
      <c r="W1315" s="304"/>
      <c r="AD1315" s="304"/>
      <c r="AE1315" s="304"/>
      <c r="AR1315" s="304"/>
      <c r="AS1315" s="304"/>
      <c r="AT1315" s="304"/>
      <c r="AU1315" s="304"/>
      <c r="AV1315" s="304"/>
      <c r="AW1315" s="304"/>
      <c r="AX1315" s="304"/>
      <c r="AY1315" s="304"/>
      <c r="AZ1315" s="304"/>
      <c r="BA1315" s="304"/>
      <c r="BB1315" s="304"/>
      <c r="BC1315" s="304"/>
      <c r="BK1315" s="305"/>
      <c r="BL1315" s="305"/>
      <c r="BM1315" s="305"/>
      <c r="BN1315" s="305"/>
      <c r="BO1315" s="305"/>
      <c r="BP1315" s="305"/>
      <c r="BQ1315" s="305"/>
      <c r="BR1315" s="305"/>
      <c r="BS1315" s="305"/>
      <c r="BT1315" s="305"/>
      <c r="BU1315" s="305"/>
      <c r="BV1315" s="305"/>
      <c r="BX1315" s="319"/>
    </row>
    <row r="1316" spans="1:76" s="303" customFormat="1" x14ac:dyDescent="0.25">
      <c r="A1316" s="275"/>
      <c r="B1316" s="275"/>
      <c r="C1316" s="275"/>
      <c r="D1316" s="275"/>
      <c r="E1316" s="275"/>
      <c r="F1316" s="275"/>
      <c r="V1316" s="304"/>
      <c r="W1316" s="304"/>
      <c r="AD1316" s="304"/>
      <c r="AE1316" s="304"/>
      <c r="AR1316" s="304"/>
      <c r="AS1316" s="304"/>
      <c r="AT1316" s="304"/>
      <c r="AU1316" s="304"/>
      <c r="AV1316" s="304"/>
      <c r="AW1316" s="304"/>
      <c r="AX1316" s="304"/>
      <c r="AY1316" s="304"/>
      <c r="AZ1316" s="304"/>
      <c r="BA1316" s="304"/>
      <c r="BB1316" s="304"/>
      <c r="BC1316" s="304"/>
      <c r="BK1316" s="305"/>
      <c r="BL1316" s="305"/>
      <c r="BM1316" s="305"/>
      <c r="BN1316" s="305"/>
      <c r="BO1316" s="305"/>
      <c r="BP1316" s="305"/>
      <c r="BQ1316" s="305"/>
      <c r="BR1316" s="305"/>
      <c r="BS1316" s="305"/>
      <c r="BT1316" s="305"/>
      <c r="BU1316" s="305"/>
      <c r="BV1316" s="305"/>
      <c r="BX1316" s="319"/>
    </row>
    <row r="1317" spans="1:76" s="303" customFormat="1" x14ac:dyDescent="0.25">
      <c r="A1317" s="275"/>
      <c r="B1317" s="275"/>
      <c r="C1317" s="275"/>
      <c r="D1317" s="275"/>
      <c r="E1317" s="275"/>
      <c r="F1317" s="275"/>
      <c r="V1317" s="304"/>
      <c r="W1317" s="304"/>
      <c r="AD1317" s="304"/>
      <c r="AE1317" s="304"/>
      <c r="AR1317" s="304"/>
      <c r="AS1317" s="304"/>
      <c r="AT1317" s="304"/>
      <c r="AU1317" s="304"/>
      <c r="AV1317" s="304"/>
      <c r="AW1317" s="304"/>
      <c r="AX1317" s="304"/>
      <c r="AY1317" s="304"/>
      <c r="AZ1317" s="304"/>
      <c r="BA1317" s="304"/>
      <c r="BB1317" s="304"/>
      <c r="BC1317" s="304"/>
      <c r="BK1317" s="305"/>
      <c r="BL1317" s="305"/>
      <c r="BM1317" s="305"/>
      <c r="BN1317" s="305"/>
      <c r="BO1317" s="305"/>
      <c r="BP1317" s="305"/>
      <c r="BQ1317" s="305"/>
      <c r="BR1317" s="305"/>
      <c r="BS1317" s="305"/>
      <c r="BT1317" s="305"/>
      <c r="BU1317" s="305"/>
      <c r="BV1317" s="305"/>
      <c r="BX1317" s="319"/>
    </row>
    <row r="1318" spans="1:76" s="303" customFormat="1" x14ac:dyDescent="0.25">
      <c r="A1318" s="275"/>
      <c r="B1318" s="275"/>
      <c r="C1318" s="275"/>
      <c r="D1318" s="275"/>
      <c r="E1318" s="275"/>
      <c r="F1318" s="275"/>
      <c r="V1318" s="304"/>
      <c r="W1318" s="304"/>
      <c r="AD1318" s="304"/>
      <c r="AE1318" s="304"/>
      <c r="AR1318" s="304"/>
      <c r="AS1318" s="304"/>
      <c r="AT1318" s="304"/>
      <c r="AU1318" s="304"/>
      <c r="AV1318" s="304"/>
      <c r="AW1318" s="304"/>
      <c r="AX1318" s="304"/>
      <c r="AY1318" s="304"/>
      <c r="AZ1318" s="304"/>
      <c r="BA1318" s="304"/>
      <c r="BB1318" s="304"/>
      <c r="BC1318" s="304"/>
      <c r="BK1318" s="305"/>
      <c r="BL1318" s="305"/>
      <c r="BM1318" s="305"/>
      <c r="BN1318" s="305"/>
      <c r="BO1318" s="305"/>
      <c r="BP1318" s="305"/>
      <c r="BQ1318" s="305"/>
      <c r="BR1318" s="305"/>
      <c r="BS1318" s="305"/>
      <c r="BT1318" s="305"/>
      <c r="BU1318" s="305"/>
      <c r="BV1318" s="305"/>
      <c r="BX1318" s="319"/>
    </row>
    <row r="1319" spans="1:76" s="303" customFormat="1" x14ac:dyDescent="0.25">
      <c r="A1319" s="275"/>
      <c r="B1319" s="275"/>
      <c r="C1319" s="275"/>
      <c r="D1319" s="275"/>
      <c r="E1319" s="275"/>
      <c r="F1319" s="275"/>
      <c r="V1319" s="304"/>
      <c r="W1319" s="304"/>
      <c r="AD1319" s="304"/>
      <c r="AE1319" s="304"/>
      <c r="AR1319" s="304"/>
      <c r="AS1319" s="304"/>
      <c r="AT1319" s="304"/>
      <c r="AU1319" s="304"/>
      <c r="AV1319" s="304"/>
      <c r="AW1319" s="304"/>
      <c r="AX1319" s="304"/>
      <c r="AY1319" s="304"/>
      <c r="AZ1319" s="304"/>
      <c r="BA1319" s="304"/>
      <c r="BB1319" s="304"/>
      <c r="BC1319" s="304"/>
      <c r="BK1319" s="305"/>
      <c r="BL1319" s="305"/>
      <c r="BM1319" s="305"/>
      <c r="BN1319" s="305"/>
      <c r="BO1319" s="305"/>
      <c r="BP1319" s="305"/>
      <c r="BQ1319" s="305"/>
      <c r="BR1319" s="305"/>
      <c r="BS1319" s="305"/>
      <c r="BT1319" s="305"/>
      <c r="BU1319" s="305"/>
      <c r="BV1319" s="305"/>
      <c r="BX1319" s="319"/>
    </row>
    <row r="1320" spans="1:76" s="303" customFormat="1" x14ac:dyDescent="0.25">
      <c r="A1320" s="275"/>
      <c r="B1320" s="275"/>
      <c r="C1320" s="275"/>
      <c r="D1320" s="275"/>
      <c r="E1320" s="275"/>
      <c r="F1320" s="275"/>
      <c r="V1320" s="304"/>
      <c r="W1320" s="304"/>
      <c r="AD1320" s="304"/>
      <c r="AE1320" s="304"/>
      <c r="AR1320" s="304"/>
      <c r="AS1320" s="304"/>
      <c r="AT1320" s="304"/>
      <c r="AU1320" s="304"/>
      <c r="AV1320" s="304"/>
      <c r="AW1320" s="304"/>
      <c r="AX1320" s="304"/>
      <c r="AY1320" s="304"/>
      <c r="AZ1320" s="304"/>
      <c r="BA1320" s="304"/>
      <c r="BB1320" s="304"/>
      <c r="BC1320" s="304"/>
      <c r="BK1320" s="305"/>
      <c r="BL1320" s="305"/>
      <c r="BM1320" s="305"/>
      <c r="BN1320" s="305"/>
      <c r="BO1320" s="305"/>
      <c r="BP1320" s="305"/>
      <c r="BQ1320" s="305"/>
      <c r="BR1320" s="305"/>
      <c r="BS1320" s="305"/>
      <c r="BT1320" s="305"/>
      <c r="BU1320" s="305"/>
      <c r="BV1320" s="305"/>
      <c r="BX1320" s="319"/>
    </row>
    <row r="1321" spans="1:76" s="303" customFormat="1" x14ac:dyDescent="0.25">
      <c r="A1321" s="275"/>
      <c r="B1321" s="275"/>
      <c r="C1321" s="275"/>
      <c r="D1321" s="275"/>
      <c r="E1321" s="275"/>
      <c r="F1321" s="275"/>
      <c r="V1321" s="304"/>
      <c r="W1321" s="304"/>
      <c r="AD1321" s="304"/>
      <c r="AE1321" s="304"/>
      <c r="AR1321" s="304"/>
      <c r="AS1321" s="304"/>
      <c r="AT1321" s="304"/>
      <c r="AU1321" s="304"/>
      <c r="AV1321" s="304"/>
      <c r="AW1321" s="304"/>
      <c r="AX1321" s="304"/>
      <c r="AY1321" s="304"/>
      <c r="AZ1321" s="304"/>
      <c r="BA1321" s="304"/>
      <c r="BB1321" s="304"/>
      <c r="BC1321" s="304"/>
      <c r="BK1321" s="305"/>
      <c r="BL1321" s="305"/>
      <c r="BM1321" s="305"/>
      <c r="BN1321" s="305"/>
      <c r="BO1321" s="305"/>
      <c r="BP1321" s="305"/>
      <c r="BQ1321" s="305"/>
      <c r="BR1321" s="305"/>
      <c r="BS1321" s="305"/>
      <c r="BT1321" s="305"/>
      <c r="BU1321" s="305"/>
      <c r="BV1321" s="305"/>
      <c r="BX1321" s="319"/>
    </row>
    <row r="1322" spans="1:76" s="303" customFormat="1" x14ac:dyDescent="0.25">
      <c r="A1322" s="275"/>
      <c r="B1322" s="275"/>
      <c r="C1322" s="275"/>
      <c r="D1322" s="275"/>
      <c r="E1322" s="275"/>
      <c r="F1322" s="275"/>
      <c r="V1322" s="304"/>
      <c r="W1322" s="304"/>
      <c r="AD1322" s="304"/>
      <c r="AE1322" s="304"/>
      <c r="AR1322" s="304"/>
      <c r="AS1322" s="304"/>
      <c r="AT1322" s="304"/>
      <c r="AU1322" s="304"/>
      <c r="AV1322" s="304"/>
      <c r="AW1322" s="304"/>
      <c r="AX1322" s="304"/>
      <c r="AY1322" s="304"/>
      <c r="AZ1322" s="304"/>
      <c r="BA1322" s="304"/>
      <c r="BB1322" s="304"/>
      <c r="BC1322" s="304"/>
      <c r="BK1322" s="305"/>
      <c r="BL1322" s="305"/>
      <c r="BM1322" s="305"/>
      <c r="BN1322" s="305"/>
      <c r="BO1322" s="305"/>
      <c r="BP1322" s="305"/>
      <c r="BQ1322" s="305"/>
      <c r="BR1322" s="305"/>
      <c r="BS1322" s="305"/>
      <c r="BT1322" s="305"/>
      <c r="BU1322" s="305"/>
      <c r="BV1322" s="305"/>
      <c r="BX1322" s="319"/>
    </row>
    <row r="1323" spans="1:76" s="303" customFormat="1" x14ac:dyDescent="0.25">
      <c r="A1323" s="275"/>
      <c r="B1323" s="275"/>
      <c r="C1323" s="275"/>
      <c r="D1323" s="275"/>
      <c r="E1323" s="275"/>
      <c r="F1323" s="275"/>
      <c r="V1323" s="304"/>
      <c r="W1323" s="304"/>
      <c r="AD1323" s="304"/>
      <c r="AE1323" s="304"/>
      <c r="AR1323" s="304"/>
      <c r="AS1323" s="304"/>
      <c r="AT1323" s="304"/>
      <c r="AU1323" s="304"/>
      <c r="AV1323" s="304"/>
      <c r="AW1323" s="304"/>
      <c r="AX1323" s="304"/>
      <c r="AY1323" s="304"/>
      <c r="AZ1323" s="304"/>
      <c r="BA1323" s="304"/>
      <c r="BB1323" s="304"/>
      <c r="BC1323" s="304"/>
      <c r="BK1323" s="305"/>
      <c r="BL1323" s="305"/>
      <c r="BM1323" s="305"/>
      <c r="BN1323" s="305"/>
      <c r="BO1323" s="305"/>
      <c r="BP1323" s="305"/>
      <c r="BQ1323" s="305"/>
      <c r="BR1323" s="305"/>
      <c r="BS1323" s="305"/>
      <c r="BT1323" s="305"/>
      <c r="BU1323" s="305"/>
      <c r="BV1323" s="305"/>
      <c r="BX1323" s="319"/>
    </row>
    <row r="1324" spans="1:76" s="303" customFormat="1" x14ac:dyDescent="0.25">
      <c r="A1324" s="275"/>
      <c r="B1324" s="275"/>
      <c r="C1324" s="275"/>
      <c r="D1324" s="275"/>
      <c r="E1324" s="275"/>
      <c r="F1324" s="275"/>
      <c r="V1324" s="304"/>
      <c r="W1324" s="304"/>
      <c r="AD1324" s="304"/>
      <c r="AE1324" s="304"/>
      <c r="AR1324" s="304"/>
      <c r="AS1324" s="304"/>
      <c r="AT1324" s="304"/>
      <c r="AU1324" s="304"/>
      <c r="AV1324" s="304"/>
      <c r="AW1324" s="304"/>
      <c r="AX1324" s="304"/>
      <c r="AY1324" s="304"/>
      <c r="AZ1324" s="304"/>
      <c r="BA1324" s="304"/>
      <c r="BB1324" s="304"/>
      <c r="BC1324" s="304"/>
      <c r="BK1324" s="305"/>
      <c r="BL1324" s="305"/>
      <c r="BM1324" s="305"/>
      <c r="BN1324" s="305"/>
      <c r="BO1324" s="305"/>
      <c r="BP1324" s="305"/>
      <c r="BQ1324" s="305"/>
      <c r="BR1324" s="305"/>
      <c r="BS1324" s="305"/>
      <c r="BT1324" s="305"/>
      <c r="BU1324" s="305"/>
      <c r="BV1324" s="305"/>
      <c r="BX1324" s="319"/>
    </row>
    <row r="1325" spans="1:76" s="303" customFormat="1" x14ac:dyDescent="0.25">
      <c r="A1325" s="275"/>
      <c r="B1325" s="275"/>
      <c r="C1325" s="275"/>
      <c r="D1325" s="275"/>
      <c r="E1325" s="275"/>
      <c r="F1325" s="275"/>
      <c r="V1325" s="304"/>
      <c r="W1325" s="304"/>
      <c r="AD1325" s="304"/>
      <c r="AE1325" s="304"/>
      <c r="AR1325" s="304"/>
      <c r="AS1325" s="304"/>
      <c r="AT1325" s="304"/>
      <c r="AU1325" s="304"/>
      <c r="AV1325" s="304"/>
      <c r="AW1325" s="304"/>
      <c r="AX1325" s="304"/>
      <c r="AY1325" s="304"/>
      <c r="AZ1325" s="304"/>
      <c r="BA1325" s="304"/>
      <c r="BB1325" s="304"/>
      <c r="BC1325" s="304"/>
      <c r="BK1325" s="305"/>
      <c r="BL1325" s="305"/>
      <c r="BM1325" s="305"/>
      <c r="BN1325" s="305"/>
      <c r="BO1325" s="305"/>
      <c r="BP1325" s="305"/>
      <c r="BQ1325" s="305"/>
      <c r="BR1325" s="305"/>
      <c r="BS1325" s="305"/>
      <c r="BT1325" s="305"/>
      <c r="BU1325" s="305"/>
      <c r="BV1325" s="305"/>
      <c r="BX1325" s="319"/>
    </row>
    <row r="1326" spans="1:76" s="303" customFormat="1" x14ac:dyDescent="0.25">
      <c r="A1326" s="275"/>
      <c r="B1326" s="275"/>
      <c r="C1326" s="275"/>
      <c r="D1326" s="275"/>
      <c r="E1326" s="275"/>
      <c r="F1326" s="275"/>
      <c r="V1326" s="304"/>
      <c r="W1326" s="304"/>
      <c r="AD1326" s="304"/>
      <c r="AE1326" s="304"/>
      <c r="AR1326" s="304"/>
      <c r="AS1326" s="304"/>
      <c r="AT1326" s="304"/>
      <c r="AU1326" s="304"/>
      <c r="AV1326" s="304"/>
      <c r="AW1326" s="304"/>
      <c r="AX1326" s="304"/>
      <c r="AY1326" s="304"/>
      <c r="AZ1326" s="304"/>
      <c r="BA1326" s="304"/>
      <c r="BB1326" s="304"/>
      <c r="BC1326" s="304"/>
      <c r="BK1326" s="305"/>
      <c r="BL1326" s="305"/>
      <c r="BM1326" s="305"/>
      <c r="BN1326" s="305"/>
      <c r="BO1326" s="305"/>
      <c r="BP1326" s="305"/>
      <c r="BQ1326" s="305"/>
      <c r="BR1326" s="305"/>
      <c r="BS1326" s="305"/>
      <c r="BT1326" s="305"/>
      <c r="BU1326" s="305"/>
      <c r="BV1326" s="305"/>
      <c r="BX1326" s="319"/>
    </row>
    <row r="1327" spans="1:76" s="303" customFormat="1" x14ac:dyDescent="0.25">
      <c r="A1327" s="275"/>
      <c r="B1327" s="275"/>
      <c r="C1327" s="275"/>
      <c r="D1327" s="275"/>
      <c r="E1327" s="275"/>
      <c r="F1327" s="275"/>
      <c r="V1327" s="304"/>
      <c r="W1327" s="304"/>
      <c r="AD1327" s="304"/>
      <c r="AE1327" s="304"/>
      <c r="AR1327" s="304"/>
      <c r="AS1327" s="304"/>
      <c r="AT1327" s="304"/>
      <c r="AU1327" s="304"/>
      <c r="AV1327" s="304"/>
      <c r="AW1327" s="304"/>
      <c r="AX1327" s="304"/>
      <c r="AY1327" s="304"/>
      <c r="AZ1327" s="304"/>
      <c r="BA1327" s="304"/>
      <c r="BB1327" s="304"/>
      <c r="BC1327" s="304"/>
      <c r="BK1327" s="305"/>
      <c r="BL1327" s="305"/>
      <c r="BM1327" s="305"/>
      <c r="BN1327" s="305"/>
      <c r="BO1327" s="305"/>
      <c r="BP1327" s="305"/>
      <c r="BQ1327" s="305"/>
      <c r="BR1327" s="305"/>
      <c r="BS1327" s="305"/>
      <c r="BT1327" s="305"/>
      <c r="BU1327" s="305"/>
      <c r="BV1327" s="305"/>
      <c r="BX1327" s="319"/>
    </row>
    <row r="1328" spans="1:76" s="303" customFormat="1" x14ac:dyDescent="0.25">
      <c r="A1328" s="275"/>
      <c r="B1328" s="275"/>
      <c r="C1328" s="275"/>
      <c r="D1328" s="275"/>
      <c r="E1328" s="275"/>
      <c r="F1328" s="275"/>
      <c r="V1328" s="304"/>
      <c r="W1328" s="304"/>
      <c r="AD1328" s="304"/>
      <c r="AE1328" s="304"/>
      <c r="AR1328" s="304"/>
      <c r="AS1328" s="304"/>
      <c r="AT1328" s="304"/>
      <c r="AU1328" s="304"/>
      <c r="AV1328" s="304"/>
      <c r="AW1328" s="304"/>
      <c r="AX1328" s="304"/>
      <c r="AY1328" s="304"/>
      <c r="AZ1328" s="304"/>
      <c r="BA1328" s="304"/>
      <c r="BB1328" s="304"/>
      <c r="BC1328" s="304"/>
      <c r="BK1328" s="305"/>
      <c r="BL1328" s="305"/>
      <c r="BM1328" s="305"/>
      <c r="BN1328" s="305"/>
      <c r="BO1328" s="305"/>
      <c r="BP1328" s="305"/>
      <c r="BQ1328" s="305"/>
      <c r="BR1328" s="305"/>
      <c r="BS1328" s="305"/>
      <c r="BT1328" s="305"/>
      <c r="BU1328" s="305"/>
      <c r="BV1328" s="305"/>
      <c r="BX1328" s="319"/>
    </row>
    <row r="1329" spans="1:76" s="303" customFormat="1" x14ac:dyDescent="0.25">
      <c r="A1329" s="275"/>
      <c r="B1329" s="275"/>
      <c r="C1329" s="275"/>
      <c r="D1329" s="275"/>
      <c r="E1329" s="275"/>
      <c r="F1329" s="275"/>
      <c r="V1329" s="304"/>
      <c r="W1329" s="304"/>
      <c r="AD1329" s="304"/>
      <c r="AE1329" s="304"/>
      <c r="AR1329" s="304"/>
      <c r="AS1329" s="304"/>
      <c r="AT1329" s="304"/>
      <c r="AU1329" s="304"/>
      <c r="AV1329" s="304"/>
      <c r="AW1329" s="304"/>
      <c r="AX1329" s="304"/>
      <c r="AY1329" s="304"/>
      <c r="AZ1329" s="304"/>
      <c r="BA1329" s="304"/>
      <c r="BB1329" s="304"/>
      <c r="BC1329" s="304"/>
      <c r="BK1329" s="305"/>
      <c r="BL1329" s="305"/>
      <c r="BM1329" s="305"/>
      <c r="BN1329" s="305"/>
      <c r="BO1329" s="305"/>
      <c r="BP1329" s="305"/>
      <c r="BQ1329" s="305"/>
      <c r="BR1329" s="305"/>
      <c r="BS1329" s="305"/>
      <c r="BT1329" s="305"/>
      <c r="BU1329" s="305"/>
      <c r="BV1329" s="305"/>
      <c r="BX1329" s="319"/>
    </row>
    <row r="1330" spans="1:76" s="303" customFormat="1" x14ac:dyDescent="0.25">
      <c r="A1330" s="275"/>
      <c r="B1330" s="275"/>
      <c r="C1330" s="275"/>
      <c r="D1330" s="275"/>
      <c r="E1330" s="275"/>
      <c r="F1330" s="275"/>
      <c r="V1330" s="304"/>
      <c r="W1330" s="304"/>
      <c r="AD1330" s="304"/>
      <c r="AE1330" s="304"/>
      <c r="AR1330" s="304"/>
      <c r="AS1330" s="304"/>
      <c r="AT1330" s="304"/>
      <c r="AU1330" s="304"/>
      <c r="AV1330" s="304"/>
      <c r="AW1330" s="304"/>
      <c r="AX1330" s="304"/>
      <c r="AY1330" s="304"/>
      <c r="AZ1330" s="304"/>
      <c r="BA1330" s="304"/>
      <c r="BB1330" s="304"/>
      <c r="BC1330" s="304"/>
      <c r="BK1330" s="305"/>
      <c r="BL1330" s="305"/>
      <c r="BM1330" s="305"/>
      <c r="BN1330" s="305"/>
      <c r="BO1330" s="305"/>
      <c r="BP1330" s="305"/>
      <c r="BQ1330" s="305"/>
      <c r="BR1330" s="305"/>
      <c r="BS1330" s="305"/>
      <c r="BT1330" s="305"/>
      <c r="BU1330" s="305"/>
      <c r="BV1330" s="305"/>
      <c r="BX1330" s="319"/>
    </row>
    <row r="1331" spans="1:76" s="303" customFormat="1" x14ac:dyDescent="0.25">
      <c r="A1331" s="275"/>
      <c r="B1331" s="275"/>
      <c r="C1331" s="275"/>
      <c r="D1331" s="275"/>
      <c r="E1331" s="275"/>
      <c r="F1331" s="275"/>
      <c r="V1331" s="304"/>
      <c r="W1331" s="304"/>
      <c r="AD1331" s="304"/>
      <c r="AE1331" s="304"/>
      <c r="AR1331" s="304"/>
      <c r="AS1331" s="304"/>
      <c r="AT1331" s="304"/>
      <c r="AU1331" s="304"/>
      <c r="AV1331" s="304"/>
      <c r="AW1331" s="304"/>
      <c r="AX1331" s="304"/>
      <c r="AY1331" s="304"/>
      <c r="AZ1331" s="304"/>
      <c r="BA1331" s="304"/>
      <c r="BB1331" s="304"/>
      <c r="BC1331" s="304"/>
      <c r="BK1331" s="305"/>
      <c r="BL1331" s="305"/>
      <c r="BM1331" s="305"/>
      <c r="BN1331" s="305"/>
      <c r="BO1331" s="305"/>
      <c r="BP1331" s="305"/>
      <c r="BQ1331" s="305"/>
      <c r="BR1331" s="305"/>
      <c r="BS1331" s="305"/>
      <c r="BT1331" s="305"/>
      <c r="BU1331" s="305"/>
      <c r="BV1331" s="305"/>
      <c r="BX1331" s="319"/>
    </row>
    <row r="1332" spans="1:76" s="303" customFormat="1" x14ac:dyDescent="0.25">
      <c r="A1332" s="275"/>
      <c r="B1332" s="275"/>
      <c r="C1332" s="275"/>
      <c r="D1332" s="275"/>
      <c r="E1332" s="275"/>
      <c r="F1332" s="275"/>
      <c r="V1332" s="304"/>
      <c r="W1332" s="304"/>
      <c r="AD1332" s="304"/>
      <c r="AE1332" s="304"/>
      <c r="AR1332" s="304"/>
      <c r="AS1332" s="304"/>
      <c r="AT1332" s="304"/>
      <c r="AU1332" s="304"/>
      <c r="AV1332" s="304"/>
      <c r="AW1332" s="304"/>
      <c r="AX1332" s="304"/>
      <c r="AY1332" s="304"/>
      <c r="AZ1332" s="304"/>
      <c r="BA1332" s="304"/>
      <c r="BB1332" s="304"/>
      <c r="BC1332" s="304"/>
      <c r="BK1332" s="305"/>
      <c r="BL1332" s="305"/>
      <c r="BM1332" s="305"/>
      <c r="BN1332" s="305"/>
      <c r="BO1332" s="305"/>
      <c r="BP1332" s="305"/>
      <c r="BQ1332" s="305"/>
      <c r="BR1332" s="305"/>
      <c r="BS1332" s="305"/>
      <c r="BT1332" s="305"/>
      <c r="BU1332" s="305"/>
      <c r="BV1332" s="305"/>
      <c r="BX1332" s="319"/>
    </row>
    <row r="1333" spans="1:76" s="303" customFormat="1" x14ac:dyDescent="0.25">
      <c r="A1333" s="275"/>
      <c r="B1333" s="275"/>
      <c r="C1333" s="275"/>
      <c r="D1333" s="275"/>
      <c r="E1333" s="275"/>
      <c r="F1333" s="275"/>
      <c r="V1333" s="304"/>
      <c r="W1333" s="304"/>
      <c r="AD1333" s="304"/>
      <c r="AE1333" s="304"/>
      <c r="AR1333" s="304"/>
      <c r="AS1333" s="304"/>
      <c r="AT1333" s="304"/>
      <c r="AU1333" s="304"/>
      <c r="AV1333" s="304"/>
      <c r="AW1333" s="304"/>
      <c r="AX1333" s="304"/>
      <c r="AY1333" s="304"/>
      <c r="AZ1333" s="304"/>
      <c r="BA1333" s="304"/>
      <c r="BB1333" s="304"/>
      <c r="BC1333" s="304"/>
      <c r="BK1333" s="305"/>
      <c r="BL1333" s="305"/>
      <c r="BM1333" s="305"/>
      <c r="BN1333" s="305"/>
      <c r="BO1333" s="305"/>
      <c r="BP1333" s="305"/>
      <c r="BQ1333" s="305"/>
      <c r="BR1333" s="305"/>
      <c r="BS1333" s="305"/>
      <c r="BT1333" s="305"/>
      <c r="BU1333" s="305"/>
      <c r="BV1333" s="305"/>
      <c r="BX1333" s="319"/>
    </row>
    <row r="1334" spans="1:76" s="303" customFormat="1" x14ac:dyDescent="0.25">
      <c r="A1334" s="275"/>
      <c r="B1334" s="275"/>
      <c r="C1334" s="275"/>
      <c r="D1334" s="275"/>
      <c r="E1334" s="275"/>
      <c r="F1334" s="275"/>
      <c r="V1334" s="304"/>
      <c r="W1334" s="304"/>
      <c r="AD1334" s="304"/>
      <c r="AE1334" s="304"/>
      <c r="AR1334" s="304"/>
      <c r="AS1334" s="304"/>
      <c r="AT1334" s="304"/>
      <c r="AU1334" s="304"/>
      <c r="AV1334" s="304"/>
      <c r="AW1334" s="304"/>
      <c r="AX1334" s="304"/>
      <c r="AY1334" s="304"/>
      <c r="AZ1334" s="304"/>
      <c r="BA1334" s="304"/>
      <c r="BB1334" s="304"/>
      <c r="BC1334" s="304"/>
      <c r="BK1334" s="305"/>
      <c r="BL1334" s="305"/>
      <c r="BM1334" s="305"/>
      <c r="BN1334" s="305"/>
      <c r="BO1334" s="305"/>
      <c r="BP1334" s="305"/>
      <c r="BQ1334" s="305"/>
      <c r="BR1334" s="305"/>
      <c r="BS1334" s="305"/>
      <c r="BT1334" s="305"/>
      <c r="BU1334" s="305"/>
      <c r="BV1334" s="305"/>
      <c r="BX1334" s="319"/>
    </row>
    <row r="1335" spans="1:76" s="303" customFormat="1" x14ac:dyDescent="0.25">
      <c r="A1335" s="275"/>
      <c r="B1335" s="275"/>
      <c r="C1335" s="275"/>
      <c r="D1335" s="275"/>
      <c r="E1335" s="275"/>
      <c r="F1335" s="275"/>
      <c r="V1335" s="304"/>
      <c r="W1335" s="304"/>
      <c r="AD1335" s="304"/>
      <c r="AE1335" s="304"/>
      <c r="AR1335" s="304"/>
      <c r="AS1335" s="304"/>
      <c r="AT1335" s="304"/>
      <c r="AU1335" s="304"/>
      <c r="AV1335" s="304"/>
      <c r="AW1335" s="304"/>
      <c r="AX1335" s="304"/>
      <c r="AY1335" s="304"/>
      <c r="AZ1335" s="304"/>
      <c r="BA1335" s="304"/>
      <c r="BB1335" s="304"/>
      <c r="BC1335" s="304"/>
      <c r="BK1335" s="305"/>
      <c r="BL1335" s="305"/>
      <c r="BM1335" s="305"/>
      <c r="BN1335" s="305"/>
      <c r="BO1335" s="305"/>
      <c r="BP1335" s="305"/>
      <c r="BQ1335" s="305"/>
      <c r="BR1335" s="305"/>
      <c r="BS1335" s="305"/>
      <c r="BT1335" s="305"/>
      <c r="BU1335" s="305"/>
      <c r="BV1335" s="305"/>
      <c r="BX1335" s="319"/>
    </row>
    <row r="1336" spans="1:76" s="303" customFormat="1" x14ac:dyDescent="0.25">
      <c r="A1336" s="275"/>
      <c r="B1336" s="275"/>
      <c r="C1336" s="275"/>
      <c r="D1336" s="275"/>
      <c r="E1336" s="275"/>
      <c r="F1336" s="275"/>
      <c r="V1336" s="304"/>
      <c r="W1336" s="304"/>
      <c r="AD1336" s="304"/>
      <c r="AE1336" s="304"/>
      <c r="AR1336" s="304"/>
      <c r="AS1336" s="304"/>
      <c r="AT1336" s="304"/>
      <c r="AU1336" s="304"/>
      <c r="AV1336" s="304"/>
      <c r="AW1336" s="304"/>
      <c r="AX1336" s="304"/>
      <c r="AY1336" s="304"/>
      <c r="AZ1336" s="304"/>
      <c r="BA1336" s="304"/>
      <c r="BB1336" s="304"/>
      <c r="BC1336" s="304"/>
      <c r="BK1336" s="305"/>
      <c r="BL1336" s="305"/>
      <c r="BM1336" s="305"/>
      <c r="BN1336" s="305"/>
      <c r="BO1336" s="305"/>
      <c r="BP1336" s="305"/>
      <c r="BQ1336" s="305"/>
      <c r="BR1336" s="305"/>
      <c r="BS1336" s="305"/>
      <c r="BT1336" s="305"/>
      <c r="BU1336" s="305"/>
      <c r="BV1336" s="305"/>
      <c r="BX1336" s="319"/>
    </row>
    <row r="1337" spans="1:76" s="303" customFormat="1" x14ac:dyDescent="0.25">
      <c r="A1337" s="275"/>
      <c r="B1337" s="275"/>
      <c r="C1337" s="275"/>
      <c r="D1337" s="275"/>
      <c r="E1337" s="275"/>
      <c r="F1337" s="275"/>
      <c r="V1337" s="304"/>
      <c r="W1337" s="304"/>
      <c r="AD1337" s="304"/>
      <c r="AE1337" s="304"/>
      <c r="AR1337" s="304"/>
      <c r="AS1337" s="304"/>
      <c r="AT1337" s="304"/>
      <c r="AU1337" s="304"/>
      <c r="AV1337" s="304"/>
      <c r="AW1337" s="304"/>
      <c r="AX1337" s="304"/>
      <c r="AY1337" s="304"/>
      <c r="AZ1337" s="304"/>
      <c r="BA1337" s="304"/>
      <c r="BB1337" s="304"/>
      <c r="BC1337" s="304"/>
      <c r="BK1337" s="305"/>
      <c r="BL1337" s="305"/>
      <c r="BM1337" s="305"/>
      <c r="BN1337" s="305"/>
      <c r="BO1337" s="305"/>
      <c r="BP1337" s="305"/>
      <c r="BQ1337" s="305"/>
      <c r="BR1337" s="305"/>
      <c r="BS1337" s="305"/>
      <c r="BT1337" s="305"/>
      <c r="BU1337" s="305"/>
      <c r="BV1337" s="305"/>
      <c r="BX1337" s="319"/>
    </row>
    <row r="1338" spans="1:76" s="303" customFormat="1" x14ac:dyDescent="0.25">
      <c r="A1338" s="275"/>
      <c r="B1338" s="275"/>
      <c r="C1338" s="275"/>
      <c r="D1338" s="275"/>
      <c r="E1338" s="275"/>
      <c r="F1338" s="275"/>
      <c r="V1338" s="304"/>
      <c r="W1338" s="304"/>
      <c r="AD1338" s="304"/>
      <c r="AE1338" s="304"/>
      <c r="AR1338" s="304"/>
      <c r="AS1338" s="304"/>
      <c r="AT1338" s="304"/>
      <c r="AU1338" s="304"/>
      <c r="AV1338" s="304"/>
      <c r="AW1338" s="304"/>
      <c r="AX1338" s="304"/>
      <c r="AY1338" s="304"/>
      <c r="AZ1338" s="304"/>
      <c r="BA1338" s="304"/>
      <c r="BB1338" s="304"/>
      <c r="BC1338" s="304"/>
      <c r="BK1338" s="305"/>
      <c r="BL1338" s="305"/>
      <c r="BM1338" s="305"/>
      <c r="BN1338" s="305"/>
      <c r="BO1338" s="305"/>
      <c r="BP1338" s="305"/>
      <c r="BQ1338" s="305"/>
      <c r="BR1338" s="305"/>
      <c r="BS1338" s="305"/>
      <c r="BT1338" s="305"/>
      <c r="BU1338" s="305"/>
      <c r="BV1338" s="305"/>
      <c r="BX1338" s="319"/>
    </row>
    <row r="1339" spans="1:76" s="303" customFormat="1" x14ac:dyDescent="0.25">
      <c r="A1339" s="275"/>
      <c r="B1339" s="275"/>
      <c r="C1339" s="275"/>
      <c r="D1339" s="275"/>
      <c r="E1339" s="275"/>
      <c r="F1339" s="275"/>
      <c r="V1339" s="304"/>
      <c r="W1339" s="304"/>
      <c r="AD1339" s="304"/>
      <c r="AE1339" s="304"/>
      <c r="AR1339" s="304"/>
      <c r="AS1339" s="304"/>
      <c r="AT1339" s="304"/>
      <c r="AU1339" s="304"/>
      <c r="AV1339" s="304"/>
      <c r="AW1339" s="304"/>
      <c r="AX1339" s="304"/>
      <c r="AY1339" s="304"/>
      <c r="AZ1339" s="304"/>
      <c r="BA1339" s="304"/>
      <c r="BB1339" s="304"/>
      <c r="BC1339" s="304"/>
      <c r="BK1339" s="305"/>
      <c r="BL1339" s="305"/>
      <c r="BM1339" s="305"/>
      <c r="BN1339" s="305"/>
      <c r="BO1339" s="305"/>
      <c r="BP1339" s="305"/>
      <c r="BQ1339" s="305"/>
      <c r="BR1339" s="305"/>
      <c r="BS1339" s="305"/>
      <c r="BT1339" s="305"/>
      <c r="BU1339" s="305"/>
      <c r="BV1339" s="305"/>
      <c r="BX1339" s="319"/>
    </row>
    <row r="1340" spans="1:76" s="303" customFormat="1" x14ac:dyDescent="0.25">
      <c r="A1340" s="275"/>
      <c r="B1340" s="275"/>
      <c r="C1340" s="275"/>
      <c r="D1340" s="275"/>
      <c r="E1340" s="275"/>
      <c r="F1340" s="275"/>
      <c r="V1340" s="304"/>
      <c r="W1340" s="304"/>
      <c r="AD1340" s="304"/>
      <c r="AE1340" s="304"/>
      <c r="AR1340" s="304"/>
      <c r="AS1340" s="304"/>
      <c r="AT1340" s="304"/>
      <c r="AU1340" s="304"/>
      <c r="AV1340" s="304"/>
      <c r="AW1340" s="304"/>
      <c r="AX1340" s="304"/>
      <c r="AY1340" s="304"/>
      <c r="AZ1340" s="304"/>
      <c r="BA1340" s="304"/>
      <c r="BB1340" s="304"/>
      <c r="BC1340" s="304"/>
      <c r="BK1340" s="305"/>
      <c r="BL1340" s="305"/>
      <c r="BM1340" s="305"/>
      <c r="BN1340" s="305"/>
      <c r="BO1340" s="305"/>
      <c r="BP1340" s="305"/>
      <c r="BQ1340" s="305"/>
      <c r="BR1340" s="305"/>
      <c r="BS1340" s="305"/>
      <c r="BT1340" s="305"/>
      <c r="BU1340" s="305"/>
      <c r="BV1340" s="305"/>
      <c r="BX1340" s="319"/>
    </row>
    <row r="1341" spans="1:76" s="303" customFormat="1" x14ac:dyDescent="0.25">
      <c r="A1341" s="275"/>
      <c r="B1341" s="275"/>
      <c r="C1341" s="275"/>
      <c r="D1341" s="275"/>
      <c r="E1341" s="275"/>
      <c r="F1341" s="275"/>
      <c r="V1341" s="304"/>
      <c r="W1341" s="304"/>
      <c r="AD1341" s="304"/>
      <c r="AE1341" s="304"/>
      <c r="AR1341" s="304"/>
      <c r="AS1341" s="304"/>
      <c r="AT1341" s="304"/>
      <c r="AU1341" s="304"/>
      <c r="AV1341" s="304"/>
      <c r="AW1341" s="304"/>
      <c r="AX1341" s="304"/>
      <c r="AY1341" s="304"/>
      <c r="AZ1341" s="304"/>
      <c r="BA1341" s="304"/>
      <c r="BB1341" s="304"/>
      <c r="BC1341" s="304"/>
      <c r="BK1341" s="305"/>
      <c r="BL1341" s="305"/>
      <c r="BM1341" s="305"/>
      <c r="BN1341" s="305"/>
      <c r="BO1341" s="305"/>
      <c r="BP1341" s="305"/>
      <c r="BQ1341" s="305"/>
      <c r="BR1341" s="305"/>
      <c r="BS1341" s="305"/>
      <c r="BT1341" s="305"/>
      <c r="BU1341" s="305"/>
      <c r="BV1341" s="305"/>
      <c r="BX1341" s="319"/>
    </row>
    <row r="1342" spans="1:76" s="303" customFormat="1" x14ac:dyDescent="0.25">
      <c r="A1342" s="275"/>
      <c r="B1342" s="275"/>
      <c r="C1342" s="275"/>
      <c r="D1342" s="275"/>
      <c r="E1342" s="275"/>
      <c r="F1342" s="275"/>
      <c r="V1342" s="304"/>
      <c r="W1342" s="304"/>
      <c r="AD1342" s="304"/>
      <c r="AE1342" s="304"/>
      <c r="AR1342" s="304"/>
      <c r="AS1342" s="304"/>
      <c r="AT1342" s="304"/>
      <c r="AU1342" s="304"/>
      <c r="AV1342" s="304"/>
      <c r="AW1342" s="304"/>
      <c r="AX1342" s="304"/>
      <c r="AY1342" s="304"/>
      <c r="AZ1342" s="304"/>
      <c r="BA1342" s="304"/>
      <c r="BB1342" s="304"/>
      <c r="BC1342" s="304"/>
      <c r="BK1342" s="305"/>
      <c r="BL1342" s="305"/>
      <c r="BM1342" s="305"/>
      <c r="BN1342" s="305"/>
      <c r="BO1342" s="305"/>
      <c r="BP1342" s="305"/>
      <c r="BQ1342" s="305"/>
      <c r="BR1342" s="305"/>
      <c r="BS1342" s="305"/>
      <c r="BT1342" s="305"/>
      <c r="BU1342" s="305"/>
      <c r="BV1342" s="305"/>
      <c r="BX1342" s="319"/>
    </row>
    <row r="1343" spans="1:76" s="303" customFormat="1" x14ac:dyDescent="0.25">
      <c r="A1343" s="275"/>
      <c r="B1343" s="275"/>
      <c r="C1343" s="275"/>
      <c r="D1343" s="275"/>
      <c r="E1343" s="275"/>
      <c r="F1343" s="275"/>
      <c r="V1343" s="304"/>
      <c r="W1343" s="304"/>
      <c r="AD1343" s="304"/>
      <c r="AE1343" s="304"/>
      <c r="AR1343" s="304"/>
      <c r="AS1343" s="304"/>
      <c r="AT1343" s="304"/>
      <c r="AU1343" s="304"/>
      <c r="AV1343" s="304"/>
      <c r="AW1343" s="304"/>
      <c r="AX1343" s="304"/>
      <c r="AY1343" s="304"/>
      <c r="AZ1343" s="304"/>
      <c r="BA1343" s="304"/>
      <c r="BB1343" s="304"/>
      <c r="BC1343" s="304"/>
      <c r="BK1343" s="305"/>
      <c r="BL1343" s="305"/>
      <c r="BM1343" s="305"/>
      <c r="BN1343" s="305"/>
      <c r="BO1343" s="305"/>
      <c r="BP1343" s="305"/>
      <c r="BQ1343" s="305"/>
      <c r="BR1343" s="305"/>
      <c r="BS1343" s="305"/>
      <c r="BT1343" s="305"/>
      <c r="BU1343" s="305"/>
      <c r="BV1343" s="305"/>
      <c r="BX1343" s="319"/>
    </row>
    <row r="1344" spans="1:76" s="303" customFormat="1" x14ac:dyDescent="0.25">
      <c r="A1344" s="275"/>
      <c r="B1344" s="275"/>
      <c r="C1344" s="275"/>
      <c r="D1344" s="275"/>
      <c r="E1344" s="275"/>
      <c r="F1344" s="275"/>
      <c r="V1344" s="304"/>
      <c r="W1344" s="304"/>
      <c r="AD1344" s="304"/>
      <c r="AE1344" s="304"/>
      <c r="AR1344" s="304"/>
      <c r="AS1344" s="304"/>
      <c r="AT1344" s="304"/>
      <c r="AU1344" s="304"/>
      <c r="AV1344" s="304"/>
      <c r="AW1344" s="304"/>
      <c r="AX1344" s="304"/>
      <c r="AY1344" s="304"/>
      <c r="AZ1344" s="304"/>
      <c r="BA1344" s="304"/>
      <c r="BB1344" s="304"/>
      <c r="BC1344" s="304"/>
      <c r="BK1344" s="305"/>
      <c r="BL1344" s="305"/>
      <c r="BM1344" s="305"/>
      <c r="BN1344" s="305"/>
      <c r="BO1344" s="305"/>
      <c r="BP1344" s="305"/>
      <c r="BQ1344" s="305"/>
      <c r="BR1344" s="305"/>
      <c r="BS1344" s="305"/>
      <c r="BT1344" s="305"/>
      <c r="BU1344" s="305"/>
      <c r="BV1344" s="305"/>
      <c r="BX1344" s="319"/>
    </row>
    <row r="1345" spans="1:76" s="303" customFormat="1" x14ac:dyDescent="0.25">
      <c r="A1345" s="275"/>
      <c r="B1345" s="275"/>
      <c r="C1345" s="275"/>
      <c r="D1345" s="275"/>
      <c r="E1345" s="275"/>
      <c r="F1345" s="275"/>
      <c r="V1345" s="304"/>
      <c r="W1345" s="304"/>
      <c r="AD1345" s="304"/>
      <c r="AE1345" s="304"/>
      <c r="AR1345" s="304"/>
      <c r="AS1345" s="304"/>
      <c r="AT1345" s="304"/>
      <c r="AU1345" s="304"/>
      <c r="AV1345" s="304"/>
      <c r="AW1345" s="304"/>
      <c r="AX1345" s="304"/>
      <c r="AY1345" s="304"/>
      <c r="AZ1345" s="304"/>
      <c r="BA1345" s="304"/>
      <c r="BB1345" s="304"/>
      <c r="BC1345" s="304"/>
      <c r="BK1345" s="305"/>
      <c r="BL1345" s="305"/>
      <c r="BM1345" s="305"/>
      <c r="BN1345" s="305"/>
      <c r="BO1345" s="305"/>
      <c r="BP1345" s="305"/>
      <c r="BQ1345" s="305"/>
      <c r="BR1345" s="305"/>
      <c r="BS1345" s="305"/>
      <c r="BT1345" s="305"/>
      <c r="BU1345" s="305"/>
      <c r="BV1345" s="305"/>
      <c r="BX1345" s="319"/>
    </row>
    <row r="1346" spans="1:76" s="303" customFormat="1" x14ac:dyDescent="0.25">
      <c r="A1346" s="275"/>
      <c r="B1346" s="275"/>
      <c r="C1346" s="275"/>
      <c r="D1346" s="275"/>
      <c r="E1346" s="275"/>
      <c r="F1346" s="275"/>
      <c r="V1346" s="304"/>
      <c r="W1346" s="304"/>
      <c r="AD1346" s="304"/>
      <c r="AE1346" s="304"/>
      <c r="AR1346" s="304"/>
      <c r="AS1346" s="304"/>
      <c r="AT1346" s="304"/>
      <c r="AU1346" s="304"/>
      <c r="AV1346" s="304"/>
      <c r="AW1346" s="304"/>
      <c r="AX1346" s="304"/>
      <c r="AY1346" s="304"/>
      <c r="AZ1346" s="304"/>
      <c r="BA1346" s="304"/>
      <c r="BB1346" s="304"/>
      <c r="BC1346" s="304"/>
      <c r="BK1346" s="305"/>
      <c r="BL1346" s="305"/>
      <c r="BM1346" s="305"/>
      <c r="BN1346" s="305"/>
      <c r="BO1346" s="305"/>
      <c r="BP1346" s="305"/>
      <c r="BQ1346" s="305"/>
      <c r="BR1346" s="305"/>
      <c r="BS1346" s="305"/>
      <c r="BT1346" s="305"/>
      <c r="BU1346" s="305"/>
      <c r="BV1346" s="305"/>
      <c r="BX1346" s="319"/>
    </row>
    <row r="1347" spans="1:76" s="303" customFormat="1" x14ac:dyDescent="0.25">
      <c r="A1347" s="275"/>
      <c r="B1347" s="275"/>
      <c r="C1347" s="275"/>
      <c r="D1347" s="275"/>
      <c r="E1347" s="275"/>
      <c r="F1347" s="275"/>
      <c r="V1347" s="304"/>
      <c r="W1347" s="304"/>
      <c r="AD1347" s="304"/>
      <c r="AE1347" s="304"/>
      <c r="AR1347" s="304"/>
      <c r="AS1347" s="304"/>
      <c r="AT1347" s="304"/>
      <c r="AU1347" s="304"/>
      <c r="AV1347" s="304"/>
      <c r="AW1347" s="304"/>
      <c r="AX1347" s="304"/>
      <c r="AY1347" s="304"/>
      <c r="AZ1347" s="304"/>
      <c r="BA1347" s="304"/>
      <c r="BB1347" s="304"/>
      <c r="BC1347" s="304"/>
      <c r="BK1347" s="305"/>
      <c r="BL1347" s="305"/>
      <c r="BM1347" s="305"/>
      <c r="BN1347" s="305"/>
      <c r="BO1347" s="305"/>
      <c r="BP1347" s="305"/>
      <c r="BQ1347" s="305"/>
      <c r="BR1347" s="305"/>
      <c r="BS1347" s="305"/>
      <c r="BT1347" s="305"/>
      <c r="BU1347" s="305"/>
      <c r="BV1347" s="305"/>
      <c r="BX1347" s="319"/>
    </row>
    <row r="1348" spans="1:76" s="303" customFormat="1" x14ac:dyDescent="0.25">
      <c r="A1348" s="275"/>
      <c r="B1348" s="275"/>
      <c r="C1348" s="275"/>
      <c r="D1348" s="275"/>
      <c r="E1348" s="275"/>
      <c r="F1348" s="275"/>
      <c r="V1348" s="304"/>
      <c r="W1348" s="304"/>
      <c r="AD1348" s="304"/>
      <c r="AE1348" s="304"/>
      <c r="AR1348" s="304"/>
      <c r="AS1348" s="304"/>
      <c r="AT1348" s="304"/>
      <c r="AU1348" s="304"/>
      <c r="AV1348" s="304"/>
      <c r="AW1348" s="304"/>
      <c r="AX1348" s="304"/>
      <c r="AY1348" s="304"/>
      <c r="AZ1348" s="304"/>
      <c r="BA1348" s="304"/>
      <c r="BB1348" s="304"/>
      <c r="BC1348" s="304"/>
      <c r="BK1348" s="305"/>
      <c r="BL1348" s="305"/>
      <c r="BM1348" s="305"/>
      <c r="BN1348" s="305"/>
      <c r="BO1348" s="305"/>
      <c r="BP1348" s="305"/>
      <c r="BQ1348" s="305"/>
      <c r="BR1348" s="305"/>
      <c r="BS1348" s="305"/>
      <c r="BT1348" s="305"/>
      <c r="BU1348" s="305"/>
      <c r="BV1348" s="305"/>
      <c r="BX1348" s="319"/>
    </row>
    <row r="1349" spans="1:76" s="303" customFormat="1" x14ac:dyDescent="0.25">
      <c r="A1349" s="275"/>
      <c r="B1349" s="275"/>
      <c r="C1349" s="275"/>
      <c r="D1349" s="275"/>
      <c r="E1349" s="275"/>
      <c r="F1349" s="275"/>
      <c r="V1349" s="304"/>
      <c r="W1349" s="304"/>
      <c r="AD1349" s="304"/>
      <c r="AE1349" s="304"/>
      <c r="AR1349" s="304"/>
      <c r="AS1349" s="304"/>
      <c r="AT1349" s="304"/>
      <c r="AU1349" s="304"/>
      <c r="AV1349" s="304"/>
      <c r="AW1349" s="304"/>
      <c r="AX1349" s="304"/>
      <c r="AY1349" s="304"/>
      <c r="AZ1349" s="304"/>
      <c r="BA1349" s="304"/>
      <c r="BB1349" s="304"/>
      <c r="BC1349" s="304"/>
      <c r="BK1349" s="305"/>
      <c r="BL1349" s="305"/>
      <c r="BM1349" s="305"/>
      <c r="BN1349" s="305"/>
      <c r="BO1349" s="305"/>
      <c r="BP1349" s="305"/>
      <c r="BQ1349" s="305"/>
      <c r="BR1349" s="305"/>
      <c r="BS1349" s="305"/>
      <c r="BT1349" s="305"/>
      <c r="BU1349" s="305"/>
      <c r="BV1349" s="305"/>
      <c r="BX1349" s="319"/>
    </row>
    <row r="1350" spans="1:76" s="303" customFormat="1" x14ac:dyDescent="0.25">
      <c r="A1350" s="275"/>
      <c r="B1350" s="275"/>
      <c r="C1350" s="275"/>
      <c r="D1350" s="275"/>
      <c r="E1350" s="275"/>
      <c r="F1350" s="275"/>
      <c r="V1350" s="304"/>
      <c r="W1350" s="304"/>
      <c r="AD1350" s="304"/>
      <c r="AE1350" s="304"/>
      <c r="AR1350" s="304"/>
      <c r="AS1350" s="304"/>
      <c r="AT1350" s="304"/>
      <c r="AU1350" s="304"/>
      <c r="AV1350" s="304"/>
      <c r="AW1350" s="304"/>
      <c r="AX1350" s="304"/>
      <c r="AY1350" s="304"/>
      <c r="AZ1350" s="304"/>
      <c r="BA1350" s="304"/>
      <c r="BB1350" s="304"/>
      <c r="BC1350" s="304"/>
      <c r="BK1350" s="305"/>
      <c r="BL1350" s="305"/>
      <c r="BM1350" s="305"/>
      <c r="BN1350" s="305"/>
      <c r="BO1350" s="305"/>
      <c r="BP1350" s="305"/>
      <c r="BQ1350" s="305"/>
      <c r="BR1350" s="305"/>
      <c r="BS1350" s="305"/>
      <c r="BT1350" s="305"/>
      <c r="BU1350" s="305"/>
      <c r="BV1350" s="305"/>
      <c r="BX1350" s="319"/>
    </row>
    <row r="1351" spans="1:76" s="303" customFormat="1" x14ac:dyDescent="0.25">
      <c r="A1351" s="275"/>
      <c r="B1351" s="275"/>
      <c r="C1351" s="275"/>
      <c r="D1351" s="275"/>
      <c r="E1351" s="275"/>
      <c r="F1351" s="275"/>
      <c r="V1351" s="304"/>
      <c r="W1351" s="304"/>
      <c r="AD1351" s="304"/>
      <c r="AE1351" s="304"/>
      <c r="AR1351" s="304"/>
      <c r="AS1351" s="304"/>
      <c r="AT1351" s="304"/>
      <c r="AU1351" s="304"/>
      <c r="AV1351" s="304"/>
      <c r="AW1351" s="304"/>
      <c r="AX1351" s="304"/>
      <c r="AY1351" s="304"/>
      <c r="AZ1351" s="304"/>
      <c r="BA1351" s="304"/>
      <c r="BB1351" s="304"/>
      <c r="BC1351" s="304"/>
      <c r="BK1351" s="305"/>
      <c r="BL1351" s="305"/>
      <c r="BM1351" s="305"/>
      <c r="BN1351" s="305"/>
      <c r="BO1351" s="305"/>
      <c r="BP1351" s="305"/>
      <c r="BQ1351" s="305"/>
      <c r="BR1351" s="305"/>
      <c r="BS1351" s="305"/>
      <c r="BT1351" s="305"/>
      <c r="BU1351" s="305"/>
      <c r="BV1351" s="305"/>
      <c r="BX1351" s="319"/>
    </row>
    <row r="1352" spans="1:76" s="303" customFormat="1" x14ac:dyDescent="0.25">
      <c r="A1352" s="275"/>
      <c r="B1352" s="275"/>
      <c r="C1352" s="275"/>
      <c r="D1352" s="275"/>
      <c r="E1352" s="275"/>
      <c r="F1352" s="275"/>
      <c r="V1352" s="304"/>
      <c r="W1352" s="304"/>
      <c r="AD1352" s="304"/>
      <c r="AE1352" s="304"/>
      <c r="AR1352" s="304"/>
      <c r="AS1352" s="304"/>
      <c r="AT1352" s="304"/>
      <c r="AU1352" s="304"/>
      <c r="AV1352" s="304"/>
      <c r="AW1352" s="304"/>
      <c r="AX1352" s="304"/>
      <c r="AY1352" s="304"/>
      <c r="AZ1352" s="304"/>
      <c r="BA1352" s="304"/>
      <c r="BB1352" s="304"/>
      <c r="BC1352" s="304"/>
      <c r="BK1352" s="305"/>
      <c r="BL1352" s="305"/>
      <c r="BM1352" s="305"/>
      <c r="BN1352" s="305"/>
      <c r="BO1352" s="305"/>
      <c r="BP1352" s="305"/>
      <c r="BQ1352" s="305"/>
      <c r="BR1352" s="305"/>
      <c r="BS1352" s="305"/>
      <c r="BT1352" s="305"/>
      <c r="BU1352" s="305"/>
      <c r="BV1352" s="305"/>
      <c r="BX1352" s="319"/>
    </row>
    <row r="1353" spans="1:76" s="303" customFormat="1" x14ac:dyDescent="0.25">
      <c r="A1353" s="275"/>
      <c r="B1353" s="275"/>
      <c r="C1353" s="275"/>
      <c r="D1353" s="275"/>
      <c r="E1353" s="275"/>
      <c r="F1353" s="275"/>
      <c r="V1353" s="304"/>
      <c r="W1353" s="304"/>
      <c r="AD1353" s="304"/>
      <c r="AE1353" s="304"/>
      <c r="AR1353" s="304"/>
      <c r="AS1353" s="304"/>
      <c r="AT1353" s="304"/>
      <c r="AU1353" s="304"/>
      <c r="AV1353" s="304"/>
      <c r="AW1353" s="304"/>
      <c r="AX1353" s="304"/>
      <c r="AY1353" s="304"/>
      <c r="AZ1353" s="304"/>
      <c r="BA1353" s="304"/>
      <c r="BB1353" s="304"/>
      <c r="BC1353" s="304"/>
      <c r="BK1353" s="305"/>
      <c r="BL1353" s="305"/>
      <c r="BM1353" s="305"/>
      <c r="BN1353" s="305"/>
      <c r="BO1353" s="305"/>
      <c r="BP1353" s="305"/>
      <c r="BQ1353" s="305"/>
      <c r="BR1353" s="305"/>
      <c r="BS1353" s="305"/>
      <c r="BT1353" s="305"/>
      <c r="BU1353" s="305"/>
      <c r="BV1353" s="305"/>
      <c r="BX1353" s="319"/>
    </row>
    <row r="1354" spans="1:76" s="303" customFormat="1" x14ac:dyDescent="0.25">
      <c r="A1354" s="275"/>
      <c r="B1354" s="275"/>
      <c r="C1354" s="275"/>
      <c r="D1354" s="275"/>
      <c r="E1354" s="275"/>
      <c r="F1354" s="275"/>
      <c r="V1354" s="304"/>
      <c r="W1354" s="304"/>
      <c r="AD1354" s="304"/>
      <c r="AE1354" s="304"/>
      <c r="AR1354" s="304"/>
      <c r="AS1354" s="304"/>
      <c r="AT1354" s="304"/>
      <c r="AU1354" s="304"/>
      <c r="AV1354" s="304"/>
      <c r="AW1354" s="304"/>
      <c r="AX1354" s="304"/>
      <c r="AY1354" s="304"/>
      <c r="AZ1354" s="304"/>
      <c r="BA1354" s="304"/>
      <c r="BB1354" s="304"/>
      <c r="BC1354" s="304"/>
      <c r="BK1354" s="305"/>
      <c r="BL1354" s="305"/>
      <c r="BM1354" s="305"/>
      <c r="BN1354" s="305"/>
      <c r="BO1354" s="305"/>
      <c r="BP1354" s="305"/>
      <c r="BQ1354" s="305"/>
      <c r="BR1354" s="305"/>
      <c r="BS1354" s="305"/>
      <c r="BT1354" s="305"/>
      <c r="BU1354" s="305"/>
      <c r="BV1354" s="305"/>
      <c r="BX1354" s="319"/>
    </row>
    <row r="1355" spans="1:76" s="303" customFormat="1" x14ac:dyDescent="0.25">
      <c r="A1355" s="275"/>
      <c r="B1355" s="275"/>
      <c r="C1355" s="275"/>
      <c r="D1355" s="275"/>
      <c r="E1355" s="275"/>
      <c r="F1355" s="275"/>
      <c r="V1355" s="304"/>
      <c r="W1355" s="304"/>
      <c r="AD1355" s="304"/>
      <c r="AE1355" s="304"/>
      <c r="AR1355" s="304"/>
      <c r="AS1355" s="304"/>
      <c r="AT1355" s="304"/>
      <c r="AU1355" s="304"/>
      <c r="AV1355" s="304"/>
      <c r="AW1355" s="304"/>
      <c r="AX1355" s="304"/>
      <c r="AY1355" s="304"/>
      <c r="AZ1355" s="304"/>
      <c r="BA1355" s="304"/>
      <c r="BB1355" s="304"/>
      <c r="BC1355" s="304"/>
      <c r="BK1355" s="305"/>
      <c r="BL1355" s="305"/>
      <c r="BM1355" s="305"/>
      <c r="BN1355" s="305"/>
      <c r="BO1355" s="305"/>
      <c r="BP1355" s="305"/>
      <c r="BQ1355" s="305"/>
      <c r="BR1355" s="305"/>
      <c r="BS1355" s="305"/>
      <c r="BT1355" s="305"/>
      <c r="BU1355" s="305"/>
      <c r="BV1355" s="305"/>
      <c r="BX1355" s="319"/>
    </row>
    <row r="1356" spans="1:76" s="303" customFormat="1" x14ac:dyDescent="0.25">
      <c r="A1356" s="275"/>
      <c r="B1356" s="275"/>
      <c r="C1356" s="275"/>
      <c r="D1356" s="275"/>
      <c r="E1356" s="275"/>
      <c r="F1356" s="275"/>
      <c r="V1356" s="304"/>
      <c r="W1356" s="304"/>
      <c r="AD1356" s="304"/>
      <c r="AE1356" s="304"/>
      <c r="AR1356" s="304"/>
      <c r="AS1356" s="304"/>
      <c r="AT1356" s="304"/>
      <c r="AU1356" s="304"/>
      <c r="AV1356" s="304"/>
      <c r="AW1356" s="304"/>
      <c r="AX1356" s="304"/>
      <c r="AY1356" s="304"/>
      <c r="AZ1356" s="304"/>
      <c r="BA1356" s="304"/>
      <c r="BB1356" s="304"/>
      <c r="BC1356" s="304"/>
      <c r="BK1356" s="305"/>
      <c r="BL1356" s="305"/>
      <c r="BM1356" s="305"/>
      <c r="BN1356" s="305"/>
      <c r="BO1356" s="305"/>
      <c r="BP1356" s="305"/>
      <c r="BQ1356" s="305"/>
      <c r="BR1356" s="305"/>
      <c r="BS1356" s="305"/>
      <c r="BT1356" s="305"/>
      <c r="BU1356" s="305"/>
      <c r="BV1356" s="305"/>
      <c r="BX1356" s="319"/>
    </row>
    <row r="1357" spans="1:76" s="303" customFormat="1" x14ac:dyDescent="0.25">
      <c r="A1357" s="275"/>
      <c r="B1357" s="275"/>
      <c r="C1357" s="275"/>
      <c r="D1357" s="275"/>
      <c r="E1357" s="275"/>
      <c r="F1357" s="275"/>
      <c r="V1357" s="304"/>
      <c r="W1357" s="304"/>
      <c r="AD1357" s="304"/>
      <c r="AE1357" s="304"/>
      <c r="AR1357" s="304"/>
      <c r="AS1357" s="304"/>
      <c r="AT1357" s="304"/>
      <c r="AU1357" s="304"/>
      <c r="AV1357" s="304"/>
      <c r="AW1357" s="304"/>
      <c r="AX1357" s="304"/>
      <c r="AY1357" s="304"/>
      <c r="AZ1357" s="304"/>
      <c r="BA1357" s="304"/>
      <c r="BB1357" s="304"/>
      <c r="BC1357" s="304"/>
      <c r="BK1357" s="305"/>
      <c r="BL1357" s="305"/>
      <c r="BM1357" s="305"/>
      <c r="BN1357" s="305"/>
      <c r="BO1357" s="305"/>
      <c r="BP1357" s="305"/>
      <c r="BQ1357" s="305"/>
      <c r="BR1357" s="305"/>
      <c r="BS1357" s="305"/>
      <c r="BT1357" s="305"/>
      <c r="BU1357" s="305"/>
      <c r="BV1357" s="305"/>
      <c r="BX1357" s="319"/>
    </row>
    <row r="1358" spans="1:76" s="303" customFormat="1" x14ac:dyDescent="0.25">
      <c r="A1358" s="275"/>
      <c r="B1358" s="275"/>
      <c r="C1358" s="275"/>
      <c r="D1358" s="275"/>
      <c r="E1358" s="275"/>
      <c r="F1358" s="275"/>
      <c r="V1358" s="304"/>
      <c r="W1358" s="304"/>
      <c r="AD1358" s="304"/>
      <c r="AE1358" s="304"/>
      <c r="AR1358" s="304"/>
      <c r="AS1358" s="304"/>
      <c r="AT1358" s="304"/>
      <c r="AU1358" s="304"/>
      <c r="AV1358" s="304"/>
      <c r="AW1358" s="304"/>
      <c r="AX1358" s="304"/>
      <c r="AY1358" s="304"/>
      <c r="AZ1358" s="304"/>
      <c r="BA1358" s="304"/>
      <c r="BB1358" s="304"/>
      <c r="BC1358" s="304"/>
      <c r="BK1358" s="305"/>
      <c r="BL1358" s="305"/>
      <c r="BM1358" s="305"/>
      <c r="BN1358" s="305"/>
      <c r="BO1358" s="305"/>
      <c r="BP1358" s="305"/>
      <c r="BQ1358" s="305"/>
      <c r="BR1358" s="305"/>
      <c r="BS1358" s="305"/>
      <c r="BT1358" s="305"/>
      <c r="BU1358" s="305"/>
      <c r="BV1358" s="305"/>
      <c r="BX1358" s="319"/>
    </row>
    <row r="1359" spans="1:76" s="303" customFormat="1" x14ac:dyDescent="0.25">
      <c r="A1359" s="275"/>
      <c r="B1359" s="275"/>
      <c r="C1359" s="275"/>
      <c r="D1359" s="275"/>
      <c r="E1359" s="275"/>
      <c r="F1359" s="275"/>
      <c r="V1359" s="304"/>
      <c r="W1359" s="304"/>
      <c r="AD1359" s="304"/>
      <c r="AE1359" s="304"/>
      <c r="AR1359" s="304"/>
      <c r="AS1359" s="304"/>
      <c r="AT1359" s="304"/>
      <c r="AU1359" s="304"/>
      <c r="AV1359" s="304"/>
      <c r="AW1359" s="304"/>
      <c r="AX1359" s="304"/>
      <c r="AY1359" s="304"/>
      <c r="AZ1359" s="304"/>
      <c r="BA1359" s="304"/>
      <c r="BB1359" s="304"/>
      <c r="BC1359" s="304"/>
      <c r="BK1359" s="305"/>
      <c r="BL1359" s="305"/>
      <c r="BM1359" s="305"/>
      <c r="BN1359" s="305"/>
      <c r="BO1359" s="305"/>
      <c r="BP1359" s="305"/>
      <c r="BQ1359" s="305"/>
      <c r="BR1359" s="305"/>
      <c r="BS1359" s="305"/>
      <c r="BT1359" s="305"/>
      <c r="BU1359" s="305"/>
      <c r="BV1359" s="305"/>
      <c r="BX1359" s="319"/>
    </row>
    <row r="1360" spans="1:76" s="303" customFormat="1" x14ac:dyDescent="0.25">
      <c r="A1360" s="275"/>
      <c r="B1360" s="275"/>
      <c r="C1360" s="275"/>
      <c r="D1360" s="275"/>
      <c r="E1360" s="275"/>
      <c r="F1360" s="275"/>
      <c r="V1360" s="304"/>
      <c r="W1360" s="304"/>
      <c r="AD1360" s="304"/>
      <c r="AE1360" s="304"/>
      <c r="AR1360" s="304"/>
      <c r="AS1360" s="304"/>
      <c r="AT1360" s="304"/>
      <c r="AU1360" s="304"/>
      <c r="AV1360" s="304"/>
      <c r="AW1360" s="304"/>
      <c r="AX1360" s="304"/>
      <c r="AY1360" s="304"/>
      <c r="AZ1360" s="304"/>
      <c r="BA1360" s="304"/>
      <c r="BB1360" s="304"/>
      <c r="BC1360" s="304"/>
      <c r="BK1360" s="305"/>
      <c r="BL1360" s="305"/>
      <c r="BM1360" s="305"/>
      <c r="BN1360" s="305"/>
      <c r="BO1360" s="305"/>
      <c r="BP1360" s="305"/>
      <c r="BQ1360" s="305"/>
      <c r="BR1360" s="305"/>
      <c r="BS1360" s="305"/>
      <c r="BT1360" s="305"/>
      <c r="BU1360" s="305"/>
      <c r="BV1360" s="305"/>
      <c r="BX1360" s="319"/>
    </row>
    <row r="1361" spans="1:76" s="303" customFormat="1" x14ac:dyDescent="0.25">
      <c r="A1361" s="275"/>
      <c r="B1361" s="275"/>
      <c r="C1361" s="275"/>
      <c r="D1361" s="275"/>
      <c r="E1361" s="275"/>
      <c r="F1361" s="275"/>
      <c r="V1361" s="304"/>
      <c r="W1361" s="304"/>
      <c r="AD1361" s="304"/>
      <c r="AE1361" s="304"/>
      <c r="AR1361" s="304"/>
      <c r="AS1361" s="304"/>
      <c r="AT1361" s="304"/>
      <c r="AU1361" s="304"/>
      <c r="AV1361" s="304"/>
      <c r="AW1361" s="304"/>
      <c r="AX1361" s="304"/>
      <c r="AY1361" s="304"/>
      <c r="AZ1361" s="304"/>
      <c r="BA1361" s="304"/>
      <c r="BB1361" s="304"/>
      <c r="BC1361" s="304"/>
      <c r="BK1361" s="305"/>
      <c r="BL1361" s="305"/>
      <c r="BM1361" s="305"/>
      <c r="BN1361" s="305"/>
      <c r="BO1361" s="305"/>
      <c r="BP1361" s="305"/>
      <c r="BQ1361" s="305"/>
      <c r="BR1361" s="305"/>
      <c r="BS1361" s="305"/>
      <c r="BT1361" s="305"/>
      <c r="BU1361" s="305"/>
      <c r="BV1361" s="305"/>
      <c r="BX1361" s="319"/>
    </row>
    <row r="1362" spans="1:76" s="303" customFormat="1" x14ac:dyDescent="0.25">
      <c r="A1362" s="275"/>
      <c r="B1362" s="275"/>
      <c r="C1362" s="275"/>
      <c r="D1362" s="275"/>
      <c r="E1362" s="275"/>
      <c r="F1362" s="275"/>
      <c r="V1362" s="304"/>
      <c r="W1362" s="304"/>
      <c r="AD1362" s="304"/>
      <c r="AE1362" s="304"/>
      <c r="AR1362" s="304"/>
      <c r="AS1362" s="304"/>
      <c r="AT1362" s="304"/>
      <c r="AU1362" s="304"/>
      <c r="AV1362" s="304"/>
      <c r="AW1362" s="304"/>
      <c r="AX1362" s="304"/>
      <c r="AY1362" s="304"/>
      <c r="AZ1362" s="304"/>
      <c r="BA1362" s="304"/>
      <c r="BB1362" s="304"/>
      <c r="BC1362" s="304"/>
      <c r="BK1362" s="305"/>
      <c r="BL1362" s="305"/>
      <c r="BM1362" s="305"/>
      <c r="BN1362" s="305"/>
      <c r="BO1362" s="305"/>
      <c r="BP1362" s="305"/>
      <c r="BQ1362" s="305"/>
      <c r="BR1362" s="305"/>
      <c r="BS1362" s="305"/>
      <c r="BT1362" s="305"/>
      <c r="BU1362" s="305"/>
      <c r="BV1362" s="305"/>
      <c r="BX1362" s="319"/>
    </row>
    <row r="1363" spans="1:76" s="303" customFormat="1" x14ac:dyDescent="0.25">
      <c r="A1363" s="275"/>
      <c r="B1363" s="275"/>
      <c r="C1363" s="275"/>
      <c r="D1363" s="275"/>
      <c r="E1363" s="275"/>
      <c r="F1363" s="275"/>
      <c r="V1363" s="304"/>
      <c r="W1363" s="304"/>
      <c r="AD1363" s="304"/>
      <c r="AE1363" s="304"/>
      <c r="AR1363" s="304"/>
      <c r="AS1363" s="304"/>
      <c r="AT1363" s="304"/>
      <c r="AU1363" s="304"/>
      <c r="AV1363" s="304"/>
      <c r="AW1363" s="304"/>
      <c r="AX1363" s="304"/>
      <c r="AY1363" s="304"/>
      <c r="AZ1363" s="304"/>
      <c r="BA1363" s="304"/>
      <c r="BB1363" s="304"/>
      <c r="BC1363" s="304"/>
      <c r="BK1363" s="305"/>
      <c r="BL1363" s="305"/>
      <c r="BM1363" s="305"/>
      <c r="BN1363" s="305"/>
      <c r="BO1363" s="305"/>
      <c r="BP1363" s="305"/>
      <c r="BQ1363" s="305"/>
      <c r="BR1363" s="305"/>
      <c r="BS1363" s="305"/>
      <c r="BT1363" s="305"/>
      <c r="BU1363" s="305"/>
      <c r="BV1363" s="305"/>
      <c r="BX1363" s="319"/>
    </row>
    <row r="1364" spans="1:76" s="303" customFormat="1" x14ac:dyDescent="0.25">
      <c r="A1364" s="275"/>
      <c r="B1364" s="275"/>
      <c r="C1364" s="275"/>
      <c r="D1364" s="275"/>
      <c r="E1364" s="275"/>
      <c r="F1364" s="275"/>
      <c r="V1364" s="304"/>
      <c r="W1364" s="304"/>
      <c r="AD1364" s="304"/>
      <c r="AE1364" s="304"/>
      <c r="AR1364" s="304"/>
      <c r="AS1364" s="304"/>
      <c r="AT1364" s="304"/>
      <c r="AU1364" s="304"/>
      <c r="AV1364" s="304"/>
      <c r="AW1364" s="304"/>
      <c r="AX1364" s="304"/>
      <c r="AY1364" s="304"/>
      <c r="AZ1364" s="304"/>
      <c r="BA1364" s="304"/>
      <c r="BB1364" s="304"/>
      <c r="BC1364" s="304"/>
      <c r="BK1364" s="305"/>
      <c r="BL1364" s="305"/>
      <c r="BM1364" s="305"/>
      <c r="BN1364" s="305"/>
      <c r="BO1364" s="305"/>
      <c r="BP1364" s="305"/>
      <c r="BQ1364" s="305"/>
      <c r="BR1364" s="305"/>
      <c r="BS1364" s="305"/>
      <c r="BT1364" s="305"/>
      <c r="BU1364" s="305"/>
      <c r="BV1364" s="305"/>
      <c r="BX1364" s="319"/>
    </row>
    <row r="1365" spans="1:76" s="303" customFormat="1" x14ac:dyDescent="0.25">
      <c r="A1365" s="275"/>
      <c r="B1365" s="275"/>
      <c r="C1365" s="275"/>
      <c r="D1365" s="275"/>
      <c r="E1365" s="275"/>
      <c r="F1365" s="275"/>
      <c r="V1365" s="304"/>
      <c r="W1365" s="304"/>
      <c r="AD1365" s="304"/>
      <c r="AE1365" s="304"/>
      <c r="AR1365" s="304"/>
      <c r="AS1365" s="304"/>
      <c r="AT1365" s="304"/>
      <c r="AU1365" s="304"/>
      <c r="AV1365" s="304"/>
      <c r="AW1365" s="304"/>
      <c r="AX1365" s="304"/>
      <c r="AY1365" s="304"/>
      <c r="AZ1365" s="304"/>
      <c r="BA1365" s="304"/>
      <c r="BB1365" s="304"/>
      <c r="BC1365" s="304"/>
      <c r="BK1365" s="305"/>
      <c r="BL1365" s="305"/>
      <c r="BM1365" s="305"/>
      <c r="BN1365" s="305"/>
      <c r="BO1365" s="305"/>
      <c r="BP1365" s="305"/>
      <c r="BQ1365" s="305"/>
      <c r="BR1365" s="305"/>
      <c r="BS1365" s="305"/>
      <c r="BT1365" s="305"/>
      <c r="BU1365" s="305"/>
      <c r="BV1365" s="305"/>
      <c r="BX1365" s="319"/>
    </row>
    <row r="1366" spans="1:76" s="303" customFormat="1" x14ac:dyDescent="0.25">
      <c r="A1366" s="275"/>
      <c r="B1366" s="275"/>
      <c r="C1366" s="275"/>
      <c r="D1366" s="275"/>
      <c r="E1366" s="275"/>
      <c r="F1366" s="275"/>
      <c r="V1366" s="304"/>
      <c r="W1366" s="304"/>
      <c r="AD1366" s="304"/>
      <c r="AE1366" s="304"/>
      <c r="AR1366" s="304"/>
      <c r="AS1366" s="304"/>
      <c r="AT1366" s="304"/>
      <c r="AU1366" s="304"/>
      <c r="AV1366" s="304"/>
      <c r="AW1366" s="304"/>
      <c r="AX1366" s="304"/>
      <c r="AY1366" s="304"/>
      <c r="AZ1366" s="304"/>
      <c r="BA1366" s="304"/>
      <c r="BB1366" s="304"/>
      <c r="BC1366" s="304"/>
      <c r="BK1366" s="305"/>
      <c r="BL1366" s="305"/>
      <c r="BM1366" s="305"/>
      <c r="BN1366" s="305"/>
      <c r="BO1366" s="305"/>
      <c r="BP1366" s="305"/>
      <c r="BQ1366" s="305"/>
      <c r="BR1366" s="305"/>
      <c r="BS1366" s="305"/>
      <c r="BT1366" s="305"/>
      <c r="BU1366" s="305"/>
      <c r="BV1366" s="305"/>
      <c r="BX1366" s="319"/>
    </row>
    <row r="1367" spans="1:76" s="303" customFormat="1" x14ac:dyDescent="0.25">
      <c r="A1367" s="275"/>
      <c r="B1367" s="275"/>
      <c r="C1367" s="275"/>
      <c r="D1367" s="275"/>
      <c r="E1367" s="275"/>
      <c r="F1367" s="275"/>
      <c r="V1367" s="304"/>
      <c r="W1367" s="304"/>
      <c r="AD1367" s="304"/>
      <c r="AE1367" s="304"/>
      <c r="AR1367" s="304"/>
      <c r="AS1367" s="304"/>
      <c r="AT1367" s="304"/>
      <c r="AU1367" s="304"/>
      <c r="AV1367" s="304"/>
      <c r="AW1367" s="304"/>
      <c r="AX1367" s="304"/>
      <c r="AY1367" s="304"/>
      <c r="AZ1367" s="304"/>
      <c r="BA1367" s="304"/>
      <c r="BB1367" s="304"/>
      <c r="BC1367" s="304"/>
      <c r="BK1367" s="305"/>
      <c r="BL1367" s="305"/>
      <c r="BM1367" s="305"/>
      <c r="BN1367" s="305"/>
      <c r="BO1367" s="305"/>
      <c r="BP1367" s="305"/>
      <c r="BQ1367" s="305"/>
      <c r="BR1367" s="305"/>
      <c r="BS1367" s="305"/>
      <c r="BT1367" s="305"/>
      <c r="BU1367" s="305"/>
      <c r="BV1367" s="305"/>
      <c r="BX1367" s="319"/>
    </row>
    <row r="1368" spans="1:76" s="303" customFormat="1" x14ac:dyDescent="0.25">
      <c r="A1368" s="275"/>
      <c r="B1368" s="275"/>
      <c r="C1368" s="275"/>
      <c r="D1368" s="275"/>
      <c r="E1368" s="275"/>
      <c r="F1368" s="275"/>
      <c r="V1368" s="304"/>
      <c r="W1368" s="304"/>
      <c r="AD1368" s="304"/>
      <c r="AE1368" s="304"/>
      <c r="AR1368" s="304"/>
      <c r="AS1368" s="304"/>
      <c r="AT1368" s="304"/>
      <c r="AU1368" s="304"/>
      <c r="AV1368" s="304"/>
      <c r="AW1368" s="304"/>
      <c r="AX1368" s="304"/>
      <c r="AY1368" s="304"/>
      <c r="AZ1368" s="304"/>
      <c r="BA1368" s="304"/>
      <c r="BB1368" s="304"/>
      <c r="BC1368" s="304"/>
      <c r="BK1368" s="305"/>
      <c r="BL1368" s="305"/>
      <c r="BM1368" s="305"/>
      <c r="BN1368" s="305"/>
      <c r="BO1368" s="305"/>
      <c r="BP1368" s="305"/>
      <c r="BQ1368" s="305"/>
      <c r="BR1368" s="305"/>
      <c r="BS1368" s="305"/>
      <c r="BT1368" s="305"/>
      <c r="BU1368" s="305"/>
      <c r="BV1368" s="305"/>
      <c r="BX1368" s="319"/>
    </row>
    <row r="1369" spans="1:76" s="303" customFormat="1" x14ac:dyDescent="0.25">
      <c r="A1369" s="275"/>
      <c r="B1369" s="275"/>
      <c r="C1369" s="275"/>
      <c r="D1369" s="275"/>
      <c r="E1369" s="275"/>
      <c r="F1369" s="275"/>
      <c r="V1369" s="304"/>
      <c r="W1369" s="304"/>
      <c r="AD1369" s="304"/>
      <c r="AE1369" s="304"/>
      <c r="AR1369" s="304"/>
      <c r="AS1369" s="304"/>
      <c r="AT1369" s="304"/>
      <c r="AU1369" s="304"/>
      <c r="AV1369" s="304"/>
      <c r="AW1369" s="304"/>
      <c r="AX1369" s="304"/>
      <c r="AY1369" s="304"/>
      <c r="AZ1369" s="304"/>
      <c r="BA1369" s="304"/>
      <c r="BB1369" s="304"/>
      <c r="BC1369" s="304"/>
      <c r="BK1369" s="305"/>
      <c r="BL1369" s="305"/>
      <c r="BM1369" s="305"/>
      <c r="BN1369" s="305"/>
      <c r="BO1369" s="305"/>
      <c r="BP1369" s="305"/>
      <c r="BQ1369" s="305"/>
      <c r="BR1369" s="305"/>
      <c r="BS1369" s="305"/>
      <c r="BT1369" s="305"/>
      <c r="BU1369" s="305"/>
      <c r="BV1369" s="305"/>
      <c r="BX1369" s="319"/>
    </row>
    <row r="1370" spans="1:76" s="303" customFormat="1" x14ac:dyDescent="0.25">
      <c r="A1370" s="275"/>
      <c r="B1370" s="275"/>
      <c r="C1370" s="275"/>
      <c r="D1370" s="275"/>
      <c r="E1370" s="275"/>
      <c r="F1370" s="275"/>
      <c r="V1370" s="304"/>
      <c r="W1370" s="304"/>
      <c r="AD1370" s="304"/>
      <c r="AE1370" s="304"/>
      <c r="AR1370" s="304"/>
      <c r="AS1370" s="304"/>
      <c r="AT1370" s="304"/>
      <c r="AU1370" s="304"/>
      <c r="AV1370" s="304"/>
      <c r="AW1370" s="304"/>
      <c r="AX1370" s="304"/>
      <c r="AY1370" s="304"/>
      <c r="AZ1370" s="304"/>
      <c r="BA1370" s="304"/>
      <c r="BB1370" s="304"/>
      <c r="BC1370" s="304"/>
      <c r="BK1370" s="305"/>
      <c r="BL1370" s="305"/>
      <c r="BM1370" s="305"/>
      <c r="BN1370" s="305"/>
      <c r="BO1370" s="305"/>
      <c r="BP1370" s="305"/>
      <c r="BQ1370" s="305"/>
      <c r="BR1370" s="305"/>
      <c r="BS1370" s="305"/>
      <c r="BT1370" s="305"/>
      <c r="BU1370" s="305"/>
      <c r="BV1370" s="305"/>
      <c r="BX1370" s="319"/>
    </row>
    <row r="1371" spans="1:76" s="303" customFormat="1" x14ac:dyDescent="0.25">
      <c r="A1371" s="275"/>
      <c r="B1371" s="275"/>
      <c r="C1371" s="275"/>
      <c r="D1371" s="275"/>
      <c r="E1371" s="275"/>
      <c r="F1371" s="275"/>
      <c r="V1371" s="304"/>
      <c r="W1371" s="304"/>
      <c r="AD1371" s="304"/>
      <c r="AE1371" s="304"/>
      <c r="AR1371" s="304"/>
      <c r="AS1371" s="304"/>
      <c r="AT1371" s="304"/>
      <c r="AU1371" s="304"/>
      <c r="AV1371" s="304"/>
      <c r="AW1371" s="304"/>
      <c r="AX1371" s="304"/>
      <c r="AY1371" s="304"/>
      <c r="AZ1371" s="304"/>
      <c r="BA1371" s="304"/>
      <c r="BB1371" s="304"/>
      <c r="BC1371" s="304"/>
      <c r="BK1371" s="305"/>
      <c r="BL1371" s="305"/>
      <c r="BM1371" s="305"/>
      <c r="BN1371" s="305"/>
      <c r="BO1371" s="305"/>
      <c r="BP1371" s="305"/>
      <c r="BQ1371" s="305"/>
      <c r="BR1371" s="305"/>
      <c r="BS1371" s="305"/>
      <c r="BT1371" s="305"/>
      <c r="BU1371" s="305"/>
      <c r="BV1371" s="305"/>
      <c r="BX1371" s="319"/>
    </row>
    <row r="1372" spans="1:76" s="303" customFormat="1" x14ac:dyDescent="0.25">
      <c r="A1372" s="275"/>
      <c r="B1372" s="275"/>
      <c r="C1372" s="275"/>
      <c r="D1372" s="275"/>
      <c r="E1372" s="275"/>
      <c r="F1372" s="275"/>
      <c r="V1372" s="304"/>
      <c r="W1372" s="304"/>
      <c r="AD1372" s="304"/>
      <c r="AE1372" s="304"/>
      <c r="AR1372" s="304"/>
      <c r="AS1372" s="304"/>
      <c r="AT1372" s="304"/>
      <c r="AU1372" s="304"/>
      <c r="AV1372" s="304"/>
      <c r="AW1372" s="304"/>
      <c r="AX1372" s="304"/>
      <c r="AY1372" s="304"/>
      <c r="AZ1372" s="304"/>
      <c r="BA1372" s="304"/>
      <c r="BB1372" s="304"/>
      <c r="BC1372" s="304"/>
      <c r="BK1372" s="305"/>
      <c r="BL1372" s="305"/>
      <c r="BM1372" s="305"/>
      <c r="BN1372" s="305"/>
      <c r="BO1372" s="305"/>
      <c r="BP1372" s="305"/>
      <c r="BQ1372" s="305"/>
      <c r="BR1372" s="305"/>
      <c r="BS1372" s="305"/>
      <c r="BT1372" s="305"/>
      <c r="BU1372" s="305"/>
      <c r="BV1372" s="305"/>
      <c r="BX1372" s="319"/>
    </row>
    <row r="1373" spans="1:76" s="303" customFormat="1" x14ac:dyDescent="0.25">
      <c r="A1373" s="275"/>
      <c r="B1373" s="275"/>
      <c r="C1373" s="275"/>
      <c r="D1373" s="275"/>
      <c r="E1373" s="275"/>
      <c r="F1373" s="275"/>
      <c r="V1373" s="304"/>
      <c r="W1373" s="304"/>
      <c r="AD1373" s="304"/>
      <c r="AE1373" s="304"/>
      <c r="AR1373" s="304"/>
      <c r="AS1373" s="304"/>
      <c r="AT1373" s="304"/>
      <c r="AU1373" s="304"/>
      <c r="AV1373" s="304"/>
      <c r="AW1373" s="304"/>
      <c r="AX1373" s="304"/>
      <c r="AY1373" s="304"/>
      <c r="AZ1373" s="304"/>
      <c r="BA1373" s="304"/>
      <c r="BB1373" s="304"/>
      <c r="BC1373" s="304"/>
      <c r="BK1373" s="305"/>
      <c r="BL1373" s="305"/>
      <c r="BM1373" s="305"/>
      <c r="BN1373" s="305"/>
      <c r="BO1373" s="305"/>
      <c r="BP1373" s="305"/>
      <c r="BQ1373" s="305"/>
      <c r="BR1373" s="305"/>
      <c r="BS1373" s="305"/>
      <c r="BT1373" s="305"/>
      <c r="BU1373" s="305"/>
      <c r="BV1373" s="305"/>
      <c r="BX1373" s="319"/>
    </row>
    <row r="1374" spans="1:76" s="303" customFormat="1" x14ac:dyDescent="0.25">
      <c r="A1374" s="275"/>
      <c r="B1374" s="275"/>
      <c r="C1374" s="275"/>
      <c r="D1374" s="275"/>
      <c r="E1374" s="275"/>
      <c r="F1374" s="275"/>
      <c r="V1374" s="304"/>
      <c r="W1374" s="304"/>
      <c r="AD1374" s="304"/>
      <c r="AE1374" s="304"/>
      <c r="AR1374" s="304"/>
      <c r="AS1374" s="304"/>
      <c r="AT1374" s="304"/>
      <c r="AU1374" s="304"/>
      <c r="AV1374" s="304"/>
      <c r="AW1374" s="304"/>
      <c r="AX1374" s="304"/>
      <c r="AY1374" s="304"/>
      <c r="AZ1374" s="304"/>
      <c r="BA1374" s="304"/>
      <c r="BB1374" s="304"/>
      <c r="BC1374" s="304"/>
      <c r="BK1374" s="305"/>
      <c r="BL1374" s="305"/>
      <c r="BM1374" s="305"/>
      <c r="BN1374" s="305"/>
      <c r="BO1374" s="305"/>
      <c r="BP1374" s="305"/>
      <c r="BQ1374" s="305"/>
      <c r="BR1374" s="305"/>
      <c r="BS1374" s="305"/>
      <c r="BT1374" s="305"/>
      <c r="BU1374" s="305"/>
      <c r="BV1374" s="305"/>
      <c r="BX1374" s="319"/>
    </row>
    <row r="1375" spans="1:76" s="303" customFormat="1" x14ac:dyDescent="0.25">
      <c r="A1375" s="275"/>
      <c r="B1375" s="275"/>
      <c r="C1375" s="275"/>
      <c r="D1375" s="275"/>
      <c r="E1375" s="275"/>
      <c r="F1375" s="275"/>
      <c r="V1375" s="304"/>
      <c r="W1375" s="304"/>
      <c r="AD1375" s="304"/>
      <c r="AE1375" s="304"/>
      <c r="AR1375" s="304"/>
      <c r="AS1375" s="304"/>
      <c r="AT1375" s="304"/>
      <c r="AU1375" s="304"/>
      <c r="AV1375" s="304"/>
      <c r="AW1375" s="304"/>
      <c r="AX1375" s="304"/>
      <c r="AY1375" s="304"/>
      <c r="AZ1375" s="304"/>
      <c r="BA1375" s="304"/>
      <c r="BB1375" s="304"/>
      <c r="BC1375" s="304"/>
      <c r="BK1375" s="305"/>
      <c r="BL1375" s="305"/>
      <c r="BM1375" s="305"/>
      <c r="BN1375" s="305"/>
      <c r="BO1375" s="305"/>
      <c r="BP1375" s="305"/>
      <c r="BQ1375" s="305"/>
      <c r="BR1375" s="305"/>
      <c r="BS1375" s="305"/>
      <c r="BT1375" s="305"/>
      <c r="BU1375" s="305"/>
      <c r="BV1375" s="305"/>
      <c r="BX1375" s="319"/>
    </row>
    <row r="1376" spans="1:76" s="303" customFormat="1" x14ac:dyDescent="0.25">
      <c r="A1376" s="275"/>
      <c r="B1376" s="275"/>
      <c r="C1376" s="275"/>
      <c r="D1376" s="275"/>
      <c r="E1376" s="275"/>
      <c r="F1376" s="275"/>
      <c r="V1376" s="304"/>
      <c r="W1376" s="304"/>
      <c r="AD1376" s="304"/>
      <c r="AE1376" s="304"/>
      <c r="AR1376" s="304"/>
      <c r="AS1376" s="304"/>
      <c r="AT1376" s="304"/>
      <c r="AU1376" s="304"/>
      <c r="AV1376" s="304"/>
      <c r="AW1376" s="304"/>
      <c r="AX1376" s="304"/>
      <c r="AY1376" s="304"/>
      <c r="AZ1376" s="304"/>
      <c r="BA1376" s="304"/>
      <c r="BB1376" s="304"/>
      <c r="BC1376" s="304"/>
      <c r="BK1376" s="305"/>
      <c r="BL1376" s="305"/>
      <c r="BM1376" s="305"/>
      <c r="BN1376" s="305"/>
      <c r="BO1376" s="305"/>
      <c r="BP1376" s="305"/>
      <c r="BQ1376" s="305"/>
      <c r="BR1376" s="305"/>
      <c r="BS1376" s="305"/>
      <c r="BT1376" s="305"/>
      <c r="BU1376" s="305"/>
      <c r="BV1376" s="305"/>
      <c r="BX1376" s="319"/>
    </row>
    <row r="1377" spans="1:76" s="303" customFormat="1" x14ac:dyDescent="0.25">
      <c r="A1377" s="275"/>
      <c r="B1377" s="275"/>
      <c r="C1377" s="275"/>
      <c r="D1377" s="275"/>
      <c r="E1377" s="275"/>
      <c r="F1377" s="275"/>
      <c r="V1377" s="304"/>
      <c r="W1377" s="304"/>
      <c r="AD1377" s="304"/>
      <c r="AE1377" s="304"/>
      <c r="AR1377" s="304"/>
      <c r="AS1377" s="304"/>
      <c r="AT1377" s="304"/>
      <c r="AU1377" s="304"/>
      <c r="AV1377" s="304"/>
      <c r="AW1377" s="304"/>
      <c r="AX1377" s="304"/>
      <c r="AY1377" s="304"/>
      <c r="AZ1377" s="304"/>
      <c r="BA1377" s="304"/>
      <c r="BB1377" s="304"/>
      <c r="BC1377" s="304"/>
      <c r="BK1377" s="305"/>
      <c r="BL1377" s="305"/>
      <c r="BM1377" s="305"/>
      <c r="BN1377" s="305"/>
      <c r="BO1377" s="305"/>
      <c r="BP1377" s="305"/>
      <c r="BQ1377" s="305"/>
      <c r="BR1377" s="305"/>
      <c r="BS1377" s="305"/>
      <c r="BT1377" s="305"/>
      <c r="BU1377" s="305"/>
      <c r="BV1377" s="305"/>
      <c r="BX1377" s="319"/>
    </row>
    <row r="1378" spans="1:76" s="303" customFormat="1" x14ac:dyDescent="0.25">
      <c r="A1378" s="275"/>
      <c r="B1378" s="275"/>
      <c r="C1378" s="275"/>
      <c r="D1378" s="275"/>
      <c r="E1378" s="275"/>
      <c r="F1378" s="275"/>
      <c r="V1378" s="304"/>
      <c r="W1378" s="304"/>
      <c r="AD1378" s="304"/>
      <c r="AE1378" s="304"/>
      <c r="AR1378" s="304"/>
      <c r="AS1378" s="304"/>
      <c r="AT1378" s="304"/>
      <c r="AU1378" s="304"/>
      <c r="AV1378" s="304"/>
      <c r="AW1378" s="304"/>
      <c r="AX1378" s="304"/>
      <c r="AY1378" s="304"/>
      <c r="AZ1378" s="304"/>
      <c r="BA1378" s="304"/>
      <c r="BB1378" s="304"/>
      <c r="BC1378" s="304"/>
      <c r="BK1378" s="305"/>
      <c r="BL1378" s="305"/>
      <c r="BM1378" s="305"/>
      <c r="BN1378" s="305"/>
      <c r="BO1378" s="305"/>
      <c r="BP1378" s="305"/>
      <c r="BQ1378" s="305"/>
      <c r="BR1378" s="305"/>
      <c r="BS1378" s="305"/>
      <c r="BT1378" s="305"/>
      <c r="BU1378" s="305"/>
      <c r="BV1378" s="305"/>
      <c r="BX1378" s="319"/>
    </row>
    <row r="1379" spans="1:76" s="303" customFormat="1" x14ac:dyDescent="0.25">
      <c r="A1379" s="275"/>
      <c r="B1379" s="275"/>
      <c r="C1379" s="275"/>
      <c r="D1379" s="275"/>
      <c r="E1379" s="275"/>
      <c r="F1379" s="275"/>
      <c r="V1379" s="304"/>
      <c r="W1379" s="304"/>
      <c r="AD1379" s="304"/>
      <c r="AE1379" s="304"/>
      <c r="AR1379" s="304"/>
      <c r="AS1379" s="304"/>
      <c r="AT1379" s="304"/>
      <c r="AU1379" s="304"/>
      <c r="AV1379" s="304"/>
      <c r="AW1379" s="304"/>
      <c r="AX1379" s="304"/>
      <c r="AY1379" s="304"/>
      <c r="AZ1379" s="304"/>
      <c r="BA1379" s="304"/>
      <c r="BB1379" s="304"/>
      <c r="BC1379" s="304"/>
      <c r="BK1379" s="305"/>
      <c r="BL1379" s="305"/>
      <c r="BM1379" s="305"/>
      <c r="BN1379" s="305"/>
      <c r="BO1379" s="305"/>
      <c r="BP1379" s="305"/>
      <c r="BQ1379" s="305"/>
      <c r="BR1379" s="305"/>
      <c r="BS1379" s="305"/>
      <c r="BT1379" s="305"/>
      <c r="BU1379" s="305"/>
      <c r="BV1379" s="305"/>
      <c r="BX1379" s="319"/>
    </row>
    <row r="1380" spans="1:76" s="303" customFormat="1" x14ac:dyDescent="0.25">
      <c r="A1380" s="275"/>
      <c r="B1380" s="275"/>
      <c r="C1380" s="275"/>
      <c r="D1380" s="275"/>
      <c r="E1380" s="275"/>
      <c r="F1380" s="275"/>
      <c r="V1380" s="304"/>
      <c r="W1380" s="304"/>
      <c r="AD1380" s="304"/>
      <c r="AE1380" s="304"/>
      <c r="AR1380" s="304"/>
      <c r="AS1380" s="304"/>
      <c r="AT1380" s="304"/>
      <c r="AU1380" s="304"/>
      <c r="AV1380" s="304"/>
      <c r="AW1380" s="304"/>
      <c r="AX1380" s="304"/>
      <c r="AY1380" s="304"/>
      <c r="AZ1380" s="304"/>
      <c r="BA1380" s="304"/>
      <c r="BB1380" s="304"/>
      <c r="BC1380" s="304"/>
      <c r="BK1380" s="305"/>
      <c r="BL1380" s="305"/>
      <c r="BM1380" s="305"/>
      <c r="BN1380" s="305"/>
      <c r="BO1380" s="305"/>
      <c r="BP1380" s="305"/>
      <c r="BQ1380" s="305"/>
      <c r="BR1380" s="305"/>
      <c r="BS1380" s="305"/>
      <c r="BT1380" s="305"/>
      <c r="BU1380" s="305"/>
      <c r="BV1380" s="305"/>
      <c r="BX1380" s="319"/>
    </row>
    <row r="1381" spans="1:76" s="303" customFormat="1" x14ac:dyDescent="0.25">
      <c r="A1381" s="275"/>
      <c r="B1381" s="275"/>
      <c r="C1381" s="275"/>
      <c r="D1381" s="275"/>
      <c r="E1381" s="275"/>
      <c r="F1381" s="275"/>
      <c r="V1381" s="304"/>
      <c r="W1381" s="304"/>
      <c r="AD1381" s="304"/>
      <c r="AE1381" s="304"/>
      <c r="AR1381" s="304"/>
      <c r="AS1381" s="304"/>
      <c r="AT1381" s="304"/>
      <c r="AU1381" s="304"/>
      <c r="AV1381" s="304"/>
      <c r="AW1381" s="304"/>
      <c r="AX1381" s="304"/>
      <c r="AY1381" s="304"/>
      <c r="AZ1381" s="304"/>
      <c r="BA1381" s="304"/>
      <c r="BB1381" s="304"/>
      <c r="BC1381" s="304"/>
      <c r="BK1381" s="305"/>
      <c r="BL1381" s="305"/>
      <c r="BM1381" s="305"/>
      <c r="BN1381" s="305"/>
      <c r="BO1381" s="305"/>
      <c r="BP1381" s="305"/>
      <c r="BQ1381" s="305"/>
      <c r="BR1381" s="305"/>
      <c r="BS1381" s="305"/>
      <c r="BT1381" s="305"/>
      <c r="BU1381" s="305"/>
      <c r="BV1381" s="305"/>
      <c r="BX1381" s="319"/>
    </row>
    <row r="1382" spans="1:76" s="303" customFormat="1" x14ac:dyDescent="0.25">
      <c r="A1382" s="275"/>
      <c r="B1382" s="275"/>
      <c r="C1382" s="275"/>
      <c r="D1382" s="275"/>
      <c r="E1382" s="275"/>
      <c r="F1382" s="275"/>
      <c r="V1382" s="304"/>
      <c r="W1382" s="304"/>
      <c r="AD1382" s="304"/>
      <c r="AE1382" s="304"/>
      <c r="AR1382" s="304"/>
      <c r="AS1382" s="304"/>
      <c r="AT1382" s="304"/>
      <c r="AU1382" s="304"/>
      <c r="AV1382" s="304"/>
      <c r="AW1382" s="304"/>
      <c r="AX1382" s="304"/>
      <c r="AY1382" s="304"/>
      <c r="AZ1382" s="304"/>
      <c r="BA1382" s="304"/>
      <c r="BB1382" s="304"/>
      <c r="BC1382" s="304"/>
      <c r="BK1382" s="305"/>
      <c r="BL1382" s="305"/>
      <c r="BM1382" s="305"/>
      <c r="BN1382" s="305"/>
      <c r="BO1382" s="305"/>
      <c r="BP1382" s="305"/>
      <c r="BQ1382" s="305"/>
      <c r="BR1382" s="305"/>
      <c r="BS1382" s="305"/>
      <c r="BT1382" s="305"/>
      <c r="BU1382" s="305"/>
      <c r="BV1382" s="305"/>
      <c r="BX1382" s="319"/>
    </row>
    <row r="1383" spans="1:76" s="303" customFormat="1" x14ac:dyDescent="0.25">
      <c r="A1383" s="275"/>
      <c r="B1383" s="275"/>
      <c r="C1383" s="275"/>
      <c r="D1383" s="275"/>
      <c r="E1383" s="275"/>
      <c r="F1383" s="275"/>
      <c r="V1383" s="304"/>
      <c r="W1383" s="304"/>
      <c r="AD1383" s="304"/>
      <c r="AE1383" s="304"/>
      <c r="AR1383" s="304"/>
      <c r="AS1383" s="304"/>
      <c r="AT1383" s="304"/>
      <c r="AU1383" s="304"/>
      <c r="AV1383" s="304"/>
      <c r="AW1383" s="304"/>
      <c r="AX1383" s="304"/>
      <c r="AY1383" s="304"/>
      <c r="AZ1383" s="304"/>
      <c r="BA1383" s="304"/>
      <c r="BB1383" s="304"/>
      <c r="BC1383" s="304"/>
      <c r="BK1383" s="305"/>
      <c r="BL1383" s="305"/>
      <c r="BM1383" s="305"/>
      <c r="BN1383" s="305"/>
      <c r="BO1383" s="305"/>
      <c r="BP1383" s="305"/>
      <c r="BQ1383" s="305"/>
      <c r="BR1383" s="305"/>
      <c r="BS1383" s="305"/>
      <c r="BT1383" s="305"/>
      <c r="BU1383" s="305"/>
      <c r="BV1383" s="305"/>
      <c r="BX1383" s="319"/>
    </row>
    <row r="1384" spans="1:76" s="303" customFormat="1" x14ac:dyDescent="0.25">
      <c r="A1384" s="275"/>
      <c r="B1384" s="275"/>
      <c r="C1384" s="275"/>
      <c r="D1384" s="275"/>
      <c r="E1384" s="275"/>
      <c r="F1384" s="275"/>
      <c r="V1384" s="304"/>
      <c r="W1384" s="304"/>
      <c r="AD1384" s="304"/>
      <c r="AE1384" s="304"/>
      <c r="AR1384" s="304"/>
      <c r="AS1384" s="304"/>
      <c r="AT1384" s="304"/>
      <c r="AU1384" s="304"/>
      <c r="AV1384" s="304"/>
      <c r="AW1384" s="304"/>
      <c r="AX1384" s="304"/>
      <c r="AY1384" s="304"/>
      <c r="AZ1384" s="304"/>
      <c r="BA1384" s="304"/>
      <c r="BB1384" s="304"/>
      <c r="BC1384" s="304"/>
      <c r="BK1384" s="305"/>
      <c r="BL1384" s="305"/>
      <c r="BM1384" s="305"/>
      <c r="BN1384" s="305"/>
      <c r="BO1384" s="305"/>
      <c r="BP1384" s="305"/>
      <c r="BQ1384" s="305"/>
      <c r="BR1384" s="305"/>
      <c r="BS1384" s="305"/>
      <c r="BT1384" s="305"/>
      <c r="BU1384" s="305"/>
      <c r="BV1384" s="305"/>
      <c r="BX1384" s="319"/>
    </row>
    <row r="1385" spans="1:76" s="303" customFormat="1" x14ac:dyDescent="0.25">
      <c r="A1385" s="275"/>
      <c r="B1385" s="275"/>
      <c r="C1385" s="275"/>
      <c r="D1385" s="275"/>
      <c r="E1385" s="275"/>
      <c r="F1385" s="275"/>
      <c r="V1385" s="304"/>
      <c r="W1385" s="304"/>
      <c r="AD1385" s="304"/>
      <c r="AE1385" s="304"/>
      <c r="AR1385" s="304"/>
      <c r="AS1385" s="304"/>
      <c r="AT1385" s="304"/>
      <c r="AU1385" s="304"/>
      <c r="AV1385" s="304"/>
      <c r="AW1385" s="304"/>
      <c r="AX1385" s="304"/>
      <c r="AY1385" s="304"/>
      <c r="AZ1385" s="304"/>
      <c r="BA1385" s="304"/>
      <c r="BB1385" s="304"/>
      <c r="BC1385" s="304"/>
      <c r="BK1385" s="305"/>
      <c r="BL1385" s="305"/>
      <c r="BM1385" s="305"/>
      <c r="BN1385" s="305"/>
      <c r="BO1385" s="305"/>
      <c r="BP1385" s="305"/>
      <c r="BQ1385" s="305"/>
      <c r="BR1385" s="305"/>
      <c r="BS1385" s="305"/>
      <c r="BT1385" s="305"/>
      <c r="BU1385" s="305"/>
      <c r="BV1385" s="305"/>
      <c r="BX1385" s="319"/>
    </row>
    <row r="1386" spans="1:76" s="303" customFormat="1" x14ac:dyDescent="0.25">
      <c r="A1386" s="275"/>
      <c r="B1386" s="275"/>
      <c r="C1386" s="275"/>
      <c r="D1386" s="275"/>
      <c r="E1386" s="275"/>
      <c r="F1386" s="275"/>
      <c r="V1386" s="304"/>
      <c r="W1386" s="304"/>
      <c r="AD1386" s="304"/>
      <c r="AE1386" s="304"/>
      <c r="AR1386" s="304"/>
      <c r="AS1386" s="304"/>
      <c r="AT1386" s="304"/>
      <c r="AU1386" s="304"/>
      <c r="AV1386" s="304"/>
      <c r="AW1386" s="304"/>
      <c r="AX1386" s="304"/>
      <c r="AY1386" s="304"/>
      <c r="AZ1386" s="304"/>
      <c r="BA1386" s="304"/>
      <c r="BB1386" s="304"/>
      <c r="BC1386" s="304"/>
      <c r="BK1386" s="305"/>
      <c r="BL1386" s="305"/>
      <c r="BM1386" s="305"/>
      <c r="BN1386" s="305"/>
      <c r="BO1386" s="305"/>
      <c r="BP1386" s="305"/>
      <c r="BQ1386" s="305"/>
      <c r="BR1386" s="305"/>
      <c r="BS1386" s="305"/>
      <c r="BT1386" s="305"/>
      <c r="BU1386" s="305"/>
      <c r="BV1386" s="305"/>
      <c r="BX1386" s="319"/>
    </row>
    <row r="1387" spans="1:76" s="303" customFormat="1" x14ac:dyDescent="0.25">
      <c r="A1387" s="275"/>
      <c r="B1387" s="275"/>
      <c r="C1387" s="275"/>
      <c r="D1387" s="275"/>
      <c r="E1387" s="275"/>
      <c r="F1387" s="275"/>
      <c r="V1387" s="304"/>
      <c r="W1387" s="304"/>
      <c r="AD1387" s="304"/>
      <c r="AE1387" s="304"/>
      <c r="AR1387" s="304"/>
      <c r="AS1387" s="304"/>
      <c r="AT1387" s="304"/>
      <c r="AU1387" s="304"/>
      <c r="AV1387" s="304"/>
      <c r="AW1387" s="304"/>
      <c r="AX1387" s="304"/>
      <c r="AY1387" s="304"/>
      <c r="AZ1387" s="304"/>
      <c r="BA1387" s="304"/>
      <c r="BB1387" s="304"/>
      <c r="BC1387" s="304"/>
      <c r="BK1387" s="305"/>
      <c r="BL1387" s="305"/>
      <c r="BM1387" s="305"/>
      <c r="BN1387" s="305"/>
      <c r="BO1387" s="305"/>
      <c r="BP1387" s="305"/>
      <c r="BQ1387" s="305"/>
      <c r="BR1387" s="305"/>
      <c r="BS1387" s="305"/>
      <c r="BT1387" s="305"/>
      <c r="BU1387" s="305"/>
      <c r="BV1387" s="305"/>
      <c r="BX1387" s="319"/>
    </row>
    <row r="1388" spans="1:76" s="303" customFormat="1" x14ac:dyDescent="0.25">
      <c r="A1388" s="275"/>
      <c r="B1388" s="275"/>
      <c r="C1388" s="275"/>
      <c r="D1388" s="275"/>
      <c r="E1388" s="275"/>
      <c r="F1388" s="275"/>
      <c r="V1388" s="304"/>
      <c r="W1388" s="304"/>
      <c r="AD1388" s="304"/>
      <c r="AE1388" s="304"/>
      <c r="AR1388" s="304"/>
      <c r="AS1388" s="304"/>
      <c r="AT1388" s="304"/>
      <c r="AU1388" s="304"/>
      <c r="AV1388" s="304"/>
      <c r="AW1388" s="304"/>
      <c r="AX1388" s="304"/>
      <c r="AY1388" s="304"/>
      <c r="AZ1388" s="304"/>
      <c r="BA1388" s="304"/>
      <c r="BB1388" s="304"/>
      <c r="BC1388" s="304"/>
      <c r="BK1388" s="305"/>
      <c r="BL1388" s="305"/>
      <c r="BM1388" s="305"/>
      <c r="BN1388" s="305"/>
      <c r="BO1388" s="305"/>
      <c r="BP1388" s="305"/>
      <c r="BQ1388" s="305"/>
      <c r="BR1388" s="305"/>
      <c r="BS1388" s="305"/>
      <c r="BT1388" s="305"/>
      <c r="BU1388" s="305"/>
      <c r="BV1388" s="305"/>
      <c r="BX1388" s="319"/>
    </row>
    <row r="1389" spans="1:76" s="303" customFormat="1" x14ac:dyDescent="0.25">
      <c r="A1389" s="275"/>
      <c r="B1389" s="275"/>
      <c r="C1389" s="275"/>
      <c r="D1389" s="275"/>
      <c r="E1389" s="275"/>
      <c r="F1389" s="275"/>
      <c r="V1389" s="304"/>
      <c r="W1389" s="304"/>
      <c r="AD1389" s="304"/>
      <c r="AE1389" s="304"/>
      <c r="AR1389" s="304"/>
      <c r="AS1389" s="304"/>
      <c r="AT1389" s="304"/>
      <c r="AU1389" s="304"/>
      <c r="AV1389" s="304"/>
      <c r="AW1389" s="304"/>
      <c r="AX1389" s="304"/>
      <c r="AY1389" s="304"/>
      <c r="AZ1389" s="304"/>
      <c r="BA1389" s="304"/>
      <c r="BB1389" s="304"/>
      <c r="BC1389" s="304"/>
      <c r="BK1389" s="305"/>
      <c r="BL1389" s="305"/>
      <c r="BM1389" s="305"/>
      <c r="BN1389" s="305"/>
      <c r="BO1389" s="305"/>
      <c r="BP1389" s="305"/>
      <c r="BQ1389" s="305"/>
      <c r="BR1389" s="305"/>
      <c r="BS1389" s="305"/>
      <c r="BT1389" s="305"/>
      <c r="BU1389" s="305"/>
      <c r="BV1389" s="305"/>
      <c r="BX1389" s="319"/>
    </row>
    <row r="1390" spans="1:76" s="303" customFormat="1" x14ac:dyDescent="0.25">
      <c r="A1390" s="275"/>
      <c r="B1390" s="275"/>
      <c r="C1390" s="275"/>
      <c r="D1390" s="275"/>
      <c r="E1390" s="275"/>
      <c r="F1390" s="275"/>
      <c r="V1390" s="304"/>
      <c r="W1390" s="304"/>
      <c r="AD1390" s="304"/>
      <c r="AE1390" s="304"/>
      <c r="AR1390" s="304"/>
      <c r="AS1390" s="304"/>
      <c r="AT1390" s="304"/>
      <c r="AU1390" s="304"/>
      <c r="AV1390" s="304"/>
      <c r="AW1390" s="304"/>
      <c r="AX1390" s="304"/>
      <c r="AY1390" s="304"/>
      <c r="AZ1390" s="304"/>
      <c r="BA1390" s="304"/>
      <c r="BB1390" s="304"/>
      <c r="BC1390" s="304"/>
      <c r="BK1390" s="305"/>
      <c r="BL1390" s="305"/>
      <c r="BM1390" s="305"/>
      <c r="BN1390" s="305"/>
      <c r="BO1390" s="305"/>
      <c r="BP1390" s="305"/>
      <c r="BQ1390" s="305"/>
      <c r="BR1390" s="305"/>
      <c r="BS1390" s="305"/>
      <c r="BT1390" s="305"/>
      <c r="BU1390" s="305"/>
      <c r="BV1390" s="305"/>
      <c r="BX1390" s="319"/>
    </row>
    <row r="1391" spans="1:76" s="303" customFormat="1" x14ac:dyDescent="0.25">
      <c r="A1391" s="275"/>
      <c r="B1391" s="275"/>
      <c r="C1391" s="275"/>
      <c r="D1391" s="275"/>
      <c r="E1391" s="275"/>
      <c r="F1391" s="275"/>
      <c r="V1391" s="304"/>
      <c r="W1391" s="304"/>
      <c r="AD1391" s="304"/>
      <c r="AE1391" s="304"/>
      <c r="AR1391" s="304"/>
      <c r="AS1391" s="304"/>
      <c r="AT1391" s="304"/>
      <c r="AU1391" s="304"/>
      <c r="AV1391" s="304"/>
      <c r="AW1391" s="304"/>
      <c r="AX1391" s="304"/>
      <c r="AY1391" s="304"/>
      <c r="AZ1391" s="304"/>
      <c r="BA1391" s="304"/>
      <c r="BB1391" s="304"/>
      <c r="BC1391" s="304"/>
      <c r="BK1391" s="305"/>
      <c r="BL1391" s="305"/>
      <c r="BM1391" s="305"/>
      <c r="BN1391" s="305"/>
      <c r="BO1391" s="305"/>
      <c r="BP1391" s="305"/>
      <c r="BQ1391" s="305"/>
      <c r="BR1391" s="305"/>
      <c r="BS1391" s="305"/>
      <c r="BT1391" s="305"/>
      <c r="BU1391" s="305"/>
      <c r="BV1391" s="305"/>
      <c r="BX1391" s="319"/>
    </row>
    <row r="1392" spans="1:76" s="303" customFormat="1" x14ac:dyDescent="0.25">
      <c r="A1392" s="275"/>
      <c r="B1392" s="275"/>
      <c r="C1392" s="275"/>
      <c r="D1392" s="275"/>
      <c r="E1392" s="275"/>
      <c r="F1392" s="275"/>
      <c r="V1392" s="304"/>
      <c r="W1392" s="304"/>
      <c r="AD1392" s="304"/>
      <c r="AE1392" s="304"/>
      <c r="AR1392" s="304"/>
      <c r="AS1392" s="304"/>
      <c r="AT1392" s="304"/>
      <c r="AU1392" s="304"/>
      <c r="AV1392" s="304"/>
      <c r="AW1392" s="304"/>
      <c r="AX1392" s="304"/>
      <c r="AY1392" s="304"/>
      <c r="AZ1392" s="304"/>
      <c r="BA1392" s="304"/>
      <c r="BB1392" s="304"/>
      <c r="BC1392" s="304"/>
      <c r="BK1392" s="305"/>
      <c r="BL1392" s="305"/>
      <c r="BM1392" s="305"/>
      <c r="BN1392" s="305"/>
      <c r="BO1392" s="305"/>
      <c r="BP1392" s="305"/>
      <c r="BQ1392" s="305"/>
      <c r="BR1392" s="305"/>
      <c r="BS1392" s="305"/>
      <c r="BT1392" s="305"/>
      <c r="BU1392" s="305"/>
      <c r="BV1392" s="305"/>
      <c r="BX1392" s="319"/>
    </row>
    <row r="1393" spans="1:76" s="303" customFormat="1" x14ac:dyDescent="0.25">
      <c r="A1393" s="275"/>
      <c r="B1393" s="275"/>
      <c r="C1393" s="275"/>
      <c r="D1393" s="275"/>
      <c r="E1393" s="275"/>
      <c r="F1393" s="275"/>
      <c r="V1393" s="304"/>
      <c r="W1393" s="304"/>
      <c r="AD1393" s="304"/>
      <c r="AE1393" s="304"/>
      <c r="AR1393" s="304"/>
      <c r="AS1393" s="304"/>
      <c r="AT1393" s="304"/>
      <c r="AU1393" s="304"/>
      <c r="AV1393" s="304"/>
      <c r="AW1393" s="304"/>
      <c r="AX1393" s="304"/>
      <c r="AY1393" s="304"/>
      <c r="AZ1393" s="304"/>
      <c r="BA1393" s="304"/>
      <c r="BB1393" s="304"/>
      <c r="BC1393" s="304"/>
      <c r="BK1393" s="305"/>
      <c r="BL1393" s="305"/>
      <c r="BM1393" s="305"/>
      <c r="BN1393" s="305"/>
      <c r="BO1393" s="305"/>
      <c r="BP1393" s="305"/>
      <c r="BQ1393" s="305"/>
      <c r="BR1393" s="305"/>
      <c r="BS1393" s="305"/>
      <c r="BT1393" s="305"/>
      <c r="BU1393" s="305"/>
      <c r="BV1393" s="305"/>
      <c r="BX1393" s="319"/>
    </row>
    <row r="1394" spans="1:76" s="303" customFormat="1" x14ac:dyDescent="0.25">
      <c r="A1394" s="275"/>
      <c r="B1394" s="275"/>
      <c r="C1394" s="275"/>
      <c r="D1394" s="275"/>
      <c r="E1394" s="275"/>
      <c r="F1394" s="275"/>
      <c r="V1394" s="304"/>
      <c r="W1394" s="304"/>
      <c r="AD1394" s="304"/>
      <c r="AE1394" s="304"/>
      <c r="AR1394" s="304"/>
      <c r="AS1394" s="304"/>
      <c r="AT1394" s="304"/>
      <c r="AU1394" s="304"/>
      <c r="AV1394" s="304"/>
      <c r="AW1394" s="304"/>
      <c r="AX1394" s="304"/>
      <c r="AY1394" s="304"/>
      <c r="AZ1394" s="304"/>
      <c r="BA1394" s="304"/>
      <c r="BB1394" s="304"/>
      <c r="BC1394" s="304"/>
      <c r="BK1394" s="305"/>
      <c r="BL1394" s="305"/>
      <c r="BM1394" s="305"/>
      <c r="BN1394" s="305"/>
      <c r="BO1394" s="305"/>
      <c r="BP1394" s="305"/>
      <c r="BQ1394" s="305"/>
      <c r="BR1394" s="305"/>
      <c r="BS1394" s="305"/>
      <c r="BT1394" s="305"/>
      <c r="BU1394" s="305"/>
      <c r="BV1394" s="305"/>
      <c r="BX1394" s="319"/>
    </row>
    <row r="1395" spans="1:76" s="303" customFormat="1" x14ac:dyDescent="0.25">
      <c r="A1395" s="275"/>
      <c r="B1395" s="275"/>
      <c r="C1395" s="275"/>
      <c r="D1395" s="275"/>
      <c r="E1395" s="275"/>
      <c r="F1395" s="275"/>
      <c r="V1395" s="304"/>
      <c r="W1395" s="304"/>
      <c r="AD1395" s="304"/>
      <c r="AE1395" s="304"/>
      <c r="AR1395" s="304"/>
      <c r="AS1395" s="304"/>
      <c r="AT1395" s="304"/>
      <c r="AU1395" s="304"/>
      <c r="AV1395" s="304"/>
      <c r="AW1395" s="304"/>
      <c r="AX1395" s="304"/>
      <c r="AY1395" s="304"/>
      <c r="AZ1395" s="304"/>
      <c r="BA1395" s="304"/>
      <c r="BB1395" s="304"/>
      <c r="BC1395" s="304"/>
      <c r="BK1395" s="305"/>
      <c r="BL1395" s="305"/>
      <c r="BM1395" s="305"/>
      <c r="BN1395" s="305"/>
      <c r="BO1395" s="305"/>
      <c r="BP1395" s="305"/>
      <c r="BQ1395" s="305"/>
      <c r="BR1395" s="305"/>
      <c r="BS1395" s="305"/>
      <c r="BT1395" s="305"/>
      <c r="BU1395" s="305"/>
      <c r="BV1395" s="305"/>
      <c r="BX1395" s="319"/>
    </row>
    <row r="1396" spans="1:76" s="303" customFormat="1" x14ac:dyDescent="0.25">
      <c r="A1396" s="275"/>
      <c r="B1396" s="275"/>
      <c r="C1396" s="275"/>
      <c r="D1396" s="275"/>
      <c r="E1396" s="275"/>
      <c r="F1396" s="275"/>
      <c r="V1396" s="304"/>
      <c r="W1396" s="304"/>
      <c r="AD1396" s="304"/>
      <c r="AE1396" s="304"/>
      <c r="AR1396" s="304"/>
      <c r="AS1396" s="304"/>
      <c r="AT1396" s="304"/>
      <c r="AU1396" s="304"/>
      <c r="AV1396" s="304"/>
      <c r="AW1396" s="304"/>
      <c r="AX1396" s="304"/>
      <c r="AY1396" s="304"/>
      <c r="AZ1396" s="304"/>
      <c r="BA1396" s="304"/>
      <c r="BB1396" s="304"/>
      <c r="BC1396" s="304"/>
      <c r="BK1396" s="305"/>
      <c r="BL1396" s="305"/>
      <c r="BM1396" s="305"/>
      <c r="BN1396" s="305"/>
      <c r="BO1396" s="305"/>
      <c r="BP1396" s="305"/>
      <c r="BQ1396" s="305"/>
      <c r="BR1396" s="305"/>
      <c r="BS1396" s="305"/>
      <c r="BT1396" s="305"/>
      <c r="BU1396" s="305"/>
      <c r="BV1396" s="305"/>
      <c r="BX1396" s="319"/>
    </row>
    <row r="1397" spans="1:76" s="303" customFormat="1" x14ac:dyDescent="0.25">
      <c r="A1397" s="275"/>
      <c r="B1397" s="275"/>
      <c r="C1397" s="275"/>
      <c r="D1397" s="275"/>
      <c r="E1397" s="275"/>
      <c r="F1397" s="275"/>
      <c r="V1397" s="304"/>
      <c r="W1397" s="304"/>
      <c r="AD1397" s="304"/>
      <c r="AE1397" s="304"/>
      <c r="AR1397" s="304"/>
      <c r="AS1397" s="304"/>
      <c r="AT1397" s="304"/>
      <c r="AU1397" s="304"/>
      <c r="AV1397" s="304"/>
      <c r="AW1397" s="304"/>
      <c r="AX1397" s="304"/>
      <c r="AY1397" s="304"/>
      <c r="AZ1397" s="304"/>
      <c r="BA1397" s="304"/>
      <c r="BB1397" s="304"/>
      <c r="BC1397" s="304"/>
      <c r="BK1397" s="305"/>
      <c r="BL1397" s="305"/>
      <c r="BM1397" s="305"/>
      <c r="BN1397" s="305"/>
      <c r="BO1397" s="305"/>
      <c r="BP1397" s="305"/>
      <c r="BQ1397" s="305"/>
      <c r="BR1397" s="305"/>
      <c r="BS1397" s="305"/>
      <c r="BT1397" s="305"/>
      <c r="BU1397" s="305"/>
      <c r="BV1397" s="305"/>
      <c r="BX1397" s="319"/>
    </row>
    <row r="1398" spans="1:76" s="303" customFormat="1" x14ac:dyDescent="0.25">
      <c r="A1398" s="275"/>
      <c r="B1398" s="275"/>
      <c r="C1398" s="275"/>
      <c r="D1398" s="275"/>
      <c r="E1398" s="275"/>
      <c r="F1398" s="275"/>
      <c r="V1398" s="304"/>
      <c r="W1398" s="304"/>
      <c r="AD1398" s="304"/>
      <c r="AE1398" s="304"/>
      <c r="AR1398" s="304"/>
      <c r="AS1398" s="304"/>
      <c r="AT1398" s="304"/>
      <c r="AU1398" s="304"/>
      <c r="AV1398" s="304"/>
      <c r="AW1398" s="304"/>
      <c r="AX1398" s="304"/>
      <c r="AY1398" s="304"/>
      <c r="AZ1398" s="304"/>
      <c r="BA1398" s="304"/>
      <c r="BB1398" s="304"/>
      <c r="BC1398" s="304"/>
      <c r="BK1398" s="305"/>
      <c r="BL1398" s="305"/>
      <c r="BM1398" s="305"/>
      <c r="BN1398" s="305"/>
      <c r="BO1398" s="305"/>
      <c r="BP1398" s="305"/>
      <c r="BQ1398" s="305"/>
      <c r="BR1398" s="305"/>
      <c r="BS1398" s="305"/>
      <c r="BT1398" s="305"/>
      <c r="BU1398" s="305"/>
      <c r="BV1398" s="305"/>
      <c r="BX1398" s="319"/>
    </row>
    <row r="1399" spans="1:76" s="303" customFormat="1" x14ac:dyDescent="0.25">
      <c r="A1399" s="275"/>
      <c r="B1399" s="275"/>
      <c r="C1399" s="275"/>
      <c r="D1399" s="275"/>
      <c r="E1399" s="275"/>
      <c r="F1399" s="275"/>
      <c r="V1399" s="304"/>
      <c r="W1399" s="304"/>
      <c r="AD1399" s="304"/>
      <c r="AE1399" s="304"/>
      <c r="AR1399" s="304"/>
      <c r="AS1399" s="304"/>
      <c r="AT1399" s="304"/>
      <c r="AU1399" s="304"/>
      <c r="AV1399" s="304"/>
      <c r="AW1399" s="304"/>
      <c r="AX1399" s="304"/>
      <c r="AY1399" s="304"/>
      <c r="AZ1399" s="304"/>
      <c r="BA1399" s="304"/>
      <c r="BB1399" s="304"/>
      <c r="BC1399" s="304"/>
      <c r="BK1399" s="305"/>
      <c r="BL1399" s="305"/>
      <c r="BM1399" s="305"/>
      <c r="BN1399" s="305"/>
      <c r="BO1399" s="305"/>
      <c r="BP1399" s="305"/>
      <c r="BQ1399" s="305"/>
      <c r="BR1399" s="305"/>
      <c r="BS1399" s="305"/>
      <c r="BT1399" s="305"/>
      <c r="BU1399" s="305"/>
      <c r="BV1399" s="305"/>
      <c r="BX1399" s="319"/>
    </row>
    <row r="1400" spans="1:76" s="303" customFormat="1" x14ac:dyDescent="0.25">
      <c r="A1400" s="275"/>
      <c r="B1400" s="275"/>
      <c r="C1400" s="275"/>
      <c r="D1400" s="275"/>
      <c r="E1400" s="275"/>
      <c r="F1400" s="275"/>
      <c r="V1400" s="304"/>
      <c r="W1400" s="304"/>
      <c r="AD1400" s="304"/>
      <c r="AE1400" s="304"/>
      <c r="AR1400" s="304"/>
      <c r="AS1400" s="304"/>
      <c r="AT1400" s="304"/>
      <c r="AU1400" s="304"/>
      <c r="AV1400" s="304"/>
      <c r="AW1400" s="304"/>
      <c r="AX1400" s="304"/>
      <c r="AY1400" s="304"/>
      <c r="AZ1400" s="304"/>
      <c r="BA1400" s="304"/>
      <c r="BB1400" s="304"/>
      <c r="BC1400" s="304"/>
      <c r="BK1400" s="305"/>
      <c r="BL1400" s="305"/>
      <c r="BM1400" s="305"/>
      <c r="BN1400" s="305"/>
      <c r="BO1400" s="305"/>
      <c r="BP1400" s="305"/>
      <c r="BQ1400" s="305"/>
      <c r="BR1400" s="305"/>
      <c r="BS1400" s="305"/>
      <c r="BT1400" s="305"/>
      <c r="BU1400" s="305"/>
      <c r="BV1400" s="305"/>
      <c r="BX1400" s="319"/>
    </row>
    <row r="1401" spans="1:76" s="303" customFormat="1" x14ac:dyDescent="0.25">
      <c r="A1401" s="275"/>
      <c r="B1401" s="275"/>
      <c r="C1401" s="275"/>
      <c r="D1401" s="275"/>
      <c r="E1401" s="275"/>
      <c r="F1401" s="275"/>
      <c r="V1401" s="304"/>
      <c r="W1401" s="304"/>
      <c r="AD1401" s="304"/>
      <c r="AE1401" s="304"/>
      <c r="AR1401" s="304"/>
      <c r="AS1401" s="304"/>
      <c r="AT1401" s="304"/>
      <c r="AU1401" s="304"/>
      <c r="AV1401" s="304"/>
      <c r="AW1401" s="304"/>
      <c r="AX1401" s="304"/>
      <c r="AY1401" s="304"/>
      <c r="AZ1401" s="304"/>
      <c r="BA1401" s="304"/>
      <c r="BB1401" s="304"/>
      <c r="BC1401" s="304"/>
      <c r="BK1401" s="305"/>
      <c r="BL1401" s="305"/>
      <c r="BM1401" s="305"/>
      <c r="BN1401" s="305"/>
      <c r="BO1401" s="305"/>
      <c r="BP1401" s="305"/>
      <c r="BQ1401" s="305"/>
      <c r="BR1401" s="305"/>
      <c r="BS1401" s="305"/>
      <c r="BT1401" s="305"/>
      <c r="BU1401" s="305"/>
      <c r="BV1401" s="305"/>
      <c r="BX1401" s="319"/>
    </row>
    <row r="1402" spans="1:76" s="303" customFormat="1" x14ac:dyDescent="0.25">
      <c r="A1402" s="275"/>
      <c r="B1402" s="275"/>
      <c r="C1402" s="275"/>
      <c r="D1402" s="275"/>
      <c r="E1402" s="275"/>
      <c r="F1402" s="275"/>
      <c r="V1402" s="304"/>
      <c r="W1402" s="304"/>
      <c r="AD1402" s="304"/>
      <c r="AE1402" s="304"/>
      <c r="AR1402" s="304"/>
      <c r="AS1402" s="304"/>
      <c r="AT1402" s="304"/>
      <c r="AU1402" s="304"/>
      <c r="AV1402" s="304"/>
      <c r="AW1402" s="304"/>
      <c r="AX1402" s="304"/>
      <c r="AY1402" s="304"/>
      <c r="AZ1402" s="304"/>
      <c r="BA1402" s="304"/>
      <c r="BB1402" s="304"/>
      <c r="BC1402" s="304"/>
      <c r="BK1402" s="305"/>
      <c r="BL1402" s="305"/>
      <c r="BM1402" s="305"/>
      <c r="BN1402" s="305"/>
      <c r="BO1402" s="305"/>
      <c r="BP1402" s="305"/>
      <c r="BQ1402" s="305"/>
      <c r="BR1402" s="305"/>
      <c r="BS1402" s="305"/>
      <c r="BT1402" s="305"/>
      <c r="BU1402" s="305"/>
      <c r="BV1402" s="305"/>
      <c r="BX1402" s="319"/>
    </row>
    <row r="1403" spans="1:76" s="303" customFormat="1" x14ac:dyDescent="0.25">
      <c r="A1403" s="275"/>
      <c r="B1403" s="275"/>
      <c r="C1403" s="275"/>
      <c r="D1403" s="275"/>
      <c r="E1403" s="275"/>
      <c r="F1403" s="275"/>
      <c r="V1403" s="304"/>
      <c r="W1403" s="304"/>
      <c r="AD1403" s="304"/>
      <c r="AE1403" s="304"/>
      <c r="AR1403" s="304"/>
      <c r="AS1403" s="304"/>
      <c r="AT1403" s="304"/>
      <c r="AU1403" s="304"/>
      <c r="AV1403" s="304"/>
      <c r="AW1403" s="304"/>
      <c r="AX1403" s="304"/>
      <c r="AY1403" s="304"/>
      <c r="AZ1403" s="304"/>
      <c r="BA1403" s="304"/>
      <c r="BB1403" s="304"/>
      <c r="BC1403" s="304"/>
      <c r="BK1403" s="305"/>
      <c r="BL1403" s="305"/>
      <c r="BM1403" s="305"/>
      <c r="BN1403" s="305"/>
      <c r="BO1403" s="305"/>
      <c r="BP1403" s="305"/>
      <c r="BQ1403" s="305"/>
      <c r="BR1403" s="305"/>
      <c r="BS1403" s="305"/>
      <c r="BT1403" s="305"/>
      <c r="BU1403" s="305"/>
      <c r="BV1403" s="305"/>
      <c r="BX1403" s="319"/>
    </row>
    <row r="1404" spans="1:76" s="303" customFormat="1" x14ac:dyDescent="0.25">
      <c r="A1404" s="275"/>
      <c r="B1404" s="275"/>
      <c r="C1404" s="275"/>
      <c r="D1404" s="275"/>
      <c r="E1404" s="275"/>
      <c r="F1404" s="275"/>
      <c r="V1404" s="304"/>
      <c r="W1404" s="304"/>
      <c r="AD1404" s="304"/>
      <c r="AE1404" s="304"/>
      <c r="AR1404" s="304"/>
      <c r="AS1404" s="304"/>
      <c r="AT1404" s="304"/>
      <c r="AU1404" s="304"/>
      <c r="AV1404" s="304"/>
      <c r="AW1404" s="304"/>
      <c r="AX1404" s="304"/>
      <c r="AY1404" s="304"/>
      <c r="AZ1404" s="304"/>
      <c r="BA1404" s="304"/>
      <c r="BB1404" s="304"/>
      <c r="BC1404" s="304"/>
      <c r="BK1404" s="305"/>
      <c r="BL1404" s="305"/>
      <c r="BM1404" s="305"/>
      <c r="BN1404" s="305"/>
      <c r="BO1404" s="305"/>
      <c r="BP1404" s="305"/>
      <c r="BQ1404" s="305"/>
      <c r="BR1404" s="305"/>
      <c r="BS1404" s="305"/>
      <c r="BT1404" s="305"/>
      <c r="BU1404" s="305"/>
      <c r="BV1404" s="305"/>
      <c r="BX1404" s="319"/>
    </row>
    <row r="1405" spans="1:76" s="303" customFormat="1" x14ac:dyDescent="0.25">
      <c r="A1405" s="275"/>
      <c r="B1405" s="275"/>
      <c r="C1405" s="275"/>
      <c r="D1405" s="275"/>
      <c r="E1405" s="275"/>
      <c r="F1405" s="275"/>
      <c r="V1405" s="304"/>
      <c r="W1405" s="304"/>
      <c r="AD1405" s="304"/>
      <c r="AE1405" s="304"/>
      <c r="AR1405" s="304"/>
      <c r="AS1405" s="304"/>
      <c r="AT1405" s="304"/>
      <c r="AU1405" s="304"/>
      <c r="AV1405" s="304"/>
      <c r="AW1405" s="304"/>
      <c r="AX1405" s="304"/>
      <c r="AY1405" s="304"/>
      <c r="AZ1405" s="304"/>
      <c r="BA1405" s="304"/>
      <c r="BB1405" s="304"/>
      <c r="BC1405" s="304"/>
      <c r="BK1405" s="305"/>
      <c r="BL1405" s="305"/>
      <c r="BM1405" s="305"/>
      <c r="BN1405" s="305"/>
      <c r="BO1405" s="305"/>
      <c r="BP1405" s="305"/>
      <c r="BQ1405" s="305"/>
      <c r="BR1405" s="305"/>
      <c r="BS1405" s="305"/>
      <c r="BT1405" s="305"/>
      <c r="BU1405" s="305"/>
      <c r="BV1405" s="305"/>
      <c r="BX1405" s="319"/>
    </row>
    <row r="1406" spans="1:76" s="303" customFormat="1" x14ac:dyDescent="0.25">
      <c r="A1406" s="275"/>
      <c r="B1406" s="275"/>
      <c r="C1406" s="275"/>
      <c r="D1406" s="275"/>
      <c r="E1406" s="275"/>
      <c r="F1406" s="275"/>
      <c r="V1406" s="304"/>
      <c r="W1406" s="304"/>
      <c r="AD1406" s="304"/>
      <c r="AE1406" s="304"/>
      <c r="AR1406" s="304"/>
      <c r="AS1406" s="304"/>
      <c r="AT1406" s="304"/>
      <c r="AU1406" s="304"/>
      <c r="AV1406" s="304"/>
      <c r="AW1406" s="304"/>
      <c r="AX1406" s="304"/>
      <c r="AY1406" s="304"/>
      <c r="AZ1406" s="304"/>
      <c r="BA1406" s="304"/>
      <c r="BB1406" s="304"/>
      <c r="BC1406" s="304"/>
      <c r="BK1406" s="305"/>
      <c r="BL1406" s="305"/>
      <c r="BM1406" s="305"/>
      <c r="BN1406" s="305"/>
      <c r="BO1406" s="305"/>
      <c r="BP1406" s="305"/>
      <c r="BQ1406" s="305"/>
      <c r="BR1406" s="305"/>
      <c r="BS1406" s="305"/>
      <c r="BT1406" s="305"/>
      <c r="BU1406" s="305"/>
      <c r="BV1406" s="305"/>
      <c r="BX1406" s="319"/>
    </row>
    <row r="1407" spans="1:76" s="303" customFormat="1" x14ac:dyDescent="0.25">
      <c r="A1407" s="275"/>
      <c r="B1407" s="275"/>
      <c r="C1407" s="275"/>
      <c r="D1407" s="275"/>
      <c r="E1407" s="275"/>
      <c r="F1407" s="275"/>
      <c r="V1407" s="304"/>
      <c r="W1407" s="304"/>
      <c r="AD1407" s="304"/>
      <c r="AE1407" s="304"/>
      <c r="AR1407" s="304"/>
      <c r="AS1407" s="304"/>
      <c r="AT1407" s="304"/>
      <c r="AU1407" s="304"/>
      <c r="AV1407" s="304"/>
      <c r="AW1407" s="304"/>
      <c r="AX1407" s="304"/>
      <c r="AY1407" s="304"/>
      <c r="AZ1407" s="304"/>
      <c r="BA1407" s="304"/>
      <c r="BB1407" s="304"/>
      <c r="BC1407" s="304"/>
      <c r="BK1407" s="305"/>
      <c r="BL1407" s="305"/>
      <c r="BM1407" s="305"/>
      <c r="BN1407" s="305"/>
      <c r="BO1407" s="305"/>
      <c r="BP1407" s="305"/>
      <c r="BQ1407" s="305"/>
      <c r="BR1407" s="305"/>
      <c r="BS1407" s="305"/>
      <c r="BT1407" s="305"/>
      <c r="BU1407" s="305"/>
      <c r="BV1407" s="305"/>
      <c r="BX1407" s="319"/>
    </row>
    <row r="1408" spans="1:76" s="303" customFormat="1" x14ac:dyDescent="0.25">
      <c r="A1408" s="275"/>
      <c r="B1408" s="275"/>
      <c r="C1408" s="275"/>
      <c r="D1408" s="275"/>
      <c r="E1408" s="275"/>
      <c r="F1408" s="275"/>
      <c r="V1408" s="304"/>
      <c r="W1408" s="304"/>
      <c r="AD1408" s="304"/>
      <c r="AE1408" s="304"/>
      <c r="AR1408" s="304"/>
      <c r="AS1408" s="304"/>
      <c r="AT1408" s="304"/>
      <c r="AU1408" s="304"/>
      <c r="AV1408" s="304"/>
      <c r="AW1408" s="304"/>
      <c r="AX1408" s="304"/>
      <c r="AY1408" s="304"/>
      <c r="AZ1408" s="304"/>
      <c r="BA1408" s="304"/>
      <c r="BB1408" s="304"/>
      <c r="BC1408" s="304"/>
      <c r="BK1408" s="305"/>
      <c r="BL1408" s="305"/>
      <c r="BM1408" s="305"/>
      <c r="BN1408" s="305"/>
      <c r="BO1408" s="305"/>
      <c r="BP1408" s="305"/>
      <c r="BQ1408" s="305"/>
      <c r="BR1408" s="305"/>
      <c r="BS1408" s="305"/>
      <c r="BT1408" s="305"/>
      <c r="BU1408" s="305"/>
      <c r="BV1408" s="305"/>
      <c r="BX1408" s="319"/>
    </row>
    <row r="1409" spans="1:76" s="303" customFormat="1" x14ac:dyDescent="0.25">
      <c r="A1409" s="275"/>
      <c r="B1409" s="275"/>
      <c r="C1409" s="275"/>
      <c r="D1409" s="275"/>
      <c r="E1409" s="275"/>
      <c r="F1409" s="275"/>
      <c r="V1409" s="304"/>
      <c r="W1409" s="304"/>
      <c r="AD1409" s="304"/>
      <c r="AE1409" s="304"/>
      <c r="AR1409" s="304"/>
      <c r="AS1409" s="304"/>
      <c r="AT1409" s="304"/>
      <c r="AU1409" s="304"/>
      <c r="AV1409" s="304"/>
      <c r="AW1409" s="304"/>
      <c r="AX1409" s="304"/>
      <c r="AY1409" s="304"/>
      <c r="AZ1409" s="304"/>
      <c r="BA1409" s="304"/>
      <c r="BB1409" s="304"/>
      <c r="BC1409" s="304"/>
      <c r="BK1409" s="305"/>
      <c r="BL1409" s="305"/>
      <c r="BM1409" s="305"/>
      <c r="BN1409" s="305"/>
      <c r="BO1409" s="305"/>
      <c r="BP1409" s="305"/>
      <c r="BQ1409" s="305"/>
      <c r="BR1409" s="305"/>
      <c r="BS1409" s="305"/>
      <c r="BT1409" s="305"/>
      <c r="BU1409" s="305"/>
      <c r="BV1409" s="305"/>
      <c r="BX1409" s="319"/>
    </row>
    <row r="1410" spans="1:76" s="303" customFormat="1" x14ac:dyDescent="0.25">
      <c r="A1410" s="275"/>
      <c r="B1410" s="275"/>
      <c r="C1410" s="275"/>
      <c r="D1410" s="275"/>
      <c r="E1410" s="275"/>
      <c r="F1410" s="275"/>
      <c r="V1410" s="304"/>
      <c r="W1410" s="304"/>
      <c r="AD1410" s="304"/>
      <c r="AE1410" s="304"/>
      <c r="AR1410" s="304"/>
      <c r="AS1410" s="304"/>
      <c r="AT1410" s="304"/>
      <c r="AU1410" s="304"/>
      <c r="AV1410" s="304"/>
      <c r="AW1410" s="304"/>
      <c r="AX1410" s="304"/>
      <c r="AY1410" s="304"/>
      <c r="AZ1410" s="304"/>
      <c r="BA1410" s="304"/>
      <c r="BB1410" s="304"/>
      <c r="BC1410" s="304"/>
      <c r="BK1410" s="305"/>
      <c r="BL1410" s="305"/>
      <c r="BM1410" s="305"/>
      <c r="BN1410" s="305"/>
      <c r="BO1410" s="305"/>
      <c r="BP1410" s="305"/>
      <c r="BQ1410" s="305"/>
      <c r="BR1410" s="305"/>
      <c r="BS1410" s="305"/>
      <c r="BT1410" s="305"/>
      <c r="BU1410" s="305"/>
      <c r="BV1410" s="305"/>
      <c r="BX1410" s="319"/>
    </row>
    <row r="1411" spans="1:76" s="303" customFormat="1" x14ac:dyDescent="0.25">
      <c r="A1411" s="275"/>
      <c r="B1411" s="275"/>
      <c r="C1411" s="275"/>
      <c r="D1411" s="275"/>
      <c r="E1411" s="275"/>
      <c r="F1411" s="275"/>
      <c r="V1411" s="304"/>
      <c r="W1411" s="304"/>
      <c r="AD1411" s="304"/>
      <c r="AE1411" s="304"/>
      <c r="AR1411" s="304"/>
      <c r="AS1411" s="304"/>
      <c r="AT1411" s="304"/>
      <c r="AU1411" s="304"/>
      <c r="AV1411" s="304"/>
      <c r="AW1411" s="304"/>
      <c r="AX1411" s="304"/>
      <c r="AY1411" s="304"/>
      <c r="AZ1411" s="304"/>
      <c r="BA1411" s="304"/>
      <c r="BB1411" s="304"/>
      <c r="BC1411" s="304"/>
      <c r="BK1411" s="305"/>
      <c r="BL1411" s="305"/>
      <c r="BM1411" s="305"/>
      <c r="BN1411" s="305"/>
      <c r="BO1411" s="305"/>
      <c r="BP1411" s="305"/>
      <c r="BQ1411" s="305"/>
      <c r="BR1411" s="305"/>
      <c r="BS1411" s="305"/>
      <c r="BT1411" s="305"/>
      <c r="BU1411" s="305"/>
      <c r="BV1411" s="305"/>
      <c r="BX1411" s="319"/>
    </row>
    <row r="1412" spans="1:76" s="303" customFormat="1" x14ac:dyDescent="0.25">
      <c r="A1412" s="275"/>
      <c r="B1412" s="275"/>
      <c r="C1412" s="275"/>
      <c r="D1412" s="275"/>
      <c r="E1412" s="275"/>
      <c r="F1412" s="275"/>
      <c r="V1412" s="304"/>
      <c r="W1412" s="304"/>
      <c r="AD1412" s="304"/>
      <c r="AE1412" s="304"/>
      <c r="AR1412" s="304"/>
      <c r="AS1412" s="304"/>
      <c r="AT1412" s="304"/>
      <c r="AU1412" s="304"/>
      <c r="AV1412" s="304"/>
      <c r="AW1412" s="304"/>
      <c r="AX1412" s="304"/>
      <c r="AY1412" s="304"/>
      <c r="AZ1412" s="304"/>
      <c r="BA1412" s="304"/>
      <c r="BB1412" s="304"/>
      <c r="BC1412" s="304"/>
      <c r="BK1412" s="305"/>
      <c r="BL1412" s="305"/>
      <c r="BM1412" s="305"/>
      <c r="BN1412" s="305"/>
      <c r="BO1412" s="305"/>
      <c r="BP1412" s="305"/>
      <c r="BQ1412" s="305"/>
      <c r="BR1412" s="305"/>
      <c r="BS1412" s="305"/>
      <c r="BT1412" s="305"/>
      <c r="BU1412" s="305"/>
      <c r="BV1412" s="305"/>
      <c r="BX1412" s="319"/>
    </row>
    <row r="1413" spans="1:76" s="303" customFormat="1" x14ac:dyDescent="0.25">
      <c r="A1413" s="275"/>
      <c r="B1413" s="275"/>
      <c r="C1413" s="275"/>
      <c r="D1413" s="275"/>
      <c r="E1413" s="275"/>
      <c r="F1413" s="275"/>
      <c r="V1413" s="304"/>
      <c r="W1413" s="304"/>
      <c r="AD1413" s="304"/>
      <c r="AE1413" s="304"/>
      <c r="AR1413" s="304"/>
      <c r="AS1413" s="304"/>
      <c r="AT1413" s="304"/>
      <c r="AU1413" s="304"/>
      <c r="AV1413" s="304"/>
      <c r="AW1413" s="304"/>
      <c r="AX1413" s="304"/>
      <c r="AY1413" s="304"/>
      <c r="AZ1413" s="304"/>
      <c r="BA1413" s="304"/>
      <c r="BB1413" s="304"/>
      <c r="BC1413" s="304"/>
      <c r="BK1413" s="305"/>
      <c r="BL1413" s="305"/>
      <c r="BM1413" s="305"/>
      <c r="BN1413" s="305"/>
      <c r="BO1413" s="305"/>
      <c r="BP1413" s="305"/>
      <c r="BQ1413" s="305"/>
      <c r="BR1413" s="305"/>
      <c r="BS1413" s="305"/>
      <c r="BT1413" s="305"/>
      <c r="BU1413" s="305"/>
      <c r="BV1413" s="305"/>
      <c r="BX1413" s="319"/>
    </row>
    <row r="1414" spans="1:76" s="303" customFormat="1" x14ac:dyDescent="0.25">
      <c r="A1414" s="275"/>
      <c r="B1414" s="275"/>
      <c r="C1414" s="275"/>
      <c r="D1414" s="275"/>
      <c r="E1414" s="275"/>
      <c r="F1414" s="275"/>
      <c r="V1414" s="304"/>
      <c r="W1414" s="304"/>
      <c r="AD1414" s="304"/>
      <c r="AE1414" s="304"/>
      <c r="AR1414" s="304"/>
      <c r="AS1414" s="304"/>
      <c r="AT1414" s="304"/>
      <c r="AU1414" s="304"/>
      <c r="AV1414" s="304"/>
      <c r="AW1414" s="304"/>
      <c r="AX1414" s="304"/>
      <c r="AY1414" s="304"/>
      <c r="AZ1414" s="304"/>
      <c r="BA1414" s="304"/>
      <c r="BB1414" s="304"/>
      <c r="BC1414" s="304"/>
      <c r="BK1414" s="305"/>
      <c r="BL1414" s="305"/>
      <c r="BM1414" s="305"/>
      <c r="BN1414" s="305"/>
      <c r="BO1414" s="305"/>
      <c r="BP1414" s="305"/>
      <c r="BQ1414" s="305"/>
      <c r="BR1414" s="305"/>
      <c r="BS1414" s="305"/>
      <c r="BT1414" s="305"/>
      <c r="BU1414" s="305"/>
      <c r="BV1414" s="305"/>
      <c r="BX1414" s="319"/>
    </row>
    <row r="1415" spans="1:76" s="303" customFormat="1" x14ac:dyDescent="0.25">
      <c r="A1415" s="275"/>
      <c r="B1415" s="275"/>
      <c r="C1415" s="275"/>
      <c r="D1415" s="275"/>
      <c r="E1415" s="275"/>
      <c r="F1415" s="275"/>
      <c r="V1415" s="304"/>
      <c r="W1415" s="304"/>
      <c r="AD1415" s="304"/>
      <c r="AE1415" s="304"/>
      <c r="AR1415" s="304"/>
      <c r="AS1415" s="304"/>
      <c r="AT1415" s="304"/>
      <c r="AU1415" s="304"/>
      <c r="AV1415" s="304"/>
      <c r="AW1415" s="304"/>
      <c r="AX1415" s="304"/>
      <c r="AY1415" s="304"/>
      <c r="AZ1415" s="304"/>
      <c r="BA1415" s="304"/>
      <c r="BB1415" s="304"/>
      <c r="BC1415" s="304"/>
      <c r="BK1415" s="305"/>
      <c r="BL1415" s="305"/>
      <c r="BM1415" s="305"/>
      <c r="BN1415" s="305"/>
      <c r="BO1415" s="305"/>
      <c r="BP1415" s="305"/>
      <c r="BQ1415" s="305"/>
      <c r="BR1415" s="305"/>
      <c r="BS1415" s="305"/>
      <c r="BT1415" s="305"/>
      <c r="BU1415" s="305"/>
      <c r="BV1415" s="305"/>
      <c r="BX1415" s="319"/>
    </row>
    <row r="1416" spans="1:76" s="303" customFormat="1" x14ac:dyDescent="0.25">
      <c r="A1416" s="275"/>
      <c r="B1416" s="275"/>
      <c r="C1416" s="275"/>
      <c r="D1416" s="275"/>
      <c r="E1416" s="275"/>
      <c r="F1416" s="275"/>
      <c r="V1416" s="304"/>
      <c r="W1416" s="304"/>
      <c r="AD1416" s="304"/>
      <c r="AE1416" s="304"/>
      <c r="AR1416" s="304"/>
      <c r="AS1416" s="304"/>
      <c r="AT1416" s="304"/>
      <c r="AU1416" s="304"/>
      <c r="AV1416" s="304"/>
      <c r="AW1416" s="304"/>
      <c r="AX1416" s="304"/>
      <c r="AY1416" s="304"/>
      <c r="AZ1416" s="304"/>
      <c r="BA1416" s="304"/>
      <c r="BB1416" s="304"/>
      <c r="BC1416" s="304"/>
      <c r="BK1416" s="305"/>
      <c r="BL1416" s="305"/>
      <c r="BM1416" s="305"/>
      <c r="BN1416" s="305"/>
      <c r="BO1416" s="305"/>
      <c r="BP1416" s="305"/>
      <c r="BQ1416" s="305"/>
      <c r="BR1416" s="305"/>
      <c r="BS1416" s="305"/>
      <c r="BT1416" s="305"/>
      <c r="BU1416" s="305"/>
      <c r="BV1416" s="305"/>
      <c r="BX1416" s="319"/>
    </row>
    <row r="1417" spans="1:76" s="303" customFormat="1" x14ac:dyDescent="0.25">
      <c r="A1417" s="275"/>
      <c r="B1417" s="275"/>
      <c r="C1417" s="275"/>
      <c r="D1417" s="275"/>
      <c r="E1417" s="275"/>
      <c r="F1417" s="275"/>
      <c r="V1417" s="304"/>
      <c r="W1417" s="304"/>
      <c r="AD1417" s="304"/>
      <c r="AE1417" s="304"/>
      <c r="AR1417" s="304"/>
      <c r="AS1417" s="304"/>
      <c r="AT1417" s="304"/>
      <c r="AU1417" s="304"/>
      <c r="AV1417" s="304"/>
      <c r="AW1417" s="304"/>
      <c r="AX1417" s="304"/>
      <c r="AY1417" s="304"/>
      <c r="AZ1417" s="304"/>
      <c r="BA1417" s="304"/>
      <c r="BB1417" s="304"/>
      <c r="BC1417" s="304"/>
      <c r="BK1417" s="305"/>
      <c r="BL1417" s="305"/>
      <c r="BM1417" s="305"/>
      <c r="BN1417" s="305"/>
      <c r="BO1417" s="305"/>
      <c r="BP1417" s="305"/>
      <c r="BQ1417" s="305"/>
      <c r="BR1417" s="305"/>
      <c r="BS1417" s="305"/>
      <c r="BT1417" s="305"/>
      <c r="BU1417" s="305"/>
      <c r="BV1417" s="305"/>
      <c r="BX1417" s="319"/>
    </row>
    <row r="1418" spans="1:76" s="303" customFormat="1" x14ac:dyDescent="0.25">
      <c r="A1418" s="275"/>
      <c r="B1418" s="275"/>
      <c r="C1418" s="275"/>
      <c r="D1418" s="275"/>
      <c r="E1418" s="275"/>
      <c r="F1418" s="275"/>
      <c r="V1418" s="304"/>
      <c r="W1418" s="304"/>
      <c r="AD1418" s="304"/>
      <c r="AE1418" s="304"/>
      <c r="AR1418" s="304"/>
      <c r="AS1418" s="304"/>
      <c r="AT1418" s="304"/>
      <c r="AU1418" s="304"/>
      <c r="AV1418" s="304"/>
      <c r="AW1418" s="304"/>
      <c r="AX1418" s="304"/>
      <c r="AY1418" s="304"/>
      <c r="AZ1418" s="304"/>
      <c r="BA1418" s="304"/>
      <c r="BB1418" s="304"/>
      <c r="BC1418" s="304"/>
      <c r="BK1418" s="305"/>
      <c r="BL1418" s="305"/>
      <c r="BM1418" s="305"/>
      <c r="BN1418" s="305"/>
      <c r="BO1418" s="305"/>
      <c r="BP1418" s="305"/>
      <c r="BQ1418" s="305"/>
      <c r="BR1418" s="305"/>
      <c r="BS1418" s="305"/>
      <c r="BT1418" s="305"/>
      <c r="BU1418" s="305"/>
      <c r="BV1418" s="305"/>
      <c r="BX1418" s="319"/>
    </row>
    <row r="1419" spans="1:76" s="303" customFormat="1" x14ac:dyDescent="0.25">
      <c r="A1419" s="275"/>
      <c r="B1419" s="275"/>
      <c r="C1419" s="275"/>
      <c r="D1419" s="275"/>
      <c r="E1419" s="275"/>
      <c r="F1419" s="275"/>
      <c r="V1419" s="304"/>
      <c r="W1419" s="304"/>
      <c r="AD1419" s="304"/>
      <c r="AE1419" s="304"/>
      <c r="AR1419" s="304"/>
      <c r="AS1419" s="304"/>
      <c r="AT1419" s="304"/>
      <c r="AU1419" s="304"/>
      <c r="AV1419" s="304"/>
      <c r="AW1419" s="304"/>
      <c r="AX1419" s="304"/>
      <c r="AY1419" s="304"/>
      <c r="AZ1419" s="304"/>
      <c r="BA1419" s="304"/>
      <c r="BB1419" s="304"/>
      <c r="BC1419" s="304"/>
      <c r="BK1419" s="305"/>
      <c r="BL1419" s="305"/>
      <c r="BM1419" s="305"/>
      <c r="BN1419" s="305"/>
      <c r="BO1419" s="305"/>
      <c r="BP1419" s="305"/>
      <c r="BQ1419" s="305"/>
      <c r="BR1419" s="305"/>
      <c r="BS1419" s="305"/>
      <c r="BT1419" s="305"/>
      <c r="BU1419" s="305"/>
      <c r="BV1419" s="305"/>
      <c r="BX1419" s="319"/>
    </row>
    <row r="1420" spans="1:76" s="303" customFormat="1" x14ac:dyDescent="0.25">
      <c r="A1420" s="275"/>
      <c r="B1420" s="275"/>
      <c r="C1420" s="275"/>
      <c r="D1420" s="275"/>
      <c r="E1420" s="275"/>
      <c r="F1420" s="275"/>
      <c r="V1420" s="304"/>
      <c r="W1420" s="304"/>
      <c r="AD1420" s="304"/>
      <c r="AE1420" s="304"/>
      <c r="AR1420" s="304"/>
      <c r="AS1420" s="304"/>
      <c r="AT1420" s="304"/>
      <c r="AU1420" s="304"/>
      <c r="AV1420" s="304"/>
      <c r="AW1420" s="304"/>
      <c r="AX1420" s="304"/>
      <c r="AY1420" s="304"/>
      <c r="AZ1420" s="304"/>
      <c r="BA1420" s="304"/>
      <c r="BB1420" s="304"/>
      <c r="BC1420" s="304"/>
      <c r="BK1420" s="305"/>
      <c r="BL1420" s="305"/>
      <c r="BM1420" s="305"/>
      <c r="BN1420" s="305"/>
      <c r="BO1420" s="305"/>
      <c r="BP1420" s="305"/>
      <c r="BQ1420" s="305"/>
      <c r="BR1420" s="305"/>
      <c r="BS1420" s="305"/>
      <c r="BT1420" s="305"/>
      <c r="BU1420" s="305"/>
      <c r="BV1420" s="305"/>
      <c r="BX1420" s="319"/>
    </row>
    <row r="1421" spans="1:76" s="303" customFormat="1" x14ac:dyDescent="0.25">
      <c r="A1421" s="275"/>
      <c r="B1421" s="275"/>
      <c r="C1421" s="275"/>
      <c r="D1421" s="275"/>
      <c r="E1421" s="275"/>
      <c r="F1421" s="275"/>
      <c r="V1421" s="304"/>
      <c r="W1421" s="304"/>
      <c r="AD1421" s="304"/>
      <c r="AE1421" s="304"/>
      <c r="AR1421" s="304"/>
      <c r="AS1421" s="304"/>
      <c r="AT1421" s="304"/>
      <c r="AU1421" s="304"/>
      <c r="AV1421" s="304"/>
      <c r="AW1421" s="304"/>
      <c r="AX1421" s="304"/>
      <c r="AY1421" s="304"/>
      <c r="AZ1421" s="304"/>
      <c r="BA1421" s="304"/>
      <c r="BB1421" s="304"/>
      <c r="BC1421" s="304"/>
      <c r="BK1421" s="305"/>
      <c r="BL1421" s="305"/>
      <c r="BM1421" s="305"/>
      <c r="BN1421" s="305"/>
      <c r="BO1421" s="305"/>
      <c r="BP1421" s="305"/>
      <c r="BQ1421" s="305"/>
      <c r="BR1421" s="305"/>
      <c r="BS1421" s="305"/>
      <c r="BT1421" s="305"/>
      <c r="BU1421" s="305"/>
      <c r="BV1421" s="305"/>
      <c r="BX1421" s="319"/>
    </row>
    <row r="1422" spans="1:76" s="303" customFormat="1" x14ac:dyDescent="0.25">
      <c r="A1422" s="275"/>
      <c r="B1422" s="275"/>
      <c r="C1422" s="275"/>
      <c r="D1422" s="275"/>
      <c r="E1422" s="275"/>
      <c r="F1422" s="275"/>
      <c r="V1422" s="304"/>
      <c r="W1422" s="304"/>
      <c r="AD1422" s="304"/>
      <c r="AE1422" s="304"/>
      <c r="AR1422" s="304"/>
      <c r="AS1422" s="304"/>
      <c r="AT1422" s="304"/>
      <c r="AU1422" s="304"/>
      <c r="AV1422" s="304"/>
      <c r="AW1422" s="304"/>
      <c r="AX1422" s="304"/>
      <c r="AY1422" s="304"/>
      <c r="AZ1422" s="304"/>
      <c r="BA1422" s="304"/>
      <c r="BB1422" s="304"/>
      <c r="BC1422" s="304"/>
      <c r="BK1422" s="305"/>
      <c r="BL1422" s="305"/>
      <c r="BM1422" s="305"/>
      <c r="BN1422" s="305"/>
      <c r="BO1422" s="305"/>
      <c r="BP1422" s="305"/>
      <c r="BQ1422" s="305"/>
      <c r="BR1422" s="305"/>
      <c r="BS1422" s="305"/>
      <c r="BT1422" s="305"/>
      <c r="BU1422" s="305"/>
      <c r="BV1422" s="305"/>
      <c r="BX1422" s="319"/>
    </row>
    <row r="1423" spans="1:76" s="303" customFormat="1" x14ac:dyDescent="0.25">
      <c r="A1423" s="275"/>
      <c r="B1423" s="275"/>
      <c r="C1423" s="275"/>
      <c r="D1423" s="275"/>
      <c r="E1423" s="275"/>
      <c r="F1423" s="275"/>
      <c r="V1423" s="304"/>
      <c r="W1423" s="304"/>
      <c r="AD1423" s="304"/>
      <c r="AE1423" s="304"/>
      <c r="AR1423" s="304"/>
      <c r="AS1423" s="304"/>
      <c r="AT1423" s="304"/>
      <c r="AU1423" s="304"/>
      <c r="AV1423" s="304"/>
      <c r="AW1423" s="304"/>
      <c r="AX1423" s="304"/>
      <c r="AY1423" s="304"/>
      <c r="AZ1423" s="304"/>
      <c r="BA1423" s="304"/>
      <c r="BB1423" s="304"/>
      <c r="BC1423" s="304"/>
      <c r="BK1423" s="305"/>
      <c r="BL1423" s="305"/>
      <c r="BM1423" s="305"/>
      <c r="BN1423" s="305"/>
      <c r="BO1423" s="305"/>
      <c r="BP1423" s="305"/>
      <c r="BQ1423" s="305"/>
      <c r="BR1423" s="305"/>
      <c r="BS1423" s="305"/>
      <c r="BT1423" s="305"/>
      <c r="BU1423" s="305"/>
      <c r="BV1423" s="305"/>
      <c r="BX1423" s="319"/>
    </row>
    <row r="1424" spans="1:76" s="303" customFormat="1" x14ac:dyDescent="0.25">
      <c r="A1424" s="275"/>
      <c r="B1424" s="275"/>
      <c r="C1424" s="275"/>
      <c r="D1424" s="275"/>
      <c r="E1424" s="275"/>
      <c r="F1424" s="275"/>
      <c r="V1424" s="304"/>
      <c r="W1424" s="304"/>
      <c r="AD1424" s="304"/>
      <c r="AE1424" s="304"/>
      <c r="AR1424" s="304"/>
      <c r="AS1424" s="304"/>
      <c r="AT1424" s="304"/>
      <c r="AU1424" s="304"/>
      <c r="AV1424" s="304"/>
      <c r="AW1424" s="304"/>
      <c r="AX1424" s="304"/>
      <c r="AY1424" s="304"/>
      <c r="AZ1424" s="304"/>
      <c r="BA1424" s="304"/>
      <c r="BB1424" s="304"/>
      <c r="BC1424" s="304"/>
      <c r="BK1424" s="305"/>
      <c r="BL1424" s="305"/>
      <c r="BM1424" s="305"/>
      <c r="BN1424" s="305"/>
      <c r="BO1424" s="305"/>
      <c r="BP1424" s="305"/>
      <c r="BQ1424" s="305"/>
      <c r="BR1424" s="305"/>
      <c r="BS1424" s="305"/>
      <c r="BT1424" s="305"/>
      <c r="BU1424" s="305"/>
      <c r="BV1424" s="305"/>
      <c r="BX1424" s="319"/>
    </row>
    <row r="1425" spans="1:76" s="303" customFormat="1" x14ac:dyDescent="0.25">
      <c r="A1425" s="275"/>
      <c r="B1425" s="275"/>
      <c r="C1425" s="275"/>
      <c r="D1425" s="275"/>
      <c r="E1425" s="275"/>
      <c r="F1425" s="275"/>
      <c r="V1425" s="304"/>
      <c r="W1425" s="304"/>
      <c r="AD1425" s="304"/>
      <c r="AE1425" s="304"/>
      <c r="AR1425" s="304"/>
      <c r="AS1425" s="304"/>
      <c r="AT1425" s="304"/>
      <c r="AU1425" s="304"/>
      <c r="AV1425" s="304"/>
      <c r="AW1425" s="304"/>
      <c r="AX1425" s="304"/>
      <c r="AY1425" s="304"/>
      <c r="AZ1425" s="304"/>
      <c r="BA1425" s="304"/>
      <c r="BB1425" s="304"/>
      <c r="BC1425" s="304"/>
      <c r="BK1425" s="305"/>
      <c r="BL1425" s="305"/>
      <c r="BM1425" s="305"/>
      <c r="BN1425" s="305"/>
      <c r="BO1425" s="305"/>
      <c r="BP1425" s="305"/>
      <c r="BQ1425" s="305"/>
      <c r="BR1425" s="305"/>
      <c r="BS1425" s="305"/>
      <c r="BT1425" s="305"/>
      <c r="BU1425" s="305"/>
      <c r="BV1425" s="305"/>
      <c r="BX1425" s="319"/>
    </row>
    <row r="1426" spans="1:76" s="303" customFormat="1" x14ac:dyDescent="0.25">
      <c r="A1426" s="275"/>
      <c r="B1426" s="275"/>
      <c r="C1426" s="275"/>
      <c r="D1426" s="275"/>
      <c r="E1426" s="275"/>
      <c r="F1426" s="275"/>
      <c r="V1426" s="304"/>
      <c r="W1426" s="304"/>
      <c r="AD1426" s="304"/>
      <c r="AE1426" s="304"/>
      <c r="AR1426" s="304"/>
      <c r="AS1426" s="304"/>
      <c r="AT1426" s="304"/>
      <c r="AU1426" s="304"/>
      <c r="AV1426" s="304"/>
      <c r="AW1426" s="304"/>
      <c r="AX1426" s="304"/>
      <c r="AY1426" s="304"/>
      <c r="AZ1426" s="304"/>
      <c r="BA1426" s="304"/>
      <c r="BB1426" s="304"/>
      <c r="BC1426" s="304"/>
      <c r="BK1426" s="305"/>
      <c r="BL1426" s="305"/>
      <c r="BM1426" s="305"/>
      <c r="BN1426" s="305"/>
      <c r="BO1426" s="305"/>
      <c r="BP1426" s="305"/>
      <c r="BQ1426" s="305"/>
      <c r="BR1426" s="305"/>
      <c r="BS1426" s="305"/>
      <c r="BT1426" s="305"/>
      <c r="BU1426" s="305"/>
      <c r="BV1426" s="305"/>
      <c r="BX1426" s="319"/>
    </row>
    <row r="1427" spans="1:76" s="303" customFormat="1" x14ac:dyDescent="0.25">
      <c r="A1427" s="275"/>
      <c r="B1427" s="275"/>
      <c r="C1427" s="275"/>
      <c r="D1427" s="275"/>
      <c r="E1427" s="275"/>
      <c r="F1427" s="275"/>
      <c r="V1427" s="304"/>
      <c r="W1427" s="304"/>
      <c r="AD1427" s="304"/>
      <c r="AE1427" s="304"/>
      <c r="AR1427" s="304"/>
      <c r="AS1427" s="304"/>
      <c r="AT1427" s="304"/>
      <c r="AU1427" s="304"/>
      <c r="AV1427" s="304"/>
      <c r="AW1427" s="304"/>
      <c r="AX1427" s="304"/>
      <c r="AY1427" s="304"/>
      <c r="AZ1427" s="304"/>
      <c r="BA1427" s="304"/>
      <c r="BB1427" s="304"/>
      <c r="BC1427" s="304"/>
      <c r="BK1427" s="305"/>
      <c r="BL1427" s="305"/>
      <c r="BM1427" s="305"/>
      <c r="BN1427" s="305"/>
      <c r="BO1427" s="305"/>
      <c r="BP1427" s="305"/>
      <c r="BQ1427" s="305"/>
      <c r="BR1427" s="305"/>
      <c r="BS1427" s="305"/>
      <c r="BT1427" s="305"/>
      <c r="BU1427" s="305"/>
      <c r="BV1427" s="305"/>
      <c r="BX1427" s="319"/>
    </row>
    <row r="1428" spans="1:76" s="303" customFormat="1" x14ac:dyDescent="0.25">
      <c r="A1428" s="275"/>
      <c r="B1428" s="275"/>
      <c r="C1428" s="275"/>
      <c r="D1428" s="275"/>
      <c r="E1428" s="275"/>
      <c r="F1428" s="275"/>
      <c r="V1428" s="304"/>
      <c r="W1428" s="304"/>
      <c r="AD1428" s="304"/>
      <c r="AE1428" s="304"/>
      <c r="AR1428" s="304"/>
      <c r="AS1428" s="304"/>
      <c r="AT1428" s="304"/>
      <c r="AU1428" s="304"/>
      <c r="AV1428" s="304"/>
      <c r="AW1428" s="304"/>
      <c r="AX1428" s="304"/>
      <c r="AY1428" s="304"/>
      <c r="AZ1428" s="304"/>
      <c r="BA1428" s="304"/>
      <c r="BB1428" s="304"/>
      <c r="BC1428" s="304"/>
      <c r="BK1428" s="305"/>
      <c r="BL1428" s="305"/>
      <c r="BM1428" s="305"/>
      <c r="BN1428" s="305"/>
      <c r="BO1428" s="305"/>
      <c r="BP1428" s="305"/>
      <c r="BQ1428" s="305"/>
      <c r="BR1428" s="305"/>
      <c r="BS1428" s="305"/>
      <c r="BT1428" s="305"/>
      <c r="BU1428" s="305"/>
      <c r="BV1428" s="305"/>
      <c r="BX1428" s="319"/>
    </row>
    <row r="1429" spans="1:76" s="303" customFormat="1" x14ac:dyDescent="0.25">
      <c r="A1429" s="275"/>
      <c r="B1429" s="275"/>
      <c r="C1429" s="275"/>
      <c r="D1429" s="275"/>
      <c r="E1429" s="275"/>
      <c r="F1429" s="275"/>
      <c r="V1429" s="304"/>
      <c r="W1429" s="304"/>
      <c r="AD1429" s="304"/>
      <c r="AE1429" s="304"/>
      <c r="AR1429" s="304"/>
      <c r="AS1429" s="304"/>
      <c r="AT1429" s="304"/>
      <c r="AU1429" s="304"/>
      <c r="AV1429" s="304"/>
      <c r="AW1429" s="304"/>
      <c r="AX1429" s="304"/>
      <c r="AY1429" s="304"/>
      <c r="AZ1429" s="304"/>
      <c r="BA1429" s="304"/>
      <c r="BB1429" s="304"/>
      <c r="BC1429" s="304"/>
      <c r="BK1429" s="305"/>
      <c r="BL1429" s="305"/>
      <c r="BM1429" s="305"/>
      <c r="BN1429" s="305"/>
      <c r="BO1429" s="305"/>
      <c r="BP1429" s="305"/>
      <c r="BQ1429" s="305"/>
      <c r="BR1429" s="305"/>
      <c r="BS1429" s="305"/>
      <c r="BT1429" s="305"/>
      <c r="BU1429" s="305"/>
      <c r="BV1429" s="305"/>
      <c r="BX1429" s="319"/>
    </row>
    <row r="1430" spans="1:76" s="303" customFormat="1" x14ac:dyDescent="0.25">
      <c r="A1430" s="275"/>
      <c r="B1430" s="275"/>
      <c r="C1430" s="275"/>
      <c r="D1430" s="275"/>
      <c r="E1430" s="275"/>
      <c r="F1430" s="275"/>
      <c r="V1430" s="304"/>
      <c r="W1430" s="304"/>
      <c r="AD1430" s="304"/>
      <c r="AE1430" s="304"/>
      <c r="AR1430" s="304"/>
      <c r="AS1430" s="304"/>
      <c r="AT1430" s="304"/>
      <c r="AU1430" s="304"/>
      <c r="AV1430" s="304"/>
      <c r="AW1430" s="304"/>
      <c r="AX1430" s="304"/>
      <c r="AY1430" s="304"/>
      <c r="AZ1430" s="304"/>
      <c r="BA1430" s="304"/>
      <c r="BB1430" s="304"/>
      <c r="BC1430" s="304"/>
      <c r="BK1430" s="305"/>
      <c r="BL1430" s="305"/>
      <c r="BM1430" s="305"/>
      <c r="BN1430" s="305"/>
      <c r="BO1430" s="305"/>
      <c r="BP1430" s="305"/>
      <c r="BQ1430" s="305"/>
      <c r="BR1430" s="305"/>
      <c r="BS1430" s="305"/>
      <c r="BT1430" s="305"/>
      <c r="BU1430" s="305"/>
      <c r="BV1430" s="305"/>
      <c r="BX1430" s="319"/>
    </row>
    <row r="1431" spans="1:76" s="303" customFormat="1" x14ac:dyDescent="0.25">
      <c r="A1431" s="275"/>
      <c r="B1431" s="275"/>
      <c r="C1431" s="275"/>
      <c r="D1431" s="275"/>
      <c r="E1431" s="275"/>
      <c r="F1431" s="275"/>
      <c r="V1431" s="304"/>
      <c r="W1431" s="304"/>
      <c r="AD1431" s="304"/>
      <c r="AE1431" s="304"/>
      <c r="AR1431" s="304"/>
      <c r="AS1431" s="304"/>
      <c r="AT1431" s="304"/>
      <c r="AU1431" s="304"/>
      <c r="AV1431" s="304"/>
      <c r="AW1431" s="304"/>
      <c r="AX1431" s="304"/>
      <c r="AY1431" s="304"/>
      <c r="AZ1431" s="304"/>
      <c r="BA1431" s="304"/>
      <c r="BB1431" s="304"/>
      <c r="BC1431" s="304"/>
      <c r="BK1431" s="305"/>
      <c r="BL1431" s="305"/>
      <c r="BM1431" s="305"/>
      <c r="BN1431" s="305"/>
      <c r="BO1431" s="305"/>
      <c r="BP1431" s="305"/>
      <c r="BQ1431" s="305"/>
      <c r="BR1431" s="305"/>
      <c r="BS1431" s="305"/>
      <c r="BT1431" s="305"/>
      <c r="BU1431" s="305"/>
      <c r="BV1431" s="305"/>
      <c r="BX1431" s="319"/>
    </row>
    <row r="1432" spans="1:76" s="303" customFormat="1" x14ac:dyDescent="0.25">
      <c r="A1432" s="275"/>
      <c r="B1432" s="275"/>
      <c r="C1432" s="275"/>
      <c r="D1432" s="275"/>
      <c r="E1432" s="275"/>
      <c r="F1432" s="275"/>
      <c r="V1432" s="304"/>
      <c r="W1432" s="304"/>
      <c r="AD1432" s="304"/>
      <c r="AE1432" s="304"/>
      <c r="AR1432" s="304"/>
      <c r="AS1432" s="304"/>
      <c r="AT1432" s="304"/>
      <c r="AU1432" s="304"/>
      <c r="AV1432" s="304"/>
      <c r="AW1432" s="304"/>
      <c r="AX1432" s="304"/>
      <c r="AY1432" s="304"/>
      <c r="AZ1432" s="304"/>
      <c r="BA1432" s="304"/>
      <c r="BB1432" s="304"/>
      <c r="BC1432" s="304"/>
      <c r="BK1432" s="305"/>
      <c r="BL1432" s="305"/>
      <c r="BM1432" s="305"/>
      <c r="BN1432" s="305"/>
      <c r="BO1432" s="305"/>
      <c r="BP1432" s="305"/>
      <c r="BQ1432" s="305"/>
      <c r="BR1432" s="305"/>
      <c r="BS1432" s="305"/>
      <c r="BT1432" s="305"/>
      <c r="BU1432" s="305"/>
      <c r="BV1432" s="305"/>
      <c r="BX1432" s="319"/>
    </row>
    <row r="1433" spans="1:76" s="303" customFormat="1" x14ac:dyDescent="0.25">
      <c r="A1433" s="275"/>
      <c r="B1433" s="275"/>
      <c r="C1433" s="275"/>
      <c r="D1433" s="275"/>
      <c r="E1433" s="275"/>
      <c r="F1433" s="275"/>
      <c r="V1433" s="304"/>
      <c r="W1433" s="304"/>
      <c r="AD1433" s="304"/>
      <c r="AE1433" s="304"/>
      <c r="AR1433" s="304"/>
      <c r="AS1433" s="304"/>
      <c r="AT1433" s="304"/>
      <c r="AU1433" s="304"/>
      <c r="AV1433" s="304"/>
      <c r="AW1433" s="304"/>
      <c r="AX1433" s="304"/>
      <c r="AY1433" s="304"/>
      <c r="AZ1433" s="304"/>
      <c r="BA1433" s="304"/>
      <c r="BB1433" s="304"/>
      <c r="BC1433" s="304"/>
      <c r="BK1433" s="305"/>
      <c r="BL1433" s="305"/>
      <c r="BM1433" s="305"/>
      <c r="BN1433" s="305"/>
      <c r="BO1433" s="305"/>
      <c r="BP1433" s="305"/>
      <c r="BQ1433" s="305"/>
      <c r="BR1433" s="305"/>
      <c r="BS1433" s="305"/>
      <c r="BT1433" s="305"/>
      <c r="BU1433" s="305"/>
      <c r="BV1433" s="305"/>
      <c r="BX1433" s="319"/>
    </row>
    <row r="1434" spans="1:76" s="303" customFormat="1" x14ac:dyDescent="0.25">
      <c r="A1434" s="275"/>
      <c r="B1434" s="275"/>
      <c r="C1434" s="275"/>
      <c r="D1434" s="275"/>
      <c r="E1434" s="275"/>
      <c r="F1434" s="275"/>
      <c r="V1434" s="304"/>
      <c r="W1434" s="304"/>
      <c r="AD1434" s="304"/>
      <c r="AE1434" s="304"/>
      <c r="AR1434" s="304"/>
      <c r="AS1434" s="304"/>
      <c r="AT1434" s="304"/>
      <c r="AU1434" s="304"/>
      <c r="AV1434" s="304"/>
      <c r="AW1434" s="304"/>
      <c r="AX1434" s="304"/>
      <c r="AY1434" s="304"/>
      <c r="AZ1434" s="304"/>
      <c r="BA1434" s="304"/>
      <c r="BB1434" s="304"/>
      <c r="BC1434" s="304"/>
      <c r="BK1434" s="305"/>
      <c r="BL1434" s="305"/>
      <c r="BM1434" s="305"/>
      <c r="BN1434" s="305"/>
      <c r="BO1434" s="305"/>
      <c r="BP1434" s="305"/>
      <c r="BQ1434" s="305"/>
      <c r="BR1434" s="305"/>
      <c r="BS1434" s="305"/>
      <c r="BT1434" s="305"/>
      <c r="BU1434" s="305"/>
      <c r="BV1434" s="305"/>
      <c r="BX1434" s="319"/>
    </row>
    <row r="1435" spans="1:76" s="303" customFormat="1" x14ac:dyDescent="0.25">
      <c r="A1435" s="275"/>
      <c r="B1435" s="275"/>
      <c r="C1435" s="275"/>
      <c r="D1435" s="275"/>
      <c r="E1435" s="275"/>
      <c r="F1435" s="275"/>
      <c r="V1435" s="304"/>
      <c r="W1435" s="304"/>
      <c r="AD1435" s="304"/>
      <c r="AE1435" s="304"/>
      <c r="AR1435" s="304"/>
      <c r="AS1435" s="304"/>
      <c r="AT1435" s="304"/>
      <c r="AU1435" s="304"/>
      <c r="AV1435" s="304"/>
      <c r="AW1435" s="304"/>
      <c r="AX1435" s="304"/>
      <c r="AY1435" s="304"/>
      <c r="AZ1435" s="304"/>
      <c r="BA1435" s="304"/>
      <c r="BB1435" s="304"/>
      <c r="BC1435" s="304"/>
      <c r="BK1435" s="305"/>
      <c r="BL1435" s="305"/>
      <c r="BM1435" s="305"/>
      <c r="BN1435" s="305"/>
      <c r="BO1435" s="305"/>
      <c r="BP1435" s="305"/>
      <c r="BQ1435" s="305"/>
      <c r="BR1435" s="305"/>
      <c r="BS1435" s="305"/>
      <c r="BT1435" s="305"/>
      <c r="BU1435" s="305"/>
      <c r="BV1435" s="305"/>
      <c r="BX1435" s="319"/>
    </row>
    <row r="1436" spans="1:76" s="303" customFormat="1" x14ac:dyDescent="0.25">
      <c r="A1436" s="275"/>
      <c r="B1436" s="275"/>
      <c r="C1436" s="275"/>
      <c r="D1436" s="275"/>
      <c r="E1436" s="275"/>
      <c r="F1436" s="275"/>
      <c r="V1436" s="304"/>
      <c r="W1436" s="304"/>
      <c r="AD1436" s="304"/>
      <c r="AE1436" s="304"/>
      <c r="AR1436" s="304"/>
      <c r="AS1436" s="304"/>
      <c r="AT1436" s="304"/>
      <c r="AU1436" s="304"/>
      <c r="AV1436" s="304"/>
      <c r="AW1436" s="304"/>
      <c r="AX1436" s="304"/>
      <c r="AY1436" s="304"/>
      <c r="AZ1436" s="304"/>
      <c r="BA1436" s="304"/>
      <c r="BB1436" s="304"/>
      <c r="BC1436" s="304"/>
      <c r="BK1436" s="305"/>
      <c r="BL1436" s="305"/>
      <c r="BM1436" s="305"/>
      <c r="BN1436" s="305"/>
      <c r="BO1436" s="305"/>
      <c r="BP1436" s="305"/>
      <c r="BQ1436" s="305"/>
      <c r="BR1436" s="305"/>
      <c r="BS1436" s="305"/>
      <c r="BT1436" s="305"/>
      <c r="BU1436" s="305"/>
      <c r="BV1436" s="305"/>
      <c r="BX1436" s="319"/>
    </row>
    <row r="1437" spans="1:76" s="303" customFormat="1" x14ac:dyDescent="0.25">
      <c r="A1437" s="275"/>
      <c r="B1437" s="275"/>
      <c r="C1437" s="275"/>
      <c r="D1437" s="275"/>
      <c r="E1437" s="275"/>
      <c r="F1437" s="275"/>
      <c r="V1437" s="304"/>
      <c r="W1437" s="304"/>
      <c r="AD1437" s="304"/>
      <c r="AE1437" s="304"/>
      <c r="AR1437" s="304"/>
      <c r="AS1437" s="304"/>
      <c r="AT1437" s="304"/>
      <c r="AU1437" s="304"/>
      <c r="AV1437" s="304"/>
      <c r="AW1437" s="304"/>
      <c r="AX1437" s="304"/>
      <c r="AY1437" s="304"/>
      <c r="AZ1437" s="304"/>
      <c r="BA1437" s="304"/>
      <c r="BB1437" s="304"/>
      <c r="BC1437" s="304"/>
      <c r="BK1437" s="305"/>
      <c r="BL1437" s="305"/>
      <c r="BM1437" s="305"/>
      <c r="BN1437" s="305"/>
      <c r="BO1437" s="305"/>
      <c r="BP1437" s="305"/>
      <c r="BQ1437" s="305"/>
      <c r="BR1437" s="305"/>
      <c r="BS1437" s="305"/>
      <c r="BT1437" s="305"/>
      <c r="BU1437" s="305"/>
      <c r="BV1437" s="305"/>
      <c r="BX1437" s="319"/>
    </row>
    <row r="1438" spans="1:76" s="303" customFormat="1" x14ac:dyDescent="0.25">
      <c r="A1438" s="275"/>
      <c r="B1438" s="275"/>
      <c r="C1438" s="275"/>
      <c r="D1438" s="275"/>
      <c r="E1438" s="275"/>
      <c r="F1438" s="275"/>
      <c r="V1438" s="304"/>
      <c r="W1438" s="304"/>
      <c r="AD1438" s="304"/>
      <c r="AE1438" s="304"/>
      <c r="AR1438" s="304"/>
      <c r="AS1438" s="304"/>
      <c r="AT1438" s="304"/>
      <c r="AU1438" s="304"/>
      <c r="AV1438" s="304"/>
      <c r="AW1438" s="304"/>
      <c r="AX1438" s="304"/>
      <c r="AY1438" s="304"/>
      <c r="AZ1438" s="304"/>
      <c r="BA1438" s="304"/>
      <c r="BB1438" s="304"/>
      <c r="BC1438" s="304"/>
      <c r="BK1438" s="305"/>
      <c r="BL1438" s="305"/>
      <c r="BM1438" s="305"/>
      <c r="BN1438" s="305"/>
      <c r="BO1438" s="305"/>
      <c r="BP1438" s="305"/>
      <c r="BQ1438" s="305"/>
      <c r="BR1438" s="305"/>
      <c r="BS1438" s="305"/>
      <c r="BT1438" s="305"/>
      <c r="BU1438" s="305"/>
      <c r="BV1438" s="305"/>
      <c r="BX1438" s="319"/>
    </row>
    <row r="1439" spans="1:76" s="303" customFormat="1" x14ac:dyDescent="0.25">
      <c r="A1439" s="275"/>
      <c r="B1439" s="275"/>
      <c r="C1439" s="275"/>
      <c r="D1439" s="275"/>
      <c r="E1439" s="275"/>
      <c r="F1439" s="275"/>
      <c r="V1439" s="304"/>
      <c r="W1439" s="304"/>
      <c r="AD1439" s="304"/>
      <c r="AE1439" s="304"/>
      <c r="AR1439" s="304"/>
      <c r="AS1439" s="304"/>
      <c r="AT1439" s="304"/>
      <c r="AU1439" s="304"/>
      <c r="AV1439" s="304"/>
      <c r="AW1439" s="304"/>
      <c r="AX1439" s="304"/>
      <c r="AY1439" s="304"/>
      <c r="AZ1439" s="304"/>
      <c r="BA1439" s="304"/>
      <c r="BB1439" s="304"/>
      <c r="BC1439" s="304"/>
      <c r="BK1439" s="305"/>
      <c r="BL1439" s="305"/>
      <c r="BM1439" s="305"/>
      <c r="BN1439" s="305"/>
      <c r="BO1439" s="305"/>
      <c r="BP1439" s="305"/>
      <c r="BQ1439" s="305"/>
      <c r="BR1439" s="305"/>
      <c r="BS1439" s="305"/>
      <c r="BT1439" s="305"/>
      <c r="BU1439" s="305"/>
      <c r="BV1439" s="305"/>
      <c r="BX1439" s="319"/>
    </row>
    <row r="1440" spans="1:76" s="303" customFormat="1" x14ac:dyDescent="0.25">
      <c r="A1440" s="275"/>
      <c r="B1440" s="275"/>
      <c r="C1440" s="275"/>
      <c r="D1440" s="275"/>
      <c r="E1440" s="275"/>
      <c r="F1440" s="275"/>
      <c r="V1440" s="304"/>
      <c r="W1440" s="304"/>
      <c r="AD1440" s="304"/>
      <c r="AE1440" s="304"/>
      <c r="AR1440" s="304"/>
      <c r="AS1440" s="304"/>
      <c r="AT1440" s="304"/>
      <c r="AU1440" s="304"/>
      <c r="AV1440" s="304"/>
      <c r="AW1440" s="304"/>
      <c r="AX1440" s="304"/>
      <c r="AY1440" s="304"/>
      <c r="AZ1440" s="304"/>
      <c r="BA1440" s="304"/>
      <c r="BB1440" s="304"/>
      <c r="BC1440" s="304"/>
      <c r="BK1440" s="305"/>
      <c r="BL1440" s="305"/>
      <c r="BM1440" s="305"/>
      <c r="BN1440" s="305"/>
      <c r="BO1440" s="305"/>
      <c r="BP1440" s="305"/>
      <c r="BQ1440" s="305"/>
      <c r="BR1440" s="305"/>
      <c r="BS1440" s="305"/>
      <c r="BT1440" s="305"/>
      <c r="BU1440" s="305"/>
      <c r="BV1440" s="305"/>
      <c r="BX1440" s="319"/>
    </row>
    <row r="1441" spans="1:76" s="303" customFormat="1" x14ac:dyDescent="0.25">
      <c r="A1441" s="275"/>
      <c r="B1441" s="275"/>
      <c r="C1441" s="275"/>
      <c r="D1441" s="275"/>
      <c r="E1441" s="275"/>
      <c r="F1441" s="275"/>
      <c r="V1441" s="304"/>
      <c r="W1441" s="304"/>
      <c r="AD1441" s="304"/>
      <c r="AE1441" s="304"/>
      <c r="AR1441" s="304"/>
      <c r="AS1441" s="304"/>
      <c r="AT1441" s="304"/>
      <c r="AU1441" s="304"/>
      <c r="AV1441" s="304"/>
      <c r="AW1441" s="304"/>
      <c r="AX1441" s="304"/>
      <c r="AY1441" s="304"/>
      <c r="AZ1441" s="304"/>
      <c r="BA1441" s="304"/>
      <c r="BB1441" s="304"/>
      <c r="BC1441" s="304"/>
      <c r="BK1441" s="305"/>
      <c r="BL1441" s="305"/>
      <c r="BM1441" s="305"/>
      <c r="BN1441" s="305"/>
      <c r="BO1441" s="305"/>
      <c r="BP1441" s="305"/>
      <c r="BQ1441" s="305"/>
      <c r="BR1441" s="305"/>
      <c r="BS1441" s="305"/>
      <c r="BT1441" s="305"/>
      <c r="BU1441" s="305"/>
      <c r="BV1441" s="305"/>
      <c r="BX1441" s="319"/>
    </row>
    <row r="1442" spans="1:76" s="303" customFormat="1" x14ac:dyDescent="0.25">
      <c r="A1442" s="275"/>
      <c r="B1442" s="275"/>
      <c r="C1442" s="275"/>
      <c r="D1442" s="275"/>
      <c r="E1442" s="275"/>
      <c r="F1442" s="275"/>
      <c r="V1442" s="304"/>
      <c r="W1442" s="304"/>
      <c r="AD1442" s="304"/>
      <c r="AE1442" s="304"/>
      <c r="AR1442" s="304"/>
      <c r="AS1442" s="304"/>
      <c r="AT1442" s="304"/>
      <c r="AU1442" s="304"/>
      <c r="AV1442" s="304"/>
      <c r="AW1442" s="304"/>
      <c r="AX1442" s="304"/>
      <c r="AY1442" s="304"/>
      <c r="AZ1442" s="304"/>
      <c r="BA1442" s="304"/>
      <c r="BB1442" s="304"/>
      <c r="BC1442" s="304"/>
      <c r="BK1442" s="305"/>
      <c r="BL1442" s="305"/>
      <c r="BM1442" s="305"/>
      <c r="BN1442" s="305"/>
      <c r="BO1442" s="305"/>
      <c r="BP1442" s="305"/>
      <c r="BQ1442" s="305"/>
      <c r="BR1442" s="305"/>
      <c r="BS1442" s="305"/>
      <c r="BT1442" s="305"/>
      <c r="BU1442" s="305"/>
      <c r="BV1442" s="305"/>
      <c r="BX1442" s="319"/>
    </row>
    <row r="1443" spans="1:76" s="303" customFormat="1" x14ac:dyDescent="0.25">
      <c r="A1443" s="275"/>
      <c r="B1443" s="275"/>
      <c r="C1443" s="275"/>
      <c r="D1443" s="275"/>
      <c r="E1443" s="275"/>
      <c r="F1443" s="275"/>
      <c r="V1443" s="304"/>
      <c r="W1443" s="304"/>
      <c r="AD1443" s="304"/>
      <c r="AE1443" s="304"/>
      <c r="AR1443" s="304"/>
      <c r="AS1443" s="304"/>
      <c r="AT1443" s="304"/>
      <c r="AU1443" s="304"/>
      <c r="AV1443" s="304"/>
      <c r="AW1443" s="304"/>
      <c r="AX1443" s="304"/>
      <c r="AY1443" s="304"/>
      <c r="AZ1443" s="304"/>
      <c r="BA1443" s="304"/>
      <c r="BB1443" s="304"/>
      <c r="BC1443" s="304"/>
      <c r="BK1443" s="305"/>
      <c r="BL1443" s="305"/>
      <c r="BM1443" s="305"/>
      <c r="BN1443" s="305"/>
      <c r="BO1443" s="305"/>
      <c r="BP1443" s="305"/>
      <c r="BQ1443" s="305"/>
      <c r="BR1443" s="305"/>
      <c r="BS1443" s="305"/>
      <c r="BT1443" s="305"/>
      <c r="BU1443" s="305"/>
      <c r="BV1443" s="305"/>
      <c r="BX1443" s="319"/>
    </row>
    <row r="1444" spans="1:76" s="303" customFormat="1" x14ac:dyDescent="0.25">
      <c r="A1444" s="275"/>
      <c r="B1444" s="275"/>
      <c r="C1444" s="275"/>
      <c r="D1444" s="275"/>
      <c r="E1444" s="275"/>
      <c r="F1444" s="275"/>
      <c r="V1444" s="304"/>
      <c r="W1444" s="304"/>
      <c r="AD1444" s="304"/>
      <c r="AE1444" s="304"/>
      <c r="AR1444" s="304"/>
      <c r="AS1444" s="304"/>
      <c r="AT1444" s="304"/>
      <c r="AU1444" s="304"/>
      <c r="AV1444" s="304"/>
      <c r="AW1444" s="304"/>
      <c r="AX1444" s="304"/>
      <c r="AY1444" s="304"/>
      <c r="AZ1444" s="304"/>
      <c r="BA1444" s="304"/>
      <c r="BB1444" s="304"/>
      <c r="BC1444" s="304"/>
      <c r="BK1444" s="305"/>
      <c r="BL1444" s="305"/>
      <c r="BM1444" s="305"/>
      <c r="BN1444" s="305"/>
      <c r="BO1444" s="305"/>
      <c r="BP1444" s="305"/>
      <c r="BQ1444" s="305"/>
      <c r="BR1444" s="305"/>
      <c r="BS1444" s="305"/>
      <c r="BT1444" s="305"/>
      <c r="BU1444" s="305"/>
      <c r="BV1444" s="305"/>
      <c r="BX1444" s="319"/>
    </row>
    <row r="1445" spans="1:76" s="303" customFormat="1" x14ac:dyDescent="0.25">
      <c r="A1445" s="275"/>
      <c r="B1445" s="275"/>
      <c r="C1445" s="275"/>
      <c r="D1445" s="275"/>
      <c r="E1445" s="275"/>
      <c r="F1445" s="275"/>
      <c r="V1445" s="304"/>
      <c r="W1445" s="304"/>
      <c r="AD1445" s="304"/>
      <c r="AE1445" s="304"/>
      <c r="AR1445" s="304"/>
      <c r="AS1445" s="304"/>
      <c r="AT1445" s="304"/>
      <c r="AU1445" s="304"/>
      <c r="AV1445" s="304"/>
      <c r="AW1445" s="304"/>
      <c r="AX1445" s="304"/>
      <c r="AY1445" s="304"/>
      <c r="AZ1445" s="304"/>
      <c r="BA1445" s="304"/>
      <c r="BB1445" s="304"/>
      <c r="BC1445" s="304"/>
      <c r="BK1445" s="305"/>
      <c r="BL1445" s="305"/>
      <c r="BM1445" s="305"/>
      <c r="BN1445" s="305"/>
      <c r="BO1445" s="305"/>
      <c r="BP1445" s="305"/>
      <c r="BQ1445" s="305"/>
      <c r="BR1445" s="305"/>
      <c r="BS1445" s="305"/>
      <c r="BT1445" s="305"/>
      <c r="BU1445" s="305"/>
      <c r="BV1445" s="305"/>
      <c r="BX1445" s="319"/>
    </row>
    <row r="1446" spans="1:76" s="303" customFormat="1" x14ac:dyDescent="0.25">
      <c r="A1446" s="275"/>
      <c r="B1446" s="275"/>
      <c r="C1446" s="275"/>
      <c r="D1446" s="275"/>
      <c r="E1446" s="275"/>
      <c r="F1446" s="275"/>
      <c r="V1446" s="304"/>
      <c r="W1446" s="304"/>
      <c r="AD1446" s="304"/>
      <c r="AE1446" s="304"/>
      <c r="AR1446" s="304"/>
      <c r="AS1446" s="304"/>
      <c r="AT1446" s="304"/>
      <c r="AU1446" s="304"/>
      <c r="AV1446" s="304"/>
      <c r="AW1446" s="304"/>
      <c r="AX1446" s="304"/>
      <c r="AY1446" s="304"/>
      <c r="AZ1446" s="304"/>
      <c r="BA1446" s="304"/>
      <c r="BB1446" s="304"/>
      <c r="BC1446" s="304"/>
      <c r="BK1446" s="305"/>
      <c r="BL1446" s="305"/>
      <c r="BM1446" s="305"/>
      <c r="BN1446" s="305"/>
      <c r="BO1446" s="305"/>
      <c r="BP1446" s="305"/>
      <c r="BQ1446" s="305"/>
      <c r="BR1446" s="305"/>
      <c r="BS1446" s="305"/>
      <c r="BT1446" s="305"/>
      <c r="BU1446" s="305"/>
      <c r="BV1446" s="305"/>
      <c r="BX1446" s="319"/>
    </row>
    <row r="1447" spans="1:76" s="303" customFormat="1" x14ac:dyDescent="0.25">
      <c r="A1447" s="275"/>
      <c r="B1447" s="275"/>
      <c r="C1447" s="275"/>
      <c r="D1447" s="275"/>
      <c r="E1447" s="275"/>
      <c r="F1447" s="275"/>
      <c r="V1447" s="304"/>
      <c r="W1447" s="304"/>
      <c r="AD1447" s="304"/>
      <c r="AE1447" s="304"/>
      <c r="AR1447" s="304"/>
      <c r="AS1447" s="304"/>
      <c r="AT1447" s="304"/>
      <c r="AU1447" s="304"/>
      <c r="AV1447" s="304"/>
      <c r="AW1447" s="304"/>
      <c r="AX1447" s="304"/>
      <c r="AY1447" s="304"/>
      <c r="AZ1447" s="304"/>
      <c r="BA1447" s="304"/>
      <c r="BB1447" s="304"/>
      <c r="BC1447" s="304"/>
      <c r="BK1447" s="305"/>
      <c r="BL1447" s="305"/>
      <c r="BM1447" s="305"/>
      <c r="BN1447" s="305"/>
      <c r="BO1447" s="305"/>
      <c r="BP1447" s="305"/>
      <c r="BQ1447" s="305"/>
      <c r="BR1447" s="305"/>
      <c r="BS1447" s="305"/>
      <c r="BT1447" s="305"/>
      <c r="BU1447" s="305"/>
      <c r="BV1447" s="305"/>
      <c r="BX1447" s="319"/>
    </row>
    <row r="1448" spans="1:76" s="303" customFormat="1" x14ac:dyDescent="0.25">
      <c r="A1448" s="275"/>
      <c r="B1448" s="275"/>
      <c r="C1448" s="275"/>
      <c r="D1448" s="275"/>
      <c r="E1448" s="275"/>
      <c r="F1448" s="275"/>
      <c r="V1448" s="304"/>
      <c r="W1448" s="304"/>
      <c r="AD1448" s="304"/>
      <c r="AE1448" s="304"/>
      <c r="AR1448" s="304"/>
      <c r="AS1448" s="304"/>
      <c r="AT1448" s="304"/>
      <c r="AU1448" s="304"/>
      <c r="AV1448" s="304"/>
      <c r="AW1448" s="304"/>
      <c r="AX1448" s="304"/>
      <c r="AY1448" s="304"/>
      <c r="AZ1448" s="304"/>
      <c r="BA1448" s="304"/>
      <c r="BB1448" s="304"/>
      <c r="BC1448" s="304"/>
      <c r="BK1448" s="305"/>
      <c r="BL1448" s="305"/>
      <c r="BM1448" s="305"/>
      <c r="BN1448" s="305"/>
      <c r="BO1448" s="305"/>
      <c r="BP1448" s="305"/>
      <c r="BQ1448" s="305"/>
      <c r="BR1448" s="305"/>
      <c r="BS1448" s="305"/>
      <c r="BT1448" s="305"/>
      <c r="BU1448" s="305"/>
      <c r="BV1448" s="305"/>
      <c r="BX1448" s="319"/>
    </row>
    <row r="1449" spans="1:76" s="303" customFormat="1" x14ac:dyDescent="0.25">
      <c r="A1449" s="275"/>
      <c r="B1449" s="275"/>
      <c r="C1449" s="275"/>
      <c r="D1449" s="275"/>
      <c r="E1449" s="275"/>
      <c r="F1449" s="275"/>
      <c r="V1449" s="304"/>
      <c r="W1449" s="304"/>
      <c r="AD1449" s="304"/>
      <c r="AE1449" s="304"/>
      <c r="AR1449" s="304"/>
      <c r="AS1449" s="304"/>
      <c r="AT1449" s="304"/>
      <c r="AU1449" s="304"/>
      <c r="AV1449" s="304"/>
      <c r="AW1449" s="304"/>
      <c r="AX1449" s="304"/>
      <c r="AY1449" s="304"/>
      <c r="AZ1449" s="304"/>
      <c r="BA1449" s="304"/>
      <c r="BB1449" s="304"/>
      <c r="BC1449" s="304"/>
      <c r="BK1449" s="305"/>
      <c r="BL1449" s="305"/>
      <c r="BM1449" s="305"/>
      <c r="BN1449" s="305"/>
      <c r="BO1449" s="305"/>
      <c r="BP1449" s="305"/>
      <c r="BQ1449" s="305"/>
      <c r="BR1449" s="305"/>
      <c r="BS1449" s="305"/>
      <c r="BT1449" s="305"/>
      <c r="BU1449" s="305"/>
      <c r="BV1449" s="305"/>
      <c r="BX1449" s="319"/>
    </row>
    <row r="1450" spans="1:76" s="303" customFormat="1" x14ac:dyDescent="0.25">
      <c r="A1450" s="275"/>
      <c r="B1450" s="275"/>
      <c r="C1450" s="275"/>
      <c r="D1450" s="275"/>
      <c r="E1450" s="275"/>
      <c r="F1450" s="275"/>
      <c r="V1450" s="304"/>
      <c r="W1450" s="304"/>
      <c r="AD1450" s="304"/>
      <c r="AE1450" s="304"/>
      <c r="AR1450" s="304"/>
      <c r="AS1450" s="304"/>
      <c r="AT1450" s="304"/>
      <c r="AU1450" s="304"/>
      <c r="AV1450" s="304"/>
      <c r="AW1450" s="304"/>
      <c r="AX1450" s="304"/>
      <c r="AY1450" s="304"/>
      <c r="AZ1450" s="304"/>
      <c r="BA1450" s="304"/>
      <c r="BB1450" s="304"/>
      <c r="BC1450" s="304"/>
      <c r="BK1450" s="305"/>
      <c r="BL1450" s="305"/>
      <c r="BM1450" s="305"/>
      <c r="BN1450" s="305"/>
      <c r="BO1450" s="305"/>
      <c r="BP1450" s="305"/>
      <c r="BQ1450" s="305"/>
      <c r="BR1450" s="305"/>
      <c r="BS1450" s="305"/>
      <c r="BT1450" s="305"/>
      <c r="BU1450" s="305"/>
      <c r="BV1450" s="305"/>
      <c r="BX1450" s="319"/>
    </row>
    <row r="1451" spans="1:76" s="303" customFormat="1" x14ac:dyDescent="0.25">
      <c r="A1451" s="275"/>
      <c r="B1451" s="275"/>
      <c r="C1451" s="275"/>
      <c r="D1451" s="275"/>
      <c r="E1451" s="275"/>
      <c r="F1451" s="275"/>
      <c r="V1451" s="304"/>
      <c r="W1451" s="304"/>
      <c r="AD1451" s="304"/>
      <c r="AE1451" s="304"/>
      <c r="AR1451" s="304"/>
      <c r="AS1451" s="304"/>
      <c r="AT1451" s="304"/>
      <c r="AU1451" s="304"/>
      <c r="AV1451" s="304"/>
      <c r="AW1451" s="304"/>
      <c r="AX1451" s="304"/>
      <c r="AY1451" s="304"/>
      <c r="AZ1451" s="304"/>
      <c r="BA1451" s="304"/>
      <c r="BB1451" s="304"/>
      <c r="BC1451" s="304"/>
      <c r="BK1451" s="305"/>
      <c r="BL1451" s="305"/>
      <c r="BM1451" s="305"/>
      <c r="BN1451" s="305"/>
      <c r="BO1451" s="305"/>
      <c r="BP1451" s="305"/>
      <c r="BQ1451" s="305"/>
      <c r="BR1451" s="305"/>
      <c r="BS1451" s="305"/>
      <c r="BT1451" s="305"/>
      <c r="BU1451" s="305"/>
      <c r="BV1451" s="305"/>
      <c r="BX1451" s="319"/>
    </row>
    <row r="1452" spans="1:76" s="303" customFormat="1" x14ac:dyDescent="0.25">
      <c r="A1452" s="275"/>
      <c r="B1452" s="275"/>
      <c r="C1452" s="275"/>
      <c r="D1452" s="275"/>
      <c r="E1452" s="275"/>
      <c r="F1452" s="275"/>
      <c r="V1452" s="304"/>
      <c r="W1452" s="304"/>
      <c r="AD1452" s="304"/>
      <c r="AE1452" s="304"/>
      <c r="AR1452" s="304"/>
      <c r="AS1452" s="304"/>
      <c r="AT1452" s="304"/>
      <c r="AU1452" s="304"/>
      <c r="AV1452" s="304"/>
      <c r="AW1452" s="304"/>
      <c r="AX1452" s="304"/>
      <c r="AY1452" s="304"/>
      <c r="AZ1452" s="304"/>
      <c r="BA1452" s="304"/>
      <c r="BB1452" s="304"/>
      <c r="BC1452" s="304"/>
      <c r="BK1452" s="305"/>
      <c r="BL1452" s="305"/>
      <c r="BM1452" s="305"/>
      <c r="BN1452" s="305"/>
      <c r="BO1452" s="305"/>
      <c r="BP1452" s="305"/>
      <c r="BQ1452" s="305"/>
      <c r="BR1452" s="305"/>
      <c r="BS1452" s="305"/>
      <c r="BT1452" s="305"/>
      <c r="BU1452" s="305"/>
      <c r="BV1452" s="305"/>
      <c r="BX1452" s="319"/>
    </row>
    <row r="1453" spans="1:76" s="303" customFormat="1" x14ac:dyDescent="0.25">
      <c r="A1453" s="275"/>
      <c r="B1453" s="275"/>
      <c r="C1453" s="275"/>
      <c r="D1453" s="275"/>
      <c r="E1453" s="275"/>
      <c r="F1453" s="275"/>
      <c r="V1453" s="304"/>
      <c r="W1453" s="304"/>
      <c r="AD1453" s="304"/>
      <c r="AE1453" s="304"/>
      <c r="AR1453" s="304"/>
      <c r="AS1453" s="304"/>
      <c r="AT1453" s="304"/>
      <c r="AU1453" s="304"/>
      <c r="AV1453" s="304"/>
      <c r="AW1453" s="304"/>
      <c r="AX1453" s="304"/>
      <c r="AY1453" s="304"/>
      <c r="AZ1453" s="304"/>
      <c r="BA1453" s="304"/>
      <c r="BB1453" s="304"/>
      <c r="BC1453" s="304"/>
      <c r="BK1453" s="305"/>
      <c r="BL1453" s="305"/>
      <c r="BM1453" s="305"/>
      <c r="BN1453" s="305"/>
      <c r="BO1453" s="305"/>
      <c r="BP1453" s="305"/>
      <c r="BQ1453" s="305"/>
      <c r="BR1453" s="305"/>
      <c r="BS1453" s="305"/>
      <c r="BT1453" s="305"/>
      <c r="BU1453" s="305"/>
      <c r="BV1453" s="305"/>
      <c r="BX1453" s="319"/>
    </row>
    <row r="1454" spans="1:76" s="303" customFormat="1" x14ac:dyDescent="0.25">
      <c r="A1454" s="275"/>
      <c r="B1454" s="275"/>
      <c r="C1454" s="275"/>
      <c r="D1454" s="275"/>
      <c r="E1454" s="275"/>
      <c r="F1454" s="275"/>
      <c r="V1454" s="304"/>
      <c r="W1454" s="304"/>
      <c r="AD1454" s="304"/>
      <c r="AE1454" s="304"/>
      <c r="AR1454" s="304"/>
      <c r="AS1454" s="304"/>
      <c r="AT1454" s="304"/>
      <c r="AU1454" s="304"/>
      <c r="AV1454" s="304"/>
      <c r="AW1454" s="304"/>
      <c r="AX1454" s="304"/>
      <c r="AY1454" s="304"/>
      <c r="AZ1454" s="304"/>
      <c r="BA1454" s="304"/>
      <c r="BB1454" s="304"/>
      <c r="BC1454" s="304"/>
      <c r="BK1454" s="305"/>
      <c r="BL1454" s="305"/>
      <c r="BM1454" s="305"/>
      <c r="BN1454" s="305"/>
      <c r="BO1454" s="305"/>
      <c r="BP1454" s="305"/>
      <c r="BQ1454" s="305"/>
      <c r="BR1454" s="305"/>
      <c r="BS1454" s="305"/>
      <c r="BT1454" s="305"/>
      <c r="BU1454" s="305"/>
      <c r="BV1454" s="305"/>
      <c r="BX1454" s="319"/>
    </row>
    <row r="1455" spans="1:76" s="303" customFormat="1" x14ac:dyDescent="0.25">
      <c r="A1455" s="275"/>
      <c r="B1455" s="275"/>
      <c r="C1455" s="275"/>
      <c r="D1455" s="275"/>
      <c r="E1455" s="275"/>
      <c r="F1455" s="275"/>
      <c r="V1455" s="304"/>
      <c r="W1455" s="304"/>
      <c r="AD1455" s="304"/>
      <c r="AE1455" s="304"/>
      <c r="AR1455" s="304"/>
      <c r="AS1455" s="304"/>
      <c r="AT1455" s="304"/>
      <c r="AU1455" s="304"/>
      <c r="AV1455" s="304"/>
      <c r="AW1455" s="304"/>
      <c r="AX1455" s="304"/>
      <c r="AY1455" s="304"/>
      <c r="AZ1455" s="304"/>
      <c r="BA1455" s="304"/>
      <c r="BB1455" s="304"/>
      <c r="BC1455" s="304"/>
      <c r="BK1455" s="305"/>
      <c r="BL1455" s="305"/>
      <c r="BM1455" s="305"/>
      <c r="BN1455" s="305"/>
      <c r="BO1455" s="305"/>
      <c r="BP1455" s="305"/>
      <c r="BQ1455" s="305"/>
      <c r="BR1455" s="305"/>
      <c r="BS1455" s="305"/>
      <c r="BT1455" s="305"/>
      <c r="BU1455" s="305"/>
      <c r="BV1455" s="305"/>
      <c r="BX1455" s="319"/>
    </row>
    <row r="1456" spans="1:76" s="303" customFormat="1" x14ac:dyDescent="0.25">
      <c r="A1456" s="275"/>
      <c r="B1456" s="275"/>
      <c r="C1456" s="275"/>
      <c r="D1456" s="275"/>
      <c r="E1456" s="275"/>
      <c r="F1456" s="275"/>
      <c r="V1456" s="304"/>
      <c r="W1456" s="304"/>
      <c r="AD1456" s="304"/>
      <c r="AE1456" s="304"/>
      <c r="AR1456" s="304"/>
      <c r="AS1456" s="304"/>
      <c r="AT1456" s="304"/>
      <c r="AU1456" s="304"/>
      <c r="AV1456" s="304"/>
      <c r="AW1456" s="304"/>
      <c r="AX1456" s="304"/>
      <c r="AY1456" s="304"/>
      <c r="AZ1456" s="304"/>
      <c r="BA1456" s="304"/>
      <c r="BB1456" s="304"/>
      <c r="BC1456" s="304"/>
      <c r="BK1456" s="305"/>
      <c r="BL1456" s="305"/>
      <c r="BM1456" s="305"/>
      <c r="BN1456" s="305"/>
      <c r="BO1456" s="305"/>
      <c r="BP1456" s="305"/>
      <c r="BQ1456" s="305"/>
      <c r="BR1456" s="305"/>
      <c r="BS1456" s="305"/>
      <c r="BT1456" s="305"/>
      <c r="BU1456" s="305"/>
      <c r="BV1456" s="305"/>
      <c r="BX1456" s="319"/>
    </row>
    <row r="1457" spans="1:76" s="303" customFormat="1" x14ac:dyDescent="0.25">
      <c r="A1457" s="275"/>
      <c r="B1457" s="275"/>
      <c r="C1457" s="275"/>
      <c r="D1457" s="275"/>
      <c r="E1457" s="275"/>
      <c r="F1457" s="275"/>
      <c r="V1457" s="304"/>
      <c r="W1457" s="304"/>
      <c r="AD1457" s="304"/>
      <c r="AE1457" s="304"/>
      <c r="AR1457" s="304"/>
      <c r="AS1457" s="304"/>
      <c r="AT1457" s="304"/>
      <c r="AU1457" s="304"/>
      <c r="AV1457" s="304"/>
      <c r="AW1457" s="304"/>
      <c r="AX1457" s="304"/>
      <c r="AY1457" s="304"/>
      <c r="AZ1457" s="304"/>
      <c r="BA1457" s="304"/>
      <c r="BB1457" s="304"/>
      <c r="BC1457" s="304"/>
      <c r="BK1457" s="305"/>
      <c r="BL1457" s="305"/>
      <c r="BM1457" s="305"/>
      <c r="BN1457" s="305"/>
      <c r="BO1457" s="305"/>
      <c r="BP1457" s="305"/>
      <c r="BQ1457" s="305"/>
      <c r="BR1457" s="305"/>
      <c r="BS1457" s="305"/>
      <c r="BT1457" s="305"/>
      <c r="BU1457" s="305"/>
      <c r="BV1457" s="305"/>
      <c r="BX1457" s="319"/>
    </row>
    <row r="1458" spans="1:76" s="303" customFormat="1" x14ac:dyDescent="0.25">
      <c r="A1458" s="275"/>
      <c r="B1458" s="275"/>
      <c r="C1458" s="275"/>
      <c r="D1458" s="275"/>
      <c r="E1458" s="275"/>
      <c r="F1458" s="275"/>
      <c r="V1458" s="304"/>
      <c r="W1458" s="304"/>
      <c r="AD1458" s="304"/>
      <c r="AE1458" s="304"/>
      <c r="AR1458" s="304"/>
      <c r="AS1458" s="304"/>
      <c r="AT1458" s="304"/>
      <c r="AU1458" s="304"/>
      <c r="AV1458" s="304"/>
      <c r="AW1458" s="304"/>
      <c r="AX1458" s="304"/>
      <c r="AY1458" s="304"/>
      <c r="AZ1458" s="304"/>
      <c r="BA1458" s="304"/>
      <c r="BB1458" s="304"/>
      <c r="BC1458" s="304"/>
      <c r="BK1458" s="305"/>
      <c r="BL1458" s="305"/>
      <c r="BM1458" s="305"/>
      <c r="BN1458" s="305"/>
      <c r="BO1458" s="305"/>
      <c r="BP1458" s="305"/>
      <c r="BQ1458" s="305"/>
      <c r="BR1458" s="305"/>
      <c r="BS1458" s="305"/>
      <c r="BT1458" s="305"/>
      <c r="BU1458" s="305"/>
      <c r="BV1458" s="305"/>
      <c r="BX1458" s="319"/>
    </row>
    <row r="1459" spans="1:76" s="303" customFormat="1" x14ac:dyDescent="0.25">
      <c r="A1459" s="275"/>
      <c r="B1459" s="275"/>
      <c r="C1459" s="275"/>
      <c r="D1459" s="275"/>
      <c r="E1459" s="275"/>
      <c r="F1459" s="275"/>
      <c r="V1459" s="304"/>
      <c r="W1459" s="304"/>
      <c r="AD1459" s="304"/>
      <c r="AE1459" s="304"/>
      <c r="AR1459" s="304"/>
      <c r="AS1459" s="304"/>
      <c r="AT1459" s="304"/>
      <c r="AU1459" s="304"/>
      <c r="AV1459" s="304"/>
      <c r="AW1459" s="304"/>
      <c r="AX1459" s="304"/>
      <c r="AY1459" s="304"/>
      <c r="AZ1459" s="304"/>
      <c r="BA1459" s="304"/>
      <c r="BB1459" s="304"/>
      <c r="BC1459" s="304"/>
      <c r="BK1459" s="305"/>
      <c r="BL1459" s="305"/>
      <c r="BM1459" s="305"/>
      <c r="BN1459" s="305"/>
      <c r="BO1459" s="305"/>
      <c r="BP1459" s="305"/>
      <c r="BQ1459" s="305"/>
      <c r="BR1459" s="305"/>
      <c r="BS1459" s="305"/>
      <c r="BT1459" s="305"/>
      <c r="BU1459" s="305"/>
      <c r="BV1459" s="305"/>
      <c r="BX1459" s="319"/>
    </row>
    <row r="1460" spans="1:76" s="303" customFormat="1" x14ac:dyDescent="0.25">
      <c r="A1460" s="275"/>
      <c r="B1460" s="275"/>
      <c r="C1460" s="275"/>
      <c r="D1460" s="275"/>
      <c r="E1460" s="275"/>
      <c r="F1460" s="275"/>
      <c r="V1460" s="304"/>
      <c r="W1460" s="304"/>
      <c r="AD1460" s="304"/>
      <c r="AE1460" s="304"/>
      <c r="AR1460" s="304"/>
      <c r="AS1460" s="304"/>
      <c r="AT1460" s="304"/>
      <c r="AU1460" s="304"/>
      <c r="AV1460" s="304"/>
      <c r="AW1460" s="304"/>
      <c r="AX1460" s="304"/>
      <c r="AY1460" s="304"/>
      <c r="AZ1460" s="304"/>
      <c r="BA1460" s="304"/>
      <c r="BB1460" s="304"/>
      <c r="BC1460" s="304"/>
      <c r="BK1460" s="305"/>
      <c r="BL1460" s="305"/>
      <c r="BM1460" s="305"/>
      <c r="BN1460" s="305"/>
      <c r="BO1460" s="305"/>
      <c r="BP1460" s="305"/>
      <c r="BQ1460" s="305"/>
      <c r="BR1460" s="305"/>
      <c r="BS1460" s="305"/>
      <c r="BT1460" s="305"/>
      <c r="BU1460" s="305"/>
      <c r="BV1460" s="305"/>
      <c r="BX1460" s="319"/>
    </row>
    <row r="1461" spans="1:76" s="303" customFormat="1" x14ac:dyDescent="0.25">
      <c r="A1461" s="275"/>
      <c r="B1461" s="275"/>
      <c r="C1461" s="275"/>
      <c r="D1461" s="275"/>
      <c r="E1461" s="275"/>
      <c r="F1461" s="275"/>
      <c r="V1461" s="304"/>
      <c r="W1461" s="304"/>
      <c r="AD1461" s="304"/>
      <c r="AE1461" s="304"/>
      <c r="AR1461" s="304"/>
      <c r="AS1461" s="304"/>
      <c r="AT1461" s="304"/>
      <c r="AU1461" s="304"/>
      <c r="AV1461" s="304"/>
      <c r="AW1461" s="304"/>
      <c r="AX1461" s="304"/>
      <c r="AY1461" s="304"/>
      <c r="AZ1461" s="304"/>
      <c r="BA1461" s="304"/>
      <c r="BB1461" s="304"/>
      <c r="BC1461" s="304"/>
      <c r="BK1461" s="305"/>
      <c r="BL1461" s="305"/>
      <c r="BM1461" s="305"/>
      <c r="BN1461" s="305"/>
      <c r="BO1461" s="305"/>
      <c r="BP1461" s="305"/>
      <c r="BQ1461" s="305"/>
      <c r="BR1461" s="305"/>
      <c r="BS1461" s="305"/>
      <c r="BT1461" s="305"/>
      <c r="BU1461" s="305"/>
      <c r="BV1461" s="305"/>
      <c r="BX1461" s="319"/>
    </row>
    <row r="1462" spans="1:76" s="303" customFormat="1" x14ac:dyDescent="0.25">
      <c r="A1462" s="275"/>
      <c r="B1462" s="275"/>
      <c r="C1462" s="275"/>
      <c r="D1462" s="275"/>
      <c r="E1462" s="275"/>
      <c r="F1462" s="275"/>
      <c r="V1462" s="304"/>
      <c r="W1462" s="304"/>
      <c r="AD1462" s="304"/>
      <c r="AE1462" s="304"/>
      <c r="AR1462" s="304"/>
      <c r="AS1462" s="304"/>
      <c r="AT1462" s="304"/>
      <c r="AU1462" s="304"/>
      <c r="AV1462" s="304"/>
      <c r="AW1462" s="304"/>
      <c r="AX1462" s="304"/>
      <c r="AY1462" s="304"/>
      <c r="AZ1462" s="304"/>
      <c r="BA1462" s="304"/>
      <c r="BB1462" s="304"/>
      <c r="BC1462" s="304"/>
      <c r="BK1462" s="305"/>
      <c r="BL1462" s="305"/>
      <c r="BM1462" s="305"/>
      <c r="BN1462" s="305"/>
      <c r="BO1462" s="305"/>
      <c r="BP1462" s="305"/>
      <c r="BQ1462" s="305"/>
      <c r="BR1462" s="305"/>
      <c r="BS1462" s="305"/>
      <c r="BT1462" s="305"/>
      <c r="BU1462" s="305"/>
      <c r="BV1462" s="305"/>
      <c r="BX1462" s="319"/>
    </row>
    <row r="1463" spans="1:76" s="303" customFormat="1" x14ac:dyDescent="0.25">
      <c r="A1463" s="275"/>
      <c r="B1463" s="275"/>
      <c r="C1463" s="275"/>
      <c r="D1463" s="275"/>
      <c r="E1463" s="275"/>
      <c r="F1463" s="275"/>
      <c r="V1463" s="304"/>
      <c r="W1463" s="304"/>
      <c r="AD1463" s="304"/>
      <c r="AE1463" s="304"/>
      <c r="AR1463" s="304"/>
      <c r="AS1463" s="304"/>
      <c r="AT1463" s="304"/>
      <c r="AU1463" s="304"/>
      <c r="AV1463" s="304"/>
      <c r="AW1463" s="304"/>
      <c r="AX1463" s="304"/>
      <c r="AY1463" s="304"/>
      <c r="AZ1463" s="304"/>
      <c r="BA1463" s="304"/>
      <c r="BB1463" s="304"/>
      <c r="BC1463" s="304"/>
      <c r="BK1463" s="305"/>
      <c r="BL1463" s="305"/>
      <c r="BM1463" s="305"/>
      <c r="BN1463" s="305"/>
      <c r="BO1463" s="305"/>
      <c r="BP1463" s="305"/>
      <c r="BQ1463" s="305"/>
      <c r="BR1463" s="305"/>
      <c r="BS1463" s="305"/>
      <c r="BT1463" s="305"/>
      <c r="BU1463" s="305"/>
      <c r="BV1463" s="305"/>
      <c r="BX1463" s="319"/>
    </row>
    <row r="1464" spans="1:76" s="303" customFormat="1" x14ac:dyDescent="0.25">
      <c r="A1464" s="275"/>
      <c r="B1464" s="275"/>
      <c r="C1464" s="275"/>
      <c r="D1464" s="275"/>
      <c r="E1464" s="275"/>
      <c r="F1464" s="275"/>
      <c r="V1464" s="304"/>
      <c r="W1464" s="304"/>
      <c r="AD1464" s="304"/>
      <c r="AE1464" s="304"/>
      <c r="AR1464" s="304"/>
      <c r="AS1464" s="304"/>
      <c r="AT1464" s="304"/>
      <c r="AU1464" s="304"/>
      <c r="AV1464" s="304"/>
      <c r="AW1464" s="304"/>
      <c r="AX1464" s="304"/>
      <c r="AY1464" s="304"/>
      <c r="AZ1464" s="304"/>
      <c r="BA1464" s="304"/>
      <c r="BB1464" s="304"/>
      <c r="BC1464" s="304"/>
      <c r="BK1464" s="305"/>
      <c r="BL1464" s="305"/>
      <c r="BM1464" s="305"/>
      <c r="BN1464" s="305"/>
      <c r="BO1464" s="305"/>
      <c r="BP1464" s="305"/>
      <c r="BQ1464" s="305"/>
      <c r="BR1464" s="305"/>
      <c r="BS1464" s="305"/>
      <c r="BT1464" s="305"/>
      <c r="BU1464" s="305"/>
      <c r="BV1464" s="305"/>
      <c r="BX1464" s="319"/>
    </row>
    <row r="1465" spans="1:76" s="303" customFormat="1" x14ac:dyDescent="0.25">
      <c r="A1465" s="275"/>
      <c r="B1465" s="275"/>
      <c r="C1465" s="275"/>
      <c r="D1465" s="275"/>
      <c r="E1465" s="275"/>
      <c r="F1465" s="275"/>
      <c r="V1465" s="304"/>
      <c r="W1465" s="304"/>
      <c r="AD1465" s="304"/>
      <c r="AE1465" s="304"/>
      <c r="AR1465" s="304"/>
      <c r="AS1465" s="304"/>
      <c r="AT1465" s="304"/>
      <c r="AU1465" s="304"/>
      <c r="AV1465" s="304"/>
      <c r="AW1465" s="304"/>
      <c r="AX1465" s="304"/>
      <c r="AY1465" s="304"/>
      <c r="AZ1465" s="304"/>
      <c r="BA1465" s="304"/>
      <c r="BB1465" s="304"/>
      <c r="BC1465" s="304"/>
      <c r="BK1465" s="305"/>
      <c r="BL1465" s="305"/>
      <c r="BM1465" s="305"/>
      <c r="BN1465" s="305"/>
      <c r="BO1465" s="305"/>
      <c r="BP1465" s="305"/>
      <c r="BQ1465" s="305"/>
      <c r="BR1465" s="305"/>
      <c r="BS1465" s="305"/>
      <c r="BT1465" s="305"/>
      <c r="BU1465" s="305"/>
      <c r="BV1465" s="305"/>
      <c r="BX1465" s="319"/>
    </row>
    <row r="1466" spans="1:76" s="303" customFormat="1" x14ac:dyDescent="0.25">
      <c r="A1466" s="275"/>
      <c r="B1466" s="275"/>
      <c r="C1466" s="275"/>
      <c r="D1466" s="275"/>
      <c r="E1466" s="275"/>
      <c r="F1466" s="275"/>
      <c r="V1466" s="304"/>
      <c r="W1466" s="304"/>
      <c r="AD1466" s="304"/>
      <c r="AE1466" s="304"/>
      <c r="AR1466" s="304"/>
      <c r="AS1466" s="304"/>
      <c r="AT1466" s="304"/>
      <c r="AU1466" s="304"/>
      <c r="AV1466" s="304"/>
      <c r="AW1466" s="304"/>
      <c r="AX1466" s="304"/>
      <c r="AY1466" s="304"/>
      <c r="AZ1466" s="304"/>
      <c r="BA1466" s="304"/>
      <c r="BB1466" s="304"/>
      <c r="BC1466" s="304"/>
      <c r="BK1466" s="305"/>
      <c r="BL1466" s="305"/>
      <c r="BM1466" s="305"/>
      <c r="BN1466" s="305"/>
      <c r="BO1466" s="305"/>
      <c r="BP1466" s="305"/>
      <c r="BQ1466" s="305"/>
      <c r="BR1466" s="305"/>
      <c r="BS1466" s="305"/>
      <c r="BT1466" s="305"/>
      <c r="BU1466" s="305"/>
      <c r="BV1466" s="305"/>
      <c r="BX1466" s="319"/>
    </row>
    <row r="1467" spans="1:76" s="303" customFormat="1" x14ac:dyDescent="0.25">
      <c r="A1467" s="275"/>
      <c r="B1467" s="275"/>
      <c r="C1467" s="275"/>
      <c r="D1467" s="275"/>
      <c r="E1467" s="275"/>
      <c r="F1467" s="275"/>
      <c r="V1467" s="304"/>
      <c r="W1467" s="304"/>
      <c r="AD1467" s="304"/>
      <c r="AE1467" s="304"/>
      <c r="AR1467" s="304"/>
      <c r="AS1467" s="304"/>
      <c r="AT1467" s="304"/>
      <c r="AU1467" s="304"/>
      <c r="AV1467" s="304"/>
      <c r="AW1467" s="304"/>
      <c r="AX1467" s="304"/>
      <c r="AY1467" s="304"/>
      <c r="AZ1467" s="304"/>
      <c r="BA1467" s="304"/>
      <c r="BB1467" s="304"/>
      <c r="BC1467" s="304"/>
      <c r="BK1467" s="305"/>
      <c r="BL1467" s="305"/>
      <c r="BM1467" s="305"/>
      <c r="BN1467" s="305"/>
      <c r="BO1467" s="305"/>
      <c r="BP1467" s="305"/>
      <c r="BQ1467" s="305"/>
      <c r="BR1467" s="305"/>
      <c r="BS1467" s="305"/>
      <c r="BT1467" s="305"/>
      <c r="BU1467" s="305"/>
      <c r="BV1467" s="305"/>
      <c r="BX1467" s="319"/>
    </row>
    <row r="1468" spans="1:76" s="303" customFormat="1" x14ac:dyDescent="0.25">
      <c r="A1468" s="275"/>
      <c r="B1468" s="275"/>
      <c r="C1468" s="275"/>
      <c r="D1468" s="275"/>
      <c r="E1468" s="275"/>
      <c r="F1468" s="275"/>
      <c r="V1468" s="304"/>
      <c r="W1468" s="304"/>
      <c r="AD1468" s="304"/>
      <c r="AE1468" s="304"/>
      <c r="AR1468" s="304"/>
      <c r="AS1468" s="304"/>
      <c r="AT1468" s="304"/>
      <c r="AU1468" s="304"/>
      <c r="AV1468" s="304"/>
      <c r="AW1468" s="304"/>
      <c r="AX1468" s="304"/>
      <c r="AY1468" s="304"/>
      <c r="AZ1468" s="304"/>
      <c r="BA1468" s="304"/>
      <c r="BB1468" s="304"/>
      <c r="BC1468" s="304"/>
      <c r="BK1468" s="305"/>
      <c r="BL1468" s="305"/>
      <c r="BM1468" s="305"/>
      <c r="BN1468" s="305"/>
      <c r="BO1468" s="305"/>
      <c r="BP1468" s="305"/>
      <c r="BQ1468" s="305"/>
      <c r="BR1468" s="305"/>
      <c r="BS1468" s="305"/>
      <c r="BT1468" s="305"/>
      <c r="BU1468" s="305"/>
      <c r="BV1468" s="305"/>
      <c r="BX1468" s="319"/>
    </row>
    <row r="1469" spans="1:76" s="303" customFormat="1" x14ac:dyDescent="0.25">
      <c r="A1469" s="275"/>
      <c r="B1469" s="275"/>
      <c r="C1469" s="275"/>
      <c r="D1469" s="275"/>
      <c r="E1469" s="275"/>
      <c r="F1469" s="275"/>
      <c r="V1469" s="304"/>
      <c r="W1469" s="304"/>
      <c r="AD1469" s="304"/>
      <c r="AE1469" s="304"/>
      <c r="AR1469" s="304"/>
      <c r="AS1469" s="304"/>
      <c r="AT1469" s="304"/>
      <c r="AU1469" s="304"/>
      <c r="AV1469" s="304"/>
      <c r="AW1469" s="304"/>
      <c r="AX1469" s="304"/>
      <c r="AY1469" s="304"/>
      <c r="AZ1469" s="304"/>
      <c r="BA1469" s="304"/>
      <c r="BB1469" s="304"/>
      <c r="BC1469" s="304"/>
      <c r="BK1469" s="305"/>
      <c r="BL1469" s="305"/>
      <c r="BM1469" s="305"/>
      <c r="BN1469" s="305"/>
      <c r="BO1469" s="305"/>
      <c r="BP1469" s="305"/>
      <c r="BQ1469" s="305"/>
      <c r="BR1469" s="305"/>
      <c r="BS1469" s="305"/>
      <c r="BT1469" s="305"/>
      <c r="BU1469" s="305"/>
      <c r="BV1469" s="305"/>
      <c r="BX1469" s="319"/>
    </row>
    <row r="1470" spans="1:76" s="303" customFormat="1" x14ac:dyDescent="0.25">
      <c r="A1470" s="275"/>
      <c r="B1470" s="275"/>
      <c r="C1470" s="275"/>
      <c r="D1470" s="275"/>
      <c r="E1470" s="275"/>
      <c r="F1470" s="275"/>
      <c r="V1470" s="304"/>
      <c r="W1470" s="304"/>
      <c r="AD1470" s="304"/>
      <c r="AE1470" s="304"/>
      <c r="AR1470" s="304"/>
      <c r="AS1470" s="304"/>
      <c r="AT1470" s="304"/>
      <c r="AU1470" s="304"/>
      <c r="AV1470" s="304"/>
      <c r="AW1470" s="304"/>
      <c r="AX1470" s="304"/>
      <c r="AY1470" s="304"/>
      <c r="AZ1470" s="304"/>
      <c r="BA1470" s="304"/>
      <c r="BB1470" s="304"/>
      <c r="BC1470" s="304"/>
      <c r="BK1470" s="305"/>
      <c r="BL1470" s="305"/>
      <c r="BM1470" s="305"/>
      <c r="BN1470" s="305"/>
      <c r="BO1470" s="305"/>
      <c r="BP1470" s="305"/>
      <c r="BQ1470" s="305"/>
      <c r="BR1470" s="305"/>
      <c r="BS1470" s="305"/>
      <c r="BT1470" s="305"/>
      <c r="BU1470" s="305"/>
      <c r="BV1470" s="305"/>
      <c r="BX1470" s="319"/>
    </row>
    <row r="1471" spans="1:76" s="303" customFormat="1" x14ac:dyDescent="0.25">
      <c r="A1471" s="275"/>
      <c r="B1471" s="275"/>
      <c r="C1471" s="275"/>
      <c r="D1471" s="275"/>
      <c r="E1471" s="275"/>
      <c r="F1471" s="275"/>
      <c r="V1471" s="304"/>
      <c r="W1471" s="304"/>
      <c r="AD1471" s="304"/>
      <c r="AE1471" s="304"/>
      <c r="AR1471" s="304"/>
      <c r="AS1471" s="304"/>
      <c r="AT1471" s="304"/>
      <c r="AU1471" s="304"/>
      <c r="AV1471" s="304"/>
      <c r="AW1471" s="304"/>
      <c r="AX1471" s="304"/>
      <c r="AY1471" s="304"/>
      <c r="AZ1471" s="304"/>
      <c r="BA1471" s="304"/>
      <c r="BB1471" s="304"/>
      <c r="BC1471" s="304"/>
      <c r="BK1471" s="305"/>
      <c r="BL1471" s="305"/>
      <c r="BM1471" s="305"/>
      <c r="BN1471" s="305"/>
      <c r="BO1471" s="305"/>
      <c r="BP1471" s="305"/>
      <c r="BQ1471" s="305"/>
      <c r="BR1471" s="305"/>
      <c r="BS1471" s="305"/>
      <c r="BT1471" s="305"/>
      <c r="BU1471" s="305"/>
      <c r="BV1471" s="305"/>
      <c r="BX1471" s="319"/>
    </row>
    <row r="1472" spans="1:76" s="303" customFormat="1" x14ac:dyDescent="0.25">
      <c r="A1472" s="275"/>
      <c r="B1472" s="275"/>
      <c r="C1472" s="275"/>
      <c r="D1472" s="275"/>
      <c r="E1472" s="275"/>
      <c r="F1472" s="275"/>
      <c r="V1472" s="304"/>
      <c r="W1472" s="304"/>
      <c r="AD1472" s="304"/>
      <c r="AE1472" s="304"/>
      <c r="AR1472" s="304"/>
      <c r="AS1472" s="304"/>
      <c r="AT1472" s="304"/>
      <c r="AU1472" s="304"/>
      <c r="AV1472" s="304"/>
      <c r="AW1472" s="304"/>
      <c r="AX1472" s="304"/>
      <c r="AY1472" s="304"/>
      <c r="AZ1472" s="304"/>
      <c r="BA1472" s="304"/>
      <c r="BB1472" s="304"/>
      <c r="BC1472" s="304"/>
      <c r="BK1472" s="305"/>
      <c r="BL1472" s="305"/>
      <c r="BM1472" s="305"/>
      <c r="BN1472" s="305"/>
      <c r="BO1472" s="305"/>
      <c r="BP1472" s="305"/>
      <c r="BQ1472" s="305"/>
      <c r="BR1472" s="305"/>
      <c r="BS1472" s="305"/>
      <c r="BT1472" s="305"/>
      <c r="BU1472" s="305"/>
      <c r="BV1472" s="305"/>
      <c r="BX1472" s="319"/>
    </row>
    <row r="1473" spans="1:76" s="303" customFormat="1" x14ac:dyDescent="0.25">
      <c r="A1473" s="275"/>
      <c r="B1473" s="275"/>
      <c r="C1473" s="275"/>
      <c r="D1473" s="275"/>
      <c r="E1473" s="275"/>
      <c r="F1473" s="275"/>
      <c r="V1473" s="304"/>
      <c r="W1473" s="304"/>
      <c r="AD1473" s="304"/>
      <c r="AE1473" s="304"/>
      <c r="AR1473" s="304"/>
      <c r="AS1473" s="304"/>
      <c r="AT1473" s="304"/>
      <c r="AU1473" s="304"/>
      <c r="AV1473" s="304"/>
      <c r="AW1473" s="304"/>
      <c r="AX1473" s="304"/>
      <c r="AY1473" s="304"/>
      <c r="AZ1473" s="304"/>
      <c r="BA1473" s="304"/>
      <c r="BB1473" s="304"/>
      <c r="BC1473" s="304"/>
      <c r="BK1473" s="305"/>
      <c r="BL1473" s="305"/>
      <c r="BM1473" s="305"/>
      <c r="BN1473" s="305"/>
      <c r="BO1473" s="305"/>
      <c r="BP1473" s="305"/>
      <c r="BQ1473" s="305"/>
      <c r="BR1473" s="305"/>
      <c r="BS1473" s="305"/>
      <c r="BT1473" s="305"/>
      <c r="BU1473" s="305"/>
      <c r="BV1473" s="305"/>
      <c r="BX1473" s="319"/>
    </row>
    <row r="1474" spans="1:76" s="303" customFormat="1" x14ac:dyDescent="0.25">
      <c r="A1474" s="275"/>
      <c r="B1474" s="275"/>
      <c r="C1474" s="275"/>
      <c r="D1474" s="275"/>
      <c r="E1474" s="275"/>
      <c r="F1474" s="275"/>
      <c r="V1474" s="304"/>
      <c r="W1474" s="304"/>
      <c r="AD1474" s="304"/>
      <c r="AE1474" s="304"/>
      <c r="AR1474" s="304"/>
      <c r="AS1474" s="304"/>
      <c r="AT1474" s="304"/>
      <c r="AU1474" s="304"/>
      <c r="AV1474" s="304"/>
      <c r="AW1474" s="304"/>
      <c r="AX1474" s="304"/>
      <c r="AY1474" s="304"/>
      <c r="AZ1474" s="304"/>
      <c r="BA1474" s="304"/>
      <c r="BB1474" s="304"/>
      <c r="BC1474" s="304"/>
      <c r="BK1474" s="305"/>
      <c r="BL1474" s="305"/>
      <c r="BM1474" s="305"/>
      <c r="BN1474" s="305"/>
      <c r="BO1474" s="305"/>
      <c r="BP1474" s="305"/>
      <c r="BQ1474" s="305"/>
      <c r="BR1474" s="305"/>
      <c r="BS1474" s="305"/>
      <c r="BT1474" s="305"/>
      <c r="BU1474" s="305"/>
      <c r="BV1474" s="305"/>
      <c r="BX1474" s="319"/>
    </row>
    <row r="1475" spans="1:76" s="303" customFormat="1" x14ac:dyDescent="0.25">
      <c r="A1475" s="275"/>
      <c r="B1475" s="275"/>
      <c r="C1475" s="275"/>
      <c r="D1475" s="275"/>
      <c r="E1475" s="275"/>
      <c r="F1475" s="275"/>
      <c r="V1475" s="304"/>
      <c r="W1475" s="304"/>
      <c r="AD1475" s="304"/>
      <c r="AE1475" s="304"/>
      <c r="AR1475" s="304"/>
      <c r="AS1475" s="304"/>
      <c r="AT1475" s="304"/>
      <c r="AU1475" s="304"/>
      <c r="AV1475" s="304"/>
      <c r="AW1475" s="304"/>
      <c r="AX1475" s="304"/>
      <c r="AY1475" s="304"/>
      <c r="AZ1475" s="304"/>
      <c r="BA1475" s="304"/>
      <c r="BB1475" s="304"/>
      <c r="BC1475" s="304"/>
      <c r="BK1475" s="305"/>
      <c r="BL1475" s="305"/>
      <c r="BM1475" s="305"/>
      <c r="BN1475" s="305"/>
      <c r="BO1475" s="305"/>
      <c r="BP1475" s="305"/>
      <c r="BQ1475" s="305"/>
      <c r="BR1475" s="305"/>
      <c r="BS1475" s="305"/>
      <c r="BT1475" s="305"/>
      <c r="BU1475" s="305"/>
      <c r="BV1475" s="305"/>
      <c r="BX1475" s="319"/>
    </row>
    <row r="1476" spans="1:76" s="303" customFormat="1" x14ac:dyDescent="0.25">
      <c r="A1476" s="275"/>
      <c r="B1476" s="275"/>
      <c r="C1476" s="275"/>
      <c r="D1476" s="275"/>
      <c r="E1476" s="275"/>
      <c r="F1476" s="275"/>
      <c r="V1476" s="304"/>
      <c r="W1476" s="304"/>
      <c r="AD1476" s="304"/>
      <c r="AE1476" s="304"/>
      <c r="AR1476" s="304"/>
      <c r="AS1476" s="304"/>
      <c r="AT1476" s="304"/>
      <c r="AU1476" s="304"/>
      <c r="AV1476" s="304"/>
      <c r="AW1476" s="304"/>
      <c r="AX1476" s="304"/>
      <c r="AY1476" s="304"/>
      <c r="AZ1476" s="304"/>
      <c r="BA1476" s="304"/>
      <c r="BB1476" s="304"/>
      <c r="BC1476" s="304"/>
      <c r="BK1476" s="305"/>
      <c r="BL1476" s="305"/>
      <c r="BM1476" s="305"/>
      <c r="BN1476" s="305"/>
      <c r="BO1476" s="305"/>
      <c r="BP1476" s="305"/>
      <c r="BQ1476" s="305"/>
      <c r="BR1476" s="305"/>
      <c r="BS1476" s="305"/>
      <c r="BT1476" s="305"/>
      <c r="BU1476" s="305"/>
      <c r="BV1476" s="305"/>
      <c r="BX1476" s="319"/>
    </row>
    <row r="1477" spans="1:76" s="303" customFormat="1" x14ac:dyDescent="0.25">
      <c r="A1477" s="275"/>
      <c r="B1477" s="275"/>
      <c r="C1477" s="275"/>
      <c r="D1477" s="275"/>
      <c r="E1477" s="275"/>
      <c r="F1477" s="275"/>
      <c r="V1477" s="304"/>
      <c r="W1477" s="304"/>
      <c r="AD1477" s="304"/>
      <c r="AE1477" s="304"/>
      <c r="AR1477" s="304"/>
      <c r="AS1477" s="304"/>
      <c r="AT1477" s="304"/>
      <c r="AU1477" s="304"/>
      <c r="AV1477" s="304"/>
      <c r="AW1477" s="304"/>
      <c r="AX1477" s="304"/>
      <c r="AY1477" s="304"/>
      <c r="AZ1477" s="304"/>
      <c r="BA1477" s="304"/>
      <c r="BB1477" s="304"/>
      <c r="BC1477" s="304"/>
      <c r="BK1477" s="305"/>
      <c r="BL1477" s="305"/>
      <c r="BM1477" s="305"/>
      <c r="BN1477" s="305"/>
      <c r="BO1477" s="305"/>
      <c r="BP1477" s="305"/>
      <c r="BQ1477" s="305"/>
      <c r="BR1477" s="305"/>
      <c r="BS1477" s="305"/>
      <c r="BT1477" s="305"/>
      <c r="BU1477" s="305"/>
      <c r="BV1477" s="305"/>
      <c r="BX1477" s="319"/>
    </row>
    <row r="1478" spans="1:76" s="303" customFormat="1" x14ac:dyDescent="0.25">
      <c r="A1478" s="275"/>
      <c r="B1478" s="275"/>
      <c r="C1478" s="275"/>
      <c r="D1478" s="275"/>
      <c r="E1478" s="275"/>
      <c r="F1478" s="275"/>
      <c r="V1478" s="304"/>
      <c r="W1478" s="304"/>
      <c r="AD1478" s="304"/>
      <c r="AE1478" s="304"/>
      <c r="AR1478" s="304"/>
      <c r="AS1478" s="304"/>
      <c r="AT1478" s="304"/>
      <c r="AU1478" s="304"/>
      <c r="AV1478" s="304"/>
      <c r="AW1478" s="304"/>
      <c r="AX1478" s="304"/>
      <c r="AY1478" s="304"/>
      <c r="AZ1478" s="304"/>
      <c r="BA1478" s="304"/>
      <c r="BB1478" s="304"/>
      <c r="BC1478" s="304"/>
      <c r="BK1478" s="305"/>
      <c r="BL1478" s="305"/>
      <c r="BM1478" s="305"/>
      <c r="BN1478" s="305"/>
      <c r="BO1478" s="305"/>
      <c r="BP1478" s="305"/>
      <c r="BQ1478" s="305"/>
      <c r="BR1478" s="305"/>
      <c r="BS1478" s="305"/>
      <c r="BT1478" s="305"/>
      <c r="BU1478" s="305"/>
      <c r="BV1478" s="305"/>
      <c r="BX1478" s="319"/>
    </row>
    <row r="1479" spans="1:76" s="303" customFormat="1" x14ac:dyDescent="0.25">
      <c r="A1479" s="275"/>
      <c r="B1479" s="275"/>
      <c r="C1479" s="275"/>
      <c r="D1479" s="275"/>
      <c r="E1479" s="275"/>
      <c r="F1479" s="275"/>
      <c r="V1479" s="304"/>
      <c r="W1479" s="304"/>
      <c r="AD1479" s="304"/>
      <c r="AE1479" s="304"/>
      <c r="AR1479" s="304"/>
      <c r="AS1479" s="304"/>
      <c r="AT1479" s="304"/>
      <c r="AU1479" s="304"/>
      <c r="AV1479" s="304"/>
      <c r="AW1479" s="304"/>
      <c r="AX1479" s="304"/>
      <c r="AY1479" s="304"/>
      <c r="AZ1479" s="304"/>
      <c r="BA1479" s="304"/>
      <c r="BB1479" s="304"/>
      <c r="BC1479" s="304"/>
      <c r="BK1479" s="305"/>
      <c r="BL1479" s="305"/>
      <c r="BM1479" s="305"/>
      <c r="BN1479" s="305"/>
      <c r="BO1479" s="305"/>
      <c r="BP1479" s="305"/>
      <c r="BQ1479" s="305"/>
      <c r="BR1479" s="305"/>
      <c r="BS1479" s="305"/>
      <c r="BT1479" s="305"/>
      <c r="BU1479" s="305"/>
      <c r="BV1479" s="305"/>
      <c r="BX1479" s="319"/>
    </row>
    <row r="1480" spans="1:76" s="303" customFormat="1" x14ac:dyDescent="0.25">
      <c r="A1480" s="275"/>
      <c r="B1480" s="275"/>
      <c r="C1480" s="275"/>
      <c r="D1480" s="275"/>
      <c r="E1480" s="275"/>
      <c r="F1480" s="275"/>
      <c r="V1480" s="304"/>
      <c r="W1480" s="304"/>
      <c r="AD1480" s="304"/>
      <c r="AE1480" s="304"/>
      <c r="AR1480" s="304"/>
      <c r="AS1480" s="304"/>
      <c r="AT1480" s="304"/>
      <c r="AU1480" s="304"/>
      <c r="AV1480" s="304"/>
      <c r="AW1480" s="304"/>
      <c r="AX1480" s="304"/>
      <c r="AY1480" s="304"/>
      <c r="AZ1480" s="304"/>
      <c r="BA1480" s="304"/>
      <c r="BB1480" s="304"/>
      <c r="BC1480" s="304"/>
      <c r="BK1480" s="305"/>
      <c r="BL1480" s="305"/>
      <c r="BM1480" s="305"/>
      <c r="BN1480" s="305"/>
      <c r="BO1480" s="305"/>
      <c r="BP1480" s="305"/>
      <c r="BQ1480" s="305"/>
      <c r="BR1480" s="305"/>
      <c r="BS1480" s="305"/>
      <c r="BT1480" s="305"/>
      <c r="BU1480" s="305"/>
      <c r="BV1480" s="305"/>
      <c r="BX1480" s="319"/>
    </row>
    <row r="1481" spans="1:76" s="303" customFormat="1" x14ac:dyDescent="0.25">
      <c r="A1481" s="275"/>
      <c r="B1481" s="275"/>
      <c r="C1481" s="275"/>
      <c r="D1481" s="275"/>
      <c r="E1481" s="275"/>
      <c r="F1481" s="275"/>
      <c r="V1481" s="304"/>
      <c r="W1481" s="304"/>
      <c r="AD1481" s="304"/>
      <c r="AE1481" s="304"/>
      <c r="AR1481" s="304"/>
      <c r="AS1481" s="304"/>
      <c r="AT1481" s="304"/>
      <c r="AU1481" s="304"/>
      <c r="AV1481" s="304"/>
      <c r="AW1481" s="304"/>
      <c r="AX1481" s="304"/>
      <c r="AY1481" s="304"/>
      <c r="AZ1481" s="304"/>
      <c r="BA1481" s="304"/>
      <c r="BB1481" s="304"/>
      <c r="BC1481" s="304"/>
      <c r="BK1481" s="305"/>
      <c r="BL1481" s="305"/>
      <c r="BM1481" s="305"/>
      <c r="BN1481" s="305"/>
      <c r="BO1481" s="305"/>
      <c r="BP1481" s="305"/>
      <c r="BQ1481" s="305"/>
      <c r="BR1481" s="305"/>
      <c r="BS1481" s="305"/>
      <c r="BT1481" s="305"/>
      <c r="BU1481" s="305"/>
      <c r="BV1481" s="305"/>
      <c r="BX1481" s="319"/>
    </row>
    <row r="1482" spans="1:76" s="303" customFormat="1" x14ac:dyDescent="0.25">
      <c r="A1482" s="275"/>
      <c r="B1482" s="275"/>
      <c r="C1482" s="275"/>
      <c r="D1482" s="275"/>
      <c r="E1482" s="275"/>
      <c r="F1482" s="275"/>
      <c r="V1482" s="304"/>
      <c r="W1482" s="304"/>
      <c r="AD1482" s="304"/>
      <c r="AE1482" s="304"/>
      <c r="AR1482" s="304"/>
      <c r="AS1482" s="304"/>
      <c r="AT1482" s="304"/>
      <c r="AU1482" s="304"/>
      <c r="AV1482" s="304"/>
      <c r="AW1482" s="304"/>
      <c r="AX1482" s="304"/>
      <c r="AY1482" s="304"/>
      <c r="AZ1482" s="304"/>
      <c r="BA1482" s="304"/>
      <c r="BB1482" s="304"/>
      <c r="BC1482" s="304"/>
      <c r="BK1482" s="305"/>
      <c r="BL1482" s="305"/>
      <c r="BM1482" s="305"/>
      <c r="BN1482" s="305"/>
      <c r="BO1482" s="305"/>
      <c r="BP1482" s="305"/>
      <c r="BQ1482" s="305"/>
      <c r="BR1482" s="305"/>
      <c r="BS1482" s="305"/>
      <c r="BT1482" s="305"/>
      <c r="BU1482" s="305"/>
      <c r="BV1482" s="305"/>
      <c r="BX1482" s="319"/>
    </row>
    <row r="1483" spans="1:76" s="303" customFormat="1" x14ac:dyDescent="0.25">
      <c r="A1483" s="275"/>
      <c r="B1483" s="275"/>
      <c r="C1483" s="275"/>
      <c r="D1483" s="275"/>
      <c r="E1483" s="275"/>
      <c r="F1483" s="275"/>
      <c r="V1483" s="304"/>
      <c r="W1483" s="304"/>
      <c r="AD1483" s="304"/>
      <c r="AE1483" s="304"/>
      <c r="AR1483" s="304"/>
      <c r="AS1483" s="304"/>
      <c r="AT1483" s="304"/>
      <c r="AU1483" s="304"/>
      <c r="AV1483" s="304"/>
      <c r="AW1483" s="304"/>
      <c r="AX1483" s="304"/>
      <c r="AY1483" s="304"/>
      <c r="AZ1483" s="304"/>
      <c r="BA1483" s="304"/>
      <c r="BB1483" s="304"/>
      <c r="BC1483" s="304"/>
      <c r="BK1483" s="305"/>
      <c r="BL1483" s="305"/>
      <c r="BM1483" s="305"/>
      <c r="BN1483" s="305"/>
      <c r="BO1483" s="305"/>
      <c r="BP1483" s="305"/>
      <c r="BQ1483" s="305"/>
      <c r="BR1483" s="305"/>
      <c r="BS1483" s="305"/>
      <c r="BT1483" s="305"/>
      <c r="BU1483" s="305"/>
      <c r="BV1483" s="305"/>
      <c r="BX1483" s="319"/>
    </row>
    <row r="1484" spans="1:76" s="303" customFormat="1" x14ac:dyDescent="0.25">
      <c r="A1484" s="275"/>
      <c r="B1484" s="275"/>
      <c r="C1484" s="275"/>
      <c r="D1484" s="275"/>
      <c r="E1484" s="275"/>
      <c r="F1484" s="275"/>
      <c r="V1484" s="304"/>
      <c r="W1484" s="304"/>
      <c r="AD1484" s="304"/>
      <c r="AE1484" s="304"/>
      <c r="AR1484" s="304"/>
      <c r="AS1484" s="304"/>
      <c r="AT1484" s="304"/>
      <c r="AU1484" s="304"/>
      <c r="AV1484" s="304"/>
      <c r="AW1484" s="304"/>
      <c r="AX1484" s="304"/>
      <c r="AY1484" s="304"/>
      <c r="AZ1484" s="304"/>
      <c r="BA1484" s="304"/>
      <c r="BB1484" s="304"/>
      <c r="BC1484" s="304"/>
      <c r="BK1484" s="305"/>
      <c r="BL1484" s="305"/>
      <c r="BM1484" s="305"/>
      <c r="BN1484" s="305"/>
      <c r="BO1484" s="305"/>
      <c r="BP1484" s="305"/>
      <c r="BQ1484" s="305"/>
      <c r="BR1484" s="305"/>
      <c r="BS1484" s="305"/>
      <c r="BT1484" s="305"/>
      <c r="BU1484" s="305"/>
      <c r="BV1484" s="305"/>
      <c r="BX1484" s="319"/>
    </row>
    <row r="1485" spans="1:76" s="303" customFormat="1" x14ac:dyDescent="0.25">
      <c r="A1485" s="275"/>
      <c r="B1485" s="275"/>
      <c r="C1485" s="275"/>
      <c r="D1485" s="275"/>
      <c r="E1485" s="275"/>
      <c r="F1485" s="275"/>
      <c r="V1485" s="304"/>
      <c r="W1485" s="304"/>
      <c r="AD1485" s="304"/>
      <c r="AE1485" s="304"/>
      <c r="AR1485" s="304"/>
      <c r="AS1485" s="304"/>
      <c r="AT1485" s="304"/>
      <c r="AU1485" s="304"/>
      <c r="AV1485" s="304"/>
      <c r="AW1485" s="304"/>
      <c r="AX1485" s="304"/>
      <c r="AY1485" s="304"/>
      <c r="AZ1485" s="304"/>
      <c r="BA1485" s="304"/>
      <c r="BB1485" s="304"/>
      <c r="BC1485" s="304"/>
      <c r="BK1485" s="305"/>
      <c r="BL1485" s="305"/>
      <c r="BM1485" s="305"/>
      <c r="BN1485" s="305"/>
      <c r="BO1485" s="305"/>
      <c r="BP1485" s="305"/>
      <c r="BQ1485" s="305"/>
      <c r="BR1485" s="305"/>
      <c r="BS1485" s="305"/>
      <c r="BT1485" s="305"/>
      <c r="BU1485" s="305"/>
      <c r="BV1485" s="305"/>
      <c r="BX1485" s="319"/>
    </row>
    <row r="1486" spans="1:76" s="303" customFormat="1" x14ac:dyDescent="0.25">
      <c r="A1486" s="275"/>
      <c r="B1486" s="275"/>
      <c r="C1486" s="275"/>
      <c r="D1486" s="275"/>
      <c r="E1486" s="275"/>
      <c r="F1486" s="275"/>
      <c r="V1486" s="304"/>
      <c r="W1486" s="304"/>
      <c r="AD1486" s="304"/>
      <c r="AE1486" s="304"/>
      <c r="AR1486" s="304"/>
      <c r="AS1486" s="304"/>
      <c r="AT1486" s="304"/>
      <c r="AU1486" s="304"/>
      <c r="AV1486" s="304"/>
      <c r="AW1486" s="304"/>
      <c r="AX1486" s="304"/>
      <c r="AY1486" s="304"/>
      <c r="AZ1486" s="304"/>
      <c r="BA1486" s="304"/>
      <c r="BB1486" s="304"/>
      <c r="BC1486" s="304"/>
      <c r="BK1486" s="305"/>
      <c r="BL1486" s="305"/>
      <c r="BM1486" s="305"/>
      <c r="BN1486" s="305"/>
      <c r="BO1486" s="305"/>
      <c r="BP1486" s="305"/>
      <c r="BQ1486" s="305"/>
      <c r="BR1486" s="305"/>
      <c r="BS1486" s="305"/>
      <c r="BT1486" s="305"/>
      <c r="BU1486" s="305"/>
      <c r="BV1486" s="305"/>
      <c r="BX1486" s="319"/>
    </row>
    <row r="1487" spans="1:76" s="303" customFormat="1" x14ac:dyDescent="0.25">
      <c r="A1487" s="275"/>
      <c r="B1487" s="275"/>
      <c r="C1487" s="275"/>
      <c r="D1487" s="275"/>
      <c r="E1487" s="275"/>
      <c r="F1487" s="275"/>
      <c r="V1487" s="304"/>
      <c r="W1487" s="304"/>
      <c r="AD1487" s="304"/>
      <c r="AE1487" s="304"/>
      <c r="AR1487" s="304"/>
      <c r="AS1487" s="304"/>
      <c r="AT1487" s="304"/>
      <c r="AU1487" s="304"/>
      <c r="AV1487" s="304"/>
      <c r="AW1487" s="304"/>
      <c r="AX1487" s="304"/>
      <c r="AY1487" s="304"/>
      <c r="AZ1487" s="304"/>
      <c r="BA1487" s="304"/>
      <c r="BB1487" s="304"/>
      <c r="BC1487" s="304"/>
      <c r="BK1487" s="305"/>
      <c r="BL1487" s="305"/>
      <c r="BM1487" s="305"/>
      <c r="BN1487" s="305"/>
      <c r="BO1487" s="305"/>
      <c r="BP1487" s="305"/>
      <c r="BQ1487" s="305"/>
      <c r="BR1487" s="305"/>
      <c r="BS1487" s="305"/>
      <c r="BT1487" s="305"/>
      <c r="BU1487" s="305"/>
      <c r="BV1487" s="305"/>
      <c r="BX1487" s="319"/>
    </row>
    <row r="1488" spans="1:76" s="303" customFormat="1" x14ac:dyDescent="0.25">
      <c r="A1488" s="275"/>
      <c r="B1488" s="275"/>
      <c r="C1488" s="275"/>
      <c r="D1488" s="275"/>
      <c r="E1488" s="275"/>
      <c r="F1488" s="275"/>
      <c r="V1488" s="304"/>
      <c r="W1488" s="304"/>
      <c r="AD1488" s="304"/>
      <c r="AE1488" s="304"/>
      <c r="AR1488" s="304"/>
      <c r="AS1488" s="304"/>
      <c r="AT1488" s="304"/>
      <c r="AU1488" s="304"/>
      <c r="AV1488" s="304"/>
      <c r="AW1488" s="304"/>
      <c r="AX1488" s="304"/>
      <c r="AY1488" s="304"/>
      <c r="AZ1488" s="304"/>
      <c r="BA1488" s="304"/>
      <c r="BB1488" s="304"/>
      <c r="BC1488" s="304"/>
      <c r="BK1488" s="305"/>
      <c r="BL1488" s="305"/>
      <c r="BM1488" s="305"/>
      <c r="BN1488" s="305"/>
      <c r="BO1488" s="305"/>
      <c r="BP1488" s="305"/>
      <c r="BQ1488" s="305"/>
      <c r="BR1488" s="305"/>
      <c r="BS1488" s="305"/>
      <c r="BT1488" s="305"/>
      <c r="BU1488" s="305"/>
      <c r="BV1488" s="305"/>
      <c r="BX1488" s="319"/>
    </row>
    <row r="1489" spans="1:76" s="303" customFormat="1" x14ac:dyDescent="0.25">
      <c r="A1489" s="275"/>
      <c r="B1489" s="275"/>
      <c r="C1489" s="275"/>
      <c r="D1489" s="275"/>
      <c r="E1489" s="275"/>
      <c r="F1489" s="275"/>
      <c r="V1489" s="304"/>
      <c r="W1489" s="304"/>
      <c r="AD1489" s="304"/>
      <c r="AE1489" s="304"/>
      <c r="AR1489" s="304"/>
      <c r="AS1489" s="304"/>
      <c r="AT1489" s="304"/>
      <c r="AU1489" s="304"/>
      <c r="AV1489" s="304"/>
      <c r="AW1489" s="304"/>
      <c r="AX1489" s="304"/>
      <c r="AY1489" s="304"/>
      <c r="AZ1489" s="304"/>
      <c r="BA1489" s="304"/>
      <c r="BB1489" s="304"/>
      <c r="BC1489" s="304"/>
      <c r="BK1489" s="305"/>
      <c r="BL1489" s="305"/>
      <c r="BM1489" s="305"/>
      <c r="BN1489" s="305"/>
      <c r="BO1489" s="305"/>
      <c r="BP1489" s="305"/>
      <c r="BQ1489" s="305"/>
      <c r="BR1489" s="305"/>
      <c r="BS1489" s="305"/>
      <c r="BT1489" s="305"/>
      <c r="BU1489" s="305"/>
      <c r="BV1489" s="305"/>
      <c r="BX1489" s="319"/>
    </row>
    <row r="1490" spans="1:76" s="303" customFormat="1" x14ac:dyDescent="0.25">
      <c r="A1490" s="275"/>
      <c r="B1490" s="275"/>
      <c r="C1490" s="275"/>
      <c r="D1490" s="275"/>
      <c r="E1490" s="275"/>
      <c r="F1490" s="275"/>
      <c r="V1490" s="304"/>
      <c r="W1490" s="304"/>
      <c r="AD1490" s="304"/>
      <c r="AE1490" s="304"/>
      <c r="AR1490" s="304"/>
      <c r="AS1490" s="304"/>
      <c r="AT1490" s="304"/>
      <c r="AU1490" s="304"/>
      <c r="AV1490" s="304"/>
      <c r="AW1490" s="304"/>
      <c r="AX1490" s="304"/>
      <c r="AY1490" s="304"/>
      <c r="AZ1490" s="304"/>
      <c r="BA1490" s="304"/>
      <c r="BB1490" s="304"/>
      <c r="BC1490" s="304"/>
      <c r="BK1490" s="305"/>
      <c r="BL1490" s="305"/>
      <c r="BM1490" s="305"/>
      <c r="BN1490" s="305"/>
      <c r="BO1490" s="305"/>
      <c r="BP1490" s="305"/>
      <c r="BQ1490" s="305"/>
      <c r="BR1490" s="305"/>
      <c r="BS1490" s="305"/>
      <c r="BT1490" s="305"/>
      <c r="BU1490" s="305"/>
      <c r="BV1490" s="305"/>
      <c r="BX1490" s="319"/>
    </row>
    <row r="1491" spans="1:76" s="303" customFormat="1" x14ac:dyDescent="0.25">
      <c r="A1491" s="275"/>
      <c r="B1491" s="275"/>
      <c r="C1491" s="275"/>
      <c r="D1491" s="275"/>
      <c r="E1491" s="275"/>
      <c r="F1491" s="275"/>
      <c r="V1491" s="304"/>
      <c r="W1491" s="304"/>
      <c r="AD1491" s="304"/>
      <c r="AE1491" s="304"/>
      <c r="AR1491" s="304"/>
      <c r="AS1491" s="304"/>
      <c r="AT1491" s="304"/>
      <c r="AU1491" s="304"/>
      <c r="AV1491" s="304"/>
      <c r="AW1491" s="304"/>
      <c r="AX1491" s="304"/>
      <c r="AY1491" s="304"/>
      <c r="AZ1491" s="304"/>
      <c r="BA1491" s="304"/>
      <c r="BB1491" s="304"/>
      <c r="BC1491" s="304"/>
      <c r="BK1491" s="305"/>
      <c r="BL1491" s="305"/>
      <c r="BM1491" s="305"/>
      <c r="BN1491" s="305"/>
      <c r="BO1491" s="305"/>
      <c r="BP1491" s="305"/>
      <c r="BQ1491" s="305"/>
      <c r="BR1491" s="305"/>
      <c r="BS1491" s="305"/>
      <c r="BT1491" s="305"/>
      <c r="BU1491" s="305"/>
      <c r="BV1491" s="305"/>
      <c r="BX1491" s="319"/>
    </row>
    <row r="1492" spans="1:76" s="303" customFormat="1" x14ac:dyDescent="0.25">
      <c r="A1492" s="275"/>
      <c r="B1492" s="275"/>
      <c r="C1492" s="275"/>
      <c r="D1492" s="275"/>
      <c r="E1492" s="275"/>
      <c r="F1492" s="275"/>
      <c r="V1492" s="304"/>
      <c r="W1492" s="304"/>
      <c r="AD1492" s="304"/>
      <c r="AE1492" s="304"/>
      <c r="AR1492" s="304"/>
      <c r="AS1492" s="304"/>
      <c r="AT1492" s="304"/>
      <c r="AU1492" s="304"/>
      <c r="AV1492" s="304"/>
      <c r="AW1492" s="304"/>
      <c r="AX1492" s="304"/>
      <c r="AY1492" s="304"/>
      <c r="AZ1492" s="304"/>
      <c r="BA1492" s="304"/>
      <c r="BB1492" s="304"/>
      <c r="BC1492" s="304"/>
      <c r="BK1492" s="305"/>
      <c r="BL1492" s="305"/>
      <c r="BM1492" s="305"/>
      <c r="BN1492" s="305"/>
      <c r="BO1492" s="305"/>
      <c r="BP1492" s="305"/>
      <c r="BQ1492" s="305"/>
      <c r="BR1492" s="305"/>
      <c r="BS1492" s="305"/>
      <c r="BT1492" s="305"/>
      <c r="BU1492" s="305"/>
      <c r="BV1492" s="305"/>
      <c r="BX1492" s="319"/>
    </row>
    <row r="1493" spans="1:76" s="303" customFormat="1" x14ac:dyDescent="0.25">
      <c r="A1493" s="275"/>
      <c r="B1493" s="275"/>
      <c r="C1493" s="275"/>
      <c r="D1493" s="275"/>
      <c r="E1493" s="275"/>
      <c r="F1493" s="275"/>
      <c r="V1493" s="304"/>
      <c r="W1493" s="304"/>
      <c r="AD1493" s="304"/>
      <c r="AE1493" s="304"/>
      <c r="AR1493" s="304"/>
      <c r="AS1493" s="304"/>
      <c r="AT1493" s="304"/>
      <c r="AU1493" s="304"/>
      <c r="AV1493" s="304"/>
      <c r="AW1493" s="304"/>
      <c r="AX1493" s="304"/>
      <c r="AY1493" s="304"/>
      <c r="AZ1493" s="304"/>
      <c r="BA1493" s="304"/>
      <c r="BB1493" s="304"/>
      <c r="BC1493" s="304"/>
      <c r="BK1493" s="305"/>
      <c r="BL1493" s="305"/>
      <c r="BM1493" s="305"/>
      <c r="BN1493" s="305"/>
      <c r="BO1493" s="305"/>
      <c r="BP1493" s="305"/>
      <c r="BQ1493" s="305"/>
      <c r="BR1493" s="305"/>
      <c r="BS1493" s="305"/>
      <c r="BT1493" s="305"/>
      <c r="BU1493" s="305"/>
      <c r="BV1493" s="305"/>
      <c r="BX1493" s="319"/>
    </row>
    <row r="1494" spans="1:76" s="303" customFormat="1" x14ac:dyDescent="0.25">
      <c r="A1494" s="275"/>
      <c r="B1494" s="275"/>
      <c r="C1494" s="275"/>
      <c r="D1494" s="275"/>
      <c r="E1494" s="275"/>
      <c r="F1494" s="275"/>
      <c r="V1494" s="304"/>
      <c r="W1494" s="304"/>
      <c r="AD1494" s="304"/>
      <c r="AE1494" s="304"/>
      <c r="AR1494" s="304"/>
      <c r="AS1494" s="304"/>
      <c r="AT1494" s="304"/>
      <c r="AU1494" s="304"/>
      <c r="AV1494" s="304"/>
      <c r="AW1494" s="304"/>
      <c r="AX1494" s="304"/>
      <c r="AY1494" s="304"/>
      <c r="AZ1494" s="304"/>
      <c r="BA1494" s="304"/>
      <c r="BB1494" s="304"/>
      <c r="BC1494" s="304"/>
      <c r="BK1494" s="305"/>
      <c r="BL1494" s="305"/>
      <c r="BM1494" s="305"/>
      <c r="BN1494" s="305"/>
      <c r="BO1494" s="305"/>
      <c r="BP1494" s="305"/>
      <c r="BQ1494" s="305"/>
      <c r="BR1494" s="305"/>
      <c r="BS1494" s="305"/>
      <c r="BT1494" s="305"/>
      <c r="BU1494" s="305"/>
      <c r="BV1494" s="305"/>
      <c r="BX1494" s="319"/>
    </row>
    <row r="1495" spans="1:76" s="303" customFormat="1" x14ac:dyDescent="0.25">
      <c r="A1495" s="275"/>
      <c r="B1495" s="275"/>
      <c r="C1495" s="275"/>
      <c r="D1495" s="275"/>
      <c r="E1495" s="275"/>
      <c r="F1495" s="275"/>
      <c r="V1495" s="304"/>
      <c r="W1495" s="304"/>
      <c r="AD1495" s="304"/>
      <c r="AE1495" s="304"/>
      <c r="AR1495" s="304"/>
      <c r="AS1495" s="304"/>
      <c r="AT1495" s="304"/>
      <c r="AU1495" s="304"/>
      <c r="AV1495" s="304"/>
      <c r="AW1495" s="304"/>
      <c r="AX1495" s="304"/>
      <c r="AY1495" s="304"/>
      <c r="AZ1495" s="304"/>
      <c r="BA1495" s="304"/>
      <c r="BB1495" s="304"/>
      <c r="BC1495" s="304"/>
      <c r="BK1495" s="305"/>
      <c r="BL1495" s="305"/>
      <c r="BM1495" s="305"/>
      <c r="BN1495" s="305"/>
      <c r="BO1495" s="305"/>
      <c r="BP1495" s="305"/>
      <c r="BQ1495" s="305"/>
      <c r="BR1495" s="305"/>
      <c r="BS1495" s="305"/>
      <c r="BT1495" s="305"/>
      <c r="BU1495" s="305"/>
      <c r="BV1495" s="305"/>
      <c r="BX1495" s="319"/>
    </row>
    <row r="1496" spans="1:76" s="303" customFormat="1" x14ac:dyDescent="0.25">
      <c r="A1496" s="275"/>
      <c r="B1496" s="275"/>
      <c r="C1496" s="275"/>
      <c r="D1496" s="275"/>
      <c r="E1496" s="275"/>
      <c r="F1496" s="275"/>
      <c r="V1496" s="304"/>
      <c r="W1496" s="304"/>
      <c r="AD1496" s="304"/>
      <c r="AE1496" s="304"/>
      <c r="AR1496" s="304"/>
      <c r="AS1496" s="304"/>
      <c r="AT1496" s="304"/>
      <c r="AU1496" s="304"/>
      <c r="AV1496" s="304"/>
      <c r="AW1496" s="304"/>
      <c r="AX1496" s="304"/>
      <c r="AY1496" s="304"/>
      <c r="AZ1496" s="304"/>
      <c r="BA1496" s="304"/>
      <c r="BB1496" s="304"/>
      <c r="BC1496" s="304"/>
      <c r="BK1496" s="305"/>
      <c r="BL1496" s="305"/>
      <c r="BM1496" s="305"/>
      <c r="BN1496" s="305"/>
      <c r="BO1496" s="305"/>
      <c r="BP1496" s="305"/>
      <c r="BQ1496" s="305"/>
      <c r="BR1496" s="305"/>
      <c r="BS1496" s="305"/>
      <c r="BT1496" s="305"/>
      <c r="BU1496" s="305"/>
      <c r="BV1496" s="305"/>
      <c r="BX1496" s="319"/>
    </row>
    <row r="1497" spans="1:76" s="303" customFormat="1" x14ac:dyDescent="0.25">
      <c r="A1497" s="275"/>
      <c r="B1497" s="275"/>
      <c r="C1497" s="275"/>
      <c r="D1497" s="275"/>
      <c r="E1497" s="275"/>
      <c r="F1497" s="275"/>
      <c r="V1497" s="304"/>
      <c r="W1497" s="304"/>
      <c r="AD1497" s="304"/>
      <c r="AE1497" s="304"/>
      <c r="AR1497" s="304"/>
      <c r="AS1497" s="304"/>
      <c r="AT1497" s="304"/>
      <c r="AU1497" s="304"/>
      <c r="AV1497" s="304"/>
      <c r="AW1497" s="304"/>
      <c r="AX1497" s="304"/>
      <c r="AY1497" s="304"/>
      <c r="AZ1497" s="304"/>
      <c r="BA1497" s="304"/>
      <c r="BB1497" s="304"/>
      <c r="BC1497" s="304"/>
      <c r="BK1497" s="305"/>
      <c r="BL1497" s="305"/>
      <c r="BM1497" s="305"/>
      <c r="BN1497" s="305"/>
      <c r="BO1497" s="305"/>
      <c r="BP1497" s="305"/>
      <c r="BQ1497" s="305"/>
      <c r="BR1497" s="305"/>
      <c r="BS1497" s="305"/>
      <c r="BT1497" s="305"/>
      <c r="BU1497" s="305"/>
      <c r="BV1497" s="305"/>
      <c r="BX1497" s="319"/>
    </row>
    <row r="1498" spans="1:76" s="303" customFormat="1" x14ac:dyDescent="0.25">
      <c r="A1498" s="275"/>
      <c r="B1498" s="275"/>
      <c r="C1498" s="275"/>
      <c r="D1498" s="275"/>
      <c r="E1498" s="275"/>
      <c r="F1498" s="275"/>
      <c r="V1498" s="304"/>
      <c r="W1498" s="304"/>
      <c r="AD1498" s="304"/>
      <c r="AE1498" s="304"/>
      <c r="AR1498" s="304"/>
      <c r="AS1498" s="304"/>
      <c r="AT1498" s="304"/>
      <c r="AU1498" s="304"/>
      <c r="AV1498" s="304"/>
      <c r="AW1498" s="304"/>
      <c r="AX1498" s="304"/>
      <c r="AY1498" s="304"/>
      <c r="AZ1498" s="304"/>
      <c r="BA1498" s="304"/>
      <c r="BB1498" s="304"/>
      <c r="BC1498" s="304"/>
      <c r="BK1498" s="305"/>
      <c r="BL1498" s="305"/>
      <c r="BM1498" s="305"/>
      <c r="BN1498" s="305"/>
      <c r="BO1498" s="305"/>
      <c r="BP1498" s="305"/>
      <c r="BQ1498" s="305"/>
      <c r="BR1498" s="305"/>
      <c r="BS1498" s="305"/>
      <c r="BT1498" s="305"/>
      <c r="BU1498" s="305"/>
      <c r="BV1498" s="305"/>
      <c r="BX1498" s="319"/>
    </row>
    <row r="1499" spans="1:76" s="303" customFormat="1" x14ac:dyDescent="0.25">
      <c r="A1499" s="275"/>
      <c r="B1499" s="275"/>
      <c r="C1499" s="275"/>
      <c r="D1499" s="275"/>
      <c r="E1499" s="275"/>
      <c r="F1499" s="275"/>
      <c r="V1499" s="304"/>
      <c r="W1499" s="304"/>
      <c r="AD1499" s="304"/>
      <c r="AE1499" s="304"/>
      <c r="AR1499" s="304"/>
      <c r="AS1499" s="304"/>
      <c r="AT1499" s="304"/>
      <c r="AU1499" s="304"/>
      <c r="AV1499" s="304"/>
      <c r="AW1499" s="304"/>
      <c r="AX1499" s="304"/>
      <c r="AY1499" s="304"/>
      <c r="AZ1499" s="304"/>
      <c r="BA1499" s="304"/>
      <c r="BB1499" s="304"/>
      <c r="BC1499" s="304"/>
      <c r="BK1499" s="305"/>
      <c r="BL1499" s="305"/>
      <c r="BM1499" s="305"/>
      <c r="BN1499" s="305"/>
      <c r="BO1499" s="305"/>
      <c r="BP1499" s="305"/>
      <c r="BQ1499" s="305"/>
      <c r="BR1499" s="305"/>
      <c r="BS1499" s="305"/>
      <c r="BT1499" s="305"/>
      <c r="BU1499" s="305"/>
      <c r="BV1499" s="305"/>
      <c r="BX1499" s="319"/>
    </row>
    <row r="1500" spans="1:76" s="303" customFormat="1" x14ac:dyDescent="0.25">
      <c r="A1500" s="275"/>
      <c r="B1500" s="275"/>
      <c r="C1500" s="275"/>
      <c r="D1500" s="275"/>
      <c r="E1500" s="275"/>
      <c r="F1500" s="275"/>
      <c r="V1500" s="304"/>
      <c r="W1500" s="304"/>
      <c r="AD1500" s="304"/>
      <c r="AE1500" s="304"/>
      <c r="AR1500" s="304"/>
      <c r="AS1500" s="304"/>
      <c r="AT1500" s="304"/>
      <c r="AU1500" s="304"/>
      <c r="AV1500" s="304"/>
      <c r="AW1500" s="304"/>
      <c r="AX1500" s="304"/>
      <c r="AY1500" s="304"/>
      <c r="AZ1500" s="304"/>
      <c r="BA1500" s="304"/>
      <c r="BB1500" s="304"/>
      <c r="BC1500" s="304"/>
      <c r="BK1500" s="305"/>
      <c r="BL1500" s="305"/>
      <c r="BM1500" s="305"/>
      <c r="BN1500" s="305"/>
      <c r="BO1500" s="305"/>
      <c r="BP1500" s="305"/>
      <c r="BQ1500" s="305"/>
      <c r="BR1500" s="305"/>
      <c r="BS1500" s="305"/>
      <c r="BT1500" s="305"/>
      <c r="BU1500" s="305"/>
      <c r="BV1500" s="305"/>
      <c r="BX1500" s="319"/>
    </row>
    <row r="1501" spans="1:76" s="303" customFormat="1" x14ac:dyDescent="0.25">
      <c r="A1501" s="275"/>
      <c r="B1501" s="275"/>
      <c r="C1501" s="275"/>
      <c r="D1501" s="275"/>
      <c r="E1501" s="275"/>
      <c r="F1501" s="275"/>
      <c r="V1501" s="304"/>
      <c r="W1501" s="304"/>
      <c r="AD1501" s="304"/>
      <c r="AE1501" s="304"/>
      <c r="AR1501" s="304"/>
      <c r="AS1501" s="304"/>
      <c r="AT1501" s="304"/>
      <c r="AU1501" s="304"/>
      <c r="AV1501" s="304"/>
      <c r="AW1501" s="304"/>
      <c r="AX1501" s="304"/>
      <c r="AY1501" s="304"/>
      <c r="AZ1501" s="304"/>
      <c r="BA1501" s="304"/>
      <c r="BB1501" s="304"/>
      <c r="BC1501" s="304"/>
      <c r="BK1501" s="305"/>
      <c r="BL1501" s="305"/>
      <c r="BM1501" s="305"/>
      <c r="BN1501" s="305"/>
      <c r="BO1501" s="305"/>
      <c r="BP1501" s="305"/>
      <c r="BQ1501" s="305"/>
      <c r="BR1501" s="305"/>
      <c r="BS1501" s="305"/>
      <c r="BT1501" s="305"/>
      <c r="BU1501" s="305"/>
      <c r="BV1501" s="305"/>
      <c r="BX1501" s="319"/>
    </row>
    <row r="1502" spans="1:76" s="303" customFormat="1" x14ac:dyDescent="0.25">
      <c r="A1502" s="275"/>
      <c r="B1502" s="275"/>
      <c r="C1502" s="275"/>
      <c r="D1502" s="275"/>
      <c r="E1502" s="275"/>
      <c r="F1502" s="275"/>
      <c r="V1502" s="304"/>
      <c r="W1502" s="304"/>
      <c r="AD1502" s="304"/>
      <c r="AE1502" s="304"/>
      <c r="AR1502" s="304"/>
      <c r="AS1502" s="304"/>
      <c r="AT1502" s="304"/>
      <c r="AU1502" s="304"/>
      <c r="AV1502" s="304"/>
      <c r="AW1502" s="304"/>
      <c r="AX1502" s="304"/>
      <c r="AY1502" s="304"/>
      <c r="AZ1502" s="304"/>
      <c r="BA1502" s="304"/>
      <c r="BB1502" s="304"/>
      <c r="BC1502" s="304"/>
      <c r="BK1502" s="305"/>
      <c r="BL1502" s="305"/>
      <c r="BM1502" s="305"/>
      <c r="BN1502" s="305"/>
      <c r="BO1502" s="305"/>
      <c r="BP1502" s="305"/>
      <c r="BQ1502" s="305"/>
      <c r="BR1502" s="305"/>
      <c r="BS1502" s="305"/>
      <c r="BT1502" s="305"/>
      <c r="BU1502" s="305"/>
      <c r="BV1502" s="305"/>
      <c r="BX1502" s="319"/>
    </row>
    <row r="1503" spans="1:76" s="303" customFormat="1" x14ac:dyDescent="0.25">
      <c r="A1503" s="275"/>
      <c r="B1503" s="275"/>
      <c r="C1503" s="275"/>
      <c r="D1503" s="275"/>
      <c r="E1503" s="275"/>
      <c r="F1503" s="275"/>
      <c r="V1503" s="304"/>
      <c r="W1503" s="304"/>
      <c r="AD1503" s="304"/>
      <c r="AE1503" s="304"/>
      <c r="AR1503" s="304"/>
      <c r="AS1503" s="304"/>
      <c r="AT1503" s="304"/>
      <c r="AU1503" s="304"/>
      <c r="AV1503" s="304"/>
      <c r="AW1503" s="304"/>
      <c r="AX1503" s="304"/>
      <c r="AY1503" s="304"/>
      <c r="AZ1503" s="304"/>
      <c r="BA1503" s="304"/>
      <c r="BB1503" s="304"/>
      <c r="BC1503" s="304"/>
      <c r="BK1503" s="305"/>
      <c r="BL1503" s="305"/>
      <c r="BM1503" s="305"/>
      <c r="BN1503" s="305"/>
      <c r="BO1503" s="305"/>
      <c r="BP1503" s="305"/>
      <c r="BQ1503" s="305"/>
      <c r="BR1503" s="305"/>
      <c r="BS1503" s="305"/>
      <c r="BT1503" s="305"/>
      <c r="BU1503" s="305"/>
      <c r="BV1503" s="305"/>
      <c r="BX1503" s="319"/>
    </row>
    <row r="1504" spans="1:76" s="303" customFormat="1" x14ac:dyDescent="0.25">
      <c r="A1504" s="275"/>
      <c r="B1504" s="275"/>
      <c r="C1504" s="275"/>
      <c r="D1504" s="275"/>
      <c r="E1504" s="275"/>
      <c r="F1504" s="275"/>
      <c r="V1504" s="304"/>
      <c r="W1504" s="304"/>
      <c r="AD1504" s="304"/>
      <c r="AE1504" s="304"/>
      <c r="AR1504" s="304"/>
      <c r="AS1504" s="304"/>
      <c r="AT1504" s="304"/>
      <c r="AU1504" s="304"/>
      <c r="AV1504" s="304"/>
      <c r="AW1504" s="304"/>
      <c r="AX1504" s="304"/>
      <c r="AY1504" s="304"/>
      <c r="AZ1504" s="304"/>
      <c r="BA1504" s="304"/>
      <c r="BB1504" s="304"/>
      <c r="BC1504" s="304"/>
      <c r="BK1504" s="305"/>
      <c r="BL1504" s="305"/>
      <c r="BM1504" s="305"/>
      <c r="BN1504" s="305"/>
      <c r="BO1504" s="305"/>
      <c r="BP1504" s="305"/>
      <c r="BQ1504" s="305"/>
      <c r="BR1504" s="305"/>
      <c r="BS1504" s="305"/>
      <c r="BT1504" s="305"/>
      <c r="BU1504" s="305"/>
      <c r="BV1504" s="305"/>
      <c r="BX1504" s="319"/>
    </row>
    <row r="1505" spans="1:76" s="303" customFormat="1" x14ac:dyDescent="0.25">
      <c r="A1505" s="275"/>
      <c r="B1505" s="275"/>
      <c r="C1505" s="275"/>
      <c r="D1505" s="275"/>
      <c r="E1505" s="275"/>
      <c r="F1505" s="275"/>
      <c r="V1505" s="304"/>
      <c r="W1505" s="304"/>
      <c r="AD1505" s="304"/>
      <c r="AE1505" s="304"/>
      <c r="AR1505" s="304"/>
      <c r="AS1505" s="304"/>
      <c r="AT1505" s="304"/>
      <c r="AU1505" s="304"/>
      <c r="AV1505" s="304"/>
      <c r="AW1505" s="304"/>
      <c r="AX1505" s="304"/>
      <c r="AY1505" s="304"/>
      <c r="AZ1505" s="304"/>
      <c r="BA1505" s="304"/>
      <c r="BB1505" s="304"/>
      <c r="BC1505" s="304"/>
      <c r="BK1505" s="305"/>
      <c r="BL1505" s="305"/>
      <c r="BM1505" s="305"/>
      <c r="BN1505" s="305"/>
      <c r="BO1505" s="305"/>
      <c r="BP1505" s="305"/>
      <c r="BQ1505" s="305"/>
      <c r="BR1505" s="305"/>
      <c r="BS1505" s="305"/>
      <c r="BT1505" s="305"/>
      <c r="BU1505" s="305"/>
      <c r="BV1505" s="305"/>
      <c r="BX1505" s="319"/>
    </row>
    <row r="1506" spans="1:76" s="303" customFormat="1" x14ac:dyDescent="0.25">
      <c r="A1506" s="275"/>
      <c r="B1506" s="275"/>
      <c r="C1506" s="275"/>
      <c r="D1506" s="275"/>
      <c r="E1506" s="275"/>
      <c r="F1506" s="275"/>
      <c r="V1506" s="304"/>
      <c r="W1506" s="304"/>
      <c r="AD1506" s="304"/>
      <c r="AE1506" s="304"/>
      <c r="AR1506" s="304"/>
      <c r="AS1506" s="304"/>
      <c r="AT1506" s="304"/>
      <c r="AU1506" s="304"/>
      <c r="AV1506" s="304"/>
      <c r="AW1506" s="304"/>
      <c r="AX1506" s="304"/>
      <c r="AY1506" s="304"/>
      <c r="AZ1506" s="304"/>
      <c r="BA1506" s="304"/>
      <c r="BB1506" s="304"/>
      <c r="BC1506" s="304"/>
      <c r="BK1506" s="305"/>
      <c r="BL1506" s="305"/>
      <c r="BM1506" s="305"/>
      <c r="BN1506" s="305"/>
      <c r="BO1506" s="305"/>
      <c r="BP1506" s="305"/>
      <c r="BQ1506" s="305"/>
      <c r="BR1506" s="305"/>
      <c r="BS1506" s="305"/>
      <c r="BT1506" s="305"/>
      <c r="BU1506" s="305"/>
      <c r="BV1506" s="305"/>
      <c r="BX1506" s="319"/>
    </row>
    <row r="1507" spans="1:76" s="303" customFormat="1" x14ac:dyDescent="0.25">
      <c r="A1507" s="275"/>
      <c r="B1507" s="275"/>
      <c r="C1507" s="275"/>
      <c r="D1507" s="275"/>
      <c r="E1507" s="275"/>
      <c r="F1507" s="275"/>
      <c r="V1507" s="304"/>
      <c r="W1507" s="304"/>
      <c r="AD1507" s="304"/>
      <c r="AE1507" s="304"/>
      <c r="AR1507" s="304"/>
      <c r="AS1507" s="304"/>
      <c r="AT1507" s="304"/>
      <c r="AU1507" s="304"/>
      <c r="AV1507" s="304"/>
      <c r="AW1507" s="304"/>
      <c r="AX1507" s="304"/>
      <c r="AY1507" s="304"/>
      <c r="AZ1507" s="304"/>
      <c r="BA1507" s="304"/>
      <c r="BB1507" s="304"/>
      <c r="BC1507" s="304"/>
      <c r="BK1507" s="305"/>
      <c r="BL1507" s="305"/>
      <c r="BM1507" s="305"/>
      <c r="BN1507" s="305"/>
      <c r="BO1507" s="305"/>
      <c r="BP1507" s="305"/>
      <c r="BQ1507" s="305"/>
      <c r="BR1507" s="305"/>
      <c r="BS1507" s="305"/>
      <c r="BT1507" s="305"/>
      <c r="BU1507" s="305"/>
      <c r="BV1507" s="305"/>
      <c r="BX1507" s="319"/>
    </row>
    <row r="1508" spans="1:76" s="303" customFormat="1" x14ac:dyDescent="0.25">
      <c r="A1508" s="275"/>
      <c r="B1508" s="275"/>
      <c r="C1508" s="275"/>
      <c r="D1508" s="275"/>
      <c r="E1508" s="275"/>
      <c r="F1508" s="275"/>
      <c r="V1508" s="304"/>
      <c r="W1508" s="304"/>
      <c r="AD1508" s="304"/>
      <c r="AE1508" s="304"/>
      <c r="AR1508" s="304"/>
      <c r="AS1508" s="304"/>
      <c r="AT1508" s="304"/>
      <c r="AU1508" s="304"/>
      <c r="AV1508" s="304"/>
      <c r="AW1508" s="304"/>
      <c r="AX1508" s="304"/>
      <c r="AY1508" s="304"/>
      <c r="AZ1508" s="304"/>
      <c r="BA1508" s="304"/>
      <c r="BB1508" s="304"/>
      <c r="BC1508" s="304"/>
      <c r="BK1508" s="305"/>
      <c r="BL1508" s="305"/>
      <c r="BM1508" s="305"/>
      <c r="BN1508" s="305"/>
      <c r="BO1508" s="305"/>
      <c r="BP1508" s="305"/>
      <c r="BQ1508" s="305"/>
      <c r="BR1508" s="305"/>
      <c r="BS1508" s="305"/>
      <c r="BT1508" s="305"/>
      <c r="BU1508" s="305"/>
      <c r="BV1508" s="305"/>
      <c r="BX1508" s="319"/>
    </row>
    <row r="1509" spans="1:76" s="303" customFormat="1" x14ac:dyDescent="0.25">
      <c r="A1509" s="275"/>
      <c r="B1509" s="275"/>
      <c r="C1509" s="275"/>
      <c r="D1509" s="275"/>
      <c r="E1509" s="275"/>
      <c r="F1509" s="275"/>
      <c r="V1509" s="304"/>
      <c r="W1509" s="304"/>
      <c r="AD1509" s="304"/>
      <c r="AE1509" s="304"/>
      <c r="AR1509" s="304"/>
      <c r="AS1509" s="304"/>
      <c r="AT1509" s="304"/>
      <c r="AU1509" s="304"/>
      <c r="AV1509" s="304"/>
      <c r="AW1509" s="304"/>
      <c r="AX1509" s="304"/>
      <c r="AY1509" s="304"/>
      <c r="AZ1509" s="304"/>
      <c r="BA1509" s="304"/>
      <c r="BB1509" s="304"/>
      <c r="BC1509" s="304"/>
      <c r="BK1509" s="305"/>
      <c r="BL1509" s="305"/>
      <c r="BM1509" s="305"/>
      <c r="BN1509" s="305"/>
      <c r="BO1509" s="305"/>
      <c r="BP1509" s="305"/>
      <c r="BQ1509" s="305"/>
      <c r="BR1509" s="305"/>
      <c r="BS1509" s="305"/>
      <c r="BT1509" s="305"/>
      <c r="BU1509" s="305"/>
      <c r="BV1509" s="305"/>
      <c r="BX1509" s="319"/>
    </row>
    <row r="1510" spans="1:76" s="303" customFormat="1" x14ac:dyDescent="0.25">
      <c r="A1510" s="275"/>
      <c r="B1510" s="275"/>
      <c r="C1510" s="275"/>
      <c r="D1510" s="275"/>
      <c r="E1510" s="275"/>
      <c r="F1510" s="275"/>
      <c r="V1510" s="304"/>
      <c r="W1510" s="304"/>
      <c r="AD1510" s="304"/>
      <c r="AE1510" s="304"/>
      <c r="AR1510" s="304"/>
      <c r="AS1510" s="304"/>
      <c r="AT1510" s="304"/>
      <c r="AU1510" s="304"/>
      <c r="AV1510" s="304"/>
      <c r="AW1510" s="304"/>
      <c r="AX1510" s="304"/>
      <c r="AY1510" s="304"/>
      <c r="AZ1510" s="304"/>
      <c r="BA1510" s="304"/>
      <c r="BB1510" s="304"/>
      <c r="BC1510" s="304"/>
      <c r="BK1510" s="305"/>
      <c r="BL1510" s="305"/>
      <c r="BM1510" s="305"/>
      <c r="BN1510" s="305"/>
      <c r="BO1510" s="305"/>
      <c r="BP1510" s="305"/>
      <c r="BQ1510" s="305"/>
      <c r="BR1510" s="305"/>
      <c r="BS1510" s="305"/>
      <c r="BT1510" s="305"/>
      <c r="BU1510" s="305"/>
      <c r="BV1510" s="305"/>
      <c r="BX1510" s="319"/>
    </row>
    <row r="1511" spans="1:76" s="303" customFormat="1" x14ac:dyDescent="0.25">
      <c r="A1511" s="275"/>
      <c r="B1511" s="275"/>
      <c r="C1511" s="275"/>
      <c r="D1511" s="275"/>
      <c r="E1511" s="275"/>
      <c r="F1511" s="275"/>
      <c r="V1511" s="304"/>
      <c r="W1511" s="304"/>
      <c r="AD1511" s="304"/>
      <c r="AE1511" s="304"/>
      <c r="AR1511" s="304"/>
      <c r="AS1511" s="304"/>
      <c r="AT1511" s="304"/>
      <c r="AU1511" s="304"/>
      <c r="AV1511" s="304"/>
      <c r="AW1511" s="304"/>
      <c r="AX1511" s="304"/>
      <c r="AY1511" s="304"/>
      <c r="AZ1511" s="304"/>
      <c r="BA1511" s="304"/>
      <c r="BB1511" s="304"/>
      <c r="BC1511" s="304"/>
      <c r="BK1511" s="305"/>
      <c r="BL1511" s="305"/>
      <c r="BM1511" s="305"/>
      <c r="BN1511" s="305"/>
      <c r="BO1511" s="305"/>
      <c r="BP1511" s="305"/>
      <c r="BQ1511" s="305"/>
      <c r="BR1511" s="305"/>
      <c r="BS1511" s="305"/>
      <c r="BT1511" s="305"/>
      <c r="BU1511" s="305"/>
      <c r="BV1511" s="305"/>
      <c r="BX1511" s="319"/>
    </row>
    <row r="1512" spans="1:76" s="303" customFormat="1" x14ac:dyDescent="0.25">
      <c r="A1512" s="275"/>
      <c r="B1512" s="275"/>
      <c r="C1512" s="275"/>
      <c r="D1512" s="275"/>
      <c r="E1512" s="275"/>
      <c r="F1512" s="275"/>
      <c r="V1512" s="304"/>
      <c r="W1512" s="304"/>
      <c r="AD1512" s="304"/>
      <c r="AE1512" s="304"/>
      <c r="AR1512" s="304"/>
      <c r="AS1512" s="304"/>
      <c r="AT1512" s="304"/>
      <c r="AU1512" s="304"/>
      <c r="AV1512" s="304"/>
      <c r="AW1512" s="304"/>
      <c r="AX1512" s="304"/>
      <c r="AY1512" s="304"/>
      <c r="AZ1512" s="304"/>
      <c r="BA1512" s="304"/>
      <c r="BB1512" s="304"/>
      <c r="BC1512" s="304"/>
      <c r="BK1512" s="305"/>
      <c r="BL1512" s="305"/>
      <c r="BM1512" s="305"/>
      <c r="BN1512" s="305"/>
      <c r="BO1512" s="305"/>
      <c r="BP1512" s="305"/>
      <c r="BQ1512" s="305"/>
      <c r="BR1512" s="305"/>
      <c r="BS1512" s="305"/>
      <c r="BT1512" s="305"/>
      <c r="BU1512" s="305"/>
      <c r="BV1512" s="305"/>
      <c r="BX1512" s="319"/>
    </row>
    <row r="1513" spans="1:76" s="303" customFormat="1" x14ac:dyDescent="0.25">
      <c r="A1513" s="275"/>
      <c r="B1513" s="275"/>
      <c r="C1513" s="275"/>
      <c r="D1513" s="275"/>
      <c r="E1513" s="275"/>
      <c r="F1513" s="275"/>
      <c r="V1513" s="304"/>
      <c r="W1513" s="304"/>
      <c r="AD1513" s="304"/>
      <c r="AE1513" s="304"/>
      <c r="AR1513" s="304"/>
      <c r="AS1513" s="304"/>
      <c r="AT1513" s="304"/>
      <c r="AU1513" s="304"/>
      <c r="AV1513" s="304"/>
      <c r="AW1513" s="304"/>
      <c r="AX1513" s="304"/>
      <c r="AY1513" s="304"/>
      <c r="AZ1513" s="304"/>
      <c r="BA1513" s="304"/>
      <c r="BB1513" s="304"/>
      <c r="BC1513" s="304"/>
      <c r="BK1513" s="305"/>
      <c r="BL1513" s="305"/>
      <c r="BM1513" s="305"/>
      <c r="BN1513" s="305"/>
      <c r="BO1513" s="305"/>
      <c r="BP1513" s="305"/>
      <c r="BQ1513" s="305"/>
      <c r="BR1513" s="305"/>
      <c r="BS1513" s="305"/>
      <c r="BT1513" s="305"/>
      <c r="BU1513" s="305"/>
      <c r="BV1513" s="305"/>
      <c r="BX1513" s="319"/>
    </row>
    <row r="1514" spans="1:76" s="303" customFormat="1" x14ac:dyDescent="0.25">
      <c r="A1514" s="275"/>
      <c r="B1514" s="275"/>
      <c r="C1514" s="275"/>
      <c r="D1514" s="275"/>
      <c r="E1514" s="275"/>
      <c r="F1514" s="275"/>
      <c r="V1514" s="304"/>
      <c r="W1514" s="304"/>
      <c r="AD1514" s="304"/>
      <c r="AE1514" s="304"/>
      <c r="AR1514" s="304"/>
      <c r="AS1514" s="304"/>
      <c r="AT1514" s="304"/>
      <c r="AU1514" s="304"/>
      <c r="AV1514" s="304"/>
      <c r="AW1514" s="304"/>
      <c r="AX1514" s="304"/>
      <c r="AY1514" s="304"/>
      <c r="AZ1514" s="304"/>
      <c r="BA1514" s="304"/>
      <c r="BB1514" s="304"/>
      <c r="BC1514" s="304"/>
      <c r="BK1514" s="305"/>
      <c r="BL1514" s="305"/>
      <c r="BM1514" s="305"/>
      <c r="BN1514" s="305"/>
      <c r="BO1514" s="305"/>
      <c r="BP1514" s="305"/>
      <c r="BQ1514" s="305"/>
      <c r="BR1514" s="305"/>
      <c r="BS1514" s="305"/>
      <c r="BT1514" s="305"/>
      <c r="BU1514" s="305"/>
      <c r="BV1514" s="305"/>
      <c r="BX1514" s="319"/>
    </row>
    <row r="1515" spans="1:76" s="303" customFormat="1" x14ac:dyDescent="0.25">
      <c r="A1515" s="275"/>
      <c r="B1515" s="275"/>
      <c r="C1515" s="275"/>
      <c r="D1515" s="275"/>
      <c r="E1515" s="275"/>
      <c r="F1515" s="275"/>
      <c r="V1515" s="304"/>
      <c r="W1515" s="304"/>
      <c r="AD1515" s="304"/>
      <c r="AE1515" s="304"/>
      <c r="AR1515" s="304"/>
      <c r="AS1515" s="304"/>
      <c r="AT1515" s="304"/>
      <c r="AU1515" s="304"/>
      <c r="AV1515" s="304"/>
      <c r="AW1515" s="304"/>
      <c r="AX1515" s="304"/>
      <c r="AY1515" s="304"/>
      <c r="AZ1515" s="304"/>
      <c r="BA1515" s="304"/>
      <c r="BB1515" s="304"/>
      <c r="BC1515" s="304"/>
      <c r="BK1515" s="305"/>
      <c r="BL1515" s="305"/>
      <c r="BM1515" s="305"/>
      <c r="BN1515" s="305"/>
      <c r="BO1515" s="305"/>
      <c r="BP1515" s="305"/>
      <c r="BQ1515" s="305"/>
      <c r="BR1515" s="305"/>
      <c r="BS1515" s="305"/>
      <c r="BT1515" s="305"/>
      <c r="BU1515" s="305"/>
      <c r="BV1515" s="305"/>
      <c r="BX1515" s="319"/>
    </row>
    <row r="1516" spans="1:76" s="303" customFormat="1" x14ac:dyDescent="0.25">
      <c r="A1516" s="275"/>
      <c r="B1516" s="275"/>
      <c r="C1516" s="275"/>
      <c r="D1516" s="275"/>
      <c r="E1516" s="275"/>
      <c r="F1516" s="275"/>
      <c r="V1516" s="304"/>
      <c r="W1516" s="304"/>
      <c r="AD1516" s="304"/>
      <c r="AE1516" s="304"/>
      <c r="AR1516" s="304"/>
      <c r="AS1516" s="304"/>
      <c r="AT1516" s="304"/>
      <c r="AU1516" s="304"/>
      <c r="AV1516" s="304"/>
      <c r="AW1516" s="304"/>
      <c r="AX1516" s="304"/>
      <c r="AY1516" s="304"/>
      <c r="AZ1516" s="304"/>
      <c r="BA1516" s="304"/>
      <c r="BB1516" s="304"/>
      <c r="BC1516" s="304"/>
      <c r="BK1516" s="305"/>
      <c r="BL1516" s="305"/>
      <c r="BM1516" s="305"/>
      <c r="BN1516" s="305"/>
      <c r="BO1516" s="305"/>
      <c r="BP1516" s="305"/>
      <c r="BQ1516" s="305"/>
      <c r="BR1516" s="305"/>
      <c r="BS1516" s="305"/>
      <c r="BT1516" s="305"/>
      <c r="BU1516" s="305"/>
      <c r="BV1516" s="305"/>
      <c r="BX1516" s="319"/>
    </row>
    <row r="1517" spans="1:76" s="303" customFormat="1" x14ac:dyDescent="0.25">
      <c r="A1517" s="275"/>
      <c r="B1517" s="275"/>
      <c r="C1517" s="275"/>
      <c r="D1517" s="275"/>
      <c r="E1517" s="275"/>
      <c r="F1517" s="275"/>
      <c r="V1517" s="304"/>
      <c r="W1517" s="304"/>
      <c r="AD1517" s="304"/>
      <c r="AE1517" s="304"/>
      <c r="AR1517" s="304"/>
      <c r="AS1517" s="304"/>
      <c r="AT1517" s="304"/>
      <c r="AU1517" s="304"/>
      <c r="AV1517" s="304"/>
      <c r="AW1517" s="304"/>
      <c r="AX1517" s="304"/>
      <c r="AY1517" s="304"/>
      <c r="AZ1517" s="304"/>
      <c r="BA1517" s="304"/>
      <c r="BB1517" s="304"/>
      <c r="BC1517" s="304"/>
      <c r="BK1517" s="305"/>
      <c r="BL1517" s="305"/>
      <c r="BM1517" s="305"/>
      <c r="BN1517" s="305"/>
      <c r="BO1517" s="305"/>
      <c r="BP1517" s="305"/>
      <c r="BQ1517" s="305"/>
      <c r="BR1517" s="305"/>
      <c r="BS1517" s="305"/>
      <c r="BT1517" s="305"/>
      <c r="BU1517" s="305"/>
      <c r="BV1517" s="305"/>
      <c r="BX1517" s="319"/>
    </row>
    <row r="1518" spans="1:76" s="303" customFormat="1" x14ac:dyDescent="0.25">
      <c r="A1518" s="275"/>
      <c r="B1518" s="275"/>
      <c r="C1518" s="275"/>
      <c r="D1518" s="275"/>
      <c r="E1518" s="275"/>
      <c r="F1518" s="275"/>
      <c r="V1518" s="304"/>
      <c r="W1518" s="304"/>
      <c r="AD1518" s="304"/>
      <c r="AE1518" s="304"/>
      <c r="AR1518" s="304"/>
      <c r="AS1518" s="304"/>
      <c r="AT1518" s="304"/>
      <c r="AU1518" s="304"/>
      <c r="AV1518" s="304"/>
      <c r="AW1518" s="304"/>
      <c r="AX1518" s="304"/>
      <c r="AY1518" s="304"/>
      <c r="AZ1518" s="304"/>
      <c r="BA1518" s="304"/>
      <c r="BB1518" s="304"/>
      <c r="BC1518" s="304"/>
      <c r="BK1518" s="305"/>
      <c r="BL1518" s="305"/>
      <c r="BM1518" s="305"/>
      <c r="BN1518" s="305"/>
      <c r="BO1518" s="305"/>
      <c r="BP1518" s="305"/>
      <c r="BQ1518" s="305"/>
      <c r="BR1518" s="305"/>
      <c r="BS1518" s="305"/>
      <c r="BT1518" s="305"/>
      <c r="BU1518" s="305"/>
      <c r="BV1518" s="305"/>
      <c r="BX1518" s="319"/>
    </row>
    <row r="1519" spans="1:76" s="303" customFormat="1" x14ac:dyDescent="0.25">
      <c r="A1519" s="275"/>
      <c r="B1519" s="275"/>
      <c r="C1519" s="275"/>
      <c r="D1519" s="275"/>
      <c r="E1519" s="275"/>
      <c r="F1519" s="275"/>
      <c r="V1519" s="304"/>
      <c r="W1519" s="304"/>
      <c r="AD1519" s="304"/>
      <c r="AE1519" s="304"/>
      <c r="AR1519" s="304"/>
      <c r="AS1519" s="304"/>
      <c r="AT1519" s="304"/>
      <c r="AU1519" s="304"/>
      <c r="AV1519" s="304"/>
      <c r="AW1519" s="304"/>
      <c r="AX1519" s="304"/>
      <c r="AY1519" s="304"/>
      <c r="AZ1519" s="304"/>
      <c r="BA1519" s="304"/>
      <c r="BB1519" s="304"/>
      <c r="BC1519" s="304"/>
      <c r="BK1519" s="305"/>
      <c r="BL1519" s="305"/>
      <c r="BM1519" s="305"/>
      <c r="BN1519" s="305"/>
      <c r="BO1519" s="305"/>
      <c r="BP1519" s="305"/>
      <c r="BQ1519" s="305"/>
      <c r="BR1519" s="305"/>
      <c r="BS1519" s="305"/>
      <c r="BT1519" s="305"/>
      <c r="BU1519" s="305"/>
      <c r="BV1519" s="305"/>
      <c r="BX1519" s="319"/>
    </row>
    <row r="1520" spans="1:76" s="303" customFormat="1" x14ac:dyDescent="0.25">
      <c r="A1520" s="275"/>
      <c r="B1520" s="275"/>
      <c r="C1520" s="275"/>
      <c r="D1520" s="275"/>
      <c r="E1520" s="275"/>
      <c r="F1520" s="275"/>
      <c r="V1520" s="304"/>
      <c r="W1520" s="304"/>
      <c r="AD1520" s="304"/>
      <c r="AE1520" s="304"/>
      <c r="AR1520" s="304"/>
      <c r="AS1520" s="304"/>
      <c r="AT1520" s="304"/>
      <c r="AU1520" s="304"/>
      <c r="AV1520" s="304"/>
      <c r="AW1520" s="304"/>
      <c r="AX1520" s="304"/>
      <c r="AY1520" s="304"/>
      <c r="AZ1520" s="304"/>
      <c r="BA1520" s="304"/>
      <c r="BB1520" s="304"/>
      <c r="BC1520" s="304"/>
      <c r="BK1520" s="305"/>
      <c r="BL1520" s="305"/>
      <c r="BM1520" s="305"/>
      <c r="BN1520" s="305"/>
      <c r="BO1520" s="305"/>
      <c r="BP1520" s="305"/>
      <c r="BQ1520" s="305"/>
      <c r="BR1520" s="305"/>
      <c r="BS1520" s="305"/>
      <c r="BT1520" s="305"/>
      <c r="BU1520" s="305"/>
      <c r="BV1520" s="305"/>
      <c r="BX1520" s="319"/>
    </row>
    <row r="1521" spans="1:76" s="303" customFormat="1" x14ac:dyDescent="0.25">
      <c r="A1521" s="275"/>
      <c r="B1521" s="275"/>
      <c r="C1521" s="275"/>
      <c r="D1521" s="275"/>
      <c r="E1521" s="275"/>
      <c r="F1521" s="275"/>
      <c r="V1521" s="304"/>
      <c r="W1521" s="304"/>
      <c r="AD1521" s="304"/>
      <c r="AE1521" s="304"/>
      <c r="AR1521" s="304"/>
      <c r="AS1521" s="304"/>
      <c r="AT1521" s="304"/>
      <c r="AU1521" s="304"/>
      <c r="AV1521" s="304"/>
      <c r="AW1521" s="304"/>
      <c r="AX1521" s="304"/>
      <c r="AY1521" s="304"/>
      <c r="AZ1521" s="304"/>
      <c r="BA1521" s="304"/>
      <c r="BB1521" s="304"/>
      <c r="BC1521" s="304"/>
      <c r="BK1521" s="305"/>
      <c r="BL1521" s="305"/>
      <c r="BM1521" s="305"/>
      <c r="BN1521" s="305"/>
      <c r="BO1521" s="305"/>
      <c r="BP1521" s="305"/>
      <c r="BQ1521" s="305"/>
      <c r="BR1521" s="305"/>
      <c r="BS1521" s="305"/>
      <c r="BT1521" s="305"/>
      <c r="BU1521" s="305"/>
      <c r="BV1521" s="305"/>
      <c r="BX1521" s="319"/>
    </row>
    <row r="1522" spans="1:76" s="303" customFormat="1" x14ac:dyDescent="0.25">
      <c r="A1522" s="275"/>
      <c r="B1522" s="275"/>
      <c r="C1522" s="275"/>
      <c r="D1522" s="275"/>
      <c r="E1522" s="275"/>
      <c r="F1522" s="275"/>
      <c r="V1522" s="304"/>
      <c r="W1522" s="304"/>
      <c r="AD1522" s="304"/>
      <c r="AE1522" s="304"/>
      <c r="AR1522" s="304"/>
      <c r="AS1522" s="304"/>
      <c r="AT1522" s="304"/>
      <c r="AU1522" s="304"/>
      <c r="AV1522" s="304"/>
      <c r="AW1522" s="304"/>
      <c r="AX1522" s="304"/>
      <c r="AY1522" s="304"/>
      <c r="AZ1522" s="304"/>
      <c r="BA1522" s="304"/>
      <c r="BB1522" s="304"/>
      <c r="BC1522" s="304"/>
      <c r="BK1522" s="305"/>
      <c r="BL1522" s="305"/>
      <c r="BM1522" s="305"/>
      <c r="BN1522" s="305"/>
      <c r="BO1522" s="305"/>
      <c r="BP1522" s="305"/>
      <c r="BQ1522" s="305"/>
      <c r="BR1522" s="305"/>
      <c r="BS1522" s="305"/>
      <c r="BT1522" s="305"/>
      <c r="BU1522" s="305"/>
      <c r="BV1522" s="305"/>
      <c r="BX1522" s="319"/>
    </row>
    <row r="1523" spans="1:76" s="303" customFormat="1" x14ac:dyDescent="0.25">
      <c r="A1523" s="275"/>
      <c r="B1523" s="275"/>
      <c r="C1523" s="275"/>
      <c r="D1523" s="275"/>
      <c r="E1523" s="275"/>
      <c r="F1523" s="275"/>
      <c r="V1523" s="304"/>
      <c r="W1523" s="304"/>
      <c r="AD1523" s="304"/>
      <c r="AE1523" s="304"/>
      <c r="AR1523" s="304"/>
      <c r="AS1523" s="304"/>
      <c r="AT1523" s="304"/>
      <c r="AU1523" s="304"/>
      <c r="AV1523" s="304"/>
      <c r="AW1523" s="304"/>
      <c r="AX1523" s="304"/>
      <c r="AY1523" s="304"/>
      <c r="AZ1523" s="304"/>
      <c r="BA1523" s="304"/>
      <c r="BB1523" s="304"/>
      <c r="BC1523" s="304"/>
      <c r="BK1523" s="305"/>
      <c r="BL1523" s="305"/>
      <c r="BM1523" s="305"/>
      <c r="BN1523" s="305"/>
      <c r="BO1523" s="305"/>
      <c r="BP1523" s="305"/>
      <c r="BQ1523" s="305"/>
      <c r="BR1523" s="305"/>
      <c r="BS1523" s="305"/>
      <c r="BT1523" s="305"/>
      <c r="BU1523" s="305"/>
      <c r="BV1523" s="305"/>
      <c r="BX1523" s="319"/>
    </row>
    <row r="1524" spans="1:76" s="303" customFormat="1" x14ac:dyDescent="0.25">
      <c r="A1524" s="275"/>
      <c r="B1524" s="275"/>
      <c r="C1524" s="275"/>
      <c r="D1524" s="275"/>
      <c r="E1524" s="275"/>
      <c r="F1524" s="275"/>
      <c r="V1524" s="304"/>
      <c r="W1524" s="304"/>
      <c r="AD1524" s="304"/>
      <c r="AE1524" s="304"/>
      <c r="AR1524" s="304"/>
      <c r="AS1524" s="304"/>
      <c r="AT1524" s="304"/>
      <c r="AU1524" s="304"/>
      <c r="AV1524" s="304"/>
      <c r="AW1524" s="304"/>
      <c r="AX1524" s="304"/>
      <c r="AY1524" s="304"/>
      <c r="AZ1524" s="304"/>
      <c r="BA1524" s="304"/>
      <c r="BB1524" s="304"/>
      <c r="BC1524" s="304"/>
      <c r="BK1524" s="305"/>
      <c r="BL1524" s="305"/>
      <c r="BM1524" s="305"/>
      <c r="BN1524" s="305"/>
      <c r="BO1524" s="305"/>
      <c r="BP1524" s="305"/>
      <c r="BQ1524" s="305"/>
      <c r="BR1524" s="305"/>
      <c r="BS1524" s="305"/>
      <c r="BT1524" s="305"/>
      <c r="BU1524" s="305"/>
      <c r="BV1524" s="305"/>
      <c r="BX1524" s="319"/>
    </row>
    <row r="1525" spans="1:76" s="303" customFormat="1" x14ac:dyDescent="0.25">
      <c r="A1525" s="275"/>
      <c r="B1525" s="275"/>
      <c r="C1525" s="275"/>
      <c r="D1525" s="275"/>
      <c r="E1525" s="275"/>
      <c r="F1525" s="275"/>
      <c r="V1525" s="304"/>
      <c r="W1525" s="304"/>
      <c r="AD1525" s="304"/>
      <c r="AE1525" s="304"/>
      <c r="AR1525" s="304"/>
      <c r="AS1525" s="304"/>
      <c r="AT1525" s="304"/>
      <c r="AU1525" s="304"/>
      <c r="AV1525" s="304"/>
      <c r="AW1525" s="304"/>
      <c r="AX1525" s="304"/>
      <c r="AY1525" s="304"/>
      <c r="AZ1525" s="304"/>
      <c r="BA1525" s="304"/>
      <c r="BB1525" s="304"/>
      <c r="BC1525" s="304"/>
      <c r="BK1525" s="305"/>
      <c r="BL1525" s="305"/>
      <c r="BM1525" s="305"/>
      <c r="BN1525" s="305"/>
      <c r="BO1525" s="305"/>
      <c r="BP1525" s="305"/>
      <c r="BQ1525" s="305"/>
      <c r="BR1525" s="305"/>
      <c r="BS1525" s="305"/>
      <c r="BT1525" s="305"/>
      <c r="BU1525" s="305"/>
      <c r="BV1525" s="305"/>
      <c r="BX1525" s="319"/>
    </row>
    <row r="1526" spans="1:76" s="303" customFormat="1" x14ac:dyDescent="0.25">
      <c r="A1526" s="275"/>
      <c r="B1526" s="275"/>
      <c r="C1526" s="275"/>
      <c r="D1526" s="275"/>
      <c r="E1526" s="275"/>
      <c r="F1526" s="275"/>
      <c r="V1526" s="304"/>
      <c r="W1526" s="304"/>
      <c r="AD1526" s="304"/>
      <c r="AE1526" s="304"/>
      <c r="AR1526" s="304"/>
      <c r="AS1526" s="304"/>
      <c r="AT1526" s="304"/>
      <c r="AU1526" s="304"/>
      <c r="AV1526" s="304"/>
      <c r="AW1526" s="304"/>
      <c r="AX1526" s="304"/>
      <c r="AY1526" s="304"/>
      <c r="AZ1526" s="304"/>
      <c r="BA1526" s="304"/>
      <c r="BB1526" s="304"/>
      <c r="BC1526" s="304"/>
      <c r="BK1526" s="305"/>
      <c r="BL1526" s="305"/>
      <c r="BM1526" s="305"/>
      <c r="BN1526" s="305"/>
      <c r="BO1526" s="305"/>
      <c r="BP1526" s="305"/>
      <c r="BQ1526" s="305"/>
      <c r="BR1526" s="305"/>
      <c r="BS1526" s="305"/>
      <c r="BT1526" s="305"/>
      <c r="BU1526" s="305"/>
      <c r="BV1526" s="305"/>
      <c r="BX1526" s="319"/>
    </row>
    <row r="1527" spans="1:76" s="303" customFormat="1" x14ac:dyDescent="0.25">
      <c r="A1527" s="275"/>
      <c r="B1527" s="275"/>
      <c r="C1527" s="275"/>
      <c r="D1527" s="275"/>
      <c r="E1527" s="275"/>
      <c r="F1527" s="275"/>
      <c r="V1527" s="304"/>
      <c r="W1527" s="304"/>
      <c r="AD1527" s="304"/>
      <c r="AE1527" s="304"/>
      <c r="AR1527" s="304"/>
      <c r="AS1527" s="304"/>
      <c r="AT1527" s="304"/>
      <c r="AU1527" s="304"/>
      <c r="AV1527" s="304"/>
      <c r="AW1527" s="304"/>
      <c r="AX1527" s="304"/>
      <c r="AY1527" s="304"/>
      <c r="AZ1527" s="304"/>
      <c r="BA1527" s="304"/>
      <c r="BB1527" s="304"/>
      <c r="BC1527" s="304"/>
      <c r="BK1527" s="305"/>
      <c r="BL1527" s="305"/>
      <c r="BM1527" s="305"/>
      <c r="BN1527" s="305"/>
      <c r="BO1527" s="305"/>
      <c r="BP1527" s="305"/>
      <c r="BQ1527" s="305"/>
      <c r="BR1527" s="305"/>
      <c r="BS1527" s="305"/>
      <c r="BT1527" s="305"/>
      <c r="BU1527" s="305"/>
      <c r="BV1527" s="305"/>
      <c r="BX1527" s="319"/>
    </row>
    <row r="1528" spans="1:76" s="303" customFormat="1" x14ac:dyDescent="0.25">
      <c r="A1528" s="275"/>
      <c r="B1528" s="275"/>
      <c r="C1528" s="275"/>
      <c r="D1528" s="275"/>
      <c r="E1528" s="275"/>
      <c r="F1528" s="275"/>
      <c r="V1528" s="304"/>
      <c r="W1528" s="304"/>
      <c r="AD1528" s="304"/>
      <c r="AE1528" s="304"/>
      <c r="AR1528" s="304"/>
      <c r="AS1528" s="304"/>
      <c r="AT1528" s="304"/>
      <c r="AU1528" s="304"/>
      <c r="AV1528" s="304"/>
      <c r="AW1528" s="304"/>
      <c r="AX1528" s="304"/>
      <c r="AY1528" s="304"/>
      <c r="AZ1528" s="304"/>
      <c r="BA1528" s="304"/>
      <c r="BB1528" s="304"/>
      <c r="BC1528" s="304"/>
      <c r="BK1528" s="305"/>
      <c r="BL1528" s="305"/>
      <c r="BM1528" s="305"/>
      <c r="BN1528" s="305"/>
      <c r="BO1528" s="305"/>
      <c r="BP1528" s="305"/>
      <c r="BQ1528" s="305"/>
      <c r="BR1528" s="305"/>
      <c r="BS1528" s="305"/>
      <c r="BT1528" s="305"/>
      <c r="BU1528" s="305"/>
      <c r="BV1528" s="305"/>
      <c r="BX1528" s="319"/>
    </row>
    <row r="1529" spans="1:76" s="303" customFormat="1" x14ac:dyDescent="0.25">
      <c r="A1529" s="275"/>
      <c r="B1529" s="275"/>
      <c r="C1529" s="275"/>
      <c r="D1529" s="275"/>
      <c r="E1529" s="275"/>
      <c r="F1529" s="275"/>
      <c r="V1529" s="304"/>
      <c r="W1529" s="304"/>
      <c r="AD1529" s="304"/>
      <c r="AE1529" s="304"/>
      <c r="AR1529" s="304"/>
      <c r="AS1529" s="304"/>
      <c r="AT1529" s="304"/>
      <c r="AU1529" s="304"/>
      <c r="AV1529" s="304"/>
      <c r="AW1529" s="304"/>
      <c r="AX1529" s="304"/>
      <c r="AY1529" s="304"/>
      <c r="AZ1529" s="304"/>
      <c r="BA1529" s="304"/>
      <c r="BB1529" s="304"/>
      <c r="BC1529" s="304"/>
      <c r="BK1529" s="305"/>
      <c r="BL1529" s="305"/>
      <c r="BM1529" s="305"/>
      <c r="BN1529" s="305"/>
      <c r="BO1529" s="305"/>
      <c r="BP1529" s="305"/>
      <c r="BQ1529" s="305"/>
      <c r="BR1529" s="305"/>
      <c r="BS1529" s="305"/>
      <c r="BT1529" s="305"/>
      <c r="BU1529" s="305"/>
      <c r="BV1529" s="305"/>
      <c r="BX1529" s="319"/>
    </row>
    <row r="1530" spans="1:76" s="303" customFormat="1" x14ac:dyDescent="0.25">
      <c r="A1530" s="275"/>
      <c r="B1530" s="275"/>
      <c r="C1530" s="275"/>
      <c r="D1530" s="275"/>
      <c r="E1530" s="275"/>
      <c r="F1530" s="275"/>
      <c r="V1530" s="304"/>
      <c r="W1530" s="304"/>
      <c r="AD1530" s="304"/>
      <c r="AE1530" s="304"/>
      <c r="AR1530" s="304"/>
      <c r="AS1530" s="304"/>
      <c r="AT1530" s="304"/>
      <c r="AU1530" s="304"/>
      <c r="AV1530" s="304"/>
      <c r="AW1530" s="304"/>
      <c r="AX1530" s="304"/>
      <c r="AY1530" s="304"/>
      <c r="AZ1530" s="304"/>
      <c r="BA1530" s="304"/>
      <c r="BB1530" s="304"/>
      <c r="BC1530" s="304"/>
      <c r="BK1530" s="305"/>
      <c r="BL1530" s="305"/>
      <c r="BM1530" s="305"/>
      <c r="BN1530" s="305"/>
      <c r="BO1530" s="305"/>
      <c r="BP1530" s="305"/>
      <c r="BQ1530" s="305"/>
      <c r="BR1530" s="305"/>
      <c r="BS1530" s="305"/>
      <c r="BT1530" s="305"/>
      <c r="BU1530" s="305"/>
      <c r="BV1530" s="305"/>
      <c r="BX1530" s="319"/>
    </row>
    <row r="1531" spans="1:76" s="303" customFormat="1" x14ac:dyDescent="0.25">
      <c r="A1531" s="275"/>
      <c r="B1531" s="275"/>
      <c r="C1531" s="275"/>
      <c r="D1531" s="275"/>
      <c r="E1531" s="275"/>
      <c r="F1531" s="275"/>
      <c r="V1531" s="304"/>
      <c r="W1531" s="304"/>
      <c r="AD1531" s="304"/>
      <c r="AE1531" s="304"/>
      <c r="AR1531" s="304"/>
      <c r="AS1531" s="304"/>
      <c r="AT1531" s="304"/>
      <c r="AU1531" s="304"/>
      <c r="AV1531" s="304"/>
      <c r="AW1531" s="304"/>
      <c r="AX1531" s="304"/>
      <c r="AY1531" s="304"/>
      <c r="AZ1531" s="304"/>
      <c r="BA1531" s="304"/>
      <c r="BB1531" s="304"/>
      <c r="BC1531" s="304"/>
      <c r="BK1531" s="305"/>
      <c r="BL1531" s="305"/>
      <c r="BM1531" s="305"/>
      <c r="BN1531" s="305"/>
      <c r="BO1531" s="305"/>
      <c r="BP1531" s="305"/>
      <c r="BQ1531" s="305"/>
      <c r="BR1531" s="305"/>
      <c r="BS1531" s="305"/>
      <c r="BT1531" s="305"/>
      <c r="BU1531" s="305"/>
      <c r="BV1531" s="305"/>
      <c r="BX1531" s="319"/>
    </row>
    <row r="1532" spans="1:76" s="303" customFormat="1" x14ac:dyDescent="0.25">
      <c r="A1532" s="275"/>
      <c r="B1532" s="275"/>
      <c r="C1532" s="275"/>
      <c r="D1532" s="275"/>
      <c r="E1532" s="275"/>
      <c r="F1532" s="275"/>
      <c r="V1532" s="304"/>
      <c r="W1532" s="304"/>
      <c r="AD1532" s="304"/>
      <c r="AE1532" s="304"/>
      <c r="AR1532" s="304"/>
      <c r="AS1532" s="304"/>
      <c r="AT1532" s="304"/>
      <c r="AU1532" s="304"/>
      <c r="AV1532" s="304"/>
      <c r="AW1532" s="304"/>
      <c r="AX1532" s="304"/>
      <c r="AY1532" s="304"/>
      <c r="AZ1532" s="304"/>
      <c r="BA1532" s="304"/>
      <c r="BB1532" s="304"/>
      <c r="BC1532" s="304"/>
      <c r="BK1532" s="305"/>
      <c r="BL1532" s="305"/>
      <c r="BM1532" s="305"/>
      <c r="BN1532" s="305"/>
      <c r="BO1532" s="305"/>
      <c r="BP1532" s="305"/>
      <c r="BQ1532" s="305"/>
      <c r="BR1532" s="305"/>
      <c r="BS1532" s="305"/>
      <c r="BT1532" s="305"/>
      <c r="BU1532" s="305"/>
      <c r="BV1532" s="305"/>
      <c r="BX1532" s="319"/>
    </row>
    <row r="1533" spans="1:76" s="303" customFormat="1" x14ac:dyDescent="0.25">
      <c r="A1533" s="275"/>
      <c r="B1533" s="275"/>
      <c r="C1533" s="275"/>
      <c r="D1533" s="275"/>
      <c r="E1533" s="275"/>
      <c r="F1533" s="275"/>
      <c r="V1533" s="304"/>
      <c r="W1533" s="304"/>
      <c r="AD1533" s="304"/>
      <c r="AE1533" s="304"/>
      <c r="AR1533" s="304"/>
      <c r="AS1533" s="304"/>
      <c r="AT1533" s="304"/>
      <c r="AU1533" s="304"/>
      <c r="AV1533" s="304"/>
      <c r="AW1533" s="304"/>
      <c r="AX1533" s="304"/>
      <c r="AY1533" s="304"/>
      <c r="AZ1533" s="304"/>
      <c r="BA1533" s="304"/>
      <c r="BB1533" s="304"/>
      <c r="BC1533" s="304"/>
      <c r="BK1533" s="305"/>
      <c r="BL1533" s="305"/>
      <c r="BM1533" s="305"/>
      <c r="BN1533" s="305"/>
      <c r="BO1533" s="305"/>
      <c r="BP1533" s="305"/>
      <c r="BQ1533" s="305"/>
      <c r="BR1533" s="305"/>
      <c r="BS1533" s="305"/>
      <c r="BT1533" s="305"/>
      <c r="BU1533" s="305"/>
      <c r="BV1533" s="305"/>
      <c r="BX1533" s="319"/>
    </row>
    <row r="1534" spans="1:76" s="303" customFormat="1" x14ac:dyDescent="0.25">
      <c r="A1534" s="275"/>
      <c r="B1534" s="275"/>
      <c r="C1534" s="275"/>
      <c r="D1534" s="275"/>
      <c r="E1534" s="275"/>
      <c r="F1534" s="275"/>
      <c r="V1534" s="304"/>
      <c r="W1534" s="304"/>
      <c r="AD1534" s="304"/>
      <c r="AE1534" s="304"/>
      <c r="AR1534" s="304"/>
      <c r="AS1534" s="304"/>
      <c r="AT1534" s="304"/>
      <c r="AU1534" s="304"/>
      <c r="AV1534" s="304"/>
      <c r="AW1534" s="304"/>
      <c r="AX1534" s="304"/>
      <c r="AY1534" s="304"/>
      <c r="AZ1534" s="304"/>
      <c r="BA1534" s="304"/>
      <c r="BB1534" s="304"/>
      <c r="BC1534" s="304"/>
      <c r="BK1534" s="305"/>
      <c r="BL1534" s="305"/>
      <c r="BM1534" s="305"/>
      <c r="BN1534" s="305"/>
      <c r="BO1534" s="305"/>
      <c r="BP1534" s="305"/>
      <c r="BQ1534" s="305"/>
      <c r="BR1534" s="305"/>
      <c r="BS1534" s="305"/>
      <c r="BT1534" s="305"/>
      <c r="BU1534" s="305"/>
      <c r="BV1534" s="305"/>
      <c r="BX1534" s="319"/>
    </row>
    <row r="1535" spans="1:76" s="303" customFormat="1" x14ac:dyDescent="0.25">
      <c r="A1535" s="275"/>
      <c r="B1535" s="275"/>
      <c r="C1535" s="275"/>
      <c r="D1535" s="275"/>
      <c r="E1535" s="275"/>
      <c r="F1535" s="275"/>
      <c r="V1535" s="304"/>
      <c r="W1535" s="304"/>
      <c r="AD1535" s="304"/>
      <c r="AE1535" s="304"/>
      <c r="AR1535" s="304"/>
      <c r="AS1535" s="304"/>
      <c r="AT1535" s="304"/>
      <c r="AU1535" s="304"/>
      <c r="AV1535" s="304"/>
      <c r="AW1535" s="304"/>
      <c r="AX1535" s="304"/>
      <c r="AY1535" s="304"/>
      <c r="AZ1535" s="304"/>
      <c r="BA1535" s="304"/>
      <c r="BB1535" s="304"/>
      <c r="BC1535" s="304"/>
      <c r="BK1535" s="305"/>
      <c r="BL1535" s="305"/>
      <c r="BM1535" s="305"/>
      <c r="BN1535" s="305"/>
      <c r="BO1535" s="305"/>
      <c r="BP1535" s="305"/>
      <c r="BQ1535" s="305"/>
      <c r="BR1535" s="305"/>
      <c r="BS1535" s="305"/>
      <c r="BT1535" s="305"/>
      <c r="BU1535" s="305"/>
      <c r="BV1535" s="305"/>
      <c r="BX1535" s="319"/>
    </row>
    <row r="1536" spans="1:76" s="303" customFormat="1" x14ac:dyDescent="0.25">
      <c r="A1536" s="275"/>
      <c r="B1536" s="275"/>
      <c r="C1536" s="275"/>
      <c r="D1536" s="275"/>
      <c r="E1536" s="275"/>
      <c r="F1536" s="275"/>
      <c r="V1536" s="304"/>
      <c r="W1536" s="304"/>
      <c r="AD1536" s="304"/>
      <c r="AE1536" s="304"/>
      <c r="AR1536" s="304"/>
      <c r="AS1536" s="304"/>
      <c r="AT1536" s="304"/>
      <c r="AU1536" s="304"/>
      <c r="AV1536" s="304"/>
      <c r="AW1536" s="304"/>
      <c r="AX1536" s="304"/>
      <c r="AY1536" s="304"/>
      <c r="AZ1536" s="304"/>
      <c r="BA1536" s="304"/>
      <c r="BB1536" s="304"/>
      <c r="BC1536" s="304"/>
      <c r="BK1536" s="305"/>
      <c r="BL1536" s="305"/>
      <c r="BM1536" s="305"/>
      <c r="BN1536" s="305"/>
      <c r="BO1536" s="305"/>
      <c r="BP1536" s="305"/>
      <c r="BQ1536" s="305"/>
      <c r="BR1536" s="305"/>
      <c r="BS1536" s="305"/>
      <c r="BT1536" s="305"/>
      <c r="BU1536" s="305"/>
      <c r="BV1536" s="305"/>
      <c r="BX1536" s="319"/>
    </row>
    <row r="1537" spans="1:76" s="303" customFormat="1" x14ac:dyDescent="0.25">
      <c r="A1537" s="275"/>
      <c r="B1537" s="275"/>
      <c r="C1537" s="275"/>
      <c r="D1537" s="275"/>
      <c r="E1537" s="275"/>
      <c r="F1537" s="275"/>
      <c r="V1537" s="304"/>
      <c r="W1537" s="304"/>
      <c r="AD1537" s="304"/>
      <c r="AE1537" s="304"/>
      <c r="AR1537" s="304"/>
      <c r="AS1537" s="304"/>
      <c r="AT1537" s="304"/>
      <c r="AU1537" s="304"/>
      <c r="AV1537" s="304"/>
      <c r="AW1537" s="304"/>
      <c r="AX1537" s="304"/>
      <c r="AY1537" s="304"/>
      <c r="AZ1537" s="304"/>
      <c r="BA1537" s="304"/>
      <c r="BB1537" s="304"/>
      <c r="BC1537" s="304"/>
      <c r="BK1537" s="305"/>
      <c r="BL1537" s="305"/>
      <c r="BM1537" s="305"/>
      <c r="BN1537" s="305"/>
      <c r="BO1537" s="305"/>
      <c r="BP1537" s="305"/>
      <c r="BQ1537" s="305"/>
      <c r="BR1537" s="305"/>
      <c r="BS1537" s="305"/>
      <c r="BT1537" s="305"/>
      <c r="BU1537" s="305"/>
      <c r="BV1537" s="305"/>
      <c r="BX1537" s="319"/>
    </row>
    <row r="1538" spans="1:76" s="303" customFormat="1" x14ac:dyDescent="0.25">
      <c r="A1538" s="275"/>
      <c r="B1538" s="275"/>
      <c r="C1538" s="275"/>
      <c r="D1538" s="275"/>
      <c r="E1538" s="275"/>
      <c r="F1538" s="275"/>
      <c r="V1538" s="304"/>
      <c r="W1538" s="304"/>
      <c r="AD1538" s="304"/>
      <c r="AE1538" s="304"/>
      <c r="AR1538" s="304"/>
      <c r="AS1538" s="304"/>
      <c r="AT1538" s="304"/>
      <c r="AU1538" s="304"/>
      <c r="AV1538" s="304"/>
      <c r="AW1538" s="304"/>
      <c r="AX1538" s="304"/>
      <c r="AY1538" s="304"/>
      <c r="AZ1538" s="304"/>
      <c r="BA1538" s="304"/>
      <c r="BB1538" s="304"/>
      <c r="BC1538" s="304"/>
      <c r="BK1538" s="305"/>
      <c r="BL1538" s="305"/>
      <c r="BM1538" s="305"/>
      <c r="BN1538" s="305"/>
      <c r="BO1538" s="305"/>
      <c r="BP1538" s="305"/>
      <c r="BQ1538" s="305"/>
      <c r="BR1538" s="305"/>
      <c r="BS1538" s="305"/>
      <c r="BT1538" s="305"/>
      <c r="BU1538" s="305"/>
      <c r="BV1538" s="305"/>
      <c r="BX1538" s="319"/>
    </row>
    <row r="1539" spans="1:76" s="303" customFormat="1" x14ac:dyDescent="0.25">
      <c r="A1539" s="275"/>
      <c r="B1539" s="275"/>
      <c r="C1539" s="275"/>
      <c r="D1539" s="275"/>
      <c r="E1539" s="275"/>
      <c r="F1539" s="275"/>
      <c r="V1539" s="304"/>
      <c r="W1539" s="304"/>
      <c r="AD1539" s="304"/>
      <c r="AE1539" s="304"/>
      <c r="AR1539" s="304"/>
      <c r="AS1539" s="304"/>
      <c r="AT1539" s="304"/>
      <c r="AU1539" s="304"/>
      <c r="AV1539" s="304"/>
      <c r="AW1539" s="304"/>
      <c r="AX1539" s="304"/>
      <c r="AY1539" s="304"/>
      <c r="AZ1539" s="304"/>
      <c r="BA1539" s="304"/>
      <c r="BB1539" s="304"/>
      <c r="BC1539" s="304"/>
      <c r="BK1539" s="305"/>
      <c r="BL1539" s="305"/>
      <c r="BM1539" s="305"/>
      <c r="BN1539" s="305"/>
      <c r="BO1539" s="305"/>
      <c r="BP1539" s="305"/>
      <c r="BQ1539" s="305"/>
      <c r="BR1539" s="305"/>
      <c r="BS1539" s="305"/>
      <c r="BT1539" s="305"/>
      <c r="BU1539" s="305"/>
      <c r="BV1539" s="305"/>
      <c r="BX1539" s="319"/>
    </row>
    <row r="1540" spans="1:76" s="303" customFormat="1" x14ac:dyDescent="0.25">
      <c r="A1540" s="275"/>
      <c r="B1540" s="275"/>
      <c r="C1540" s="275"/>
      <c r="D1540" s="275"/>
      <c r="E1540" s="275"/>
      <c r="F1540" s="275"/>
      <c r="V1540" s="304"/>
      <c r="W1540" s="304"/>
      <c r="AD1540" s="304"/>
      <c r="AE1540" s="304"/>
      <c r="AR1540" s="304"/>
      <c r="AS1540" s="304"/>
      <c r="AT1540" s="304"/>
      <c r="AU1540" s="304"/>
      <c r="AV1540" s="304"/>
      <c r="AW1540" s="304"/>
      <c r="AX1540" s="304"/>
      <c r="AY1540" s="304"/>
      <c r="AZ1540" s="304"/>
      <c r="BA1540" s="304"/>
      <c r="BB1540" s="304"/>
      <c r="BC1540" s="304"/>
      <c r="BK1540" s="305"/>
      <c r="BL1540" s="305"/>
      <c r="BM1540" s="305"/>
      <c r="BN1540" s="305"/>
      <c r="BO1540" s="305"/>
      <c r="BP1540" s="305"/>
      <c r="BQ1540" s="305"/>
      <c r="BR1540" s="305"/>
      <c r="BS1540" s="305"/>
      <c r="BT1540" s="305"/>
      <c r="BU1540" s="305"/>
      <c r="BV1540" s="305"/>
      <c r="BX1540" s="319"/>
    </row>
    <row r="1541" spans="1:76" s="303" customFormat="1" x14ac:dyDescent="0.25">
      <c r="A1541" s="275"/>
      <c r="B1541" s="275"/>
      <c r="C1541" s="275"/>
      <c r="D1541" s="275"/>
      <c r="E1541" s="275"/>
      <c r="F1541" s="275"/>
      <c r="V1541" s="304"/>
      <c r="W1541" s="304"/>
      <c r="AD1541" s="304"/>
      <c r="AE1541" s="304"/>
      <c r="AR1541" s="304"/>
      <c r="AS1541" s="304"/>
      <c r="AT1541" s="304"/>
      <c r="AU1541" s="304"/>
      <c r="AV1541" s="304"/>
      <c r="AW1541" s="304"/>
      <c r="AX1541" s="304"/>
      <c r="AY1541" s="304"/>
      <c r="AZ1541" s="304"/>
      <c r="BA1541" s="304"/>
      <c r="BB1541" s="304"/>
      <c r="BC1541" s="304"/>
      <c r="BK1541" s="305"/>
      <c r="BL1541" s="305"/>
      <c r="BM1541" s="305"/>
      <c r="BN1541" s="305"/>
      <c r="BO1541" s="305"/>
      <c r="BP1541" s="305"/>
      <c r="BQ1541" s="305"/>
      <c r="BR1541" s="305"/>
      <c r="BS1541" s="305"/>
      <c r="BT1541" s="305"/>
      <c r="BU1541" s="305"/>
      <c r="BV1541" s="305"/>
      <c r="BX1541" s="319"/>
    </row>
    <row r="1542" spans="1:76" s="303" customFormat="1" x14ac:dyDescent="0.25">
      <c r="A1542" s="275"/>
      <c r="B1542" s="275"/>
      <c r="C1542" s="275"/>
      <c r="D1542" s="275"/>
      <c r="E1542" s="275"/>
      <c r="F1542" s="275"/>
      <c r="V1542" s="304"/>
      <c r="W1542" s="304"/>
      <c r="AD1542" s="304"/>
      <c r="AE1542" s="304"/>
      <c r="AR1542" s="304"/>
      <c r="AS1542" s="304"/>
      <c r="AT1542" s="304"/>
      <c r="AU1542" s="304"/>
      <c r="AV1542" s="304"/>
      <c r="AW1542" s="304"/>
      <c r="AX1542" s="304"/>
      <c r="AY1542" s="304"/>
      <c r="AZ1542" s="304"/>
      <c r="BA1542" s="304"/>
      <c r="BB1542" s="304"/>
      <c r="BC1542" s="304"/>
      <c r="BK1542" s="305"/>
      <c r="BL1542" s="305"/>
      <c r="BM1542" s="305"/>
      <c r="BN1542" s="305"/>
      <c r="BO1542" s="305"/>
      <c r="BP1542" s="305"/>
      <c r="BQ1542" s="305"/>
      <c r="BR1542" s="305"/>
      <c r="BS1542" s="305"/>
      <c r="BT1542" s="305"/>
      <c r="BU1542" s="305"/>
      <c r="BV1542" s="305"/>
      <c r="BX1542" s="319"/>
    </row>
    <row r="1543" spans="1:76" s="303" customFormat="1" x14ac:dyDescent="0.25">
      <c r="A1543" s="275"/>
      <c r="B1543" s="275"/>
      <c r="C1543" s="275"/>
      <c r="D1543" s="275"/>
      <c r="E1543" s="275"/>
      <c r="F1543" s="275"/>
      <c r="V1543" s="304"/>
      <c r="W1543" s="304"/>
      <c r="AD1543" s="304"/>
      <c r="AE1543" s="304"/>
      <c r="AR1543" s="304"/>
      <c r="AS1543" s="304"/>
      <c r="AT1543" s="304"/>
      <c r="AU1543" s="304"/>
      <c r="AV1543" s="304"/>
      <c r="AW1543" s="304"/>
      <c r="AX1543" s="304"/>
      <c r="AY1543" s="304"/>
      <c r="AZ1543" s="304"/>
      <c r="BA1543" s="304"/>
      <c r="BB1543" s="304"/>
      <c r="BC1543" s="304"/>
      <c r="BK1543" s="305"/>
      <c r="BL1543" s="305"/>
      <c r="BM1543" s="305"/>
      <c r="BN1543" s="305"/>
      <c r="BO1543" s="305"/>
      <c r="BP1543" s="305"/>
      <c r="BQ1543" s="305"/>
      <c r="BR1543" s="305"/>
      <c r="BS1543" s="305"/>
      <c r="BT1543" s="305"/>
      <c r="BU1543" s="305"/>
      <c r="BV1543" s="305"/>
      <c r="BX1543" s="319"/>
    </row>
    <row r="1544" spans="1:76" s="303" customFormat="1" x14ac:dyDescent="0.25">
      <c r="A1544" s="275"/>
      <c r="B1544" s="275"/>
      <c r="C1544" s="275"/>
      <c r="D1544" s="275"/>
      <c r="E1544" s="275"/>
      <c r="F1544" s="275"/>
      <c r="V1544" s="304"/>
      <c r="W1544" s="304"/>
      <c r="AD1544" s="304"/>
      <c r="AE1544" s="304"/>
      <c r="AR1544" s="304"/>
      <c r="AS1544" s="304"/>
      <c r="AT1544" s="304"/>
      <c r="AU1544" s="304"/>
      <c r="AV1544" s="304"/>
      <c r="AW1544" s="304"/>
      <c r="AX1544" s="304"/>
      <c r="AY1544" s="304"/>
      <c r="AZ1544" s="304"/>
      <c r="BA1544" s="304"/>
      <c r="BB1544" s="304"/>
      <c r="BC1544" s="304"/>
      <c r="BK1544" s="305"/>
      <c r="BL1544" s="305"/>
      <c r="BM1544" s="305"/>
      <c r="BN1544" s="305"/>
      <c r="BO1544" s="305"/>
      <c r="BP1544" s="305"/>
      <c r="BQ1544" s="305"/>
      <c r="BR1544" s="305"/>
      <c r="BS1544" s="305"/>
      <c r="BT1544" s="305"/>
      <c r="BU1544" s="305"/>
      <c r="BV1544" s="305"/>
      <c r="BX1544" s="319"/>
    </row>
    <row r="1545" spans="1:76" s="303" customFormat="1" x14ac:dyDescent="0.25">
      <c r="A1545" s="275"/>
      <c r="B1545" s="275"/>
      <c r="C1545" s="275"/>
      <c r="D1545" s="275"/>
      <c r="E1545" s="275"/>
      <c r="F1545" s="275"/>
      <c r="V1545" s="304"/>
      <c r="W1545" s="304"/>
      <c r="AD1545" s="304"/>
      <c r="AE1545" s="304"/>
      <c r="AR1545" s="304"/>
      <c r="AS1545" s="304"/>
      <c r="AT1545" s="304"/>
      <c r="AU1545" s="304"/>
      <c r="AV1545" s="304"/>
      <c r="AW1545" s="304"/>
      <c r="AX1545" s="304"/>
      <c r="AY1545" s="304"/>
      <c r="AZ1545" s="304"/>
      <c r="BA1545" s="304"/>
      <c r="BB1545" s="304"/>
      <c r="BC1545" s="304"/>
      <c r="BK1545" s="305"/>
      <c r="BL1545" s="305"/>
      <c r="BM1545" s="305"/>
      <c r="BN1545" s="305"/>
      <c r="BO1545" s="305"/>
      <c r="BP1545" s="305"/>
      <c r="BQ1545" s="305"/>
      <c r="BR1545" s="305"/>
      <c r="BS1545" s="305"/>
      <c r="BT1545" s="305"/>
      <c r="BU1545" s="305"/>
      <c r="BV1545" s="305"/>
      <c r="BX1545" s="319"/>
    </row>
    <row r="1546" spans="1:76" s="303" customFormat="1" x14ac:dyDescent="0.25">
      <c r="A1546" s="275"/>
      <c r="B1546" s="275"/>
      <c r="C1546" s="275"/>
      <c r="D1546" s="275"/>
      <c r="E1546" s="275"/>
      <c r="F1546" s="275"/>
      <c r="V1546" s="304"/>
      <c r="W1546" s="304"/>
      <c r="AD1546" s="304"/>
      <c r="AE1546" s="304"/>
      <c r="AR1546" s="304"/>
      <c r="AS1546" s="304"/>
      <c r="AT1546" s="304"/>
      <c r="AU1546" s="304"/>
      <c r="AV1546" s="304"/>
      <c r="AW1546" s="304"/>
      <c r="AX1546" s="304"/>
      <c r="AY1546" s="304"/>
      <c r="AZ1546" s="304"/>
      <c r="BA1546" s="304"/>
      <c r="BB1546" s="304"/>
      <c r="BC1546" s="304"/>
      <c r="BK1546" s="305"/>
      <c r="BL1546" s="305"/>
      <c r="BM1546" s="305"/>
      <c r="BN1546" s="305"/>
      <c r="BO1546" s="305"/>
      <c r="BP1546" s="305"/>
      <c r="BQ1546" s="305"/>
      <c r="BR1546" s="305"/>
      <c r="BS1546" s="305"/>
      <c r="BT1546" s="305"/>
      <c r="BU1546" s="305"/>
      <c r="BV1546" s="305"/>
      <c r="BX1546" s="319"/>
    </row>
    <row r="1547" spans="1:76" s="303" customFormat="1" x14ac:dyDescent="0.25">
      <c r="A1547" s="275"/>
      <c r="B1547" s="275"/>
      <c r="C1547" s="275"/>
      <c r="D1547" s="275"/>
      <c r="E1547" s="275"/>
      <c r="F1547" s="275"/>
      <c r="V1547" s="304"/>
      <c r="W1547" s="304"/>
      <c r="AD1547" s="304"/>
      <c r="AE1547" s="304"/>
      <c r="AR1547" s="304"/>
      <c r="AS1547" s="304"/>
      <c r="AT1547" s="304"/>
      <c r="AU1547" s="304"/>
      <c r="AV1547" s="304"/>
      <c r="AW1547" s="304"/>
      <c r="AX1547" s="304"/>
      <c r="AY1547" s="304"/>
      <c r="AZ1547" s="304"/>
      <c r="BA1547" s="304"/>
      <c r="BB1547" s="304"/>
      <c r="BC1547" s="304"/>
      <c r="BK1547" s="305"/>
      <c r="BL1547" s="305"/>
      <c r="BM1547" s="305"/>
      <c r="BN1547" s="305"/>
      <c r="BO1547" s="305"/>
      <c r="BP1547" s="305"/>
      <c r="BQ1547" s="305"/>
      <c r="BR1547" s="305"/>
      <c r="BS1547" s="305"/>
      <c r="BT1547" s="305"/>
      <c r="BU1547" s="305"/>
      <c r="BV1547" s="305"/>
      <c r="BX1547" s="319"/>
    </row>
    <row r="1548" spans="1:76" s="303" customFormat="1" x14ac:dyDescent="0.25">
      <c r="A1548" s="275"/>
      <c r="B1548" s="275"/>
      <c r="C1548" s="275"/>
      <c r="D1548" s="275"/>
      <c r="E1548" s="275"/>
      <c r="F1548" s="275"/>
      <c r="V1548" s="304"/>
      <c r="W1548" s="304"/>
      <c r="AD1548" s="304"/>
      <c r="AE1548" s="304"/>
      <c r="AR1548" s="304"/>
      <c r="AS1548" s="304"/>
      <c r="AT1548" s="304"/>
      <c r="AU1548" s="304"/>
      <c r="AV1548" s="304"/>
      <c r="AW1548" s="304"/>
      <c r="AX1548" s="304"/>
      <c r="AY1548" s="304"/>
      <c r="AZ1548" s="304"/>
      <c r="BA1548" s="304"/>
      <c r="BB1548" s="304"/>
      <c r="BC1548" s="304"/>
      <c r="BK1548" s="305"/>
      <c r="BL1548" s="305"/>
      <c r="BM1548" s="305"/>
      <c r="BN1548" s="305"/>
      <c r="BO1548" s="305"/>
      <c r="BP1548" s="305"/>
      <c r="BQ1548" s="305"/>
      <c r="BR1548" s="305"/>
      <c r="BS1548" s="305"/>
      <c r="BT1548" s="305"/>
      <c r="BU1548" s="305"/>
      <c r="BV1548" s="305"/>
      <c r="BX1548" s="319"/>
    </row>
    <row r="1549" spans="1:76" s="303" customFormat="1" x14ac:dyDescent="0.25">
      <c r="A1549" s="275"/>
      <c r="B1549" s="275"/>
      <c r="C1549" s="275"/>
      <c r="D1549" s="275"/>
      <c r="E1549" s="275"/>
      <c r="F1549" s="275"/>
      <c r="V1549" s="304"/>
      <c r="W1549" s="304"/>
      <c r="AD1549" s="304"/>
      <c r="AE1549" s="304"/>
      <c r="AR1549" s="304"/>
      <c r="AS1549" s="304"/>
      <c r="AT1549" s="304"/>
      <c r="AU1549" s="304"/>
      <c r="AV1549" s="304"/>
      <c r="AW1549" s="304"/>
      <c r="AX1549" s="304"/>
      <c r="AY1549" s="304"/>
      <c r="AZ1549" s="304"/>
      <c r="BA1549" s="304"/>
      <c r="BB1549" s="304"/>
      <c r="BC1549" s="304"/>
      <c r="BK1549" s="305"/>
      <c r="BL1549" s="305"/>
      <c r="BM1549" s="305"/>
      <c r="BN1549" s="305"/>
      <c r="BO1549" s="305"/>
      <c r="BP1549" s="305"/>
      <c r="BQ1549" s="305"/>
      <c r="BR1549" s="305"/>
      <c r="BS1549" s="305"/>
      <c r="BT1549" s="305"/>
      <c r="BU1549" s="305"/>
      <c r="BV1549" s="305"/>
      <c r="BX1549" s="319"/>
    </row>
    <row r="1550" spans="1:76" s="303" customFormat="1" x14ac:dyDescent="0.25">
      <c r="A1550" s="275"/>
      <c r="B1550" s="275"/>
      <c r="C1550" s="275"/>
      <c r="D1550" s="275"/>
      <c r="E1550" s="275"/>
      <c r="F1550" s="275"/>
      <c r="V1550" s="304"/>
      <c r="W1550" s="304"/>
      <c r="AD1550" s="304"/>
      <c r="AE1550" s="304"/>
      <c r="AR1550" s="304"/>
      <c r="AS1550" s="304"/>
      <c r="AT1550" s="304"/>
      <c r="AU1550" s="304"/>
      <c r="AV1550" s="304"/>
      <c r="AW1550" s="304"/>
      <c r="AX1550" s="304"/>
      <c r="AY1550" s="304"/>
      <c r="AZ1550" s="304"/>
      <c r="BA1550" s="304"/>
      <c r="BB1550" s="304"/>
      <c r="BC1550" s="304"/>
      <c r="BK1550" s="305"/>
      <c r="BL1550" s="305"/>
      <c r="BM1550" s="305"/>
      <c r="BN1550" s="305"/>
      <c r="BO1550" s="305"/>
      <c r="BP1550" s="305"/>
      <c r="BQ1550" s="305"/>
      <c r="BR1550" s="305"/>
      <c r="BS1550" s="305"/>
      <c r="BT1550" s="305"/>
      <c r="BU1550" s="305"/>
      <c r="BV1550" s="305"/>
      <c r="BX1550" s="319"/>
    </row>
    <row r="1551" spans="1:76" s="303" customFormat="1" x14ac:dyDescent="0.25">
      <c r="A1551" s="275"/>
      <c r="B1551" s="275"/>
      <c r="C1551" s="275"/>
      <c r="D1551" s="275"/>
      <c r="E1551" s="275"/>
      <c r="F1551" s="275"/>
      <c r="V1551" s="304"/>
      <c r="W1551" s="304"/>
      <c r="AD1551" s="304"/>
      <c r="AE1551" s="304"/>
      <c r="AR1551" s="304"/>
      <c r="AS1551" s="304"/>
      <c r="AT1551" s="304"/>
      <c r="AU1551" s="304"/>
      <c r="AV1551" s="304"/>
      <c r="AW1551" s="304"/>
      <c r="AX1551" s="304"/>
      <c r="AY1551" s="304"/>
      <c r="AZ1551" s="304"/>
      <c r="BA1551" s="304"/>
      <c r="BB1551" s="304"/>
      <c r="BC1551" s="304"/>
      <c r="BK1551" s="305"/>
      <c r="BL1551" s="305"/>
      <c r="BM1551" s="305"/>
      <c r="BN1551" s="305"/>
      <c r="BO1551" s="305"/>
      <c r="BP1551" s="305"/>
      <c r="BQ1551" s="305"/>
      <c r="BR1551" s="305"/>
      <c r="BS1551" s="305"/>
      <c r="BT1551" s="305"/>
      <c r="BU1551" s="305"/>
      <c r="BV1551" s="305"/>
      <c r="BX1551" s="319"/>
    </row>
    <row r="1552" spans="1:76" s="303" customFormat="1" x14ac:dyDescent="0.25">
      <c r="A1552" s="275"/>
      <c r="B1552" s="275"/>
      <c r="C1552" s="275"/>
      <c r="D1552" s="275"/>
      <c r="E1552" s="275"/>
      <c r="F1552" s="275"/>
      <c r="V1552" s="304"/>
      <c r="W1552" s="304"/>
      <c r="AD1552" s="304"/>
      <c r="AE1552" s="304"/>
      <c r="AR1552" s="304"/>
      <c r="AS1552" s="304"/>
      <c r="AT1552" s="304"/>
      <c r="AU1552" s="304"/>
      <c r="AV1552" s="304"/>
      <c r="AW1552" s="304"/>
      <c r="AX1552" s="304"/>
      <c r="AY1552" s="304"/>
      <c r="AZ1552" s="304"/>
      <c r="BA1552" s="304"/>
      <c r="BB1552" s="304"/>
      <c r="BC1552" s="304"/>
      <c r="BK1552" s="305"/>
      <c r="BL1552" s="305"/>
      <c r="BM1552" s="305"/>
      <c r="BN1552" s="305"/>
      <c r="BO1552" s="305"/>
      <c r="BP1552" s="305"/>
      <c r="BQ1552" s="305"/>
      <c r="BR1552" s="305"/>
      <c r="BS1552" s="305"/>
      <c r="BT1552" s="305"/>
      <c r="BU1552" s="305"/>
      <c r="BV1552" s="305"/>
      <c r="BX1552" s="319"/>
    </row>
    <row r="1553" spans="1:76" s="303" customFormat="1" x14ac:dyDescent="0.25">
      <c r="A1553" s="275"/>
      <c r="B1553" s="275"/>
      <c r="C1553" s="275"/>
      <c r="D1553" s="275"/>
      <c r="E1553" s="275"/>
      <c r="F1553" s="275"/>
      <c r="V1553" s="304"/>
      <c r="W1553" s="304"/>
      <c r="AD1553" s="304"/>
      <c r="AE1553" s="304"/>
      <c r="AR1553" s="304"/>
      <c r="AS1553" s="304"/>
      <c r="AT1553" s="304"/>
      <c r="AU1553" s="304"/>
      <c r="AV1553" s="304"/>
      <c r="AW1553" s="304"/>
      <c r="AX1553" s="304"/>
      <c r="AY1553" s="304"/>
      <c r="AZ1553" s="304"/>
      <c r="BA1553" s="304"/>
      <c r="BB1553" s="304"/>
      <c r="BC1553" s="304"/>
      <c r="BK1553" s="305"/>
      <c r="BL1553" s="305"/>
      <c r="BM1553" s="305"/>
      <c r="BN1553" s="305"/>
      <c r="BO1553" s="305"/>
      <c r="BP1553" s="305"/>
      <c r="BQ1553" s="305"/>
      <c r="BR1553" s="305"/>
      <c r="BS1553" s="305"/>
      <c r="BT1553" s="305"/>
      <c r="BU1553" s="305"/>
      <c r="BV1553" s="305"/>
      <c r="BX1553" s="319"/>
    </row>
    <row r="1554" spans="1:76" s="303" customFormat="1" x14ac:dyDescent="0.25">
      <c r="A1554" s="275"/>
      <c r="B1554" s="275"/>
      <c r="C1554" s="275"/>
      <c r="D1554" s="275"/>
      <c r="E1554" s="275"/>
      <c r="F1554" s="275"/>
      <c r="V1554" s="304"/>
      <c r="W1554" s="304"/>
      <c r="AD1554" s="304"/>
      <c r="AE1554" s="304"/>
      <c r="AR1554" s="304"/>
      <c r="AS1554" s="304"/>
      <c r="AT1554" s="304"/>
      <c r="AU1554" s="304"/>
      <c r="AV1554" s="304"/>
      <c r="AW1554" s="304"/>
      <c r="AX1554" s="304"/>
      <c r="AY1554" s="304"/>
      <c r="AZ1554" s="304"/>
      <c r="BA1554" s="304"/>
      <c r="BB1554" s="304"/>
      <c r="BC1554" s="304"/>
      <c r="BK1554" s="305"/>
      <c r="BL1554" s="305"/>
      <c r="BM1554" s="305"/>
      <c r="BN1554" s="305"/>
      <c r="BO1554" s="305"/>
      <c r="BP1554" s="305"/>
      <c r="BQ1554" s="305"/>
      <c r="BR1554" s="305"/>
      <c r="BS1554" s="305"/>
      <c r="BT1554" s="305"/>
      <c r="BU1554" s="305"/>
      <c r="BV1554" s="305"/>
      <c r="BX1554" s="319"/>
    </row>
    <row r="1555" spans="1:76" s="303" customFormat="1" x14ac:dyDescent="0.25">
      <c r="A1555" s="275"/>
      <c r="B1555" s="275"/>
      <c r="C1555" s="275"/>
      <c r="D1555" s="275"/>
      <c r="E1555" s="275"/>
      <c r="F1555" s="275"/>
      <c r="V1555" s="304"/>
      <c r="W1555" s="304"/>
      <c r="AD1555" s="304"/>
      <c r="AE1555" s="304"/>
      <c r="AR1555" s="304"/>
      <c r="AS1555" s="304"/>
      <c r="AT1555" s="304"/>
      <c r="AU1555" s="304"/>
      <c r="AV1555" s="304"/>
      <c r="AW1555" s="304"/>
      <c r="AX1555" s="304"/>
      <c r="AY1555" s="304"/>
      <c r="AZ1555" s="304"/>
      <c r="BA1555" s="304"/>
      <c r="BB1555" s="304"/>
      <c r="BC1555" s="304"/>
      <c r="BK1555" s="305"/>
      <c r="BL1555" s="305"/>
      <c r="BM1555" s="305"/>
      <c r="BN1555" s="305"/>
      <c r="BO1555" s="305"/>
      <c r="BP1555" s="305"/>
      <c r="BQ1555" s="305"/>
      <c r="BR1555" s="305"/>
      <c r="BS1555" s="305"/>
      <c r="BT1555" s="305"/>
      <c r="BU1555" s="305"/>
      <c r="BV1555" s="305"/>
      <c r="BX1555" s="319"/>
    </row>
    <row r="1556" spans="1:76" s="303" customFormat="1" x14ac:dyDescent="0.25">
      <c r="A1556" s="275"/>
      <c r="B1556" s="275"/>
      <c r="C1556" s="275"/>
      <c r="D1556" s="275"/>
      <c r="E1556" s="275"/>
      <c r="F1556" s="275"/>
      <c r="V1556" s="304"/>
      <c r="W1556" s="304"/>
      <c r="AD1556" s="304"/>
      <c r="AE1556" s="304"/>
      <c r="AR1556" s="304"/>
      <c r="AS1556" s="304"/>
      <c r="AT1556" s="304"/>
      <c r="AU1556" s="304"/>
      <c r="AV1556" s="304"/>
      <c r="AW1556" s="304"/>
      <c r="AX1556" s="304"/>
      <c r="AY1556" s="304"/>
      <c r="AZ1556" s="304"/>
      <c r="BA1556" s="304"/>
      <c r="BB1556" s="304"/>
      <c r="BC1556" s="304"/>
      <c r="BK1556" s="305"/>
      <c r="BL1556" s="305"/>
      <c r="BM1556" s="305"/>
      <c r="BN1556" s="305"/>
      <c r="BO1556" s="305"/>
      <c r="BP1556" s="305"/>
      <c r="BQ1556" s="305"/>
      <c r="BR1556" s="305"/>
      <c r="BS1556" s="305"/>
      <c r="BT1556" s="305"/>
      <c r="BU1556" s="305"/>
      <c r="BV1556" s="305"/>
      <c r="BX1556" s="319"/>
    </row>
    <row r="1557" spans="1:76" s="303" customFormat="1" x14ac:dyDescent="0.25">
      <c r="A1557" s="275"/>
      <c r="B1557" s="275"/>
      <c r="C1557" s="275"/>
      <c r="D1557" s="275"/>
      <c r="E1557" s="275"/>
      <c r="F1557" s="275"/>
      <c r="V1557" s="304"/>
      <c r="W1557" s="304"/>
      <c r="AD1557" s="304"/>
      <c r="AE1557" s="304"/>
      <c r="AR1557" s="304"/>
      <c r="AS1557" s="304"/>
      <c r="AT1557" s="304"/>
      <c r="AU1557" s="304"/>
      <c r="AV1557" s="304"/>
      <c r="AW1557" s="304"/>
      <c r="AX1557" s="304"/>
      <c r="AY1557" s="304"/>
      <c r="AZ1557" s="304"/>
      <c r="BA1557" s="304"/>
      <c r="BB1557" s="304"/>
      <c r="BC1557" s="304"/>
      <c r="BK1557" s="305"/>
      <c r="BL1557" s="305"/>
      <c r="BM1557" s="305"/>
      <c r="BN1557" s="305"/>
      <c r="BO1557" s="305"/>
      <c r="BP1557" s="305"/>
      <c r="BQ1557" s="305"/>
      <c r="BR1557" s="305"/>
      <c r="BS1557" s="305"/>
      <c r="BT1557" s="305"/>
      <c r="BU1557" s="305"/>
      <c r="BV1557" s="305"/>
      <c r="BX1557" s="319"/>
    </row>
    <row r="1558" spans="1:76" s="303" customFormat="1" x14ac:dyDescent="0.25">
      <c r="A1558" s="275"/>
      <c r="B1558" s="275"/>
      <c r="C1558" s="275"/>
      <c r="D1558" s="275"/>
      <c r="E1558" s="275"/>
      <c r="F1558" s="275"/>
      <c r="V1558" s="304"/>
      <c r="W1558" s="304"/>
      <c r="AD1558" s="304"/>
      <c r="AE1558" s="304"/>
      <c r="AR1558" s="304"/>
      <c r="AS1558" s="304"/>
      <c r="AT1558" s="304"/>
      <c r="AU1558" s="304"/>
      <c r="AV1558" s="304"/>
      <c r="AW1558" s="304"/>
      <c r="AX1558" s="304"/>
      <c r="AY1558" s="304"/>
      <c r="AZ1558" s="304"/>
      <c r="BA1558" s="304"/>
      <c r="BB1558" s="304"/>
      <c r="BC1558" s="304"/>
      <c r="BK1558" s="305"/>
      <c r="BL1558" s="305"/>
      <c r="BM1558" s="305"/>
      <c r="BN1558" s="305"/>
      <c r="BO1558" s="305"/>
      <c r="BP1558" s="305"/>
      <c r="BQ1558" s="305"/>
      <c r="BR1558" s="305"/>
      <c r="BS1558" s="305"/>
      <c r="BT1558" s="305"/>
      <c r="BU1558" s="305"/>
      <c r="BV1558" s="305"/>
      <c r="BX1558" s="319"/>
    </row>
    <row r="1559" spans="1:76" s="303" customFormat="1" x14ac:dyDescent="0.25">
      <c r="A1559" s="275"/>
      <c r="B1559" s="275"/>
      <c r="C1559" s="275"/>
      <c r="D1559" s="275"/>
      <c r="E1559" s="275"/>
      <c r="F1559" s="275"/>
      <c r="V1559" s="304"/>
      <c r="W1559" s="304"/>
      <c r="AD1559" s="304"/>
      <c r="AE1559" s="304"/>
      <c r="AR1559" s="304"/>
      <c r="AS1559" s="304"/>
      <c r="AT1559" s="304"/>
      <c r="AU1559" s="304"/>
      <c r="AV1559" s="304"/>
      <c r="AW1559" s="304"/>
      <c r="AX1559" s="304"/>
      <c r="AY1559" s="304"/>
      <c r="AZ1559" s="304"/>
      <c r="BA1559" s="304"/>
      <c r="BB1559" s="304"/>
      <c r="BC1559" s="304"/>
      <c r="BK1559" s="305"/>
      <c r="BL1559" s="305"/>
      <c r="BM1559" s="305"/>
      <c r="BN1559" s="305"/>
      <c r="BO1559" s="305"/>
      <c r="BP1559" s="305"/>
      <c r="BQ1559" s="305"/>
      <c r="BR1559" s="305"/>
      <c r="BS1559" s="305"/>
      <c r="BT1559" s="305"/>
      <c r="BU1559" s="305"/>
      <c r="BV1559" s="305"/>
      <c r="BX1559" s="319"/>
    </row>
    <row r="1560" spans="1:76" s="303" customFormat="1" x14ac:dyDescent="0.25">
      <c r="A1560" s="275"/>
      <c r="B1560" s="275"/>
      <c r="C1560" s="275"/>
      <c r="D1560" s="275"/>
      <c r="E1560" s="275"/>
      <c r="F1560" s="275"/>
      <c r="V1560" s="304"/>
      <c r="W1560" s="304"/>
      <c r="AD1560" s="304"/>
      <c r="AE1560" s="304"/>
      <c r="AR1560" s="304"/>
      <c r="AS1560" s="304"/>
      <c r="AT1560" s="304"/>
      <c r="AU1560" s="304"/>
      <c r="AV1560" s="304"/>
      <c r="AW1560" s="304"/>
      <c r="AX1560" s="304"/>
      <c r="AY1560" s="304"/>
      <c r="AZ1560" s="304"/>
      <c r="BA1560" s="304"/>
      <c r="BB1560" s="304"/>
      <c r="BC1560" s="304"/>
      <c r="BK1560" s="305"/>
      <c r="BL1560" s="305"/>
      <c r="BM1560" s="305"/>
      <c r="BN1560" s="305"/>
      <c r="BO1560" s="305"/>
      <c r="BP1560" s="305"/>
      <c r="BQ1560" s="305"/>
      <c r="BR1560" s="305"/>
      <c r="BS1560" s="305"/>
      <c r="BT1560" s="305"/>
      <c r="BU1560" s="305"/>
      <c r="BV1560" s="305"/>
      <c r="BX1560" s="319"/>
    </row>
    <row r="1561" spans="1:76" s="303" customFormat="1" x14ac:dyDescent="0.25">
      <c r="A1561" s="275"/>
      <c r="B1561" s="275"/>
      <c r="C1561" s="275"/>
      <c r="D1561" s="275"/>
      <c r="E1561" s="275"/>
      <c r="F1561" s="275"/>
      <c r="V1561" s="304"/>
      <c r="W1561" s="304"/>
      <c r="AD1561" s="304"/>
      <c r="AE1561" s="304"/>
      <c r="AR1561" s="304"/>
      <c r="AS1561" s="304"/>
      <c r="AT1561" s="304"/>
      <c r="AU1561" s="304"/>
      <c r="AV1561" s="304"/>
      <c r="AW1561" s="304"/>
      <c r="AX1561" s="304"/>
      <c r="AY1561" s="304"/>
      <c r="AZ1561" s="304"/>
      <c r="BA1561" s="304"/>
      <c r="BB1561" s="304"/>
      <c r="BC1561" s="304"/>
      <c r="BK1561" s="305"/>
      <c r="BL1561" s="305"/>
      <c r="BM1561" s="305"/>
      <c r="BN1561" s="305"/>
      <c r="BO1561" s="305"/>
      <c r="BP1561" s="305"/>
      <c r="BQ1561" s="305"/>
      <c r="BR1561" s="305"/>
      <c r="BS1561" s="305"/>
      <c r="BT1561" s="305"/>
      <c r="BU1561" s="305"/>
      <c r="BV1561" s="305"/>
      <c r="BX1561" s="319"/>
    </row>
    <row r="1562" spans="1:76" s="303" customFormat="1" x14ac:dyDescent="0.25">
      <c r="A1562" s="275"/>
      <c r="B1562" s="275"/>
      <c r="C1562" s="275"/>
      <c r="D1562" s="275"/>
      <c r="E1562" s="275"/>
      <c r="F1562" s="275"/>
      <c r="V1562" s="304"/>
      <c r="W1562" s="304"/>
      <c r="AD1562" s="304"/>
      <c r="AE1562" s="304"/>
      <c r="AR1562" s="304"/>
      <c r="AS1562" s="304"/>
      <c r="AT1562" s="304"/>
      <c r="AU1562" s="304"/>
      <c r="AV1562" s="304"/>
      <c r="AW1562" s="304"/>
      <c r="AX1562" s="304"/>
      <c r="AY1562" s="304"/>
      <c r="AZ1562" s="304"/>
      <c r="BA1562" s="304"/>
      <c r="BB1562" s="304"/>
      <c r="BC1562" s="304"/>
      <c r="BK1562" s="305"/>
      <c r="BL1562" s="305"/>
      <c r="BM1562" s="305"/>
      <c r="BN1562" s="305"/>
      <c r="BO1562" s="305"/>
      <c r="BP1562" s="305"/>
      <c r="BQ1562" s="305"/>
      <c r="BR1562" s="305"/>
      <c r="BS1562" s="305"/>
      <c r="BT1562" s="305"/>
      <c r="BU1562" s="305"/>
      <c r="BV1562" s="305"/>
      <c r="BX1562" s="319"/>
    </row>
    <row r="1563" spans="1:76" s="303" customFormat="1" x14ac:dyDescent="0.25">
      <c r="A1563" s="275"/>
      <c r="B1563" s="275"/>
      <c r="C1563" s="275"/>
      <c r="D1563" s="275"/>
      <c r="E1563" s="275"/>
      <c r="F1563" s="275"/>
      <c r="V1563" s="304"/>
      <c r="W1563" s="304"/>
      <c r="AD1563" s="304"/>
      <c r="AE1563" s="304"/>
      <c r="AR1563" s="304"/>
      <c r="AS1563" s="304"/>
      <c r="AT1563" s="304"/>
      <c r="AU1563" s="304"/>
      <c r="AV1563" s="304"/>
      <c r="AW1563" s="304"/>
      <c r="AX1563" s="304"/>
      <c r="AY1563" s="304"/>
      <c r="AZ1563" s="304"/>
      <c r="BA1563" s="304"/>
      <c r="BB1563" s="304"/>
      <c r="BC1563" s="304"/>
      <c r="BK1563" s="305"/>
      <c r="BL1563" s="305"/>
      <c r="BM1563" s="305"/>
      <c r="BN1563" s="305"/>
      <c r="BO1563" s="305"/>
      <c r="BP1563" s="305"/>
      <c r="BQ1563" s="305"/>
      <c r="BR1563" s="305"/>
      <c r="BS1563" s="305"/>
      <c r="BT1563" s="305"/>
      <c r="BU1563" s="305"/>
      <c r="BV1563" s="305"/>
      <c r="BX1563" s="319"/>
    </row>
    <row r="1564" spans="1:76" s="303" customFormat="1" x14ac:dyDescent="0.25">
      <c r="A1564" s="275"/>
      <c r="B1564" s="275"/>
      <c r="C1564" s="275"/>
      <c r="D1564" s="275"/>
      <c r="E1564" s="275"/>
      <c r="F1564" s="275"/>
      <c r="V1564" s="304"/>
      <c r="W1564" s="304"/>
      <c r="AD1564" s="304"/>
      <c r="AE1564" s="304"/>
      <c r="AR1564" s="304"/>
      <c r="AS1564" s="304"/>
      <c r="AT1564" s="304"/>
      <c r="AU1564" s="304"/>
      <c r="AV1564" s="304"/>
      <c r="AW1564" s="304"/>
      <c r="AX1564" s="304"/>
      <c r="AY1564" s="304"/>
      <c r="AZ1564" s="304"/>
      <c r="BA1564" s="304"/>
      <c r="BB1564" s="304"/>
      <c r="BC1564" s="304"/>
      <c r="BK1564" s="305"/>
      <c r="BL1564" s="305"/>
      <c r="BM1564" s="305"/>
      <c r="BN1564" s="305"/>
      <c r="BO1564" s="305"/>
      <c r="BP1564" s="305"/>
      <c r="BQ1564" s="305"/>
      <c r="BR1564" s="305"/>
      <c r="BS1564" s="305"/>
      <c r="BT1564" s="305"/>
      <c r="BU1564" s="305"/>
      <c r="BV1564" s="305"/>
      <c r="BX1564" s="319"/>
    </row>
    <row r="1565" spans="1:76" s="303" customFormat="1" x14ac:dyDescent="0.25">
      <c r="A1565" s="275"/>
      <c r="B1565" s="275"/>
      <c r="C1565" s="275"/>
      <c r="D1565" s="275"/>
      <c r="E1565" s="275"/>
      <c r="F1565" s="275"/>
      <c r="V1565" s="304"/>
      <c r="W1565" s="304"/>
      <c r="AD1565" s="304"/>
      <c r="AE1565" s="304"/>
      <c r="AR1565" s="304"/>
      <c r="AS1565" s="304"/>
      <c r="AT1565" s="304"/>
      <c r="AU1565" s="304"/>
      <c r="AV1565" s="304"/>
      <c r="AW1565" s="304"/>
      <c r="AX1565" s="304"/>
      <c r="AY1565" s="304"/>
      <c r="AZ1565" s="304"/>
      <c r="BA1565" s="304"/>
      <c r="BB1565" s="304"/>
      <c r="BC1565" s="304"/>
      <c r="BK1565" s="305"/>
      <c r="BL1565" s="305"/>
      <c r="BM1565" s="305"/>
      <c r="BN1565" s="305"/>
      <c r="BO1565" s="305"/>
      <c r="BP1565" s="305"/>
      <c r="BQ1565" s="305"/>
      <c r="BR1565" s="305"/>
      <c r="BS1565" s="305"/>
      <c r="BT1565" s="305"/>
      <c r="BU1565" s="305"/>
      <c r="BV1565" s="305"/>
      <c r="BX1565" s="319"/>
    </row>
    <row r="1566" spans="1:76" s="303" customFormat="1" x14ac:dyDescent="0.25">
      <c r="A1566" s="275"/>
      <c r="B1566" s="275"/>
      <c r="C1566" s="275"/>
      <c r="D1566" s="275"/>
      <c r="E1566" s="275"/>
      <c r="F1566" s="275"/>
      <c r="V1566" s="304"/>
      <c r="W1566" s="304"/>
      <c r="AD1566" s="304"/>
      <c r="AE1566" s="304"/>
      <c r="AR1566" s="304"/>
      <c r="AS1566" s="304"/>
      <c r="AT1566" s="304"/>
      <c r="AU1566" s="304"/>
      <c r="AV1566" s="304"/>
      <c r="AW1566" s="304"/>
      <c r="AX1566" s="304"/>
      <c r="AY1566" s="304"/>
      <c r="AZ1566" s="304"/>
      <c r="BA1566" s="304"/>
      <c r="BB1566" s="304"/>
      <c r="BC1566" s="304"/>
      <c r="BK1566" s="305"/>
      <c r="BL1566" s="305"/>
      <c r="BM1566" s="305"/>
      <c r="BN1566" s="305"/>
      <c r="BO1566" s="305"/>
      <c r="BP1566" s="305"/>
      <c r="BQ1566" s="305"/>
      <c r="BR1566" s="305"/>
      <c r="BS1566" s="305"/>
      <c r="BT1566" s="305"/>
      <c r="BU1566" s="305"/>
      <c r="BV1566" s="305"/>
      <c r="BX1566" s="319"/>
    </row>
    <row r="1567" spans="1:76" s="303" customFormat="1" x14ac:dyDescent="0.25">
      <c r="A1567" s="275"/>
      <c r="B1567" s="275"/>
      <c r="C1567" s="275"/>
      <c r="D1567" s="275"/>
      <c r="E1567" s="275"/>
      <c r="F1567" s="275"/>
      <c r="V1567" s="304"/>
      <c r="W1567" s="304"/>
      <c r="AD1567" s="304"/>
      <c r="AE1567" s="304"/>
      <c r="AR1567" s="304"/>
      <c r="AS1567" s="304"/>
      <c r="AT1567" s="304"/>
      <c r="AU1567" s="304"/>
      <c r="AV1567" s="304"/>
      <c r="AW1567" s="304"/>
      <c r="AX1567" s="304"/>
      <c r="AY1567" s="304"/>
      <c r="AZ1567" s="304"/>
      <c r="BA1567" s="304"/>
      <c r="BB1567" s="304"/>
      <c r="BC1567" s="304"/>
      <c r="BK1567" s="305"/>
      <c r="BL1567" s="305"/>
      <c r="BM1567" s="305"/>
      <c r="BN1567" s="305"/>
      <c r="BO1567" s="305"/>
      <c r="BP1567" s="305"/>
      <c r="BQ1567" s="305"/>
      <c r="BR1567" s="305"/>
      <c r="BS1567" s="305"/>
      <c r="BT1567" s="305"/>
      <c r="BU1567" s="305"/>
      <c r="BV1567" s="305"/>
      <c r="BX1567" s="319"/>
    </row>
    <row r="1568" spans="1:76" s="303" customFormat="1" x14ac:dyDescent="0.25">
      <c r="A1568" s="275"/>
      <c r="B1568" s="275"/>
      <c r="C1568" s="275"/>
      <c r="D1568" s="275"/>
      <c r="E1568" s="275"/>
      <c r="F1568" s="275"/>
      <c r="V1568" s="304"/>
      <c r="W1568" s="304"/>
      <c r="AD1568" s="304"/>
      <c r="AE1568" s="304"/>
      <c r="AR1568" s="304"/>
      <c r="AS1568" s="304"/>
      <c r="AT1568" s="304"/>
      <c r="AU1568" s="304"/>
      <c r="AV1568" s="304"/>
      <c r="AW1568" s="304"/>
      <c r="AX1568" s="304"/>
      <c r="AY1568" s="304"/>
      <c r="AZ1568" s="304"/>
      <c r="BA1568" s="304"/>
      <c r="BB1568" s="304"/>
      <c r="BC1568" s="304"/>
      <c r="BK1568" s="305"/>
      <c r="BL1568" s="305"/>
      <c r="BM1568" s="305"/>
      <c r="BN1568" s="305"/>
      <c r="BO1568" s="305"/>
      <c r="BP1568" s="305"/>
      <c r="BQ1568" s="305"/>
      <c r="BR1568" s="305"/>
      <c r="BS1568" s="305"/>
      <c r="BT1568" s="305"/>
      <c r="BU1568" s="305"/>
      <c r="BV1568" s="305"/>
      <c r="BX1568" s="319"/>
    </row>
    <row r="1569" spans="1:76" s="303" customFormat="1" x14ac:dyDescent="0.25">
      <c r="A1569" s="275"/>
      <c r="B1569" s="275"/>
      <c r="C1569" s="275"/>
      <c r="D1569" s="275"/>
      <c r="E1569" s="275"/>
      <c r="F1569" s="275"/>
      <c r="V1569" s="304"/>
      <c r="W1569" s="304"/>
      <c r="AD1569" s="304"/>
      <c r="AE1569" s="304"/>
      <c r="AR1569" s="304"/>
      <c r="AS1569" s="304"/>
      <c r="AT1569" s="304"/>
      <c r="AU1569" s="304"/>
      <c r="AV1569" s="304"/>
      <c r="AW1569" s="304"/>
      <c r="AX1569" s="304"/>
      <c r="AY1569" s="304"/>
      <c r="AZ1569" s="304"/>
      <c r="BA1569" s="304"/>
      <c r="BB1569" s="304"/>
      <c r="BC1569" s="304"/>
      <c r="BK1569" s="305"/>
      <c r="BL1569" s="305"/>
      <c r="BM1569" s="305"/>
      <c r="BN1569" s="305"/>
      <c r="BO1569" s="305"/>
      <c r="BP1569" s="305"/>
      <c r="BQ1569" s="305"/>
      <c r="BR1569" s="305"/>
      <c r="BS1569" s="305"/>
      <c r="BT1569" s="305"/>
      <c r="BU1569" s="305"/>
      <c r="BV1569" s="305"/>
      <c r="BX1569" s="319"/>
    </row>
    <row r="1570" spans="1:76" s="303" customFormat="1" x14ac:dyDescent="0.25">
      <c r="A1570" s="275"/>
      <c r="B1570" s="275"/>
      <c r="C1570" s="275"/>
      <c r="D1570" s="275"/>
      <c r="E1570" s="275"/>
      <c r="F1570" s="275"/>
      <c r="V1570" s="304"/>
      <c r="W1570" s="304"/>
      <c r="AD1570" s="304"/>
      <c r="AE1570" s="304"/>
      <c r="AR1570" s="304"/>
      <c r="AS1570" s="304"/>
      <c r="AT1570" s="304"/>
      <c r="AU1570" s="304"/>
      <c r="AV1570" s="304"/>
      <c r="AW1570" s="304"/>
      <c r="AX1570" s="304"/>
      <c r="AY1570" s="304"/>
      <c r="AZ1570" s="304"/>
      <c r="BA1570" s="304"/>
      <c r="BB1570" s="304"/>
      <c r="BC1570" s="304"/>
      <c r="BK1570" s="305"/>
      <c r="BL1570" s="305"/>
      <c r="BM1570" s="305"/>
      <c r="BN1570" s="305"/>
      <c r="BO1570" s="305"/>
      <c r="BP1570" s="305"/>
      <c r="BQ1570" s="305"/>
      <c r="BR1570" s="305"/>
      <c r="BS1570" s="305"/>
      <c r="BT1570" s="305"/>
      <c r="BU1570" s="305"/>
      <c r="BV1570" s="305"/>
      <c r="BX1570" s="319"/>
    </row>
    <row r="1571" spans="1:76" s="303" customFormat="1" x14ac:dyDescent="0.25">
      <c r="A1571" s="275"/>
      <c r="B1571" s="275"/>
      <c r="C1571" s="275"/>
      <c r="D1571" s="275"/>
      <c r="E1571" s="275"/>
      <c r="F1571" s="275"/>
      <c r="V1571" s="304"/>
      <c r="W1571" s="304"/>
      <c r="AD1571" s="304"/>
      <c r="AE1571" s="304"/>
      <c r="AR1571" s="304"/>
      <c r="AS1571" s="304"/>
      <c r="AT1571" s="304"/>
      <c r="AU1571" s="304"/>
      <c r="AV1571" s="304"/>
      <c r="AW1571" s="304"/>
      <c r="AX1571" s="304"/>
      <c r="AY1571" s="304"/>
      <c r="AZ1571" s="304"/>
      <c r="BA1571" s="304"/>
      <c r="BB1571" s="304"/>
      <c r="BC1571" s="304"/>
      <c r="BK1571" s="305"/>
      <c r="BL1571" s="305"/>
      <c r="BM1571" s="305"/>
      <c r="BN1571" s="305"/>
      <c r="BO1571" s="305"/>
      <c r="BP1571" s="305"/>
      <c r="BQ1571" s="305"/>
      <c r="BR1571" s="305"/>
      <c r="BS1571" s="305"/>
      <c r="BT1571" s="305"/>
      <c r="BU1571" s="305"/>
      <c r="BV1571" s="305"/>
      <c r="BX1571" s="319"/>
    </row>
    <row r="1572" spans="1:76" s="303" customFormat="1" x14ac:dyDescent="0.25">
      <c r="A1572" s="275"/>
      <c r="B1572" s="275"/>
      <c r="C1572" s="275"/>
      <c r="D1572" s="275"/>
      <c r="E1572" s="275"/>
      <c r="F1572" s="275"/>
      <c r="V1572" s="304"/>
      <c r="W1572" s="304"/>
      <c r="AD1572" s="304"/>
      <c r="AE1572" s="304"/>
      <c r="AR1572" s="304"/>
      <c r="AS1572" s="304"/>
      <c r="AT1572" s="304"/>
      <c r="AU1572" s="304"/>
      <c r="AV1572" s="304"/>
      <c r="AW1572" s="304"/>
      <c r="AX1572" s="304"/>
      <c r="AY1572" s="304"/>
      <c r="AZ1572" s="304"/>
      <c r="BA1572" s="304"/>
      <c r="BB1572" s="304"/>
      <c r="BC1572" s="304"/>
      <c r="BK1572" s="305"/>
      <c r="BL1572" s="305"/>
      <c r="BM1572" s="305"/>
      <c r="BN1572" s="305"/>
      <c r="BO1572" s="305"/>
      <c r="BP1572" s="305"/>
      <c r="BQ1572" s="305"/>
      <c r="BR1572" s="305"/>
      <c r="BS1572" s="305"/>
      <c r="BT1572" s="305"/>
      <c r="BU1572" s="305"/>
      <c r="BV1572" s="305"/>
      <c r="BX1572" s="319"/>
    </row>
    <row r="1573" spans="1:76" s="303" customFormat="1" x14ac:dyDescent="0.25">
      <c r="A1573" s="275"/>
      <c r="B1573" s="275"/>
      <c r="C1573" s="275"/>
      <c r="D1573" s="275"/>
      <c r="E1573" s="275"/>
      <c r="F1573" s="275"/>
      <c r="V1573" s="304"/>
      <c r="W1573" s="304"/>
      <c r="AD1573" s="304"/>
      <c r="AE1573" s="304"/>
      <c r="AR1573" s="304"/>
      <c r="AS1573" s="304"/>
      <c r="AT1573" s="304"/>
      <c r="AU1573" s="304"/>
      <c r="AV1573" s="304"/>
      <c r="AW1573" s="304"/>
      <c r="AX1573" s="304"/>
      <c r="AY1573" s="304"/>
      <c r="AZ1573" s="304"/>
      <c r="BA1573" s="304"/>
      <c r="BB1573" s="304"/>
      <c r="BC1573" s="304"/>
      <c r="BK1573" s="305"/>
      <c r="BL1573" s="305"/>
      <c r="BM1573" s="305"/>
      <c r="BN1573" s="305"/>
      <c r="BO1573" s="305"/>
      <c r="BP1573" s="305"/>
      <c r="BQ1573" s="305"/>
      <c r="BR1573" s="305"/>
      <c r="BS1573" s="305"/>
      <c r="BT1573" s="305"/>
      <c r="BU1573" s="305"/>
      <c r="BV1573" s="305"/>
      <c r="BX1573" s="319"/>
    </row>
    <row r="1574" spans="1:76" s="303" customFormat="1" x14ac:dyDescent="0.25">
      <c r="A1574" s="275"/>
      <c r="B1574" s="275"/>
      <c r="C1574" s="275"/>
      <c r="D1574" s="275"/>
      <c r="E1574" s="275"/>
      <c r="F1574" s="275"/>
      <c r="V1574" s="304"/>
      <c r="W1574" s="304"/>
      <c r="AD1574" s="304"/>
      <c r="AE1574" s="304"/>
      <c r="AR1574" s="304"/>
      <c r="AS1574" s="304"/>
      <c r="AT1574" s="304"/>
      <c r="AU1574" s="304"/>
      <c r="AV1574" s="304"/>
      <c r="AW1574" s="304"/>
      <c r="AX1574" s="304"/>
      <c r="AY1574" s="304"/>
      <c r="AZ1574" s="304"/>
      <c r="BA1574" s="304"/>
      <c r="BB1574" s="304"/>
      <c r="BC1574" s="304"/>
      <c r="BK1574" s="305"/>
      <c r="BL1574" s="305"/>
      <c r="BM1574" s="305"/>
      <c r="BN1574" s="305"/>
      <c r="BO1574" s="305"/>
      <c r="BP1574" s="305"/>
      <c r="BQ1574" s="305"/>
      <c r="BR1574" s="305"/>
      <c r="BS1574" s="305"/>
      <c r="BT1574" s="305"/>
      <c r="BU1574" s="305"/>
      <c r="BV1574" s="305"/>
      <c r="BX1574" s="319"/>
    </row>
    <row r="1575" spans="1:76" s="303" customFormat="1" x14ac:dyDescent="0.25">
      <c r="A1575" s="275"/>
      <c r="B1575" s="275"/>
      <c r="C1575" s="275"/>
      <c r="D1575" s="275"/>
      <c r="E1575" s="275"/>
      <c r="F1575" s="275"/>
      <c r="V1575" s="304"/>
      <c r="W1575" s="304"/>
      <c r="AD1575" s="304"/>
      <c r="AE1575" s="304"/>
      <c r="AR1575" s="304"/>
      <c r="AS1575" s="304"/>
      <c r="AT1575" s="304"/>
      <c r="AU1575" s="304"/>
      <c r="AV1575" s="304"/>
      <c r="AW1575" s="304"/>
      <c r="AX1575" s="304"/>
      <c r="AY1575" s="304"/>
      <c r="AZ1575" s="304"/>
      <c r="BA1575" s="304"/>
      <c r="BB1575" s="304"/>
      <c r="BC1575" s="304"/>
      <c r="BK1575" s="305"/>
      <c r="BL1575" s="305"/>
      <c r="BM1575" s="305"/>
      <c r="BN1575" s="305"/>
      <c r="BO1575" s="305"/>
      <c r="BP1575" s="305"/>
      <c r="BQ1575" s="305"/>
      <c r="BR1575" s="305"/>
      <c r="BS1575" s="305"/>
      <c r="BT1575" s="305"/>
      <c r="BU1575" s="305"/>
      <c r="BV1575" s="305"/>
      <c r="BX1575" s="319"/>
    </row>
    <row r="1576" spans="1:76" s="303" customFormat="1" x14ac:dyDescent="0.25">
      <c r="A1576" s="275"/>
      <c r="B1576" s="275"/>
      <c r="C1576" s="275"/>
      <c r="D1576" s="275"/>
      <c r="E1576" s="275"/>
      <c r="F1576" s="275"/>
      <c r="V1576" s="304"/>
      <c r="W1576" s="304"/>
      <c r="AD1576" s="304"/>
      <c r="AE1576" s="304"/>
      <c r="AR1576" s="304"/>
      <c r="AS1576" s="304"/>
      <c r="AT1576" s="304"/>
      <c r="AU1576" s="304"/>
      <c r="AV1576" s="304"/>
      <c r="AW1576" s="304"/>
      <c r="AX1576" s="304"/>
      <c r="AY1576" s="304"/>
      <c r="AZ1576" s="304"/>
      <c r="BA1576" s="304"/>
      <c r="BB1576" s="304"/>
      <c r="BC1576" s="304"/>
      <c r="BK1576" s="305"/>
      <c r="BL1576" s="305"/>
      <c r="BM1576" s="305"/>
      <c r="BN1576" s="305"/>
      <c r="BO1576" s="305"/>
      <c r="BP1576" s="305"/>
      <c r="BQ1576" s="305"/>
      <c r="BR1576" s="305"/>
      <c r="BS1576" s="305"/>
      <c r="BT1576" s="305"/>
      <c r="BU1576" s="305"/>
      <c r="BV1576" s="305"/>
      <c r="BX1576" s="319"/>
    </row>
    <row r="1577" spans="1:76" s="303" customFormat="1" x14ac:dyDescent="0.25">
      <c r="A1577" s="275"/>
      <c r="B1577" s="275"/>
      <c r="C1577" s="275"/>
      <c r="D1577" s="275"/>
      <c r="E1577" s="275"/>
      <c r="F1577" s="275"/>
      <c r="V1577" s="304"/>
      <c r="W1577" s="304"/>
      <c r="AD1577" s="304"/>
      <c r="AE1577" s="304"/>
      <c r="AR1577" s="304"/>
      <c r="AS1577" s="304"/>
      <c r="AT1577" s="304"/>
      <c r="AU1577" s="304"/>
      <c r="AV1577" s="304"/>
      <c r="AW1577" s="304"/>
      <c r="AX1577" s="304"/>
      <c r="AY1577" s="304"/>
      <c r="AZ1577" s="304"/>
      <c r="BA1577" s="304"/>
      <c r="BB1577" s="304"/>
      <c r="BC1577" s="304"/>
      <c r="BK1577" s="305"/>
      <c r="BL1577" s="305"/>
      <c r="BM1577" s="305"/>
      <c r="BN1577" s="305"/>
      <c r="BO1577" s="305"/>
      <c r="BP1577" s="305"/>
      <c r="BQ1577" s="305"/>
      <c r="BR1577" s="305"/>
      <c r="BS1577" s="305"/>
      <c r="BT1577" s="305"/>
      <c r="BU1577" s="305"/>
      <c r="BV1577" s="305"/>
      <c r="BX1577" s="319"/>
    </row>
    <row r="1578" spans="1:76" s="303" customFormat="1" x14ac:dyDescent="0.25">
      <c r="A1578" s="275"/>
      <c r="B1578" s="275"/>
      <c r="C1578" s="275"/>
      <c r="D1578" s="275"/>
      <c r="E1578" s="275"/>
      <c r="F1578" s="275"/>
      <c r="V1578" s="304"/>
      <c r="W1578" s="304"/>
      <c r="AD1578" s="304"/>
      <c r="AE1578" s="304"/>
      <c r="AR1578" s="304"/>
      <c r="AS1578" s="304"/>
      <c r="AT1578" s="304"/>
      <c r="AU1578" s="304"/>
      <c r="AV1578" s="304"/>
      <c r="AW1578" s="304"/>
      <c r="AX1578" s="304"/>
      <c r="AY1578" s="304"/>
      <c r="AZ1578" s="304"/>
      <c r="BA1578" s="304"/>
      <c r="BB1578" s="304"/>
      <c r="BC1578" s="304"/>
      <c r="BK1578" s="305"/>
      <c r="BL1578" s="305"/>
      <c r="BM1578" s="305"/>
      <c r="BN1578" s="305"/>
      <c r="BO1578" s="305"/>
      <c r="BP1578" s="305"/>
      <c r="BQ1578" s="305"/>
      <c r="BR1578" s="305"/>
      <c r="BS1578" s="305"/>
      <c r="BT1578" s="305"/>
      <c r="BU1578" s="305"/>
      <c r="BV1578" s="305"/>
      <c r="BX1578" s="319"/>
    </row>
    <row r="1579" spans="1:76" s="303" customFormat="1" x14ac:dyDescent="0.25">
      <c r="A1579" s="275"/>
      <c r="B1579" s="275"/>
      <c r="C1579" s="275"/>
      <c r="D1579" s="275"/>
      <c r="E1579" s="275"/>
      <c r="F1579" s="275"/>
      <c r="V1579" s="304"/>
      <c r="W1579" s="304"/>
      <c r="AD1579" s="304"/>
      <c r="AE1579" s="304"/>
      <c r="AR1579" s="304"/>
      <c r="AS1579" s="304"/>
      <c r="AT1579" s="304"/>
      <c r="AU1579" s="304"/>
      <c r="AV1579" s="304"/>
      <c r="AW1579" s="304"/>
      <c r="AX1579" s="304"/>
      <c r="AY1579" s="304"/>
      <c r="AZ1579" s="304"/>
      <c r="BA1579" s="304"/>
      <c r="BB1579" s="304"/>
      <c r="BC1579" s="304"/>
      <c r="BK1579" s="305"/>
      <c r="BL1579" s="305"/>
      <c r="BM1579" s="305"/>
      <c r="BN1579" s="305"/>
      <c r="BO1579" s="305"/>
      <c r="BP1579" s="305"/>
      <c r="BQ1579" s="305"/>
      <c r="BR1579" s="305"/>
      <c r="BS1579" s="305"/>
      <c r="BT1579" s="305"/>
      <c r="BU1579" s="305"/>
      <c r="BV1579" s="305"/>
      <c r="BX1579" s="319"/>
    </row>
    <row r="1580" spans="1:76" s="303" customFormat="1" x14ac:dyDescent="0.25">
      <c r="A1580" s="275"/>
      <c r="B1580" s="275"/>
      <c r="C1580" s="275"/>
      <c r="D1580" s="275"/>
      <c r="E1580" s="275"/>
      <c r="F1580" s="275"/>
      <c r="V1580" s="304"/>
      <c r="W1580" s="304"/>
      <c r="AD1580" s="304"/>
      <c r="AE1580" s="304"/>
      <c r="AR1580" s="304"/>
      <c r="AS1580" s="304"/>
      <c r="AT1580" s="304"/>
      <c r="AU1580" s="304"/>
      <c r="AV1580" s="304"/>
      <c r="AW1580" s="304"/>
      <c r="AX1580" s="304"/>
      <c r="AY1580" s="304"/>
      <c r="AZ1580" s="304"/>
      <c r="BA1580" s="304"/>
      <c r="BB1580" s="304"/>
      <c r="BC1580" s="304"/>
      <c r="BK1580" s="305"/>
      <c r="BL1580" s="305"/>
      <c r="BM1580" s="305"/>
      <c r="BN1580" s="305"/>
      <c r="BO1580" s="305"/>
      <c r="BP1580" s="305"/>
      <c r="BQ1580" s="305"/>
      <c r="BR1580" s="305"/>
      <c r="BS1580" s="305"/>
      <c r="BT1580" s="305"/>
      <c r="BU1580" s="305"/>
      <c r="BV1580" s="305"/>
      <c r="BX1580" s="319"/>
    </row>
    <row r="1581" spans="1:76" s="303" customFormat="1" x14ac:dyDescent="0.25">
      <c r="A1581" s="275"/>
      <c r="B1581" s="275"/>
      <c r="C1581" s="275"/>
      <c r="D1581" s="275"/>
      <c r="E1581" s="275"/>
      <c r="F1581" s="275"/>
      <c r="V1581" s="304"/>
      <c r="W1581" s="304"/>
      <c r="AD1581" s="304"/>
      <c r="AE1581" s="304"/>
      <c r="AR1581" s="304"/>
      <c r="AS1581" s="304"/>
      <c r="AT1581" s="304"/>
      <c r="AU1581" s="304"/>
      <c r="AV1581" s="304"/>
      <c r="AW1581" s="304"/>
      <c r="AX1581" s="304"/>
      <c r="AY1581" s="304"/>
      <c r="AZ1581" s="304"/>
      <c r="BA1581" s="304"/>
      <c r="BB1581" s="304"/>
      <c r="BC1581" s="304"/>
      <c r="BK1581" s="305"/>
      <c r="BL1581" s="305"/>
      <c r="BM1581" s="305"/>
      <c r="BN1581" s="305"/>
      <c r="BO1581" s="305"/>
      <c r="BP1581" s="305"/>
      <c r="BQ1581" s="305"/>
      <c r="BR1581" s="305"/>
      <c r="BS1581" s="305"/>
      <c r="BT1581" s="305"/>
      <c r="BU1581" s="305"/>
      <c r="BV1581" s="305"/>
      <c r="BX1581" s="319"/>
    </row>
    <row r="1582" spans="1:76" s="303" customFormat="1" x14ac:dyDescent="0.25">
      <c r="A1582" s="275"/>
      <c r="B1582" s="275"/>
      <c r="C1582" s="275"/>
      <c r="D1582" s="275"/>
      <c r="E1582" s="275"/>
      <c r="F1582" s="275"/>
      <c r="V1582" s="304"/>
      <c r="W1582" s="304"/>
      <c r="AD1582" s="304"/>
      <c r="AE1582" s="304"/>
      <c r="AR1582" s="304"/>
      <c r="AS1582" s="304"/>
      <c r="AT1582" s="304"/>
      <c r="AU1582" s="304"/>
      <c r="AV1582" s="304"/>
      <c r="AW1582" s="304"/>
      <c r="AX1582" s="304"/>
      <c r="AY1582" s="304"/>
      <c r="AZ1582" s="304"/>
      <c r="BA1582" s="304"/>
      <c r="BB1582" s="304"/>
      <c r="BC1582" s="304"/>
      <c r="BK1582" s="305"/>
      <c r="BL1582" s="305"/>
      <c r="BM1582" s="305"/>
      <c r="BN1582" s="305"/>
      <c r="BO1582" s="305"/>
      <c r="BP1582" s="305"/>
      <c r="BQ1582" s="305"/>
      <c r="BR1582" s="305"/>
      <c r="BS1582" s="305"/>
      <c r="BT1582" s="305"/>
      <c r="BU1582" s="305"/>
      <c r="BV1582" s="305"/>
      <c r="BX1582" s="319"/>
    </row>
    <row r="1583" spans="1:76" s="303" customFormat="1" x14ac:dyDescent="0.25">
      <c r="A1583" s="275"/>
      <c r="B1583" s="275"/>
      <c r="C1583" s="275"/>
      <c r="D1583" s="275"/>
      <c r="E1583" s="275"/>
      <c r="F1583" s="275"/>
      <c r="V1583" s="304"/>
      <c r="W1583" s="304"/>
      <c r="AD1583" s="304"/>
      <c r="AE1583" s="304"/>
      <c r="AR1583" s="304"/>
      <c r="AS1583" s="304"/>
      <c r="AT1583" s="304"/>
      <c r="AU1583" s="304"/>
      <c r="AV1583" s="304"/>
      <c r="AW1583" s="304"/>
      <c r="AX1583" s="304"/>
      <c r="AY1583" s="304"/>
      <c r="AZ1583" s="304"/>
      <c r="BA1583" s="304"/>
      <c r="BB1583" s="304"/>
      <c r="BC1583" s="304"/>
      <c r="BK1583" s="305"/>
      <c r="BL1583" s="305"/>
      <c r="BM1583" s="305"/>
      <c r="BN1583" s="305"/>
      <c r="BO1583" s="305"/>
      <c r="BP1583" s="305"/>
      <c r="BQ1583" s="305"/>
      <c r="BR1583" s="305"/>
      <c r="BS1583" s="305"/>
      <c r="BT1583" s="305"/>
      <c r="BU1583" s="305"/>
      <c r="BV1583" s="305"/>
      <c r="BX1583" s="319"/>
    </row>
    <row r="1584" spans="1:76" s="303" customFormat="1" x14ac:dyDescent="0.25">
      <c r="A1584" s="275"/>
      <c r="B1584" s="275"/>
      <c r="C1584" s="275"/>
      <c r="D1584" s="275"/>
      <c r="E1584" s="275"/>
      <c r="F1584" s="275"/>
      <c r="V1584" s="304"/>
      <c r="W1584" s="304"/>
      <c r="AD1584" s="304"/>
      <c r="AE1584" s="304"/>
      <c r="AR1584" s="304"/>
      <c r="AS1584" s="304"/>
      <c r="AT1584" s="304"/>
      <c r="AU1584" s="304"/>
      <c r="AV1584" s="304"/>
      <c r="AW1584" s="304"/>
      <c r="AX1584" s="304"/>
      <c r="AY1584" s="304"/>
      <c r="AZ1584" s="304"/>
      <c r="BA1584" s="304"/>
      <c r="BB1584" s="304"/>
      <c r="BC1584" s="304"/>
      <c r="BK1584" s="305"/>
      <c r="BL1584" s="305"/>
      <c r="BM1584" s="305"/>
      <c r="BN1584" s="305"/>
      <c r="BO1584" s="305"/>
      <c r="BP1584" s="305"/>
      <c r="BQ1584" s="305"/>
      <c r="BR1584" s="305"/>
      <c r="BS1584" s="305"/>
      <c r="BT1584" s="305"/>
      <c r="BU1584" s="305"/>
      <c r="BV1584" s="305"/>
      <c r="BX1584" s="319"/>
    </row>
    <row r="1585" spans="1:76" s="303" customFormat="1" x14ac:dyDescent="0.25">
      <c r="A1585" s="275"/>
      <c r="B1585" s="275"/>
      <c r="C1585" s="275"/>
      <c r="D1585" s="275"/>
      <c r="E1585" s="275"/>
      <c r="F1585" s="275"/>
      <c r="V1585" s="304"/>
      <c r="W1585" s="304"/>
      <c r="AD1585" s="304"/>
      <c r="AE1585" s="304"/>
      <c r="AR1585" s="304"/>
      <c r="AS1585" s="304"/>
      <c r="AT1585" s="304"/>
      <c r="AU1585" s="304"/>
      <c r="AV1585" s="304"/>
      <c r="AW1585" s="304"/>
      <c r="AX1585" s="304"/>
      <c r="AY1585" s="304"/>
      <c r="AZ1585" s="304"/>
      <c r="BA1585" s="304"/>
      <c r="BB1585" s="304"/>
      <c r="BC1585" s="304"/>
      <c r="BK1585" s="305"/>
      <c r="BL1585" s="305"/>
      <c r="BM1585" s="305"/>
      <c r="BN1585" s="305"/>
      <c r="BO1585" s="305"/>
      <c r="BP1585" s="305"/>
      <c r="BQ1585" s="305"/>
      <c r="BR1585" s="305"/>
      <c r="BS1585" s="305"/>
      <c r="BT1585" s="305"/>
      <c r="BU1585" s="305"/>
      <c r="BV1585" s="305"/>
      <c r="BX1585" s="319"/>
    </row>
    <row r="1586" spans="1:76" s="303" customFormat="1" x14ac:dyDescent="0.25">
      <c r="A1586" s="275"/>
      <c r="B1586" s="275"/>
      <c r="C1586" s="275"/>
      <c r="D1586" s="275"/>
      <c r="E1586" s="275"/>
      <c r="F1586" s="275"/>
      <c r="V1586" s="304"/>
      <c r="W1586" s="304"/>
      <c r="AD1586" s="304"/>
      <c r="AE1586" s="304"/>
      <c r="AR1586" s="304"/>
      <c r="AS1586" s="304"/>
      <c r="AT1586" s="304"/>
      <c r="AU1586" s="304"/>
      <c r="AV1586" s="304"/>
      <c r="AW1586" s="304"/>
      <c r="AX1586" s="304"/>
      <c r="AY1586" s="304"/>
      <c r="AZ1586" s="304"/>
      <c r="BA1586" s="304"/>
      <c r="BB1586" s="304"/>
      <c r="BC1586" s="304"/>
      <c r="BK1586" s="305"/>
      <c r="BL1586" s="305"/>
      <c r="BM1586" s="305"/>
      <c r="BN1586" s="305"/>
      <c r="BO1586" s="305"/>
      <c r="BP1586" s="305"/>
      <c r="BQ1586" s="305"/>
      <c r="BR1586" s="305"/>
      <c r="BS1586" s="305"/>
      <c r="BT1586" s="305"/>
      <c r="BU1586" s="305"/>
      <c r="BV1586" s="305"/>
      <c r="BX1586" s="319"/>
    </row>
    <row r="1587" spans="1:76" s="303" customFormat="1" x14ac:dyDescent="0.25">
      <c r="A1587" s="275"/>
      <c r="B1587" s="275"/>
      <c r="C1587" s="275"/>
      <c r="D1587" s="275"/>
      <c r="E1587" s="275"/>
      <c r="F1587" s="275"/>
      <c r="V1587" s="304"/>
      <c r="W1587" s="304"/>
      <c r="AD1587" s="304"/>
      <c r="AE1587" s="304"/>
      <c r="AR1587" s="304"/>
      <c r="AS1587" s="304"/>
      <c r="AT1587" s="304"/>
      <c r="AU1587" s="304"/>
      <c r="AV1587" s="304"/>
      <c r="AW1587" s="304"/>
      <c r="AX1587" s="304"/>
      <c r="AY1587" s="304"/>
      <c r="AZ1587" s="304"/>
      <c r="BA1587" s="304"/>
      <c r="BB1587" s="304"/>
      <c r="BC1587" s="304"/>
      <c r="BK1587" s="305"/>
      <c r="BL1587" s="305"/>
      <c r="BM1587" s="305"/>
      <c r="BN1587" s="305"/>
      <c r="BO1587" s="305"/>
      <c r="BP1587" s="305"/>
      <c r="BQ1587" s="305"/>
      <c r="BR1587" s="305"/>
      <c r="BS1587" s="305"/>
      <c r="BT1587" s="305"/>
      <c r="BU1587" s="305"/>
      <c r="BV1587" s="305"/>
      <c r="BX1587" s="319"/>
    </row>
    <row r="1588" spans="1:76" s="303" customFormat="1" x14ac:dyDescent="0.25">
      <c r="A1588" s="275"/>
      <c r="B1588" s="275"/>
      <c r="C1588" s="275"/>
      <c r="D1588" s="275"/>
      <c r="E1588" s="275"/>
      <c r="F1588" s="275"/>
      <c r="V1588" s="304"/>
      <c r="W1588" s="304"/>
      <c r="AD1588" s="304"/>
      <c r="AE1588" s="304"/>
      <c r="AR1588" s="304"/>
      <c r="AS1588" s="304"/>
      <c r="AT1588" s="304"/>
      <c r="AU1588" s="304"/>
      <c r="AV1588" s="304"/>
      <c r="AW1588" s="304"/>
      <c r="AX1588" s="304"/>
      <c r="AY1588" s="304"/>
      <c r="AZ1588" s="304"/>
      <c r="BA1588" s="304"/>
      <c r="BB1588" s="304"/>
      <c r="BC1588" s="304"/>
      <c r="BK1588" s="305"/>
      <c r="BL1588" s="305"/>
      <c r="BM1588" s="305"/>
      <c r="BN1588" s="305"/>
      <c r="BO1588" s="305"/>
      <c r="BP1588" s="305"/>
      <c r="BQ1588" s="305"/>
      <c r="BR1588" s="305"/>
      <c r="BS1588" s="305"/>
      <c r="BT1588" s="305"/>
      <c r="BU1588" s="305"/>
      <c r="BV1588" s="305"/>
      <c r="BX1588" s="319"/>
    </row>
    <row r="1589" spans="1:76" s="303" customFormat="1" x14ac:dyDescent="0.25">
      <c r="A1589" s="275"/>
      <c r="B1589" s="275"/>
      <c r="C1589" s="275"/>
      <c r="D1589" s="275"/>
      <c r="E1589" s="275"/>
      <c r="F1589" s="275"/>
      <c r="V1589" s="304"/>
      <c r="W1589" s="304"/>
      <c r="AD1589" s="304"/>
      <c r="AE1589" s="304"/>
      <c r="AR1589" s="304"/>
      <c r="AS1589" s="304"/>
      <c r="AT1589" s="304"/>
      <c r="AU1589" s="304"/>
      <c r="AV1589" s="304"/>
      <c r="AW1589" s="304"/>
      <c r="AX1589" s="304"/>
      <c r="AY1589" s="304"/>
      <c r="AZ1589" s="304"/>
      <c r="BA1589" s="304"/>
      <c r="BB1589" s="304"/>
      <c r="BC1589" s="304"/>
      <c r="BK1589" s="305"/>
      <c r="BL1589" s="305"/>
      <c r="BM1589" s="305"/>
      <c r="BN1589" s="305"/>
      <c r="BO1589" s="305"/>
      <c r="BP1589" s="305"/>
      <c r="BQ1589" s="305"/>
      <c r="BR1589" s="305"/>
      <c r="BS1589" s="305"/>
      <c r="BT1589" s="305"/>
      <c r="BU1589" s="305"/>
      <c r="BV1589" s="305"/>
      <c r="BX1589" s="319"/>
    </row>
    <row r="1590" spans="1:76" s="303" customFormat="1" x14ac:dyDescent="0.25">
      <c r="A1590" s="275"/>
      <c r="B1590" s="275"/>
      <c r="C1590" s="275"/>
      <c r="D1590" s="275"/>
      <c r="E1590" s="275"/>
      <c r="F1590" s="275"/>
      <c r="V1590" s="304"/>
      <c r="W1590" s="304"/>
      <c r="AD1590" s="304"/>
      <c r="AE1590" s="304"/>
      <c r="AR1590" s="304"/>
      <c r="AS1590" s="304"/>
      <c r="AT1590" s="304"/>
      <c r="AU1590" s="304"/>
      <c r="AV1590" s="304"/>
      <c r="AW1590" s="304"/>
      <c r="AX1590" s="304"/>
      <c r="AY1590" s="304"/>
      <c r="AZ1590" s="304"/>
      <c r="BA1590" s="304"/>
      <c r="BB1590" s="304"/>
      <c r="BC1590" s="304"/>
      <c r="BK1590" s="305"/>
      <c r="BL1590" s="305"/>
      <c r="BM1590" s="305"/>
      <c r="BN1590" s="305"/>
      <c r="BO1590" s="305"/>
      <c r="BP1590" s="305"/>
      <c r="BQ1590" s="305"/>
      <c r="BR1590" s="305"/>
      <c r="BS1590" s="305"/>
      <c r="BT1590" s="305"/>
      <c r="BU1590" s="305"/>
      <c r="BV1590" s="305"/>
      <c r="BX1590" s="319"/>
    </row>
    <row r="1591" spans="1:76" s="303" customFormat="1" x14ac:dyDescent="0.25">
      <c r="A1591" s="275"/>
      <c r="B1591" s="275"/>
      <c r="C1591" s="275"/>
      <c r="D1591" s="275"/>
      <c r="E1591" s="275"/>
      <c r="F1591" s="275"/>
      <c r="V1591" s="304"/>
      <c r="W1591" s="304"/>
      <c r="AD1591" s="304"/>
      <c r="AE1591" s="304"/>
      <c r="AR1591" s="304"/>
      <c r="AS1591" s="304"/>
      <c r="AT1591" s="304"/>
      <c r="AU1591" s="304"/>
      <c r="AV1591" s="304"/>
      <c r="AW1591" s="304"/>
      <c r="AX1591" s="304"/>
      <c r="AY1591" s="304"/>
      <c r="AZ1591" s="304"/>
      <c r="BA1591" s="304"/>
      <c r="BB1591" s="304"/>
      <c r="BC1591" s="304"/>
      <c r="BK1591" s="305"/>
      <c r="BL1591" s="305"/>
      <c r="BM1591" s="305"/>
      <c r="BN1591" s="305"/>
      <c r="BO1591" s="305"/>
      <c r="BP1591" s="305"/>
      <c r="BQ1591" s="305"/>
      <c r="BR1591" s="305"/>
      <c r="BS1591" s="305"/>
      <c r="BT1591" s="305"/>
      <c r="BU1591" s="305"/>
      <c r="BV1591" s="305"/>
      <c r="BX1591" s="319"/>
    </row>
    <row r="1592" spans="1:76" s="303" customFormat="1" x14ac:dyDescent="0.25">
      <c r="A1592" s="275"/>
      <c r="B1592" s="275"/>
      <c r="C1592" s="275"/>
      <c r="D1592" s="275"/>
      <c r="E1592" s="275"/>
      <c r="F1592" s="275"/>
      <c r="V1592" s="304"/>
      <c r="W1592" s="304"/>
      <c r="AD1592" s="304"/>
      <c r="AE1592" s="304"/>
      <c r="AR1592" s="304"/>
      <c r="AS1592" s="304"/>
      <c r="AT1592" s="304"/>
      <c r="AU1592" s="304"/>
      <c r="AV1592" s="304"/>
      <c r="AW1592" s="304"/>
      <c r="AX1592" s="304"/>
      <c r="AY1592" s="304"/>
      <c r="AZ1592" s="304"/>
      <c r="BA1592" s="304"/>
      <c r="BB1592" s="304"/>
      <c r="BC1592" s="304"/>
      <c r="BK1592" s="305"/>
      <c r="BL1592" s="305"/>
      <c r="BM1592" s="305"/>
      <c r="BN1592" s="305"/>
      <c r="BO1592" s="305"/>
      <c r="BP1592" s="305"/>
      <c r="BQ1592" s="305"/>
      <c r="BR1592" s="305"/>
      <c r="BS1592" s="305"/>
      <c r="BT1592" s="305"/>
      <c r="BU1592" s="305"/>
      <c r="BV1592" s="305"/>
      <c r="BX1592" s="319"/>
    </row>
    <row r="1593" spans="1:76" s="303" customFormat="1" x14ac:dyDescent="0.25">
      <c r="A1593" s="275"/>
      <c r="B1593" s="275"/>
      <c r="C1593" s="275"/>
      <c r="D1593" s="275"/>
      <c r="E1593" s="275"/>
      <c r="F1593" s="275"/>
      <c r="V1593" s="304"/>
      <c r="W1593" s="304"/>
      <c r="AD1593" s="304"/>
      <c r="AE1593" s="304"/>
      <c r="AR1593" s="304"/>
      <c r="AS1593" s="304"/>
      <c r="AT1593" s="304"/>
      <c r="AU1593" s="304"/>
      <c r="AV1593" s="304"/>
      <c r="AW1593" s="304"/>
      <c r="AX1593" s="304"/>
      <c r="AY1593" s="304"/>
      <c r="AZ1593" s="304"/>
      <c r="BA1593" s="304"/>
      <c r="BB1593" s="304"/>
      <c r="BC1593" s="304"/>
      <c r="BK1593" s="305"/>
      <c r="BL1593" s="305"/>
      <c r="BM1593" s="305"/>
      <c r="BN1593" s="305"/>
      <c r="BO1593" s="305"/>
      <c r="BP1593" s="305"/>
      <c r="BQ1593" s="305"/>
      <c r="BR1593" s="305"/>
      <c r="BS1593" s="305"/>
      <c r="BT1593" s="305"/>
      <c r="BU1593" s="305"/>
      <c r="BV1593" s="305"/>
      <c r="BX1593" s="319"/>
    </row>
    <row r="1594" spans="1:76" s="303" customFormat="1" x14ac:dyDescent="0.25">
      <c r="A1594" s="275"/>
      <c r="B1594" s="275"/>
      <c r="C1594" s="275"/>
      <c r="D1594" s="275"/>
      <c r="E1594" s="275"/>
      <c r="F1594" s="275"/>
      <c r="V1594" s="304"/>
      <c r="W1594" s="304"/>
      <c r="AD1594" s="304"/>
      <c r="AE1594" s="304"/>
      <c r="AR1594" s="304"/>
      <c r="AS1594" s="304"/>
      <c r="AT1594" s="304"/>
      <c r="AU1594" s="304"/>
      <c r="AV1594" s="304"/>
      <c r="AW1594" s="304"/>
      <c r="AX1594" s="304"/>
      <c r="AY1594" s="304"/>
      <c r="AZ1594" s="304"/>
      <c r="BA1594" s="304"/>
      <c r="BB1594" s="304"/>
      <c r="BC1594" s="304"/>
      <c r="BK1594" s="305"/>
      <c r="BL1594" s="305"/>
      <c r="BM1594" s="305"/>
      <c r="BN1594" s="305"/>
      <c r="BO1594" s="305"/>
      <c r="BP1594" s="305"/>
      <c r="BQ1594" s="305"/>
      <c r="BR1594" s="305"/>
      <c r="BS1594" s="305"/>
      <c r="BT1594" s="305"/>
      <c r="BU1594" s="305"/>
      <c r="BV1594" s="305"/>
      <c r="BX1594" s="319"/>
    </row>
    <row r="1595" spans="1:76" s="303" customFormat="1" x14ac:dyDescent="0.25">
      <c r="A1595" s="275"/>
      <c r="B1595" s="275"/>
      <c r="C1595" s="275"/>
      <c r="D1595" s="275"/>
      <c r="E1595" s="275"/>
      <c r="F1595" s="275"/>
      <c r="V1595" s="304"/>
      <c r="W1595" s="304"/>
      <c r="AD1595" s="304"/>
      <c r="AE1595" s="304"/>
      <c r="AR1595" s="304"/>
      <c r="AS1595" s="304"/>
      <c r="AT1595" s="304"/>
      <c r="AU1595" s="304"/>
      <c r="AV1595" s="304"/>
      <c r="AW1595" s="304"/>
      <c r="AX1595" s="304"/>
      <c r="AY1595" s="304"/>
      <c r="AZ1595" s="304"/>
      <c r="BA1595" s="304"/>
      <c r="BB1595" s="304"/>
      <c r="BC1595" s="304"/>
      <c r="BK1595" s="305"/>
      <c r="BL1595" s="305"/>
      <c r="BM1595" s="305"/>
      <c r="BN1595" s="305"/>
      <c r="BO1595" s="305"/>
      <c r="BP1595" s="305"/>
      <c r="BQ1595" s="305"/>
      <c r="BR1595" s="305"/>
      <c r="BS1595" s="305"/>
      <c r="BT1595" s="305"/>
      <c r="BU1595" s="305"/>
      <c r="BV1595" s="305"/>
      <c r="BX1595" s="319"/>
    </row>
    <row r="1596" spans="1:76" s="303" customFormat="1" x14ac:dyDescent="0.25">
      <c r="A1596" s="275"/>
      <c r="B1596" s="275"/>
      <c r="C1596" s="275"/>
      <c r="D1596" s="275"/>
      <c r="E1596" s="275"/>
      <c r="F1596" s="275"/>
      <c r="V1596" s="304"/>
      <c r="W1596" s="304"/>
      <c r="AD1596" s="304"/>
      <c r="AE1596" s="304"/>
      <c r="AR1596" s="304"/>
      <c r="AS1596" s="304"/>
      <c r="AT1596" s="304"/>
      <c r="AU1596" s="304"/>
      <c r="AV1596" s="304"/>
      <c r="AW1596" s="304"/>
      <c r="AX1596" s="304"/>
      <c r="AY1596" s="304"/>
      <c r="AZ1596" s="304"/>
      <c r="BA1596" s="304"/>
      <c r="BB1596" s="304"/>
      <c r="BC1596" s="304"/>
      <c r="BK1596" s="305"/>
      <c r="BL1596" s="305"/>
      <c r="BM1596" s="305"/>
      <c r="BN1596" s="305"/>
      <c r="BO1596" s="305"/>
      <c r="BP1596" s="305"/>
      <c r="BQ1596" s="305"/>
      <c r="BR1596" s="305"/>
      <c r="BS1596" s="305"/>
      <c r="BT1596" s="305"/>
      <c r="BU1596" s="305"/>
      <c r="BV1596" s="305"/>
      <c r="BX1596" s="319"/>
    </row>
    <row r="1597" spans="1:76" s="303" customFormat="1" x14ac:dyDescent="0.25">
      <c r="A1597" s="275"/>
      <c r="B1597" s="275"/>
      <c r="C1597" s="275"/>
      <c r="D1597" s="275"/>
      <c r="E1597" s="275"/>
      <c r="F1597" s="275"/>
      <c r="V1597" s="304"/>
      <c r="W1597" s="304"/>
      <c r="AD1597" s="304"/>
      <c r="AE1597" s="304"/>
      <c r="AR1597" s="304"/>
      <c r="AS1597" s="304"/>
      <c r="AT1597" s="304"/>
      <c r="AU1597" s="304"/>
      <c r="AV1597" s="304"/>
      <c r="AW1597" s="304"/>
      <c r="AX1597" s="304"/>
      <c r="AY1597" s="304"/>
      <c r="AZ1597" s="304"/>
      <c r="BA1597" s="304"/>
      <c r="BB1597" s="304"/>
      <c r="BC1597" s="304"/>
      <c r="BK1597" s="305"/>
      <c r="BL1597" s="305"/>
      <c r="BM1597" s="305"/>
      <c r="BN1597" s="305"/>
      <c r="BO1597" s="305"/>
      <c r="BP1597" s="305"/>
      <c r="BQ1597" s="305"/>
      <c r="BR1597" s="305"/>
      <c r="BS1597" s="305"/>
      <c r="BT1597" s="305"/>
      <c r="BU1597" s="305"/>
      <c r="BV1597" s="305"/>
      <c r="BX1597" s="319"/>
    </row>
    <row r="1598" spans="1:76" s="303" customFormat="1" x14ac:dyDescent="0.25">
      <c r="A1598" s="275"/>
      <c r="B1598" s="275"/>
      <c r="C1598" s="275"/>
      <c r="D1598" s="275"/>
      <c r="E1598" s="275"/>
      <c r="F1598" s="275"/>
      <c r="V1598" s="304"/>
      <c r="W1598" s="304"/>
      <c r="AD1598" s="304"/>
      <c r="AE1598" s="304"/>
      <c r="AR1598" s="304"/>
      <c r="AS1598" s="304"/>
      <c r="AT1598" s="304"/>
      <c r="AU1598" s="304"/>
      <c r="AV1598" s="304"/>
      <c r="AW1598" s="304"/>
      <c r="AX1598" s="304"/>
      <c r="AY1598" s="304"/>
      <c r="AZ1598" s="304"/>
      <c r="BA1598" s="304"/>
      <c r="BB1598" s="304"/>
      <c r="BC1598" s="304"/>
      <c r="BK1598" s="305"/>
      <c r="BL1598" s="305"/>
      <c r="BM1598" s="305"/>
      <c r="BN1598" s="305"/>
      <c r="BO1598" s="305"/>
      <c r="BP1598" s="305"/>
      <c r="BQ1598" s="305"/>
      <c r="BR1598" s="305"/>
      <c r="BS1598" s="305"/>
      <c r="BT1598" s="305"/>
      <c r="BU1598" s="305"/>
      <c r="BV1598" s="305"/>
      <c r="BX1598" s="319"/>
    </row>
    <row r="1599" spans="1:76" s="303" customFormat="1" x14ac:dyDescent="0.25">
      <c r="A1599" s="275"/>
      <c r="B1599" s="275"/>
      <c r="C1599" s="275"/>
      <c r="D1599" s="275"/>
      <c r="E1599" s="275"/>
      <c r="F1599" s="275"/>
      <c r="V1599" s="304"/>
      <c r="W1599" s="304"/>
      <c r="AD1599" s="304"/>
      <c r="AE1599" s="304"/>
      <c r="AR1599" s="304"/>
      <c r="AS1599" s="304"/>
      <c r="AT1599" s="304"/>
      <c r="AU1599" s="304"/>
      <c r="AV1599" s="304"/>
      <c r="AW1599" s="304"/>
      <c r="AX1599" s="304"/>
      <c r="AY1599" s="304"/>
      <c r="AZ1599" s="304"/>
      <c r="BA1599" s="304"/>
      <c r="BB1599" s="304"/>
      <c r="BC1599" s="304"/>
      <c r="BK1599" s="305"/>
      <c r="BL1599" s="305"/>
      <c r="BM1599" s="305"/>
      <c r="BN1599" s="305"/>
      <c r="BO1599" s="305"/>
      <c r="BP1599" s="305"/>
      <c r="BQ1599" s="305"/>
      <c r="BR1599" s="305"/>
      <c r="BS1599" s="305"/>
      <c r="BT1599" s="305"/>
      <c r="BU1599" s="305"/>
      <c r="BV1599" s="305"/>
      <c r="BX1599" s="319"/>
    </row>
    <row r="1600" spans="1:76" s="303" customFormat="1" x14ac:dyDescent="0.25">
      <c r="A1600" s="275"/>
      <c r="B1600" s="275"/>
      <c r="C1600" s="275"/>
      <c r="D1600" s="275"/>
      <c r="E1600" s="275"/>
      <c r="F1600" s="275"/>
      <c r="V1600" s="304"/>
      <c r="W1600" s="304"/>
      <c r="AD1600" s="304"/>
      <c r="AE1600" s="304"/>
      <c r="AR1600" s="304"/>
      <c r="AS1600" s="304"/>
      <c r="AT1600" s="304"/>
      <c r="AU1600" s="304"/>
      <c r="AV1600" s="304"/>
      <c r="AW1600" s="304"/>
      <c r="AX1600" s="304"/>
      <c r="AY1600" s="304"/>
      <c r="AZ1600" s="304"/>
      <c r="BA1600" s="304"/>
      <c r="BB1600" s="304"/>
      <c r="BC1600" s="304"/>
      <c r="BK1600" s="305"/>
      <c r="BL1600" s="305"/>
      <c r="BM1600" s="305"/>
      <c r="BN1600" s="305"/>
      <c r="BO1600" s="305"/>
      <c r="BP1600" s="305"/>
      <c r="BQ1600" s="305"/>
      <c r="BR1600" s="305"/>
      <c r="BS1600" s="305"/>
      <c r="BT1600" s="305"/>
      <c r="BU1600" s="305"/>
      <c r="BV1600" s="305"/>
      <c r="BX1600" s="319"/>
    </row>
    <row r="1601" spans="1:76" s="303" customFormat="1" x14ac:dyDescent="0.25">
      <c r="A1601" s="275"/>
      <c r="B1601" s="275"/>
      <c r="C1601" s="275"/>
      <c r="D1601" s="275"/>
      <c r="E1601" s="275"/>
      <c r="F1601" s="275"/>
      <c r="V1601" s="304"/>
      <c r="W1601" s="304"/>
      <c r="AD1601" s="304"/>
      <c r="AE1601" s="304"/>
      <c r="AR1601" s="304"/>
      <c r="AS1601" s="304"/>
      <c r="AT1601" s="304"/>
      <c r="AU1601" s="304"/>
      <c r="AV1601" s="304"/>
      <c r="AW1601" s="304"/>
      <c r="AX1601" s="304"/>
      <c r="AY1601" s="304"/>
      <c r="AZ1601" s="304"/>
      <c r="BA1601" s="304"/>
      <c r="BB1601" s="304"/>
      <c r="BC1601" s="304"/>
      <c r="BK1601" s="305"/>
      <c r="BL1601" s="305"/>
      <c r="BM1601" s="305"/>
      <c r="BN1601" s="305"/>
      <c r="BO1601" s="305"/>
      <c r="BP1601" s="305"/>
      <c r="BQ1601" s="305"/>
      <c r="BR1601" s="305"/>
      <c r="BS1601" s="305"/>
      <c r="BT1601" s="305"/>
      <c r="BU1601" s="305"/>
      <c r="BV1601" s="305"/>
      <c r="BX1601" s="319"/>
    </row>
    <row r="1602" spans="1:76" s="303" customFormat="1" x14ac:dyDescent="0.25">
      <c r="A1602" s="275"/>
      <c r="B1602" s="275"/>
      <c r="C1602" s="275"/>
      <c r="D1602" s="275"/>
      <c r="E1602" s="275"/>
      <c r="F1602" s="275"/>
      <c r="V1602" s="304"/>
      <c r="W1602" s="304"/>
      <c r="AD1602" s="304"/>
      <c r="AE1602" s="304"/>
      <c r="AR1602" s="304"/>
      <c r="AS1602" s="304"/>
      <c r="AT1602" s="304"/>
      <c r="AU1602" s="304"/>
      <c r="AV1602" s="304"/>
      <c r="AW1602" s="304"/>
      <c r="AX1602" s="304"/>
      <c r="AY1602" s="304"/>
      <c r="AZ1602" s="304"/>
      <c r="BA1602" s="304"/>
      <c r="BB1602" s="304"/>
      <c r="BC1602" s="304"/>
      <c r="BK1602" s="305"/>
      <c r="BL1602" s="305"/>
      <c r="BM1602" s="305"/>
      <c r="BN1602" s="305"/>
      <c r="BO1602" s="305"/>
      <c r="BP1602" s="305"/>
      <c r="BQ1602" s="305"/>
      <c r="BR1602" s="305"/>
      <c r="BS1602" s="305"/>
      <c r="BT1602" s="305"/>
      <c r="BU1602" s="305"/>
      <c r="BV1602" s="305"/>
      <c r="BX1602" s="319"/>
    </row>
    <row r="1603" spans="1:76" s="303" customFormat="1" x14ac:dyDescent="0.25">
      <c r="A1603" s="275"/>
      <c r="B1603" s="275"/>
      <c r="C1603" s="275"/>
      <c r="D1603" s="275"/>
      <c r="E1603" s="275"/>
      <c r="F1603" s="275"/>
      <c r="V1603" s="304"/>
      <c r="W1603" s="304"/>
      <c r="AD1603" s="304"/>
      <c r="AE1603" s="304"/>
      <c r="AR1603" s="304"/>
      <c r="AS1603" s="304"/>
      <c r="AT1603" s="304"/>
      <c r="AU1603" s="304"/>
      <c r="AV1603" s="304"/>
      <c r="AW1603" s="304"/>
      <c r="AX1603" s="304"/>
      <c r="AY1603" s="304"/>
      <c r="AZ1603" s="304"/>
      <c r="BA1603" s="304"/>
      <c r="BB1603" s="304"/>
      <c r="BC1603" s="304"/>
      <c r="BK1603" s="305"/>
      <c r="BL1603" s="305"/>
      <c r="BM1603" s="305"/>
      <c r="BN1603" s="305"/>
      <c r="BO1603" s="305"/>
      <c r="BP1603" s="305"/>
      <c r="BQ1603" s="305"/>
      <c r="BR1603" s="305"/>
      <c r="BS1603" s="305"/>
      <c r="BT1603" s="305"/>
      <c r="BU1603" s="305"/>
      <c r="BV1603" s="305"/>
      <c r="BX1603" s="319"/>
    </row>
    <row r="1604" spans="1:76" s="303" customFormat="1" x14ac:dyDescent="0.25">
      <c r="A1604" s="275"/>
      <c r="B1604" s="275"/>
      <c r="C1604" s="275"/>
      <c r="D1604" s="275"/>
      <c r="E1604" s="275"/>
      <c r="F1604" s="275"/>
      <c r="V1604" s="304"/>
      <c r="W1604" s="304"/>
      <c r="AD1604" s="304"/>
      <c r="AE1604" s="304"/>
      <c r="AR1604" s="304"/>
      <c r="AS1604" s="304"/>
      <c r="AT1604" s="304"/>
      <c r="AU1604" s="304"/>
      <c r="AV1604" s="304"/>
      <c r="AW1604" s="304"/>
      <c r="AX1604" s="304"/>
      <c r="AY1604" s="304"/>
      <c r="AZ1604" s="304"/>
      <c r="BA1604" s="304"/>
      <c r="BB1604" s="304"/>
      <c r="BC1604" s="304"/>
      <c r="BK1604" s="305"/>
      <c r="BL1604" s="305"/>
      <c r="BM1604" s="305"/>
      <c r="BN1604" s="305"/>
      <c r="BO1604" s="305"/>
      <c r="BP1604" s="305"/>
      <c r="BQ1604" s="305"/>
      <c r="BR1604" s="305"/>
      <c r="BS1604" s="305"/>
      <c r="BT1604" s="305"/>
      <c r="BU1604" s="305"/>
      <c r="BV1604" s="305"/>
      <c r="BX1604" s="319"/>
    </row>
    <row r="1605" spans="1:76" s="303" customFormat="1" x14ac:dyDescent="0.25">
      <c r="A1605" s="275"/>
      <c r="B1605" s="275"/>
      <c r="C1605" s="275"/>
      <c r="D1605" s="275"/>
      <c r="E1605" s="275"/>
      <c r="F1605" s="275"/>
      <c r="V1605" s="304"/>
      <c r="W1605" s="304"/>
      <c r="AD1605" s="304"/>
      <c r="AE1605" s="304"/>
      <c r="AR1605" s="304"/>
      <c r="AS1605" s="304"/>
      <c r="AT1605" s="304"/>
      <c r="AU1605" s="304"/>
      <c r="AV1605" s="304"/>
      <c r="AW1605" s="304"/>
      <c r="AX1605" s="304"/>
      <c r="AY1605" s="304"/>
      <c r="AZ1605" s="304"/>
      <c r="BA1605" s="304"/>
      <c r="BB1605" s="304"/>
      <c r="BC1605" s="304"/>
      <c r="BK1605" s="305"/>
      <c r="BL1605" s="305"/>
      <c r="BM1605" s="305"/>
      <c r="BN1605" s="305"/>
      <c r="BO1605" s="305"/>
      <c r="BP1605" s="305"/>
      <c r="BQ1605" s="305"/>
      <c r="BR1605" s="305"/>
      <c r="BS1605" s="305"/>
      <c r="BT1605" s="305"/>
      <c r="BU1605" s="305"/>
      <c r="BV1605" s="305"/>
      <c r="BX1605" s="319"/>
    </row>
    <row r="1606" spans="1:76" s="303" customFormat="1" x14ac:dyDescent="0.25">
      <c r="A1606" s="275"/>
      <c r="B1606" s="275"/>
      <c r="C1606" s="275"/>
      <c r="D1606" s="275"/>
      <c r="E1606" s="275"/>
      <c r="F1606" s="275"/>
      <c r="V1606" s="304"/>
      <c r="W1606" s="304"/>
      <c r="AD1606" s="304"/>
      <c r="AE1606" s="304"/>
      <c r="AR1606" s="304"/>
      <c r="AS1606" s="304"/>
      <c r="AT1606" s="304"/>
      <c r="AU1606" s="304"/>
      <c r="AV1606" s="304"/>
      <c r="AW1606" s="304"/>
      <c r="AX1606" s="304"/>
      <c r="AY1606" s="304"/>
      <c r="AZ1606" s="304"/>
      <c r="BA1606" s="304"/>
      <c r="BB1606" s="304"/>
      <c r="BC1606" s="304"/>
      <c r="BK1606" s="305"/>
      <c r="BL1606" s="305"/>
      <c r="BM1606" s="305"/>
      <c r="BN1606" s="305"/>
      <c r="BO1606" s="305"/>
      <c r="BP1606" s="305"/>
      <c r="BQ1606" s="305"/>
      <c r="BR1606" s="305"/>
      <c r="BS1606" s="305"/>
      <c r="BT1606" s="305"/>
      <c r="BU1606" s="305"/>
      <c r="BV1606" s="305"/>
      <c r="BX1606" s="319"/>
    </row>
    <row r="1607" spans="1:76" s="303" customFormat="1" x14ac:dyDescent="0.25">
      <c r="A1607" s="275"/>
      <c r="B1607" s="275"/>
      <c r="C1607" s="275"/>
      <c r="D1607" s="275"/>
      <c r="E1607" s="275"/>
      <c r="F1607" s="275"/>
      <c r="V1607" s="304"/>
      <c r="W1607" s="304"/>
      <c r="AD1607" s="304"/>
      <c r="AE1607" s="304"/>
      <c r="AR1607" s="304"/>
      <c r="AS1607" s="304"/>
      <c r="AT1607" s="304"/>
      <c r="AU1607" s="304"/>
      <c r="AV1607" s="304"/>
      <c r="AW1607" s="304"/>
      <c r="AX1607" s="304"/>
      <c r="AY1607" s="304"/>
      <c r="AZ1607" s="304"/>
      <c r="BA1607" s="304"/>
      <c r="BB1607" s="304"/>
      <c r="BC1607" s="304"/>
      <c r="BK1607" s="305"/>
      <c r="BL1607" s="305"/>
      <c r="BM1607" s="305"/>
      <c r="BN1607" s="305"/>
      <c r="BO1607" s="305"/>
      <c r="BP1607" s="305"/>
      <c r="BQ1607" s="305"/>
      <c r="BR1607" s="305"/>
      <c r="BS1607" s="305"/>
      <c r="BT1607" s="305"/>
      <c r="BU1607" s="305"/>
      <c r="BV1607" s="305"/>
      <c r="BX1607" s="319"/>
    </row>
    <row r="1608" spans="1:76" s="303" customFormat="1" x14ac:dyDescent="0.25">
      <c r="A1608" s="275"/>
      <c r="B1608" s="275"/>
      <c r="C1608" s="275"/>
      <c r="D1608" s="275"/>
      <c r="E1608" s="275"/>
      <c r="F1608" s="275"/>
      <c r="V1608" s="304"/>
      <c r="W1608" s="304"/>
      <c r="AD1608" s="304"/>
      <c r="AE1608" s="304"/>
      <c r="AR1608" s="304"/>
      <c r="AS1608" s="304"/>
      <c r="AT1608" s="304"/>
      <c r="AU1608" s="304"/>
      <c r="AV1608" s="304"/>
      <c r="AW1608" s="304"/>
      <c r="AX1608" s="304"/>
      <c r="AY1608" s="304"/>
      <c r="AZ1608" s="304"/>
      <c r="BA1608" s="304"/>
      <c r="BB1608" s="304"/>
      <c r="BC1608" s="304"/>
      <c r="BK1608" s="305"/>
      <c r="BL1608" s="305"/>
      <c r="BM1608" s="305"/>
      <c r="BN1608" s="305"/>
      <c r="BO1608" s="305"/>
      <c r="BP1608" s="305"/>
      <c r="BQ1608" s="305"/>
      <c r="BR1608" s="305"/>
      <c r="BS1608" s="305"/>
      <c r="BT1608" s="305"/>
      <c r="BU1608" s="305"/>
      <c r="BV1608" s="305"/>
      <c r="BX1608" s="319"/>
    </row>
    <row r="1609" spans="1:76" s="303" customFormat="1" x14ac:dyDescent="0.25">
      <c r="A1609" s="275"/>
      <c r="B1609" s="275"/>
      <c r="C1609" s="275"/>
      <c r="D1609" s="275"/>
      <c r="E1609" s="275"/>
      <c r="F1609" s="275"/>
      <c r="V1609" s="304"/>
      <c r="W1609" s="304"/>
      <c r="AD1609" s="304"/>
      <c r="AE1609" s="304"/>
      <c r="AR1609" s="304"/>
      <c r="AS1609" s="304"/>
      <c r="AT1609" s="304"/>
      <c r="AU1609" s="304"/>
      <c r="AV1609" s="304"/>
      <c r="AW1609" s="304"/>
      <c r="AX1609" s="304"/>
      <c r="AY1609" s="304"/>
      <c r="AZ1609" s="304"/>
      <c r="BA1609" s="304"/>
      <c r="BB1609" s="304"/>
      <c r="BC1609" s="304"/>
      <c r="BK1609" s="305"/>
      <c r="BL1609" s="305"/>
      <c r="BM1609" s="305"/>
      <c r="BN1609" s="305"/>
      <c r="BO1609" s="305"/>
      <c r="BP1609" s="305"/>
      <c r="BQ1609" s="305"/>
      <c r="BR1609" s="305"/>
      <c r="BS1609" s="305"/>
      <c r="BT1609" s="305"/>
      <c r="BU1609" s="305"/>
      <c r="BV1609" s="305"/>
      <c r="BX1609" s="319"/>
    </row>
    <row r="1610" spans="1:76" s="303" customFormat="1" x14ac:dyDescent="0.25">
      <c r="A1610" s="275"/>
      <c r="B1610" s="275"/>
      <c r="C1610" s="275"/>
      <c r="D1610" s="275"/>
      <c r="E1610" s="275"/>
      <c r="F1610" s="275"/>
      <c r="V1610" s="304"/>
      <c r="W1610" s="304"/>
      <c r="AD1610" s="304"/>
      <c r="AE1610" s="304"/>
      <c r="AR1610" s="304"/>
      <c r="AS1610" s="304"/>
      <c r="AT1610" s="304"/>
      <c r="AU1610" s="304"/>
      <c r="AV1610" s="304"/>
      <c r="AW1610" s="304"/>
      <c r="AX1610" s="304"/>
      <c r="AY1610" s="304"/>
      <c r="AZ1610" s="304"/>
      <c r="BA1610" s="304"/>
      <c r="BB1610" s="304"/>
      <c r="BC1610" s="304"/>
      <c r="BK1610" s="305"/>
      <c r="BL1610" s="305"/>
      <c r="BM1610" s="305"/>
      <c r="BN1610" s="305"/>
      <c r="BO1610" s="305"/>
      <c r="BP1610" s="305"/>
      <c r="BQ1610" s="305"/>
      <c r="BR1610" s="305"/>
      <c r="BS1610" s="305"/>
      <c r="BT1610" s="305"/>
      <c r="BU1610" s="305"/>
      <c r="BV1610" s="305"/>
      <c r="BX1610" s="319"/>
    </row>
    <row r="1611" spans="1:76" s="303" customFormat="1" x14ac:dyDescent="0.25">
      <c r="A1611" s="275"/>
      <c r="B1611" s="275"/>
      <c r="C1611" s="275"/>
      <c r="D1611" s="275"/>
      <c r="E1611" s="275"/>
      <c r="F1611" s="275"/>
      <c r="V1611" s="304"/>
      <c r="W1611" s="304"/>
      <c r="AD1611" s="304"/>
      <c r="AE1611" s="304"/>
      <c r="AR1611" s="304"/>
      <c r="AS1611" s="304"/>
      <c r="AT1611" s="304"/>
      <c r="AU1611" s="304"/>
      <c r="AV1611" s="304"/>
      <c r="AW1611" s="304"/>
      <c r="AX1611" s="304"/>
      <c r="AY1611" s="304"/>
      <c r="AZ1611" s="304"/>
      <c r="BA1611" s="304"/>
      <c r="BB1611" s="304"/>
      <c r="BC1611" s="304"/>
      <c r="BK1611" s="305"/>
      <c r="BL1611" s="305"/>
      <c r="BM1611" s="305"/>
      <c r="BN1611" s="305"/>
      <c r="BO1611" s="305"/>
      <c r="BP1611" s="305"/>
      <c r="BQ1611" s="305"/>
      <c r="BR1611" s="305"/>
      <c r="BS1611" s="305"/>
      <c r="BT1611" s="305"/>
      <c r="BU1611" s="305"/>
      <c r="BV1611" s="305"/>
      <c r="BX1611" s="319"/>
    </row>
    <row r="1612" spans="1:76" s="303" customFormat="1" x14ac:dyDescent="0.25">
      <c r="A1612" s="275"/>
      <c r="B1612" s="275"/>
      <c r="C1612" s="275"/>
      <c r="D1612" s="275"/>
      <c r="E1612" s="275"/>
      <c r="F1612" s="275"/>
      <c r="V1612" s="304"/>
      <c r="W1612" s="304"/>
      <c r="AD1612" s="304"/>
      <c r="AE1612" s="304"/>
      <c r="AR1612" s="304"/>
      <c r="AS1612" s="304"/>
      <c r="AT1612" s="304"/>
      <c r="AU1612" s="304"/>
      <c r="AV1612" s="304"/>
      <c r="AW1612" s="304"/>
      <c r="AX1612" s="304"/>
      <c r="AY1612" s="304"/>
      <c r="AZ1612" s="304"/>
      <c r="BA1612" s="304"/>
      <c r="BB1612" s="304"/>
      <c r="BC1612" s="304"/>
      <c r="BK1612" s="305"/>
      <c r="BL1612" s="305"/>
      <c r="BM1612" s="305"/>
      <c r="BN1612" s="305"/>
      <c r="BO1612" s="305"/>
      <c r="BP1612" s="305"/>
      <c r="BQ1612" s="305"/>
      <c r="BR1612" s="305"/>
      <c r="BS1612" s="305"/>
      <c r="BT1612" s="305"/>
      <c r="BU1612" s="305"/>
      <c r="BV1612" s="305"/>
      <c r="BX1612" s="319"/>
    </row>
    <row r="1613" spans="1:76" s="303" customFormat="1" x14ac:dyDescent="0.25">
      <c r="A1613" s="275"/>
      <c r="B1613" s="275"/>
      <c r="C1613" s="275"/>
      <c r="D1613" s="275"/>
      <c r="E1613" s="275"/>
      <c r="F1613" s="275"/>
      <c r="V1613" s="304"/>
      <c r="W1613" s="304"/>
      <c r="AD1613" s="304"/>
      <c r="AE1613" s="304"/>
      <c r="AR1613" s="304"/>
      <c r="AS1613" s="304"/>
      <c r="AT1613" s="304"/>
      <c r="AU1613" s="304"/>
      <c r="AV1613" s="304"/>
      <c r="AW1613" s="304"/>
      <c r="AX1613" s="304"/>
      <c r="AY1613" s="304"/>
      <c r="AZ1613" s="304"/>
      <c r="BA1613" s="304"/>
      <c r="BB1613" s="304"/>
      <c r="BC1613" s="304"/>
      <c r="BK1613" s="305"/>
      <c r="BL1613" s="305"/>
      <c r="BM1613" s="305"/>
      <c r="BN1613" s="305"/>
      <c r="BO1613" s="305"/>
      <c r="BP1613" s="305"/>
      <c r="BQ1613" s="305"/>
      <c r="BR1613" s="305"/>
      <c r="BS1613" s="305"/>
      <c r="BT1613" s="305"/>
      <c r="BU1613" s="305"/>
      <c r="BV1613" s="305"/>
      <c r="BX1613" s="319"/>
    </row>
    <row r="1614" spans="1:76" s="303" customFormat="1" x14ac:dyDescent="0.25">
      <c r="A1614" s="275"/>
      <c r="B1614" s="275"/>
      <c r="C1614" s="275"/>
      <c r="D1614" s="275"/>
      <c r="E1614" s="275"/>
      <c r="F1614" s="275"/>
      <c r="V1614" s="304"/>
      <c r="W1614" s="304"/>
      <c r="AD1614" s="304"/>
      <c r="AE1614" s="304"/>
      <c r="AR1614" s="304"/>
      <c r="AS1614" s="304"/>
      <c r="AT1614" s="304"/>
      <c r="AU1614" s="304"/>
      <c r="AV1614" s="304"/>
      <c r="AW1614" s="304"/>
      <c r="AX1614" s="304"/>
      <c r="AY1614" s="304"/>
      <c r="AZ1614" s="304"/>
      <c r="BA1614" s="304"/>
      <c r="BB1614" s="304"/>
      <c r="BC1614" s="304"/>
      <c r="BK1614" s="305"/>
      <c r="BL1614" s="305"/>
      <c r="BM1614" s="305"/>
      <c r="BN1614" s="305"/>
      <c r="BO1614" s="305"/>
      <c r="BP1614" s="305"/>
      <c r="BQ1614" s="305"/>
      <c r="BR1614" s="305"/>
      <c r="BS1614" s="305"/>
      <c r="BT1614" s="305"/>
      <c r="BU1614" s="305"/>
      <c r="BV1614" s="305"/>
      <c r="BX1614" s="319"/>
    </row>
    <row r="1615" spans="1:76" s="303" customFormat="1" x14ac:dyDescent="0.25">
      <c r="A1615" s="275"/>
      <c r="B1615" s="275"/>
      <c r="C1615" s="275"/>
      <c r="D1615" s="275"/>
      <c r="E1615" s="275"/>
      <c r="F1615" s="275"/>
      <c r="V1615" s="304"/>
      <c r="W1615" s="304"/>
      <c r="AD1615" s="304"/>
      <c r="AE1615" s="304"/>
      <c r="AR1615" s="304"/>
      <c r="AS1615" s="304"/>
      <c r="AT1615" s="304"/>
      <c r="AU1615" s="304"/>
      <c r="AV1615" s="304"/>
      <c r="AW1615" s="304"/>
      <c r="AX1615" s="304"/>
      <c r="AY1615" s="304"/>
      <c r="AZ1615" s="304"/>
      <c r="BA1615" s="304"/>
      <c r="BB1615" s="304"/>
      <c r="BC1615" s="304"/>
      <c r="BK1615" s="305"/>
      <c r="BL1615" s="305"/>
      <c r="BM1615" s="305"/>
      <c r="BN1615" s="305"/>
      <c r="BO1615" s="305"/>
      <c r="BP1615" s="305"/>
      <c r="BQ1615" s="305"/>
      <c r="BR1615" s="305"/>
      <c r="BS1615" s="305"/>
      <c r="BT1615" s="305"/>
      <c r="BU1615" s="305"/>
      <c r="BV1615" s="305"/>
      <c r="BX1615" s="319"/>
    </row>
    <row r="1616" spans="1:76" s="303" customFormat="1" x14ac:dyDescent="0.25">
      <c r="A1616" s="275"/>
      <c r="B1616" s="275"/>
      <c r="C1616" s="275"/>
      <c r="D1616" s="275"/>
      <c r="E1616" s="275"/>
      <c r="F1616" s="275"/>
      <c r="V1616" s="304"/>
      <c r="W1616" s="304"/>
      <c r="AD1616" s="304"/>
      <c r="AE1616" s="304"/>
      <c r="AR1616" s="304"/>
      <c r="AS1616" s="304"/>
      <c r="AT1616" s="304"/>
      <c r="AU1616" s="304"/>
      <c r="AV1616" s="304"/>
      <c r="AW1616" s="304"/>
      <c r="AX1616" s="304"/>
      <c r="AY1616" s="304"/>
      <c r="AZ1616" s="304"/>
      <c r="BA1616" s="304"/>
      <c r="BB1616" s="304"/>
      <c r="BC1616" s="304"/>
      <c r="BK1616" s="305"/>
      <c r="BL1616" s="305"/>
      <c r="BM1616" s="305"/>
      <c r="BN1616" s="305"/>
      <c r="BO1616" s="305"/>
      <c r="BP1616" s="305"/>
      <c r="BQ1616" s="305"/>
      <c r="BR1616" s="305"/>
      <c r="BS1616" s="305"/>
      <c r="BT1616" s="305"/>
      <c r="BU1616" s="305"/>
      <c r="BV1616" s="305"/>
      <c r="BX1616" s="319"/>
    </row>
    <row r="1617" spans="1:76" s="303" customFormat="1" x14ac:dyDescent="0.25">
      <c r="A1617" s="275"/>
      <c r="B1617" s="275"/>
      <c r="C1617" s="275"/>
      <c r="D1617" s="275"/>
      <c r="E1617" s="275"/>
      <c r="F1617" s="275"/>
      <c r="V1617" s="304"/>
      <c r="W1617" s="304"/>
      <c r="AD1617" s="304"/>
      <c r="AE1617" s="304"/>
      <c r="AR1617" s="304"/>
      <c r="AS1617" s="304"/>
      <c r="AT1617" s="304"/>
      <c r="AU1617" s="304"/>
      <c r="AV1617" s="304"/>
      <c r="AW1617" s="304"/>
      <c r="AX1617" s="304"/>
      <c r="AY1617" s="304"/>
      <c r="AZ1617" s="304"/>
      <c r="BA1617" s="304"/>
      <c r="BB1617" s="304"/>
      <c r="BC1617" s="304"/>
      <c r="BK1617" s="305"/>
      <c r="BL1617" s="305"/>
      <c r="BM1617" s="305"/>
      <c r="BN1617" s="305"/>
      <c r="BO1617" s="305"/>
      <c r="BP1617" s="305"/>
      <c r="BQ1617" s="305"/>
      <c r="BR1617" s="305"/>
      <c r="BS1617" s="305"/>
      <c r="BT1617" s="305"/>
      <c r="BU1617" s="305"/>
      <c r="BV1617" s="305"/>
      <c r="BX1617" s="319"/>
    </row>
    <row r="1618" spans="1:76" s="303" customFormat="1" x14ac:dyDescent="0.25">
      <c r="A1618" s="275"/>
      <c r="B1618" s="275"/>
      <c r="C1618" s="275"/>
      <c r="D1618" s="275"/>
      <c r="E1618" s="275"/>
      <c r="F1618" s="275"/>
      <c r="V1618" s="304"/>
      <c r="W1618" s="304"/>
      <c r="AD1618" s="304"/>
      <c r="AE1618" s="304"/>
      <c r="AR1618" s="304"/>
      <c r="AS1618" s="304"/>
      <c r="AT1618" s="304"/>
      <c r="AU1618" s="304"/>
      <c r="AV1618" s="304"/>
      <c r="AW1618" s="304"/>
      <c r="AX1618" s="304"/>
      <c r="AY1618" s="304"/>
      <c r="AZ1618" s="304"/>
      <c r="BA1618" s="304"/>
      <c r="BB1618" s="304"/>
      <c r="BC1618" s="304"/>
      <c r="BK1618" s="305"/>
      <c r="BL1618" s="305"/>
      <c r="BM1618" s="305"/>
      <c r="BN1618" s="305"/>
      <c r="BO1618" s="305"/>
      <c r="BP1618" s="305"/>
      <c r="BQ1618" s="305"/>
      <c r="BR1618" s="305"/>
      <c r="BS1618" s="305"/>
      <c r="BT1618" s="305"/>
      <c r="BU1618" s="305"/>
      <c r="BV1618" s="305"/>
      <c r="BX1618" s="319"/>
    </row>
    <row r="1619" spans="1:76" s="303" customFormat="1" x14ac:dyDescent="0.25">
      <c r="A1619" s="275"/>
      <c r="B1619" s="275"/>
      <c r="C1619" s="275"/>
      <c r="D1619" s="275"/>
      <c r="E1619" s="275"/>
      <c r="F1619" s="275"/>
      <c r="V1619" s="304"/>
      <c r="W1619" s="304"/>
      <c r="AD1619" s="304"/>
      <c r="AE1619" s="304"/>
      <c r="AR1619" s="304"/>
      <c r="AS1619" s="304"/>
      <c r="AT1619" s="304"/>
      <c r="AU1619" s="304"/>
      <c r="AV1619" s="304"/>
      <c r="AW1619" s="304"/>
      <c r="AX1619" s="304"/>
      <c r="AY1619" s="304"/>
      <c r="AZ1619" s="304"/>
      <c r="BA1619" s="304"/>
      <c r="BB1619" s="304"/>
      <c r="BC1619" s="304"/>
      <c r="BK1619" s="305"/>
      <c r="BL1619" s="305"/>
      <c r="BM1619" s="305"/>
      <c r="BN1619" s="305"/>
      <c r="BO1619" s="305"/>
      <c r="BP1619" s="305"/>
      <c r="BQ1619" s="305"/>
      <c r="BR1619" s="305"/>
      <c r="BS1619" s="305"/>
      <c r="BT1619" s="305"/>
      <c r="BU1619" s="305"/>
      <c r="BV1619" s="305"/>
      <c r="BX1619" s="319"/>
    </row>
    <row r="1620" spans="1:76" s="303" customFormat="1" x14ac:dyDescent="0.25">
      <c r="A1620" s="275"/>
      <c r="B1620" s="275"/>
      <c r="C1620" s="275"/>
      <c r="D1620" s="275"/>
      <c r="E1620" s="275"/>
      <c r="F1620" s="275"/>
      <c r="V1620" s="304"/>
      <c r="W1620" s="304"/>
      <c r="AD1620" s="304"/>
      <c r="AE1620" s="304"/>
      <c r="AR1620" s="304"/>
      <c r="AS1620" s="304"/>
      <c r="AT1620" s="304"/>
      <c r="AU1620" s="304"/>
      <c r="AV1620" s="304"/>
      <c r="AW1620" s="304"/>
      <c r="AX1620" s="304"/>
      <c r="AY1620" s="304"/>
      <c r="AZ1620" s="304"/>
      <c r="BA1620" s="304"/>
      <c r="BB1620" s="304"/>
      <c r="BC1620" s="304"/>
      <c r="BK1620" s="305"/>
      <c r="BL1620" s="305"/>
      <c r="BM1620" s="305"/>
      <c r="BN1620" s="305"/>
      <c r="BO1620" s="305"/>
      <c r="BP1620" s="305"/>
      <c r="BQ1620" s="305"/>
      <c r="BR1620" s="305"/>
      <c r="BS1620" s="305"/>
      <c r="BT1620" s="305"/>
      <c r="BU1620" s="305"/>
      <c r="BV1620" s="305"/>
      <c r="BX1620" s="319"/>
    </row>
    <row r="1621" spans="1:76" s="303" customFormat="1" x14ac:dyDescent="0.25">
      <c r="A1621" s="275"/>
      <c r="B1621" s="275"/>
      <c r="C1621" s="275"/>
      <c r="D1621" s="275"/>
      <c r="E1621" s="275"/>
      <c r="F1621" s="275"/>
      <c r="V1621" s="304"/>
      <c r="W1621" s="304"/>
      <c r="AD1621" s="304"/>
      <c r="AE1621" s="304"/>
      <c r="AR1621" s="304"/>
      <c r="AS1621" s="304"/>
      <c r="AT1621" s="304"/>
      <c r="AU1621" s="304"/>
      <c r="AV1621" s="304"/>
      <c r="AW1621" s="304"/>
      <c r="AX1621" s="304"/>
      <c r="AY1621" s="304"/>
      <c r="AZ1621" s="304"/>
      <c r="BA1621" s="304"/>
      <c r="BB1621" s="304"/>
      <c r="BC1621" s="304"/>
      <c r="BK1621" s="305"/>
      <c r="BL1621" s="305"/>
      <c r="BM1621" s="305"/>
      <c r="BN1621" s="305"/>
      <c r="BO1621" s="305"/>
      <c r="BP1621" s="305"/>
      <c r="BQ1621" s="305"/>
      <c r="BR1621" s="305"/>
      <c r="BS1621" s="305"/>
      <c r="BT1621" s="305"/>
      <c r="BU1621" s="305"/>
      <c r="BV1621" s="305"/>
      <c r="BX1621" s="319"/>
    </row>
    <row r="1622" spans="1:76" s="303" customFormat="1" x14ac:dyDescent="0.25">
      <c r="A1622" s="275"/>
      <c r="B1622" s="275"/>
      <c r="C1622" s="275"/>
      <c r="D1622" s="275"/>
      <c r="E1622" s="275"/>
      <c r="F1622" s="275"/>
      <c r="V1622" s="304"/>
      <c r="W1622" s="304"/>
      <c r="AD1622" s="304"/>
      <c r="AE1622" s="304"/>
      <c r="AR1622" s="304"/>
      <c r="AS1622" s="304"/>
      <c r="AT1622" s="304"/>
      <c r="AU1622" s="304"/>
      <c r="AV1622" s="304"/>
      <c r="AW1622" s="304"/>
      <c r="AX1622" s="304"/>
      <c r="AY1622" s="304"/>
      <c r="AZ1622" s="304"/>
      <c r="BA1622" s="304"/>
      <c r="BB1622" s="304"/>
      <c r="BC1622" s="304"/>
      <c r="BK1622" s="305"/>
      <c r="BL1622" s="305"/>
      <c r="BM1622" s="305"/>
      <c r="BN1622" s="305"/>
      <c r="BO1622" s="305"/>
      <c r="BP1622" s="305"/>
      <c r="BQ1622" s="305"/>
      <c r="BR1622" s="305"/>
      <c r="BS1622" s="305"/>
      <c r="BT1622" s="305"/>
      <c r="BU1622" s="305"/>
      <c r="BV1622" s="305"/>
      <c r="BX1622" s="319"/>
    </row>
    <row r="1623" spans="1:76" s="303" customFormat="1" x14ac:dyDescent="0.25">
      <c r="A1623" s="275"/>
      <c r="B1623" s="275"/>
      <c r="C1623" s="275"/>
      <c r="D1623" s="275"/>
      <c r="E1623" s="275"/>
      <c r="F1623" s="275"/>
      <c r="V1623" s="304"/>
      <c r="W1623" s="304"/>
      <c r="AD1623" s="304"/>
      <c r="AE1623" s="304"/>
      <c r="AR1623" s="304"/>
      <c r="AS1623" s="304"/>
      <c r="AT1623" s="304"/>
      <c r="AU1623" s="304"/>
      <c r="AV1623" s="304"/>
      <c r="AW1623" s="304"/>
      <c r="AX1623" s="304"/>
      <c r="AY1623" s="304"/>
      <c r="AZ1623" s="304"/>
      <c r="BA1623" s="304"/>
      <c r="BB1623" s="304"/>
      <c r="BC1623" s="304"/>
      <c r="BK1623" s="305"/>
      <c r="BL1623" s="305"/>
      <c r="BM1623" s="305"/>
      <c r="BN1623" s="305"/>
      <c r="BO1623" s="305"/>
      <c r="BP1623" s="305"/>
      <c r="BQ1623" s="305"/>
      <c r="BR1623" s="305"/>
      <c r="BS1623" s="305"/>
      <c r="BT1623" s="305"/>
      <c r="BU1623" s="305"/>
      <c r="BV1623" s="305"/>
      <c r="BX1623" s="319"/>
    </row>
    <row r="1624" spans="1:76" s="303" customFormat="1" x14ac:dyDescent="0.25">
      <c r="A1624" s="275"/>
      <c r="B1624" s="275"/>
      <c r="C1624" s="275"/>
      <c r="D1624" s="275"/>
      <c r="E1624" s="275"/>
      <c r="F1624" s="275"/>
      <c r="V1624" s="304"/>
      <c r="W1624" s="304"/>
      <c r="AD1624" s="304"/>
      <c r="AE1624" s="304"/>
      <c r="AR1624" s="304"/>
      <c r="AS1624" s="304"/>
      <c r="AT1624" s="304"/>
      <c r="AU1624" s="304"/>
      <c r="AV1624" s="304"/>
      <c r="AW1624" s="304"/>
      <c r="AX1624" s="304"/>
      <c r="AY1624" s="304"/>
      <c r="AZ1624" s="304"/>
      <c r="BA1624" s="304"/>
      <c r="BB1624" s="304"/>
      <c r="BC1624" s="304"/>
      <c r="BK1624" s="305"/>
      <c r="BL1624" s="305"/>
      <c r="BM1624" s="305"/>
      <c r="BN1624" s="305"/>
      <c r="BO1624" s="305"/>
      <c r="BP1624" s="305"/>
      <c r="BQ1624" s="305"/>
      <c r="BR1624" s="305"/>
      <c r="BS1624" s="305"/>
      <c r="BT1624" s="305"/>
      <c r="BU1624" s="305"/>
      <c r="BV1624" s="305"/>
      <c r="BX1624" s="319"/>
    </row>
    <row r="1625" spans="1:76" s="303" customFormat="1" x14ac:dyDescent="0.25">
      <c r="A1625" s="275"/>
      <c r="B1625" s="275"/>
      <c r="C1625" s="275"/>
      <c r="D1625" s="275"/>
      <c r="E1625" s="275"/>
      <c r="F1625" s="275"/>
      <c r="V1625" s="304"/>
      <c r="W1625" s="304"/>
      <c r="AD1625" s="304"/>
      <c r="AE1625" s="304"/>
      <c r="AR1625" s="304"/>
      <c r="AS1625" s="304"/>
      <c r="AT1625" s="304"/>
      <c r="AU1625" s="304"/>
      <c r="AV1625" s="304"/>
      <c r="AW1625" s="304"/>
      <c r="AX1625" s="304"/>
      <c r="AY1625" s="304"/>
      <c r="AZ1625" s="304"/>
      <c r="BA1625" s="304"/>
      <c r="BB1625" s="304"/>
      <c r="BC1625" s="304"/>
      <c r="BK1625" s="305"/>
      <c r="BL1625" s="305"/>
      <c r="BM1625" s="305"/>
      <c r="BN1625" s="305"/>
      <c r="BO1625" s="305"/>
      <c r="BP1625" s="305"/>
      <c r="BQ1625" s="305"/>
      <c r="BR1625" s="305"/>
      <c r="BS1625" s="305"/>
      <c r="BT1625" s="305"/>
      <c r="BU1625" s="305"/>
      <c r="BV1625" s="305"/>
      <c r="BX1625" s="319"/>
    </row>
    <row r="1626" spans="1:76" s="303" customFormat="1" x14ac:dyDescent="0.25">
      <c r="A1626" s="275"/>
      <c r="B1626" s="275"/>
      <c r="C1626" s="275"/>
      <c r="D1626" s="275"/>
      <c r="E1626" s="275"/>
      <c r="F1626" s="275"/>
      <c r="V1626" s="304"/>
      <c r="W1626" s="304"/>
      <c r="AD1626" s="304"/>
      <c r="AE1626" s="304"/>
      <c r="AR1626" s="304"/>
      <c r="AS1626" s="304"/>
      <c r="AT1626" s="304"/>
      <c r="AU1626" s="304"/>
      <c r="AV1626" s="304"/>
      <c r="AW1626" s="304"/>
      <c r="AX1626" s="304"/>
      <c r="AY1626" s="304"/>
      <c r="AZ1626" s="304"/>
      <c r="BA1626" s="304"/>
      <c r="BB1626" s="304"/>
      <c r="BC1626" s="304"/>
      <c r="BK1626" s="305"/>
      <c r="BL1626" s="305"/>
      <c r="BM1626" s="305"/>
      <c r="BN1626" s="305"/>
      <c r="BO1626" s="305"/>
      <c r="BP1626" s="305"/>
      <c r="BQ1626" s="305"/>
      <c r="BR1626" s="305"/>
      <c r="BS1626" s="305"/>
      <c r="BT1626" s="305"/>
      <c r="BU1626" s="305"/>
      <c r="BV1626" s="305"/>
      <c r="BX1626" s="319"/>
    </row>
    <row r="1627" spans="1:76" s="303" customFormat="1" x14ac:dyDescent="0.25">
      <c r="A1627" s="275"/>
      <c r="B1627" s="275"/>
      <c r="C1627" s="275"/>
      <c r="D1627" s="275"/>
      <c r="E1627" s="275"/>
      <c r="F1627" s="275"/>
      <c r="V1627" s="304"/>
      <c r="W1627" s="304"/>
      <c r="AD1627" s="304"/>
      <c r="AE1627" s="304"/>
      <c r="AR1627" s="304"/>
      <c r="AS1627" s="304"/>
      <c r="AT1627" s="304"/>
      <c r="AU1627" s="304"/>
      <c r="AV1627" s="304"/>
      <c r="AW1627" s="304"/>
      <c r="AX1627" s="304"/>
      <c r="AY1627" s="304"/>
      <c r="AZ1627" s="304"/>
      <c r="BA1627" s="304"/>
      <c r="BB1627" s="304"/>
      <c r="BC1627" s="304"/>
      <c r="BK1627" s="305"/>
      <c r="BL1627" s="305"/>
      <c r="BM1627" s="305"/>
      <c r="BN1627" s="305"/>
      <c r="BO1627" s="305"/>
      <c r="BP1627" s="305"/>
      <c r="BQ1627" s="305"/>
      <c r="BR1627" s="305"/>
      <c r="BS1627" s="305"/>
      <c r="BT1627" s="305"/>
      <c r="BU1627" s="305"/>
      <c r="BV1627" s="305"/>
      <c r="BX1627" s="319"/>
    </row>
    <row r="1628" spans="1:76" s="303" customFormat="1" x14ac:dyDescent="0.25">
      <c r="A1628" s="275"/>
      <c r="B1628" s="275"/>
      <c r="C1628" s="275"/>
      <c r="D1628" s="275"/>
      <c r="E1628" s="275"/>
      <c r="F1628" s="275"/>
      <c r="V1628" s="304"/>
      <c r="W1628" s="304"/>
      <c r="AD1628" s="304"/>
      <c r="AE1628" s="304"/>
      <c r="AR1628" s="304"/>
      <c r="AS1628" s="304"/>
      <c r="AT1628" s="304"/>
      <c r="AU1628" s="304"/>
      <c r="AV1628" s="304"/>
      <c r="AW1628" s="304"/>
      <c r="AX1628" s="304"/>
      <c r="AY1628" s="304"/>
      <c r="AZ1628" s="304"/>
      <c r="BA1628" s="304"/>
      <c r="BB1628" s="304"/>
      <c r="BC1628" s="304"/>
      <c r="BK1628" s="305"/>
      <c r="BL1628" s="305"/>
      <c r="BM1628" s="305"/>
      <c r="BN1628" s="305"/>
      <c r="BO1628" s="305"/>
      <c r="BP1628" s="305"/>
      <c r="BQ1628" s="305"/>
      <c r="BR1628" s="305"/>
      <c r="BS1628" s="305"/>
      <c r="BT1628" s="305"/>
      <c r="BU1628" s="305"/>
      <c r="BV1628" s="305"/>
      <c r="BX1628" s="319"/>
    </row>
    <row r="1629" spans="1:76" s="303" customFormat="1" x14ac:dyDescent="0.25">
      <c r="A1629" s="275"/>
      <c r="B1629" s="275"/>
      <c r="C1629" s="275"/>
      <c r="D1629" s="275"/>
      <c r="E1629" s="275"/>
      <c r="F1629" s="275"/>
      <c r="V1629" s="304"/>
      <c r="W1629" s="304"/>
      <c r="AD1629" s="304"/>
      <c r="AE1629" s="304"/>
      <c r="AR1629" s="304"/>
      <c r="AS1629" s="304"/>
      <c r="AT1629" s="304"/>
      <c r="AU1629" s="304"/>
      <c r="AV1629" s="304"/>
      <c r="AW1629" s="304"/>
      <c r="AX1629" s="304"/>
      <c r="AY1629" s="304"/>
      <c r="AZ1629" s="304"/>
      <c r="BA1629" s="304"/>
      <c r="BB1629" s="304"/>
      <c r="BC1629" s="304"/>
      <c r="BK1629" s="305"/>
      <c r="BL1629" s="305"/>
      <c r="BM1629" s="305"/>
      <c r="BN1629" s="305"/>
      <c r="BO1629" s="305"/>
      <c r="BP1629" s="305"/>
      <c r="BQ1629" s="305"/>
      <c r="BR1629" s="305"/>
      <c r="BS1629" s="305"/>
      <c r="BT1629" s="305"/>
      <c r="BU1629" s="305"/>
      <c r="BV1629" s="305"/>
      <c r="BX1629" s="319"/>
    </row>
    <row r="1630" spans="1:76" s="303" customFormat="1" x14ac:dyDescent="0.25">
      <c r="A1630" s="275"/>
      <c r="B1630" s="275"/>
      <c r="C1630" s="275"/>
      <c r="D1630" s="275"/>
      <c r="E1630" s="275"/>
      <c r="F1630" s="275"/>
      <c r="V1630" s="304"/>
      <c r="W1630" s="304"/>
      <c r="AD1630" s="304"/>
      <c r="AE1630" s="304"/>
      <c r="AR1630" s="304"/>
      <c r="AS1630" s="304"/>
      <c r="AT1630" s="304"/>
      <c r="AU1630" s="304"/>
      <c r="AV1630" s="304"/>
      <c r="AW1630" s="304"/>
      <c r="AX1630" s="304"/>
      <c r="AY1630" s="304"/>
      <c r="AZ1630" s="304"/>
      <c r="BA1630" s="304"/>
      <c r="BB1630" s="304"/>
      <c r="BC1630" s="304"/>
      <c r="BK1630" s="305"/>
      <c r="BL1630" s="305"/>
      <c r="BM1630" s="305"/>
      <c r="BN1630" s="305"/>
      <c r="BO1630" s="305"/>
      <c r="BP1630" s="305"/>
      <c r="BQ1630" s="305"/>
      <c r="BR1630" s="305"/>
      <c r="BS1630" s="305"/>
      <c r="BT1630" s="305"/>
      <c r="BU1630" s="305"/>
      <c r="BV1630" s="305"/>
      <c r="BX1630" s="319"/>
    </row>
    <row r="1631" spans="1:76" s="303" customFormat="1" x14ac:dyDescent="0.25">
      <c r="A1631" s="275"/>
      <c r="B1631" s="275"/>
      <c r="C1631" s="275"/>
      <c r="D1631" s="275"/>
      <c r="E1631" s="275"/>
      <c r="F1631" s="275"/>
      <c r="V1631" s="304"/>
      <c r="W1631" s="304"/>
      <c r="AD1631" s="304"/>
      <c r="AE1631" s="304"/>
      <c r="AR1631" s="304"/>
      <c r="AS1631" s="304"/>
      <c r="AT1631" s="304"/>
      <c r="AU1631" s="304"/>
      <c r="AV1631" s="304"/>
      <c r="AW1631" s="304"/>
      <c r="AX1631" s="304"/>
      <c r="AY1631" s="304"/>
      <c r="AZ1631" s="304"/>
      <c r="BA1631" s="304"/>
      <c r="BB1631" s="304"/>
      <c r="BC1631" s="304"/>
      <c r="BK1631" s="305"/>
      <c r="BL1631" s="305"/>
      <c r="BM1631" s="305"/>
      <c r="BN1631" s="305"/>
      <c r="BO1631" s="305"/>
      <c r="BP1631" s="305"/>
      <c r="BQ1631" s="305"/>
      <c r="BR1631" s="305"/>
      <c r="BS1631" s="305"/>
      <c r="BT1631" s="305"/>
      <c r="BU1631" s="305"/>
      <c r="BV1631" s="305"/>
      <c r="BX1631" s="319"/>
    </row>
    <row r="1632" spans="1:76" s="303" customFormat="1" x14ac:dyDescent="0.25">
      <c r="A1632" s="275"/>
      <c r="B1632" s="275"/>
      <c r="C1632" s="275"/>
      <c r="D1632" s="275"/>
      <c r="E1632" s="275"/>
      <c r="F1632" s="275"/>
      <c r="V1632" s="304"/>
      <c r="W1632" s="304"/>
      <c r="AD1632" s="304"/>
      <c r="AE1632" s="304"/>
      <c r="AR1632" s="304"/>
      <c r="AS1632" s="304"/>
      <c r="AT1632" s="304"/>
      <c r="AU1632" s="304"/>
      <c r="AV1632" s="304"/>
      <c r="AW1632" s="304"/>
      <c r="AX1632" s="304"/>
      <c r="AY1632" s="304"/>
      <c r="AZ1632" s="304"/>
      <c r="BA1632" s="304"/>
      <c r="BB1632" s="304"/>
      <c r="BC1632" s="304"/>
      <c r="BK1632" s="305"/>
      <c r="BL1632" s="305"/>
      <c r="BM1632" s="305"/>
      <c r="BN1632" s="305"/>
      <c r="BO1632" s="305"/>
      <c r="BP1632" s="305"/>
      <c r="BQ1632" s="305"/>
      <c r="BR1632" s="305"/>
      <c r="BS1632" s="305"/>
      <c r="BT1632" s="305"/>
      <c r="BU1632" s="305"/>
      <c r="BV1632" s="305"/>
      <c r="BX1632" s="319"/>
    </row>
    <row r="1633" spans="1:76" s="303" customFormat="1" x14ac:dyDescent="0.25">
      <c r="A1633" s="275"/>
      <c r="B1633" s="275"/>
      <c r="C1633" s="275"/>
      <c r="D1633" s="275"/>
      <c r="E1633" s="275"/>
      <c r="F1633" s="275"/>
      <c r="V1633" s="304"/>
      <c r="W1633" s="304"/>
      <c r="AD1633" s="304"/>
      <c r="AE1633" s="304"/>
      <c r="AR1633" s="304"/>
      <c r="AS1633" s="304"/>
      <c r="AT1633" s="304"/>
      <c r="AU1633" s="304"/>
      <c r="AV1633" s="304"/>
      <c r="AW1633" s="304"/>
      <c r="AX1633" s="304"/>
      <c r="AY1633" s="304"/>
      <c r="AZ1633" s="304"/>
      <c r="BA1633" s="304"/>
      <c r="BB1633" s="304"/>
      <c r="BC1633" s="304"/>
      <c r="BK1633" s="305"/>
      <c r="BL1633" s="305"/>
      <c r="BM1633" s="305"/>
      <c r="BN1633" s="305"/>
      <c r="BO1633" s="305"/>
      <c r="BP1633" s="305"/>
      <c r="BQ1633" s="305"/>
      <c r="BR1633" s="305"/>
      <c r="BS1633" s="305"/>
      <c r="BT1633" s="305"/>
      <c r="BU1633" s="305"/>
      <c r="BV1633" s="305"/>
      <c r="BX1633" s="319"/>
    </row>
    <row r="1634" spans="1:76" s="303" customFormat="1" x14ac:dyDescent="0.25">
      <c r="A1634" s="275"/>
      <c r="B1634" s="275"/>
      <c r="C1634" s="275"/>
      <c r="D1634" s="275"/>
      <c r="E1634" s="275"/>
      <c r="F1634" s="275"/>
      <c r="V1634" s="304"/>
      <c r="W1634" s="304"/>
      <c r="AD1634" s="304"/>
      <c r="AE1634" s="304"/>
      <c r="AR1634" s="304"/>
      <c r="AS1634" s="304"/>
      <c r="AT1634" s="304"/>
      <c r="AU1634" s="304"/>
      <c r="AV1634" s="304"/>
      <c r="AW1634" s="304"/>
      <c r="AX1634" s="304"/>
      <c r="AY1634" s="304"/>
      <c r="AZ1634" s="304"/>
      <c r="BA1634" s="304"/>
      <c r="BB1634" s="304"/>
      <c r="BC1634" s="304"/>
      <c r="BK1634" s="305"/>
      <c r="BL1634" s="305"/>
      <c r="BM1634" s="305"/>
      <c r="BN1634" s="305"/>
      <c r="BO1634" s="305"/>
      <c r="BP1634" s="305"/>
      <c r="BQ1634" s="305"/>
      <c r="BR1634" s="305"/>
      <c r="BS1634" s="305"/>
      <c r="BT1634" s="305"/>
      <c r="BU1634" s="305"/>
      <c r="BV1634" s="305"/>
      <c r="BX1634" s="319"/>
    </row>
    <row r="1635" spans="1:76" s="303" customFormat="1" x14ac:dyDescent="0.25">
      <c r="A1635" s="275"/>
      <c r="B1635" s="275"/>
      <c r="C1635" s="275"/>
      <c r="D1635" s="275"/>
      <c r="E1635" s="275"/>
      <c r="F1635" s="275"/>
      <c r="V1635" s="304"/>
      <c r="W1635" s="304"/>
      <c r="AD1635" s="304"/>
      <c r="AE1635" s="304"/>
      <c r="AR1635" s="304"/>
      <c r="AS1635" s="304"/>
      <c r="AT1635" s="304"/>
      <c r="AU1635" s="304"/>
      <c r="AV1635" s="304"/>
      <c r="AW1635" s="304"/>
      <c r="AX1635" s="304"/>
      <c r="AY1635" s="304"/>
      <c r="AZ1635" s="304"/>
      <c r="BA1635" s="304"/>
      <c r="BB1635" s="304"/>
      <c r="BC1635" s="304"/>
      <c r="BK1635" s="305"/>
      <c r="BL1635" s="305"/>
      <c r="BM1635" s="305"/>
      <c r="BN1635" s="305"/>
      <c r="BO1635" s="305"/>
      <c r="BP1635" s="305"/>
      <c r="BQ1635" s="305"/>
      <c r="BR1635" s="305"/>
      <c r="BS1635" s="305"/>
      <c r="BT1635" s="305"/>
      <c r="BU1635" s="305"/>
      <c r="BV1635" s="305"/>
      <c r="BX1635" s="319"/>
    </row>
    <row r="1636" spans="1:76" s="303" customFormat="1" x14ac:dyDescent="0.25">
      <c r="A1636" s="275"/>
      <c r="B1636" s="275"/>
      <c r="C1636" s="275"/>
      <c r="D1636" s="275"/>
      <c r="E1636" s="275"/>
      <c r="F1636" s="275"/>
      <c r="V1636" s="304"/>
      <c r="W1636" s="304"/>
      <c r="AD1636" s="304"/>
      <c r="AE1636" s="304"/>
      <c r="AR1636" s="304"/>
      <c r="AS1636" s="304"/>
      <c r="AT1636" s="304"/>
      <c r="AU1636" s="304"/>
      <c r="AV1636" s="304"/>
      <c r="AW1636" s="304"/>
      <c r="AX1636" s="304"/>
      <c r="AY1636" s="304"/>
      <c r="AZ1636" s="304"/>
      <c r="BA1636" s="304"/>
      <c r="BB1636" s="304"/>
      <c r="BC1636" s="304"/>
      <c r="BK1636" s="305"/>
      <c r="BL1636" s="305"/>
      <c r="BM1636" s="305"/>
      <c r="BN1636" s="305"/>
      <c r="BO1636" s="305"/>
      <c r="BP1636" s="305"/>
      <c r="BQ1636" s="305"/>
      <c r="BR1636" s="305"/>
      <c r="BS1636" s="305"/>
      <c r="BT1636" s="305"/>
      <c r="BU1636" s="305"/>
      <c r="BV1636" s="305"/>
      <c r="BX1636" s="319"/>
    </row>
    <row r="1637" spans="1:76" s="303" customFormat="1" x14ac:dyDescent="0.25">
      <c r="A1637" s="275"/>
      <c r="B1637" s="275"/>
      <c r="C1637" s="275"/>
      <c r="D1637" s="275"/>
      <c r="E1637" s="275"/>
      <c r="F1637" s="275"/>
      <c r="V1637" s="304"/>
      <c r="W1637" s="304"/>
      <c r="AD1637" s="304"/>
      <c r="AE1637" s="304"/>
      <c r="AR1637" s="304"/>
      <c r="AS1637" s="304"/>
      <c r="AT1637" s="304"/>
      <c r="AU1637" s="304"/>
      <c r="AV1637" s="304"/>
      <c r="AW1637" s="304"/>
      <c r="AX1637" s="304"/>
      <c r="AY1637" s="304"/>
      <c r="AZ1637" s="304"/>
      <c r="BA1637" s="304"/>
      <c r="BB1637" s="304"/>
      <c r="BC1637" s="304"/>
      <c r="BK1637" s="305"/>
      <c r="BL1637" s="305"/>
      <c r="BM1637" s="305"/>
      <c r="BN1637" s="305"/>
      <c r="BO1637" s="305"/>
      <c r="BP1637" s="305"/>
      <c r="BQ1637" s="305"/>
      <c r="BR1637" s="305"/>
      <c r="BS1637" s="305"/>
      <c r="BT1637" s="305"/>
      <c r="BU1637" s="305"/>
      <c r="BV1637" s="305"/>
      <c r="BX1637" s="319"/>
    </row>
    <row r="1638" spans="1:76" s="303" customFormat="1" x14ac:dyDescent="0.25">
      <c r="A1638" s="275"/>
      <c r="B1638" s="275"/>
      <c r="C1638" s="275"/>
      <c r="D1638" s="275"/>
      <c r="E1638" s="275"/>
      <c r="F1638" s="275"/>
      <c r="V1638" s="304"/>
      <c r="W1638" s="304"/>
      <c r="AD1638" s="304"/>
      <c r="AE1638" s="304"/>
      <c r="AR1638" s="304"/>
      <c r="AS1638" s="304"/>
      <c r="AT1638" s="304"/>
      <c r="AU1638" s="304"/>
      <c r="AV1638" s="304"/>
      <c r="AW1638" s="304"/>
      <c r="AX1638" s="304"/>
      <c r="AY1638" s="304"/>
      <c r="AZ1638" s="304"/>
      <c r="BA1638" s="304"/>
      <c r="BB1638" s="304"/>
      <c r="BC1638" s="304"/>
      <c r="BK1638" s="305"/>
      <c r="BL1638" s="305"/>
      <c r="BM1638" s="305"/>
      <c r="BN1638" s="305"/>
      <c r="BO1638" s="305"/>
      <c r="BP1638" s="305"/>
      <c r="BQ1638" s="305"/>
      <c r="BR1638" s="305"/>
      <c r="BS1638" s="305"/>
      <c r="BT1638" s="305"/>
      <c r="BU1638" s="305"/>
      <c r="BV1638" s="305"/>
      <c r="BX1638" s="319"/>
    </row>
    <row r="1639" spans="1:76" s="303" customFormat="1" x14ac:dyDescent="0.25">
      <c r="A1639" s="275"/>
      <c r="B1639" s="275"/>
      <c r="C1639" s="275"/>
      <c r="D1639" s="275"/>
      <c r="E1639" s="275"/>
      <c r="F1639" s="275"/>
      <c r="V1639" s="304"/>
      <c r="W1639" s="304"/>
      <c r="AD1639" s="304"/>
      <c r="AE1639" s="304"/>
      <c r="AR1639" s="304"/>
      <c r="AS1639" s="304"/>
      <c r="AT1639" s="304"/>
      <c r="AU1639" s="304"/>
      <c r="AV1639" s="304"/>
      <c r="AW1639" s="304"/>
      <c r="AX1639" s="304"/>
      <c r="AY1639" s="304"/>
      <c r="AZ1639" s="304"/>
      <c r="BA1639" s="304"/>
      <c r="BB1639" s="304"/>
      <c r="BC1639" s="304"/>
      <c r="BK1639" s="305"/>
      <c r="BL1639" s="305"/>
      <c r="BM1639" s="305"/>
      <c r="BN1639" s="305"/>
      <c r="BO1639" s="305"/>
      <c r="BP1639" s="305"/>
      <c r="BQ1639" s="305"/>
      <c r="BR1639" s="305"/>
      <c r="BS1639" s="305"/>
      <c r="BT1639" s="305"/>
      <c r="BU1639" s="305"/>
      <c r="BV1639" s="305"/>
      <c r="BX1639" s="319"/>
    </row>
    <row r="1640" spans="1:76" s="303" customFormat="1" x14ac:dyDescent="0.25">
      <c r="A1640" s="275"/>
      <c r="B1640" s="275"/>
      <c r="C1640" s="275"/>
      <c r="D1640" s="275"/>
      <c r="E1640" s="275"/>
      <c r="F1640" s="275"/>
      <c r="V1640" s="304"/>
      <c r="W1640" s="304"/>
      <c r="AD1640" s="304"/>
      <c r="AE1640" s="304"/>
      <c r="AR1640" s="304"/>
      <c r="AS1640" s="304"/>
      <c r="AT1640" s="304"/>
      <c r="AU1640" s="304"/>
      <c r="AV1640" s="304"/>
      <c r="AW1640" s="304"/>
      <c r="AX1640" s="304"/>
      <c r="AY1640" s="304"/>
      <c r="AZ1640" s="304"/>
      <c r="BA1640" s="304"/>
      <c r="BB1640" s="304"/>
      <c r="BC1640" s="304"/>
      <c r="BK1640" s="305"/>
      <c r="BL1640" s="305"/>
      <c r="BM1640" s="305"/>
      <c r="BN1640" s="305"/>
      <c r="BO1640" s="305"/>
      <c r="BP1640" s="305"/>
      <c r="BQ1640" s="305"/>
      <c r="BR1640" s="305"/>
      <c r="BS1640" s="305"/>
      <c r="BT1640" s="305"/>
      <c r="BU1640" s="305"/>
      <c r="BV1640" s="305"/>
      <c r="BX1640" s="319"/>
    </row>
    <row r="1641" spans="1:76" s="303" customFormat="1" x14ac:dyDescent="0.25">
      <c r="A1641" s="275"/>
      <c r="B1641" s="275"/>
      <c r="C1641" s="275"/>
      <c r="D1641" s="275"/>
      <c r="E1641" s="275"/>
      <c r="F1641" s="275"/>
      <c r="V1641" s="304"/>
      <c r="W1641" s="304"/>
      <c r="AD1641" s="304"/>
      <c r="AE1641" s="304"/>
      <c r="AR1641" s="304"/>
      <c r="AS1641" s="304"/>
      <c r="AT1641" s="304"/>
      <c r="AU1641" s="304"/>
      <c r="AV1641" s="304"/>
      <c r="AW1641" s="304"/>
      <c r="AX1641" s="304"/>
      <c r="AY1641" s="304"/>
      <c r="AZ1641" s="304"/>
      <c r="BA1641" s="304"/>
      <c r="BB1641" s="304"/>
      <c r="BC1641" s="304"/>
      <c r="BK1641" s="305"/>
      <c r="BL1641" s="305"/>
      <c r="BM1641" s="305"/>
      <c r="BN1641" s="305"/>
      <c r="BO1641" s="305"/>
      <c r="BP1641" s="305"/>
      <c r="BQ1641" s="305"/>
      <c r="BR1641" s="305"/>
      <c r="BS1641" s="305"/>
      <c r="BT1641" s="305"/>
      <c r="BU1641" s="305"/>
      <c r="BV1641" s="305"/>
      <c r="BX1641" s="319"/>
    </row>
    <row r="1642" spans="1:76" s="303" customFormat="1" x14ac:dyDescent="0.25">
      <c r="A1642" s="275"/>
      <c r="B1642" s="275"/>
      <c r="C1642" s="275"/>
      <c r="D1642" s="275"/>
      <c r="E1642" s="275"/>
      <c r="F1642" s="275"/>
      <c r="V1642" s="304"/>
      <c r="W1642" s="304"/>
      <c r="AD1642" s="304"/>
      <c r="AE1642" s="304"/>
      <c r="AR1642" s="304"/>
      <c r="AS1642" s="304"/>
      <c r="AT1642" s="304"/>
      <c r="AU1642" s="304"/>
      <c r="AV1642" s="304"/>
      <c r="AW1642" s="304"/>
      <c r="AX1642" s="304"/>
      <c r="AY1642" s="304"/>
      <c r="AZ1642" s="304"/>
      <c r="BA1642" s="304"/>
      <c r="BB1642" s="304"/>
      <c r="BC1642" s="304"/>
      <c r="BK1642" s="305"/>
      <c r="BL1642" s="305"/>
      <c r="BM1642" s="305"/>
      <c r="BN1642" s="305"/>
      <c r="BO1642" s="305"/>
      <c r="BP1642" s="305"/>
      <c r="BQ1642" s="305"/>
      <c r="BR1642" s="305"/>
      <c r="BS1642" s="305"/>
      <c r="BT1642" s="305"/>
      <c r="BU1642" s="305"/>
      <c r="BV1642" s="305"/>
      <c r="BX1642" s="319"/>
    </row>
    <row r="1643" spans="1:76" s="303" customFormat="1" x14ac:dyDescent="0.25">
      <c r="A1643" s="275"/>
      <c r="B1643" s="275"/>
      <c r="C1643" s="275"/>
      <c r="D1643" s="275"/>
      <c r="E1643" s="275"/>
      <c r="F1643" s="275"/>
      <c r="V1643" s="304"/>
      <c r="W1643" s="304"/>
      <c r="AD1643" s="304"/>
      <c r="AE1643" s="304"/>
      <c r="AR1643" s="304"/>
      <c r="AS1643" s="304"/>
      <c r="AT1643" s="304"/>
      <c r="AU1643" s="304"/>
      <c r="AV1643" s="304"/>
      <c r="AW1643" s="304"/>
      <c r="AX1643" s="304"/>
      <c r="AY1643" s="304"/>
      <c r="AZ1643" s="304"/>
      <c r="BA1643" s="304"/>
      <c r="BB1643" s="304"/>
      <c r="BC1643" s="304"/>
      <c r="BK1643" s="305"/>
      <c r="BL1643" s="305"/>
      <c r="BM1643" s="305"/>
      <c r="BN1643" s="305"/>
      <c r="BO1643" s="305"/>
      <c r="BP1643" s="305"/>
      <c r="BQ1643" s="305"/>
      <c r="BR1643" s="305"/>
      <c r="BS1643" s="305"/>
      <c r="BT1643" s="305"/>
      <c r="BU1643" s="305"/>
      <c r="BV1643" s="305"/>
      <c r="BX1643" s="319"/>
    </row>
    <row r="1644" spans="1:76" s="303" customFormat="1" x14ac:dyDescent="0.25">
      <c r="A1644" s="275"/>
      <c r="B1644" s="275"/>
      <c r="C1644" s="275"/>
      <c r="D1644" s="275"/>
      <c r="E1644" s="275"/>
      <c r="F1644" s="275"/>
      <c r="V1644" s="304"/>
      <c r="W1644" s="304"/>
      <c r="AD1644" s="304"/>
      <c r="AE1644" s="304"/>
      <c r="AR1644" s="304"/>
      <c r="AS1644" s="304"/>
      <c r="AT1644" s="304"/>
      <c r="AU1644" s="304"/>
      <c r="AV1644" s="304"/>
      <c r="AW1644" s="304"/>
      <c r="AX1644" s="304"/>
      <c r="AY1644" s="304"/>
      <c r="AZ1644" s="304"/>
      <c r="BA1644" s="304"/>
      <c r="BB1644" s="304"/>
      <c r="BC1644" s="304"/>
      <c r="BK1644" s="305"/>
      <c r="BL1644" s="305"/>
      <c r="BM1644" s="305"/>
      <c r="BN1644" s="305"/>
      <c r="BO1644" s="305"/>
      <c r="BP1644" s="305"/>
      <c r="BQ1644" s="305"/>
      <c r="BR1644" s="305"/>
      <c r="BS1644" s="305"/>
      <c r="BT1644" s="305"/>
      <c r="BU1644" s="305"/>
      <c r="BV1644" s="305"/>
      <c r="BX1644" s="319"/>
    </row>
    <row r="1645" spans="1:76" s="303" customFormat="1" x14ac:dyDescent="0.25">
      <c r="A1645" s="275"/>
      <c r="B1645" s="275"/>
      <c r="C1645" s="275"/>
      <c r="D1645" s="275"/>
      <c r="E1645" s="275"/>
      <c r="F1645" s="275"/>
      <c r="V1645" s="304"/>
      <c r="W1645" s="304"/>
      <c r="AD1645" s="304"/>
      <c r="AE1645" s="304"/>
      <c r="AR1645" s="304"/>
      <c r="AS1645" s="304"/>
      <c r="AT1645" s="304"/>
      <c r="AU1645" s="304"/>
      <c r="AV1645" s="304"/>
      <c r="AW1645" s="304"/>
      <c r="AX1645" s="304"/>
      <c r="AY1645" s="304"/>
      <c r="AZ1645" s="304"/>
      <c r="BA1645" s="304"/>
      <c r="BB1645" s="304"/>
      <c r="BC1645" s="304"/>
      <c r="BK1645" s="305"/>
      <c r="BL1645" s="305"/>
      <c r="BM1645" s="305"/>
      <c r="BN1645" s="305"/>
      <c r="BO1645" s="305"/>
      <c r="BP1645" s="305"/>
      <c r="BQ1645" s="305"/>
      <c r="BR1645" s="305"/>
      <c r="BS1645" s="305"/>
      <c r="BT1645" s="305"/>
      <c r="BU1645" s="305"/>
      <c r="BV1645" s="305"/>
      <c r="BX1645" s="319"/>
    </row>
    <row r="1646" spans="1:76" s="303" customFormat="1" x14ac:dyDescent="0.25">
      <c r="A1646" s="275"/>
      <c r="B1646" s="275"/>
      <c r="C1646" s="275"/>
      <c r="D1646" s="275"/>
      <c r="E1646" s="275"/>
      <c r="F1646" s="275"/>
      <c r="V1646" s="304"/>
      <c r="W1646" s="304"/>
      <c r="AD1646" s="304"/>
      <c r="AE1646" s="304"/>
      <c r="AR1646" s="304"/>
      <c r="AS1646" s="304"/>
      <c r="AT1646" s="304"/>
      <c r="AU1646" s="304"/>
      <c r="AV1646" s="304"/>
      <c r="AW1646" s="304"/>
      <c r="AX1646" s="304"/>
      <c r="AY1646" s="304"/>
      <c r="AZ1646" s="304"/>
      <c r="BA1646" s="304"/>
      <c r="BB1646" s="304"/>
      <c r="BC1646" s="304"/>
      <c r="BK1646" s="305"/>
      <c r="BL1646" s="305"/>
      <c r="BM1646" s="305"/>
      <c r="BN1646" s="305"/>
      <c r="BO1646" s="305"/>
      <c r="BP1646" s="305"/>
      <c r="BQ1646" s="305"/>
      <c r="BR1646" s="305"/>
      <c r="BS1646" s="305"/>
      <c r="BT1646" s="305"/>
      <c r="BU1646" s="305"/>
      <c r="BV1646" s="305"/>
      <c r="BX1646" s="319"/>
    </row>
    <row r="1647" spans="1:76" s="303" customFormat="1" x14ac:dyDescent="0.25">
      <c r="A1647" s="275"/>
      <c r="B1647" s="275"/>
      <c r="C1647" s="275"/>
      <c r="D1647" s="275"/>
      <c r="E1647" s="275"/>
      <c r="F1647" s="275"/>
      <c r="V1647" s="304"/>
      <c r="W1647" s="304"/>
      <c r="AD1647" s="304"/>
      <c r="AE1647" s="304"/>
      <c r="AR1647" s="304"/>
      <c r="AS1647" s="304"/>
      <c r="AT1647" s="304"/>
      <c r="AU1647" s="304"/>
      <c r="AV1647" s="304"/>
      <c r="AW1647" s="304"/>
      <c r="AX1647" s="304"/>
      <c r="AY1647" s="304"/>
      <c r="AZ1647" s="304"/>
      <c r="BA1647" s="304"/>
      <c r="BB1647" s="304"/>
      <c r="BC1647" s="304"/>
      <c r="BK1647" s="305"/>
      <c r="BL1647" s="305"/>
      <c r="BM1647" s="305"/>
      <c r="BN1647" s="305"/>
      <c r="BO1647" s="305"/>
      <c r="BP1647" s="305"/>
      <c r="BQ1647" s="305"/>
      <c r="BR1647" s="305"/>
      <c r="BS1647" s="305"/>
      <c r="BT1647" s="305"/>
      <c r="BU1647" s="305"/>
      <c r="BV1647" s="305"/>
      <c r="BX1647" s="319"/>
    </row>
    <row r="1648" spans="1:76" s="303" customFormat="1" x14ac:dyDescent="0.25">
      <c r="A1648" s="275"/>
      <c r="B1648" s="275"/>
      <c r="C1648" s="275"/>
      <c r="D1648" s="275"/>
      <c r="E1648" s="275"/>
      <c r="F1648" s="275"/>
      <c r="V1648" s="304"/>
      <c r="W1648" s="304"/>
      <c r="AD1648" s="304"/>
      <c r="AE1648" s="304"/>
      <c r="AR1648" s="304"/>
      <c r="AS1648" s="304"/>
      <c r="AT1648" s="304"/>
      <c r="AU1648" s="304"/>
      <c r="AV1648" s="304"/>
      <c r="AW1648" s="304"/>
      <c r="AX1648" s="304"/>
      <c r="AY1648" s="304"/>
      <c r="AZ1648" s="304"/>
      <c r="BA1648" s="304"/>
      <c r="BB1648" s="304"/>
      <c r="BC1648" s="304"/>
      <c r="BK1648" s="305"/>
      <c r="BL1648" s="305"/>
      <c r="BM1648" s="305"/>
      <c r="BN1648" s="305"/>
      <c r="BO1648" s="305"/>
      <c r="BP1648" s="305"/>
      <c r="BQ1648" s="305"/>
      <c r="BR1648" s="305"/>
      <c r="BS1648" s="305"/>
      <c r="BT1648" s="305"/>
      <c r="BU1648" s="305"/>
      <c r="BV1648" s="305"/>
      <c r="BX1648" s="319"/>
    </row>
    <row r="1649" spans="1:76" s="303" customFormat="1" x14ac:dyDescent="0.25">
      <c r="A1649" s="275"/>
      <c r="B1649" s="275"/>
      <c r="C1649" s="275"/>
      <c r="D1649" s="275"/>
      <c r="E1649" s="275"/>
      <c r="F1649" s="275"/>
      <c r="V1649" s="304"/>
      <c r="W1649" s="304"/>
      <c r="AD1649" s="304"/>
      <c r="AE1649" s="304"/>
      <c r="AR1649" s="304"/>
      <c r="AS1649" s="304"/>
      <c r="AT1649" s="304"/>
      <c r="AU1649" s="304"/>
      <c r="AV1649" s="304"/>
      <c r="AW1649" s="304"/>
      <c r="AX1649" s="304"/>
      <c r="AY1649" s="304"/>
      <c r="AZ1649" s="304"/>
      <c r="BA1649" s="304"/>
      <c r="BB1649" s="304"/>
      <c r="BC1649" s="304"/>
      <c r="BK1649" s="305"/>
      <c r="BL1649" s="305"/>
      <c r="BM1649" s="305"/>
      <c r="BN1649" s="305"/>
      <c r="BO1649" s="305"/>
      <c r="BP1649" s="305"/>
      <c r="BQ1649" s="305"/>
      <c r="BR1649" s="305"/>
      <c r="BS1649" s="305"/>
      <c r="BT1649" s="305"/>
      <c r="BU1649" s="305"/>
      <c r="BV1649" s="305"/>
      <c r="BX1649" s="319"/>
    </row>
    <row r="1650" spans="1:76" s="303" customFormat="1" x14ac:dyDescent="0.25">
      <c r="A1650" s="275"/>
      <c r="B1650" s="275"/>
      <c r="C1650" s="275"/>
      <c r="D1650" s="275"/>
      <c r="E1650" s="275"/>
      <c r="F1650" s="275"/>
      <c r="V1650" s="304"/>
      <c r="W1650" s="304"/>
      <c r="AD1650" s="304"/>
      <c r="AE1650" s="304"/>
      <c r="AR1650" s="304"/>
      <c r="AS1650" s="304"/>
      <c r="AT1650" s="304"/>
      <c r="AU1650" s="304"/>
      <c r="AV1650" s="304"/>
      <c r="AW1650" s="304"/>
      <c r="AX1650" s="304"/>
      <c r="AY1650" s="304"/>
      <c r="AZ1650" s="304"/>
      <c r="BA1650" s="304"/>
      <c r="BB1650" s="304"/>
      <c r="BC1650" s="304"/>
      <c r="BK1650" s="305"/>
      <c r="BL1650" s="305"/>
      <c r="BM1650" s="305"/>
      <c r="BN1650" s="305"/>
      <c r="BO1650" s="305"/>
      <c r="BP1650" s="305"/>
      <c r="BQ1650" s="305"/>
      <c r="BR1650" s="305"/>
      <c r="BS1650" s="305"/>
      <c r="BT1650" s="305"/>
      <c r="BU1650" s="305"/>
      <c r="BV1650" s="305"/>
      <c r="BX1650" s="319"/>
    </row>
    <row r="1651" spans="1:76" s="303" customFormat="1" x14ac:dyDescent="0.25">
      <c r="A1651" s="275"/>
      <c r="B1651" s="275"/>
      <c r="C1651" s="275"/>
      <c r="D1651" s="275"/>
      <c r="E1651" s="275"/>
      <c r="F1651" s="275"/>
      <c r="V1651" s="304"/>
      <c r="W1651" s="304"/>
      <c r="AD1651" s="304"/>
      <c r="AE1651" s="304"/>
      <c r="AR1651" s="304"/>
      <c r="AS1651" s="304"/>
      <c r="AT1651" s="304"/>
      <c r="AU1651" s="304"/>
      <c r="AV1651" s="304"/>
      <c r="AW1651" s="304"/>
      <c r="AX1651" s="304"/>
      <c r="AY1651" s="304"/>
      <c r="AZ1651" s="304"/>
      <c r="BA1651" s="304"/>
      <c r="BB1651" s="304"/>
      <c r="BC1651" s="304"/>
      <c r="BK1651" s="305"/>
      <c r="BL1651" s="305"/>
      <c r="BM1651" s="305"/>
      <c r="BN1651" s="305"/>
      <c r="BO1651" s="305"/>
      <c r="BP1651" s="305"/>
      <c r="BQ1651" s="305"/>
      <c r="BR1651" s="305"/>
      <c r="BS1651" s="305"/>
      <c r="BT1651" s="305"/>
      <c r="BU1651" s="305"/>
      <c r="BV1651" s="305"/>
      <c r="BX1651" s="319"/>
    </row>
    <row r="1652" spans="1:76" s="303" customFormat="1" x14ac:dyDescent="0.25">
      <c r="A1652" s="275"/>
      <c r="B1652" s="275"/>
      <c r="C1652" s="275"/>
      <c r="D1652" s="275"/>
      <c r="E1652" s="275"/>
      <c r="F1652" s="275"/>
      <c r="V1652" s="304"/>
      <c r="W1652" s="304"/>
      <c r="AD1652" s="304"/>
      <c r="AE1652" s="304"/>
      <c r="AR1652" s="304"/>
      <c r="AS1652" s="304"/>
      <c r="AT1652" s="304"/>
      <c r="AU1652" s="304"/>
      <c r="AV1652" s="304"/>
      <c r="AW1652" s="304"/>
      <c r="AX1652" s="304"/>
      <c r="AY1652" s="304"/>
      <c r="AZ1652" s="304"/>
      <c r="BA1652" s="304"/>
      <c r="BB1652" s="304"/>
      <c r="BC1652" s="304"/>
      <c r="BK1652" s="305"/>
      <c r="BL1652" s="305"/>
      <c r="BM1652" s="305"/>
      <c r="BN1652" s="305"/>
      <c r="BO1652" s="305"/>
      <c r="BP1652" s="305"/>
      <c r="BQ1652" s="305"/>
      <c r="BR1652" s="305"/>
      <c r="BS1652" s="305"/>
      <c r="BT1652" s="305"/>
      <c r="BU1652" s="305"/>
      <c r="BV1652" s="305"/>
      <c r="BX1652" s="319"/>
    </row>
    <row r="1653" spans="1:76" s="303" customFormat="1" x14ac:dyDescent="0.25">
      <c r="A1653" s="275"/>
      <c r="B1653" s="275"/>
      <c r="C1653" s="275"/>
      <c r="D1653" s="275"/>
      <c r="E1653" s="275"/>
      <c r="F1653" s="275"/>
      <c r="V1653" s="304"/>
      <c r="W1653" s="304"/>
      <c r="AD1653" s="304"/>
      <c r="AE1653" s="304"/>
      <c r="AR1653" s="304"/>
      <c r="AS1653" s="304"/>
      <c r="AT1653" s="304"/>
      <c r="AU1653" s="304"/>
      <c r="AV1653" s="304"/>
      <c r="AW1653" s="304"/>
      <c r="AX1653" s="304"/>
      <c r="AY1653" s="304"/>
      <c r="AZ1653" s="304"/>
      <c r="BA1653" s="304"/>
      <c r="BB1653" s="304"/>
      <c r="BC1653" s="304"/>
      <c r="BK1653" s="305"/>
      <c r="BL1653" s="305"/>
      <c r="BM1653" s="305"/>
      <c r="BN1653" s="305"/>
      <c r="BO1653" s="305"/>
      <c r="BP1653" s="305"/>
      <c r="BQ1653" s="305"/>
      <c r="BR1653" s="305"/>
      <c r="BS1653" s="305"/>
      <c r="BT1653" s="305"/>
      <c r="BU1653" s="305"/>
      <c r="BV1653" s="305"/>
      <c r="BX1653" s="319"/>
    </row>
    <row r="1654" spans="1:76" s="303" customFormat="1" x14ac:dyDescent="0.25">
      <c r="A1654" s="275"/>
      <c r="B1654" s="275"/>
      <c r="C1654" s="275"/>
      <c r="D1654" s="275"/>
      <c r="E1654" s="275"/>
      <c r="F1654" s="275"/>
      <c r="V1654" s="304"/>
      <c r="W1654" s="304"/>
      <c r="AD1654" s="304"/>
      <c r="AE1654" s="304"/>
      <c r="AR1654" s="304"/>
      <c r="AS1654" s="304"/>
      <c r="AT1654" s="304"/>
      <c r="AU1654" s="304"/>
      <c r="AV1654" s="304"/>
      <c r="AW1654" s="304"/>
      <c r="AX1654" s="304"/>
      <c r="AY1654" s="304"/>
      <c r="AZ1654" s="304"/>
      <c r="BA1654" s="304"/>
      <c r="BB1654" s="304"/>
      <c r="BC1654" s="304"/>
      <c r="BK1654" s="305"/>
      <c r="BL1654" s="305"/>
      <c r="BM1654" s="305"/>
      <c r="BN1654" s="305"/>
      <c r="BO1654" s="305"/>
      <c r="BP1654" s="305"/>
      <c r="BQ1654" s="305"/>
      <c r="BR1654" s="305"/>
      <c r="BS1654" s="305"/>
      <c r="BT1654" s="305"/>
      <c r="BU1654" s="305"/>
      <c r="BV1654" s="305"/>
      <c r="BX1654" s="319"/>
    </row>
    <row r="1655" spans="1:76" s="303" customFormat="1" x14ac:dyDescent="0.25">
      <c r="A1655" s="275"/>
      <c r="B1655" s="275"/>
      <c r="C1655" s="275"/>
      <c r="D1655" s="275"/>
      <c r="E1655" s="275"/>
      <c r="F1655" s="275"/>
      <c r="V1655" s="304"/>
      <c r="W1655" s="304"/>
      <c r="AD1655" s="304"/>
      <c r="AE1655" s="304"/>
      <c r="AR1655" s="304"/>
      <c r="AS1655" s="304"/>
      <c r="AT1655" s="304"/>
      <c r="AU1655" s="304"/>
      <c r="AV1655" s="304"/>
      <c r="AW1655" s="304"/>
      <c r="AX1655" s="304"/>
      <c r="AY1655" s="304"/>
      <c r="AZ1655" s="304"/>
      <c r="BA1655" s="304"/>
      <c r="BB1655" s="304"/>
      <c r="BC1655" s="304"/>
      <c r="BK1655" s="305"/>
      <c r="BL1655" s="305"/>
      <c r="BM1655" s="305"/>
      <c r="BN1655" s="305"/>
      <c r="BO1655" s="305"/>
      <c r="BP1655" s="305"/>
      <c r="BQ1655" s="305"/>
      <c r="BR1655" s="305"/>
      <c r="BS1655" s="305"/>
      <c r="BT1655" s="305"/>
      <c r="BU1655" s="305"/>
      <c r="BV1655" s="305"/>
      <c r="BX1655" s="319"/>
    </row>
    <row r="1656" spans="1:76" s="303" customFormat="1" x14ac:dyDescent="0.25">
      <c r="A1656" s="275"/>
      <c r="B1656" s="275"/>
      <c r="C1656" s="275"/>
      <c r="D1656" s="275"/>
      <c r="E1656" s="275"/>
      <c r="F1656" s="275"/>
      <c r="V1656" s="304"/>
      <c r="W1656" s="304"/>
      <c r="AD1656" s="304"/>
      <c r="AE1656" s="304"/>
      <c r="AR1656" s="304"/>
      <c r="AS1656" s="304"/>
      <c r="AT1656" s="304"/>
      <c r="AU1656" s="304"/>
      <c r="AV1656" s="304"/>
      <c r="AW1656" s="304"/>
      <c r="AX1656" s="304"/>
      <c r="AY1656" s="304"/>
      <c r="AZ1656" s="304"/>
      <c r="BA1656" s="304"/>
      <c r="BB1656" s="304"/>
      <c r="BC1656" s="304"/>
      <c r="BK1656" s="305"/>
      <c r="BL1656" s="305"/>
      <c r="BM1656" s="305"/>
      <c r="BN1656" s="305"/>
      <c r="BO1656" s="305"/>
      <c r="BP1656" s="305"/>
      <c r="BQ1656" s="305"/>
      <c r="BR1656" s="305"/>
      <c r="BS1656" s="305"/>
      <c r="BT1656" s="305"/>
      <c r="BU1656" s="305"/>
      <c r="BV1656" s="305"/>
      <c r="BX1656" s="319"/>
    </row>
    <row r="1657" spans="1:76" s="303" customFormat="1" x14ac:dyDescent="0.25">
      <c r="A1657" s="275"/>
      <c r="B1657" s="275"/>
      <c r="C1657" s="275"/>
      <c r="D1657" s="275"/>
      <c r="E1657" s="275"/>
      <c r="F1657" s="275"/>
      <c r="V1657" s="304"/>
      <c r="W1657" s="304"/>
      <c r="AD1657" s="304"/>
      <c r="AE1657" s="304"/>
      <c r="AR1657" s="304"/>
      <c r="AS1657" s="304"/>
      <c r="AT1657" s="304"/>
      <c r="AU1657" s="304"/>
      <c r="AV1657" s="304"/>
      <c r="AW1657" s="304"/>
      <c r="AX1657" s="304"/>
      <c r="AY1657" s="304"/>
      <c r="AZ1657" s="304"/>
      <c r="BA1657" s="304"/>
      <c r="BB1657" s="304"/>
      <c r="BC1657" s="304"/>
      <c r="BK1657" s="305"/>
      <c r="BL1657" s="305"/>
      <c r="BM1657" s="305"/>
      <c r="BN1657" s="305"/>
      <c r="BO1657" s="305"/>
      <c r="BP1657" s="305"/>
      <c r="BQ1657" s="305"/>
      <c r="BR1657" s="305"/>
      <c r="BS1657" s="305"/>
      <c r="BT1657" s="305"/>
      <c r="BU1657" s="305"/>
      <c r="BV1657" s="305"/>
      <c r="BX1657" s="319"/>
    </row>
    <row r="1658" spans="1:76" s="303" customFormat="1" x14ac:dyDescent="0.25">
      <c r="A1658" s="275"/>
      <c r="B1658" s="275"/>
      <c r="C1658" s="275"/>
      <c r="D1658" s="275"/>
      <c r="E1658" s="275"/>
      <c r="F1658" s="275"/>
      <c r="V1658" s="304"/>
      <c r="W1658" s="304"/>
      <c r="AD1658" s="304"/>
      <c r="AE1658" s="304"/>
      <c r="AR1658" s="304"/>
      <c r="AS1658" s="304"/>
      <c r="AT1658" s="304"/>
      <c r="AU1658" s="304"/>
      <c r="AV1658" s="304"/>
      <c r="AW1658" s="304"/>
      <c r="AX1658" s="304"/>
      <c r="AY1658" s="304"/>
      <c r="AZ1658" s="304"/>
      <c r="BA1658" s="304"/>
      <c r="BB1658" s="304"/>
      <c r="BC1658" s="304"/>
      <c r="BK1658" s="305"/>
      <c r="BL1658" s="305"/>
      <c r="BM1658" s="305"/>
      <c r="BN1658" s="305"/>
      <c r="BO1658" s="305"/>
      <c r="BP1658" s="305"/>
      <c r="BQ1658" s="305"/>
      <c r="BR1658" s="305"/>
      <c r="BS1658" s="305"/>
      <c r="BT1658" s="305"/>
      <c r="BU1658" s="305"/>
      <c r="BV1658" s="305"/>
      <c r="BX1658" s="319"/>
    </row>
    <row r="1659" spans="1:76" s="303" customFormat="1" x14ac:dyDescent="0.25">
      <c r="A1659" s="275"/>
      <c r="B1659" s="275"/>
      <c r="C1659" s="275"/>
      <c r="D1659" s="275"/>
      <c r="E1659" s="275"/>
      <c r="F1659" s="275"/>
      <c r="V1659" s="304"/>
      <c r="W1659" s="304"/>
      <c r="AD1659" s="304"/>
      <c r="AE1659" s="304"/>
      <c r="AR1659" s="304"/>
      <c r="AS1659" s="304"/>
      <c r="AT1659" s="304"/>
      <c r="AU1659" s="304"/>
      <c r="AV1659" s="304"/>
      <c r="AW1659" s="304"/>
      <c r="AX1659" s="304"/>
      <c r="AY1659" s="304"/>
      <c r="AZ1659" s="304"/>
      <c r="BA1659" s="304"/>
      <c r="BB1659" s="304"/>
      <c r="BC1659" s="304"/>
      <c r="BK1659" s="305"/>
      <c r="BL1659" s="305"/>
      <c r="BM1659" s="305"/>
      <c r="BN1659" s="305"/>
      <c r="BO1659" s="305"/>
      <c r="BP1659" s="305"/>
      <c r="BQ1659" s="305"/>
      <c r="BR1659" s="305"/>
      <c r="BS1659" s="305"/>
      <c r="BT1659" s="305"/>
      <c r="BU1659" s="305"/>
      <c r="BV1659" s="305"/>
      <c r="BX1659" s="319"/>
    </row>
    <row r="1660" spans="1:76" s="303" customFormat="1" x14ac:dyDescent="0.25">
      <c r="A1660" s="275"/>
      <c r="B1660" s="275"/>
      <c r="C1660" s="275"/>
      <c r="D1660" s="275"/>
      <c r="E1660" s="275"/>
      <c r="F1660" s="275"/>
      <c r="V1660" s="304"/>
      <c r="W1660" s="304"/>
      <c r="AD1660" s="304"/>
      <c r="AE1660" s="304"/>
      <c r="AR1660" s="304"/>
      <c r="AS1660" s="304"/>
      <c r="AT1660" s="304"/>
      <c r="AU1660" s="304"/>
      <c r="AV1660" s="304"/>
      <c r="AW1660" s="304"/>
      <c r="AX1660" s="304"/>
      <c r="AY1660" s="304"/>
      <c r="AZ1660" s="304"/>
      <c r="BA1660" s="304"/>
      <c r="BB1660" s="304"/>
      <c r="BC1660" s="304"/>
      <c r="BK1660" s="305"/>
      <c r="BL1660" s="305"/>
      <c r="BM1660" s="305"/>
      <c r="BN1660" s="305"/>
      <c r="BO1660" s="305"/>
      <c r="BP1660" s="305"/>
      <c r="BQ1660" s="305"/>
      <c r="BR1660" s="305"/>
      <c r="BS1660" s="305"/>
      <c r="BT1660" s="305"/>
      <c r="BU1660" s="305"/>
      <c r="BV1660" s="305"/>
      <c r="BX1660" s="319"/>
    </row>
    <row r="1661" spans="1:76" s="303" customFormat="1" x14ac:dyDescent="0.25">
      <c r="A1661" s="275"/>
      <c r="B1661" s="275"/>
      <c r="C1661" s="275"/>
      <c r="D1661" s="275"/>
      <c r="E1661" s="275"/>
      <c r="F1661" s="275"/>
      <c r="V1661" s="304"/>
      <c r="W1661" s="304"/>
      <c r="AD1661" s="304"/>
      <c r="AE1661" s="304"/>
      <c r="AR1661" s="304"/>
      <c r="AS1661" s="304"/>
      <c r="AT1661" s="304"/>
      <c r="AU1661" s="304"/>
      <c r="AV1661" s="304"/>
      <c r="AW1661" s="304"/>
      <c r="AX1661" s="304"/>
      <c r="AY1661" s="304"/>
      <c r="AZ1661" s="304"/>
      <c r="BA1661" s="304"/>
      <c r="BB1661" s="304"/>
      <c r="BC1661" s="304"/>
      <c r="BK1661" s="305"/>
      <c r="BL1661" s="305"/>
      <c r="BM1661" s="305"/>
      <c r="BN1661" s="305"/>
      <c r="BO1661" s="305"/>
      <c r="BP1661" s="305"/>
      <c r="BQ1661" s="305"/>
      <c r="BR1661" s="305"/>
      <c r="BS1661" s="305"/>
      <c r="BT1661" s="305"/>
      <c r="BU1661" s="305"/>
      <c r="BV1661" s="305"/>
      <c r="BX1661" s="319"/>
    </row>
    <row r="1662" spans="1:76" s="303" customFormat="1" x14ac:dyDescent="0.25">
      <c r="A1662" s="275"/>
      <c r="B1662" s="275"/>
      <c r="C1662" s="275"/>
      <c r="D1662" s="275"/>
      <c r="E1662" s="275"/>
      <c r="F1662" s="275"/>
      <c r="V1662" s="304"/>
      <c r="W1662" s="304"/>
      <c r="AD1662" s="304"/>
      <c r="AE1662" s="304"/>
      <c r="AR1662" s="304"/>
      <c r="AS1662" s="304"/>
      <c r="AT1662" s="304"/>
      <c r="AU1662" s="304"/>
      <c r="AV1662" s="304"/>
      <c r="AW1662" s="304"/>
      <c r="AX1662" s="304"/>
      <c r="AY1662" s="304"/>
      <c r="AZ1662" s="304"/>
      <c r="BA1662" s="304"/>
      <c r="BB1662" s="304"/>
      <c r="BC1662" s="304"/>
      <c r="BK1662" s="305"/>
      <c r="BL1662" s="305"/>
      <c r="BM1662" s="305"/>
      <c r="BN1662" s="305"/>
      <c r="BO1662" s="305"/>
      <c r="BP1662" s="305"/>
      <c r="BQ1662" s="305"/>
      <c r="BR1662" s="305"/>
      <c r="BS1662" s="305"/>
      <c r="BT1662" s="305"/>
      <c r="BU1662" s="305"/>
      <c r="BV1662" s="305"/>
      <c r="BX1662" s="319"/>
    </row>
    <row r="1663" spans="1:76" s="303" customFormat="1" x14ac:dyDescent="0.25">
      <c r="A1663" s="275"/>
      <c r="B1663" s="275"/>
      <c r="C1663" s="275"/>
      <c r="D1663" s="275"/>
      <c r="E1663" s="275"/>
      <c r="F1663" s="275"/>
      <c r="V1663" s="304"/>
      <c r="W1663" s="304"/>
      <c r="AD1663" s="304"/>
      <c r="AE1663" s="304"/>
      <c r="AR1663" s="304"/>
      <c r="AS1663" s="304"/>
      <c r="AT1663" s="304"/>
      <c r="AU1663" s="304"/>
      <c r="AV1663" s="304"/>
      <c r="AW1663" s="304"/>
      <c r="AX1663" s="304"/>
      <c r="AY1663" s="304"/>
      <c r="AZ1663" s="304"/>
      <c r="BA1663" s="304"/>
      <c r="BB1663" s="304"/>
      <c r="BC1663" s="304"/>
      <c r="BK1663" s="305"/>
      <c r="BL1663" s="305"/>
      <c r="BM1663" s="305"/>
      <c r="BN1663" s="305"/>
      <c r="BO1663" s="305"/>
      <c r="BP1663" s="305"/>
      <c r="BQ1663" s="305"/>
      <c r="BR1663" s="305"/>
      <c r="BS1663" s="305"/>
      <c r="BT1663" s="305"/>
      <c r="BU1663" s="305"/>
      <c r="BV1663" s="305"/>
      <c r="BX1663" s="319"/>
    </row>
    <row r="1664" spans="1:76" s="303" customFormat="1" x14ac:dyDescent="0.25">
      <c r="A1664" s="275"/>
      <c r="B1664" s="275"/>
      <c r="C1664" s="275"/>
      <c r="D1664" s="275"/>
      <c r="E1664" s="275"/>
      <c r="F1664" s="275"/>
      <c r="V1664" s="304"/>
      <c r="W1664" s="304"/>
      <c r="AD1664" s="304"/>
      <c r="AE1664" s="304"/>
      <c r="AR1664" s="304"/>
      <c r="AS1664" s="304"/>
      <c r="AT1664" s="304"/>
      <c r="AU1664" s="304"/>
      <c r="AV1664" s="304"/>
      <c r="AW1664" s="304"/>
      <c r="AX1664" s="304"/>
      <c r="AY1664" s="304"/>
      <c r="AZ1664" s="304"/>
      <c r="BA1664" s="304"/>
      <c r="BB1664" s="304"/>
      <c r="BC1664" s="304"/>
      <c r="BK1664" s="305"/>
      <c r="BL1664" s="305"/>
      <c r="BM1664" s="305"/>
      <c r="BN1664" s="305"/>
      <c r="BO1664" s="305"/>
      <c r="BP1664" s="305"/>
      <c r="BQ1664" s="305"/>
      <c r="BR1664" s="305"/>
      <c r="BS1664" s="305"/>
      <c r="BT1664" s="305"/>
      <c r="BU1664" s="305"/>
      <c r="BV1664" s="305"/>
      <c r="BX1664" s="319"/>
    </row>
    <row r="1665" spans="1:76" s="303" customFormat="1" x14ac:dyDescent="0.25">
      <c r="A1665" s="275"/>
      <c r="B1665" s="275"/>
      <c r="C1665" s="275"/>
      <c r="D1665" s="275"/>
      <c r="E1665" s="275"/>
      <c r="F1665" s="275"/>
      <c r="V1665" s="304"/>
      <c r="W1665" s="304"/>
      <c r="AD1665" s="304"/>
      <c r="AE1665" s="304"/>
      <c r="AR1665" s="304"/>
      <c r="AS1665" s="304"/>
      <c r="AT1665" s="304"/>
      <c r="AU1665" s="304"/>
      <c r="AV1665" s="304"/>
      <c r="AW1665" s="304"/>
      <c r="AX1665" s="304"/>
      <c r="AY1665" s="304"/>
      <c r="AZ1665" s="304"/>
      <c r="BA1665" s="304"/>
      <c r="BB1665" s="304"/>
      <c r="BC1665" s="304"/>
      <c r="BK1665" s="305"/>
      <c r="BL1665" s="305"/>
      <c r="BM1665" s="305"/>
      <c r="BN1665" s="305"/>
      <c r="BO1665" s="305"/>
      <c r="BP1665" s="305"/>
      <c r="BQ1665" s="305"/>
      <c r="BR1665" s="305"/>
      <c r="BS1665" s="305"/>
      <c r="BT1665" s="305"/>
      <c r="BU1665" s="305"/>
      <c r="BV1665" s="305"/>
      <c r="BX1665" s="319"/>
    </row>
    <row r="1666" spans="1:76" s="303" customFormat="1" x14ac:dyDescent="0.25">
      <c r="A1666" s="275"/>
      <c r="B1666" s="275"/>
      <c r="C1666" s="275"/>
      <c r="D1666" s="275"/>
      <c r="E1666" s="275"/>
      <c r="F1666" s="275"/>
      <c r="V1666" s="304"/>
      <c r="W1666" s="304"/>
      <c r="AD1666" s="304"/>
      <c r="AE1666" s="304"/>
      <c r="AR1666" s="304"/>
      <c r="AS1666" s="304"/>
      <c r="AT1666" s="304"/>
      <c r="AU1666" s="304"/>
      <c r="AV1666" s="304"/>
      <c r="AW1666" s="304"/>
      <c r="AX1666" s="304"/>
      <c r="AY1666" s="304"/>
      <c r="AZ1666" s="304"/>
      <c r="BA1666" s="304"/>
      <c r="BB1666" s="304"/>
      <c r="BC1666" s="304"/>
      <c r="BK1666" s="305"/>
      <c r="BL1666" s="305"/>
      <c r="BM1666" s="305"/>
      <c r="BN1666" s="305"/>
      <c r="BO1666" s="305"/>
      <c r="BP1666" s="305"/>
      <c r="BQ1666" s="305"/>
      <c r="BR1666" s="305"/>
      <c r="BS1666" s="305"/>
      <c r="BT1666" s="305"/>
      <c r="BU1666" s="305"/>
      <c r="BV1666" s="305"/>
      <c r="BX1666" s="319"/>
    </row>
    <row r="1667" spans="1:76" s="303" customFormat="1" x14ac:dyDescent="0.25">
      <c r="A1667" s="275"/>
      <c r="B1667" s="275"/>
      <c r="C1667" s="275"/>
      <c r="D1667" s="275"/>
      <c r="E1667" s="275"/>
      <c r="F1667" s="275"/>
      <c r="V1667" s="304"/>
      <c r="W1667" s="304"/>
      <c r="AD1667" s="304"/>
      <c r="AE1667" s="304"/>
      <c r="AR1667" s="304"/>
      <c r="AS1667" s="304"/>
      <c r="AT1667" s="304"/>
      <c r="AU1667" s="304"/>
      <c r="AV1667" s="304"/>
      <c r="AW1667" s="304"/>
      <c r="AX1667" s="304"/>
      <c r="AY1667" s="304"/>
      <c r="AZ1667" s="304"/>
      <c r="BA1667" s="304"/>
      <c r="BB1667" s="304"/>
      <c r="BC1667" s="304"/>
      <c r="BK1667" s="305"/>
      <c r="BL1667" s="305"/>
      <c r="BM1667" s="305"/>
      <c r="BN1667" s="305"/>
      <c r="BO1667" s="305"/>
      <c r="BP1667" s="305"/>
      <c r="BQ1667" s="305"/>
      <c r="BR1667" s="305"/>
      <c r="BS1667" s="305"/>
      <c r="BT1667" s="305"/>
      <c r="BU1667" s="305"/>
      <c r="BV1667" s="305"/>
      <c r="BX1667" s="319"/>
    </row>
    <row r="1668" spans="1:76" s="303" customFormat="1" x14ac:dyDescent="0.25">
      <c r="A1668" s="275"/>
      <c r="B1668" s="275"/>
      <c r="C1668" s="275"/>
      <c r="D1668" s="275"/>
      <c r="E1668" s="275"/>
      <c r="F1668" s="275"/>
      <c r="V1668" s="304"/>
      <c r="W1668" s="304"/>
      <c r="AD1668" s="304"/>
      <c r="AE1668" s="304"/>
      <c r="AR1668" s="304"/>
      <c r="AS1668" s="304"/>
      <c r="AT1668" s="304"/>
      <c r="AU1668" s="304"/>
      <c r="AV1668" s="304"/>
      <c r="AW1668" s="304"/>
      <c r="AX1668" s="304"/>
      <c r="AY1668" s="304"/>
      <c r="AZ1668" s="304"/>
      <c r="BA1668" s="304"/>
      <c r="BB1668" s="304"/>
      <c r="BC1668" s="304"/>
      <c r="BK1668" s="305"/>
      <c r="BL1668" s="305"/>
      <c r="BM1668" s="305"/>
      <c r="BN1668" s="305"/>
      <c r="BO1668" s="305"/>
      <c r="BP1668" s="305"/>
      <c r="BQ1668" s="305"/>
      <c r="BR1668" s="305"/>
      <c r="BS1668" s="305"/>
      <c r="BT1668" s="305"/>
      <c r="BU1668" s="305"/>
      <c r="BV1668" s="305"/>
      <c r="BX1668" s="319"/>
    </row>
    <row r="1669" spans="1:76" s="303" customFormat="1" x14ac:dyDescent="0.25">
      <c r="A1669" s="275"/>
      <c r="B1669" s="275"/>
      <c r="C1669" s="275"/>
      <c r="D1669" s="275"/>
      <c r="E1669" s="275"/>
      <c r="F1669" s="275"/>
      <c r="V1669" s="304"/>
      <c r="W1669" s="304"/>
      <c r="AD1669" s="304"/>
      <c r="AE1669" s="304"/>
      <c r="AR1669" s="304"/>
      <c r="AS1669" s="304"/>
      <c r="AT1669" s="304"/>
      <c r="AU1669" s="304"/>
      <c r="AV1669" s="304"/>
      <c r="AW1669" s="304"/>
      <c r="AX1669" s="304"/>
      <c r="AY1669" s="304"/>
      <c r="AZ1669" s="304"/>
      <c r="BA1669" s="304"/>
      <c r="BB1669" s="304"/>
      <c r="BC1669" s="304"/>
      <c r="BK1669" s="305"/>
      <c r="BL1669" s="305"/>
      <c r="BM1669" s="305"/>
      <c r="BN1669" s="305"/>
      <c r="BO1669" s="305"/>
      <c r="BP1669" s="305"/>
      <c r="BQ1669" s="305"/>
      <c r="BR1669" s="305"/>
      <c r="BS1669" s="305"/>
      <c r="BT1669" s="305"/>
      <c r="BU1669" s="305"/>
      <c r="BV1669" s="305"/>
      <c r="BX1669" s="319"/>
    </row>
    <row r="1670" spans="1:76" s="303" customFormat="1" x14ac:dyDescent="0.25">
      <c r="A1670" s="275"/>
      <c r="B1670" s="275"/>
      <c r="C1670" s="275"/>
      <c r="D1670" s="275"/>
      <c r="E1670" s="275"/>
      <c r="F1670" s="275"/>
      <c r="V1670" s="304"/>
      <c r="W1670" s="304"/>
      <c r="AD1670" s="304"/>
      <c r="AE1670" s="304"/>
      <c r="AR1670" s="304"/>
      <c r="AS1670" s="304"/>
      <c r="AT1670" s="304"/>
      <c r="AU1670" s="304"/>
      <c r="AV1670" s="304"/>
      <c r="AW1670" s="304"/>
      <c r="AX1670" s="304"/>
      <c r="AY1670" s="304"/>
      <c r="AZ1670" s="304"/>
      <c r="BA1670" s="304"/>
      <c r="BB1670" s="304"/>
      <c r="BC1670" s="304"/>
      <c r="BK1670" s="305"/>
      <c r="BL1670" s="305"/>
      <c r="BM1670" s="305"/>
      <c r="BN1670" s="305"/>
      <c r="BO1670" s="305"/>
      <c r="BP1670" s="305"/>
      <c r="BQ1670" s="305"/>
      <c r="BR1670" s="305"/>
      <c r="BS1670" s="305"/>
      <c r="BT1670" s="305"/>
      <c r="BU1670" s="305"/>
      <c r="BV1670" s="305"/>
      <c r="BX1670" s="319"/>
    </row>
    <row r="1671" spans="1:76" s="303" customFormat="1" x14ac:dyDescent="0.25">
      <c r="A1671" s="275"/>
      <c r="B1671" s="275"/>
      <c r="C1671" s="275"/>
      <c r="D1671" s="275"/>
      <c r="E1671" s="275"/>
      <c r="F1671" s="275"/>
      <c r="V1671" s="304"/>
      <c r="W1671" s="304"/>
      <c r="AD1671" s="304"/>
      <c r="AE1671" s="304"/>
      <c r="AR1671" s="304"/>
      <c r="AS1671" s="304"/>
      <c r="AT1671" s="304"/>
      <c r="AU1671" s="304"/>
      <c r="AV1671" s="304"/>
      <c r="AW1671" s="304"/>
      <c r="AX1671" s="304"/>
      <c r="AY1671" s="304"/>
      <c r="AZ1671" s="304"/>
      <c r="BA1671" s="304"/>
      <c r="BB1671" s="304"/>
      <c r="BC1671" s="304"/>
      <c r="BK1671" s="305"/>
      <c r="BL1671" s="305"/>
      <c r="BM1671" s="305"/>
      <c r="BN1671" s="305"/>
      <c r="BO1671" s="305"/>
      <c r="BP1671" s="305"/>
      <c r="BQ1671" s="305"/>
      <c r="BR1671" s="305"/>
      <c r="BS1671" s="305"/>
      <c r="BT1671" s="305"/>
      <c r="BU1671" s="305"/>
      <c r="BV1671" s="305"/>
      <c r="BX1671" s="319"/>
    </row>
    <row r="1672" spans="1:76" s="303" customFormat="1" x14ac:dyDescent="0.25">
      <c r="A1672" s="275"/>
      <c r="B1672" s="275"/>
      <c r="C1672" s="275"/>
      <c r="D1672" s="275"/>
      <c r="E1672" s="275"/>
      <c r="F1672" s="275"/>
      <c r="V1672" s="304"/>
      <c r="W1672" s="304"/>
      <c r="AD1672" s="304"/>
      <c r="AE1672" s="304"/>
      <c r="AR1672" s="304"/>
      <c r="AS1672" s="304"/>
      <c r="AT1672" s="304"/>
      <c r="AU1672" s="304"/>
      <c r="AV1672" s="304"/>
      <c r="AW1672" s="304"/>
      <c r="AX1672" s="304"/>
      <c r="AY1672" s="304"/>
      <c r="AZ1672" s="304"/>
      <c r="BA1672" s="304"/>
      <c r="BB1672" s="304"/>
      <c r="BC1672" s="304"/>
      <c r="BK1672" s="305"/>
      <c r="BL1672" s="305"/>
      <c r="BM1672" s="305"/>
      <c r="BN1672" s="305"/>
      <c r="BO1672" s="305"/>
      <c r="BP1672" s="305"/>
      <c r="BQ1672" s="305"/>
      <c r="BR1672" s="305"/>
      <c r="BS1672" s="305"/>
      <c r="BT1672" s="305"/>
      <c r="BU1672" s="305"/>
      <c r="BV1672" s="305"/>
      <c r="BX1672" s="319"/>
    </row>
    <row r="1673" spans="1:76" s="303" customFormat="1" x14ac:dyDescent="0.25">
      <c r="A1673" s="275"/>
      <c r="B1673" s="275"/>
      <c r="C1673" s="275"/>
      <c r="D1673" s="275"/>
      <c r="E1673" s="275"/>
      <c r="F1673" s="275"/>
      <c r="V1673" s="304"/>
      <c r="W1673" s="304"/>
      <c r="AD1673" s="304"/>
      <c r="AE1673" s="304"/>
      <c r="AR1673" s="304"/>
      <c r="AS1673" s="304"/>
      <c r="AT1673" s="304"/>
      <c r="AU1673" s="304"/>
      <c r="AV1673" s="304"/>
      <c r="AW1673" s="304"/>
      <c r="AX1673" s="304"/>
      <c r="AY1673" s="304"/>
      <c r="AZ1673" s="304"/>
      <c r="BA1673" s="304"/>
      <c r="BB1673" s="304"/>
      <c r="BC1673" s="304"/>
      <c r="BK1673" s="305"/>
      <c r="BL1673" s="305"/>
      <c r="BM1673" s="305"/>
      <c r="BN1673" s="305"/>
      <c r="BO1673" s="305"/>
      <c r="BP1673" s="305"/>
      <c r="BQ1673" s="305"/>
      <c r="BR1673" s="305"/>
      <c r="BS1673" s="305"/>
      <c r="BT1673" s="305"/>
      <c r="BU1673" s="305"/>
      <c r="BV1673" s="305"/>
      <c r="BX1673" s="319"/>
    </row>
    <row r="1674" spans="1:76" s="303" customFormat="1" x14ac:dyDescent="0.25">
      <c r="A1674" s="275"/>
      <c r="B1674" s="275"/>
      <c r="C1674" s="275"/>
      <c r="D1674" s="275"/>
      <c r="E1674" s="275"/>
      <c r="F1674" s="275"/>
      <c r="V1674" s="304"/>
      <c r="W1674" s="304"/>
      <c r="AD1674" s="304"/>
      <c r="AE1674" s="304"/>
      <c r="AR1674" s="304"/>
      <c r="AS1674" s="304"/>
      <c r="AT1674" s="304"/>
      <c r="AU1674" s="304"/>
      <c r="AV1674" s="304"/>
      <c r="AW1674" s="304"/>
      <c r="AX1674" s="304"/>
      <c r="AY1674" s="304"/>
      <c r="AZ1674" s="304"/>
      <c r="BA1674" s="304"/>
      <c r="BB1674" s="304"/>
      <c r="BC1674" s="304"/>
      <c r="BK1674" s="305"/>
      <c r="BL1674" s="305"/>
      <c r="BM1674" s="305"/>
      <c r="BN1674" s="305"/>
      <c r="BO1674" s="305"/>
      <c r="BP1674" s="305"/>
      <c r="BQ1674" s="305"/>
      <c r="BR1674" s="305"/>
      <c r="BS1674" s="305"/>
      <c r="BT1674" s="305"/>
      <c r="BU1674" s="305"/>
      <c r="BV1674" s="305"/>
      <c r="BX1674" s="319"/>
    </row>
    <row r="1675" spans="1:76" s="303" customFormat="1" x14ac:dyDescent="0.25">
      <c r="A1675" s="275"/>
      <c r="B1675" s="275"/>
      <c r="C1675" s="275"/>
      <c r="D1675" s="275"/>
      <c r="E1675" s="275"/>
      <c r="F1675" s="275"/>
      <c r="V1675" s="304"/>
      <c r="W1675" s="304"/>
      <c r="AD1675" s="304"/>
      <c r="AE1675" s="304"/>
      <c r="AR1675" s="304"/>
      <c r="AS1675" s="304"/>
      <c r="AT1675" s="304"/>
      <c r="AU1675" s="304"/>
      <c r="AV1675" s="304"/>
      <c r="AW1675" s="304"/>
      <c r="AX1675" s="304"/>
      <c r="AY1675" s="304"/>
      <c r="AZ1675" s="304"/>
      <c r="BA1675" s="304"/>
      <c r="BB1675" s="304"/>
      <c r="BC1675" s="304"/>
      <c r="BK1675" s="305"/>
      <c r="BL1675" s="305"/>
      <c r="BM1675" s="305"/>
      <c r="BN1675" s="305"/>
      <c r="BO1675" s="305"/>
      <c r="BP1675" s="305"/>
      <c r="BQ1675" s="305"/>
      <c r="BR1675" s="305"/>
      <c r="BS1675" s="305"/>
      <c r="BT1675" s="305"/>
      <c r="BU1675" s="305"/>
      <c r="BV1675" s="305"/>
      <c r="BX1675" s="319"/>
    </row>
    <row r="1676" spans="1:76" s="303" customFormat="1" x14ac:dyDescent="0.25">
      <c r="A1676" s="275"/>
      <c r="B1676" s="275"/>
      <c r="C1676" s="275"/>
      <c r="D1676" s="275"/>
      <c r="E1676" s="275"/>
      <c r="F1676" s="275"/>
      <c r="V1676" s="304"/>
      <c r="W1676" s="304"/>
      <c r="AD1676" s="304"/>
      <c r="AE1676" s="304"/>
      <c r="AR1676" s="304"/>
      <c r="AS1676" s="304"/>
      <c r="AT1676" s="304"/>
      <c r="AU1676" s="304"/>
      <c r="AV1676" s="304"/>
      <c r="AW1676" s="304"/>
      <c r="AX1676" s="304"/>
      <c r="AY1676" s="304"/>
      <c r="AZ1676" s="304"/>
      <c r="BA1676" s="304"/>
      <c r="BB1676" s="304"/>
      <c r="BC1676" s="304"/>
      <c r="BK1676" s="305"/>
      <c r="BL1676" s="305"/>
      <c r="BM1676" s="305"/>
      <c r="BN1676" s="305"/>
      <c r="BO1676" s="305"/>
      <c r="BP1676" s="305"/>
      <c r="BQ1676" s="305"/>
      <c r="BR1676" s="305"/>
      <c r="BS1676" s="305"/>
      <c r="BT1676" s="305"/>
      <c r="BU1676" s="305"/>
      <c r="BV1676" s="305"/>
      <c r="BX1676" s="319"/>
    </row>
    <row r="1677" spans="1:76" s="303" customFormat="1" x14ac:dyDescent="0.25">
      <c r="A1677" s="275"/>
      <c r="B1677" s="275"/>
      <c r="C1677" s="275"/>
      <c r="D1677" s="275"/>
      <c r="E1677" s="275"/>
      <c r="F1677" s="275"/>
      <c r="V1677" s="304"/>
      <c r="W1677" s="304"/>
      <c r="AD1677" s="304"/>
      <c r="AE1677" s="304"/>
      <c r="AR1677" s="304"/>
      <c r="AS1677" s="304"/>
      <c r="AT1677" s="304"/>
      <c r="AU1677" s="304"/>
      <c r="AV1677" s="304"/>
      <c r="AW1677" s="304"/>
      <c r="AX1677" s="304"/>
      <c r="AY1677" s="304"/>
      <c r="AZ1677" s="304"/>
      <c r="BA1677" s="304"/>
      <c r="BB1677" s="304"/>
      <c r="BC1677" s="304"/>
      <c r="BK1677" s="305"/>
      <c r="BL1677" s="305"/>
      <c r="BM1677" s="305"/>
      <c r="BN1677" s="305"/>
      <c r="BO1677" s="305"/>
      <c r="BP1677" s="305"/>
      <c r="BQ1677" s="305"/>
      <c r="BR1677" s="305"/>
      <c r="BS1677" s="305"/>
      <c r="BT1677" s="305"/>
      <c r="BU1677" s="305"/>
      <c r="BV1677" s="305"/>
      <c r="BX1677" s="319"/>
    </row>
    <row r="1678" spans="1:76" s="303" customFormat="1" x14ac:dyDescent="0.25">
      <c r="A1678" s="275"/>
      <c r="B1678" s="275"/>
      <c r="C1678" s="275"/>
      <c r="D1678" s="275"/>
      <c r="E1678" s="275"/>
      <c r="F1678" s="275"/>
      <c r="V1678" s="304"/>
      <c r="W1678" s="304"/>
      <c r="AD1678" s="304"/>
      <c r="AE1678" s="304"/>
      <c r="AR1678" s="304"/>
      <c r="AS1678" s="304"/>
      <c r="AT1678" s="304"/>
      <c r="AU1678" s="304"/>
      <c r="AV1678" s="304"/>
      <c r="AW1678" s="304"/>
      <c r="AX1678" s="304"/>
      <c r="AY1678" s="304"/>
      <c r="AZ1678" s="304"/>
      <c r="BA1678" s="304"/>
      <c r="BB1678" s="304"/>
      <c r="BC1678" s="304"/>
      <c r="BK1678" s="305"/>
      <c r="BL1678" s="305"/>
      <c r="BM1678" s="305"/>
      <c r="BN1678" s="305"/>
      <c r="BO1678" s="305"/>
      <c r="BP1678" s="305"/>
      <c r="BQ1678" s="305"/>
      <c r="BR1678" s="305"/>
      <c r="BS1678" s="305"/>
      <c r="BT1678" s="305"/>
      <c r="BU1678" s="305"/>
      <c r="BV1678" s="305"/>
      <c r="BX1678" s="319"/>
    </row>
    <row r="1679" spans="1:76" s="303" customFormat="1" x14ac:dyDescent="0.25">
      <c r="A1679" s="275"/>
      <c r="B1679" s="275"/>
      <c r="C1679" s="275"/>
      <c r="D1679" s="275"/>
      <c r="E1679" s="275"/>
      <c r="F1679" s="275"/>
      <c r="V1679" s="304"/>
      <c r="W1679" s="304"/>
      <c r="AD1679" s="304"/>
      <c r="AE1679" s="304"/>
      <c r="AR1679" s="304"/>
      <c r="AS1679" s="304"/>
      <c r="AT1679" s="304"/>
      <c r="AU1679" s="304"/>
      <c r="AV1679" s="304"/>
      <c r="AW1679" s="304"/>
      <c r="AX1679" s="304"/>
      <c r="AY1679" s="304"/>
      <c r="AZ1679" s="304"/>
      <c r="BA1679" s="304"/>
      <c r="BB1679" s="304"/>
      <c r="BC1679" s="304"/>
      <c r="BK1679" s="305"/>
      <c r="BL1679" s="305"/>
      <c r="BM1679" s="305"/>
      <c r="BN1679" s="305"/>
      <c r="BO1679" s="305"/>
      <c r="BP1679" s="305"/>
      <c r="BQ1679" s="305"/>
      <c r="BR1679" s="305"/>
      <c r="BS1679" s="305"/>
      <c r="BT1679" s="305"/>
      <c r="BU1679" s="305"/>
      <c r="BV1679" s="305"/>
      <c r="BX1679" s="319"/>
    </row>
    <row r="1680" spans="1:76" s="303" customFormat="1" x14ac:dyDescent="0.25">
      <c r="A1680" s="275"/>
      <c r="B1680" s="275"/>
      <c r="C1680" s="275"/>
      <c r="D1680" s="275"/>
      <c r="E1680" s="275"/>
      <c r="F1680" s="275"/>
      <c r="V1680" s="304"/>
      <c r="W1680" s="304"/>
      <c r="AD1680" s="304"/>
      <c r="AE1680" s="304"/>
      <c r="AR1680" s="304"/>
      <c r="AS1680" s="304"/>
      <c r="AT1680" s="304"/>
      <c r="AU1680" s="304"/>
      <c r="AV1680" s="304"/>
      <c r="AW1680" s="304"/>
      <c r="AX1680" s="304"/>
      <c r="AY1680" s="304"/>
      <c r="AZ1680" s="304"/>
      <c r="BA1680" s="304"/>
      <c r="BB1680" s="304"/>
      <c r="BC1680" s="304"/>
      <c r="BK1680" s="305"/>
      <c r="BL1680" s="305"/>
      <c r="BM1680" s="305"/>
      <c r="BN1680" s="305"/>
      <c r="BO1680" s="305"/>
      <c r="BP1680" s="305"/>
      <c r="BQ1680" s="305"/>
      <c r="BR1680" s="305"/>
      <c r="BS1680" s="305"/>
      <c r="BT1680" s="305"/>
      <c r="BU1680" s="305"/>
      <c r="BV1680" s="305"/>
      <c r="BX1680" s="319"/>
    </row>
    <row r="1681" spans="1:76" s="303" customFormat="1" x14ac:dyDescent="0.25">
      <c r="A1681" s="275"/>
      <c r="B1681" s="275"/>
      <c r="C1681" s="275"/>
      <c r="D1681" s="275"/>
      <c r="E1681" s="275"/>
      <c r="F1681" s="275"/>
      <c r="V1681" s="304"/>
      <c r="W1681" s="304"/>
      <c r="AD1681" s="304"/>
      <c r="AE1681" s="304"/>
      <c r="AR1681" s="304"/>
      <c r="AS1681" s="304"/>
      <c r="AT1681" s="304"/>
      <c r="AU1681" s="304"/>
      <c r="AV1681" s="304"/>
      <c r="AW1681" s="304"/>
      <c r="AX1681" s="304"/>
      <c r="AY1681" s="304"/>
      <c r="AZ1681" s="304"/>
      <c r="BA1681" s="304"/>
      <c r="BB1681" s="304"/>
      <c r="BC1681" s="304"/>
      <c r="BK1681" s="305"/>
      <c r="BL1681" s="305"/>
      <c r="BM1681" s="305"/>
      <c r="BN1681" s="305"/>
      <c r="BO1681" s="305"/>
      <c r="BP1681" s="305"/>
      <c r="BQ1681" s="305"/>
      <c r="BR1681" s="305"/>
      <c r="BS1681" s="305"/>
      <c r="BT1681" s="305"/>
      <c r="BU1681" s="305"/>
      <c r="BV1681" s="305"/>
      <c r="BX1681" s="319"/>
    </row>
    <row r="1682" spans="1:76" s="303" customFormat="1" x14ac:dyDescent="0.25">
      <c r="A1682" s="275"/>
      <c r="B1682" s="275"/>
      <c r="C1682" s="275"/>
      <c r="D1682" s="275"/>
      <c r="E1682" s="275"/>
      <c r="F1682" s="275"/>
      <c r="V1682" s="304"/>
      <c r="W1682" s="304"/>
      <c r="AD1682" s="304"/>
      <c r="AE1682" s="304"/>
      <c r="AR1682" s="304"/>
      <c r="AS1682" s="304"/>
      <c r="AT1682" s="304"/>
      <c r="AU1682" s="304"/>
      <c r="AV1682" s="304"/>
      <c r="AW1682" s="304"/>
      <c r="AX1682" s="304"/>
      <c r="AY1682" s="304"/>
      <c r="AZ1682" s="304"/>
      <c r="BA1682" s="304"/>
      <c r="BB1682" s="304"/>
      <c r="BC1682" s="304"/>
      <c r="BK1682" s="305"/>
      <c r="BL1682" s="305"/>
      <c r="BM1682" s="305"/>
      <c r="BN1682" s="305"/>
      <c r="BO1682" s="305"/>
      <c r="BP1682" s="305"/>
      <c r="BQ1682" s="305"/>
      <c r="BR1682" s="305"/>
      <c r="BS1682" s="305"/>
      <c r="BT1682" s="305"/>
      <c r="BU1682" s="305"/>
      <c r="BV1682" s="305"/>
      <c r="BX1682" s="319"/>
    </row>
    <row r="1683" spans="1:76" s="303" customFormat="1" x14ac:dyDescent="0.25">
      <c r="A1683" s="275"/>
      <c r="B1683" s="275"/>
      <c r="C1683" s="275"/>
      <c r="D1683" s="275"/>
      <c r="E1683" s="275"/>
      <c r="F1683" s="275"/>
      <c r="V1683" s="304"/>
      <c r="W1683" s="304"/>
      <c r="AD1683" s="304"/>
      <c r="AE1683" s="304"/>
      <c r="AR1683" s="304"/>
      <c r="AS1683" s="304"/>
      <c r="AT1683" s="304"/>
      <c r="AU1683" s="304"/>
      <c r="AV1683" s="304"/>
      <c r="AW1683" s="304"/>
      <c r="AX1683" s="304"/>
      <c r="AY1683" s="304"/>
      <c r="AZ1683" s="304"/>
      <c r="BA1683" s="304"/>
      <c r="BB1683" s="304"/>
      <c r="BC1683" s="304"/>
      <c r="BK1683" s="305"/>
      <c r="BL1683" s="305"/>
      <c r="BM1683" s="305"/>
      <c r="BN1683" s="305"/>
      <c r="BO1683" s="305"/>
      <c r="BP1683" s="305"/>
      <c r="BQ1683" s="305"/>
      <c r="BR1683" s="305"/>
      <c r="BS1683" s="305"/>
      <c r="BT1683" s="305"/>
      <c r="BU1683" s="305"/>
      <c r="BV1683" s="305"/>
      <c r="BX1683" s="319"/>
    </row>
    <row r="1684" spans="1:76" s="303" customFormat="1" x14ac:dyDescent="0.25">
      <c r="A1684" s="275"/>
      <c r="B1684" s="275"/>
      <c r="C1684" s="275"/>
      <c r="D1684" s="275"/>
      <c r="E1684" s="275"/>
      <c r="F1684" s="275"/>
      <c r="V1684" s="304"/>
      <c r="W1684" s="304"/>
      <c r="AD1684" s="304"/>
      <c r="AE1684" s="304"/>
      <c r="AR1684" s="304"/>
      <c r="AS1684" s="304"/>
      <c r="AT1684" s="304"/>
      <c r="AU1684" s="304"/>
      <c r="AV1684" s="304"/>
      <c r="AW1684" s="304"/>
      <c r="AX1684" s="304"/>
      <c r="AY1684" s="304"/>
      <c r="AZ1684" s="304"/>
      <c r="BA1684" s="304"/>
      <c r="BB1684" s="304"/>
      <c r="BC1684" s="304"/>
      <c r="BK1684" s="305"/>
      <c r="BL1684" s="305"/>
      <c r="BM1684" s="305"/>
      <c r="BN1684" s="305"/>
      <c r="BO1684" s="305"/>
      <c r="BP1684" s="305"/>
      <c r="BQ1684" s="305"/>
      <c r="BR1684" s="305"/>
      <c r="BS1684" s="305"/>
      <c r="BT1684" s="305"/>
      <c r="BU1684" s="305"/>
      <c r="BV1684" s="305"/>
      <c r="BX1684" s="319"/>
    </row>
    <row r="1685" spans="1:76" s="303" customFormat="1" x14ac:dyDescent="0.25">
      <c r="A1685" s="275"/>
      <c r="B1685" s="275"/>
      <c r="C1685" s="275"/>
      <c r="D1685" s="275"/>
      <c r="E1685" s="275"/>
      <c r="F1685" s="275"/>
      <c r="V1685" s="304"/>
      <c r="W1685" s="304"/>
      <c r="AD1685" s="304"/>
      <c r="AE1685" s="304"/>
      <c r="AR1685" s="304"/>
      <c r="AS1685" s="304"/>
      <c r="AT1685" s="304"/>
      <c r="AU1685" s="304"/>
      <c r="AV1685" s="304"/>
      <c r="AW1685" s="304"/>
      <c r="AX1685" s="304"/>
      <c r="AY1685" s="304"/>
      <c r="AZ1685" s="304"/>
      <c r="BA1685" s="304"/>
      <c r="BB1685" s="304"/>
      <c r="BC1685" s="304"/>
      <c r="BK1685" s="305"/>
      <c r="BL1685" s="305"/>
      <c r="BM1685" s="305"/>
      <c r="BN1685" s="305"/>
      <c r="BO1685" s="305"/>
      <c r="BP1685" s="305"/>
      <c r="BQ1685" s="305"/>
      <c r="BR1685" s="305"/>
      <c r="BS1685" s="305"/>
      <c r="BT1685" s="305"/>
      <c r="BU1685" s="305"/>
      <c r="BV1685" s="305"/>
      <c r="BX1685" s="319"/>
    </row>
    <row r="1686" spans="1:76" s="303" customFormat="1" x14ac:dyDescent="0.25">
      <c r="A1686" s="275"/>
      <c r="B1686" s="275"/>
      <c r="C1686" s="275"/>
      <c r="D1686" s="275"/>
      <c r="E1686" s="275"/>
      <c r="F1686" s="275"/>
      <c r="V1686" s="304"/>
      <c r="W1686" s="304"/>
      <c r="AD1686" s="304"/>
      <c r="AE1686" s="304"/>
      <c r="AR1686" s="304"/>
      <c r="AS1686" s="304"/>
      <c r="AT1686" s="304"/>
      <c r="AU1686" s="304"/>
      <c r="AV1686" s="304"/>
      <c r="AW1686" s="304"/>
      <c r="AX1686" s="304"/>
      <c r="AY1686" s="304"/>
      <c r="AZ1686" s="304"/>
      <c r="BA1686" s="304"/>
      <c r="BB1686" s="304"/>
      <c r="BC1686" s="304"/>
      <c r="BK1686" s="305"/>
      <c r="BL1686" s="305"/>
      <c r="BM1686" s="305"/>
      <c r="BN1686" s="305"/>
      <c r="BO1686" s="305"/>
      <c r="BP1686" s="305"/>
      <c r="BQ1686" s="305"/>
      <c r="BR1686" s="305"/>
      <c r="BS1686" s="305"/>
      <c r="BT1686" s="305"/>
      <c r="BU1686" s="305"/>
      <c r="BV1686" s="305"/>
      <c r="BX1686" s="319"/>
    </row>
    <row r="1687" spans="1:76" s="303" customFormat="1" x14ac:dyDescent="0.25">
      <c r="A1687" s="275"/>
      <c r="B1687" s="275"/>
      <c r="C1687" s="275"/>
      <c r="D1687" s="275"/>
      <c r="E1687" s="275"/>
      <c r="F1687" s="275"/>
      <c r="V1687" s="304"/>
      <c r="W1687" s="304"/>
      <c r="AD1687" s="304"/>
      <c r="AE1687" s="304"/>
      <c r="AR1687" s="304"/>
      <c r="AS1687" s="304"/>
      <c r="AT1687" s="304"/>
      <c r="AU1687" s="304"/>
      <c r="AV1687" s="304"/>
      <c r="AW1687" s="304"/>
      <c r="AX1687" s="304"/>
      <c r="AY1687" s="304"/>
      <c r="AZ1687" s="304"/>
      <c r="BA1687" s="304"/>
      <c r="BB1687" s="304"/>
      <c r="BC1687" s="304"/>
      <c r="BK1687" s="305"/>
      <c r="BL1687" s="305"/>
      <c r="BM1687" s="305"/>
      <c r="BN1687" s="305"/>
      <c r="BO1687" s="305"/>
      <c r="BP1687" s="305"/>
      <c r="BQ1687" s="305"/>
      <c r="BR1687" s="305"/>
      <c r="BS1687" s="305"/>
      <c r="BT1687" s="305"/>
      <c r="BU1687" s="305"/>
      <c r="BV1687" s="305"/>
      <c r="BX1687" s="319"/>
    </row>
    <row r="1688" spans="1:76" s="303" customFormat="1" x14ac:dyDescent="0.25">
      <c r="A1688" s="275"/>
      <c r="B1688" s="275"/>
      <c r="C1688" s="275"/>
      <c r="D1688" s="275"/>
      <c r="E1688" s="275"/>
      <c r="F1688" s="275"/>
      <c r="V1688" s="304"/>
      <c r="W1688" s="304"/>
      <c r="AD1688" s="304"/>
      <c r="AE1688" s="304"/>
      <c r="AR1688" s="304"/>
      <c r="AS1688" s="304"/>
      <c r="AT1688" s="304"/>
      <c r="AU1688" s="304"/>
      <c r="AV1688" s="304"/>
      <c r="AW1688" s="304"/>
      <c r="AX1688" s="304"/>
      <c r="AY1688" s="304"/>
      <c r="AZ1688" s="304"/>
      <c r="BA1688" s="304"/>
      <c r="BB1688" s="304"/>
      <c r="BC1688" s="304"/>
      <c r="BK1688" s="305"/>
      <c r="BL1688" s="305"/>
      <c r="BM1688" s="305"/>
      <c r="BN1688" s="305"/>
      <c r="BO1688" s="305"/>
      <c r="BP1688" s="305"/>
      <c r="BQ1688" s="305"/>
      <c r="BR1688" s="305"/>
      <c r="BS1688" s="305"/>
      <c r="BT1688" s="305"/>
      <c r="BU1688" s="305"/>
      <c r="BV1688" s="305"/>
      <c r="BX1688" s="319"/>
    </row>
    <row r="1689" spans="1:76" s="303" customFormat="1" x14ac:dyDescent="0.25">
      <c r="A1689" s="275"/>
      <c r="B1689" s="275"/>
      <c r="C1689" s="275"/>
      <c r="D1689" s="275"/>
      <c r="E1689" s="275"/>
      <c r="F1689" s="275"/>
      <c r="V1689" s="304"/>
      <c r="W1689" s="304"/>
      <c r="AD1689" s="304"/>
      <c r="AE1689" s="304"/>
      <c r="AR1689" s="304"/>
      <c r="AS1689" s="304"/>
      <c r="AT1689" s="304"/>
      <c r="AU1689" s="304"/>
      <c r="AV1689" s="304"/>
      <c r="AW1689" s="304"/>
      <c r="AX1689" s="304"/>
      <c r="AY1689" s="304"/>
      <c r="AZ1689" s="304"/>
      <c r="BA1689" s="304"/>
      <c r="BB1689" s="304"/>
      <c r="BC1689" s="304"/>
      <c r="BK1689" s="305"/>
      <c r="BL1689" s="305"/>
      <c r="BM1689" s="305"/>
      <c r="BN1689" s="305"/>
      <c r="BO1689" s="305"/>
      <c r="BP1689" s="305"/>
      <c r="BQ1689" s="305"/>
      <c r="BR1689" s="305"/>
      <c r="BS1689" s="305"/>
      <c r="BT1689" s="305"/>
      <c r="BU1689" s="305"/>
      <c r="BV1689" s="305"/>
      <c r="BX1689" s="319"/>
    </row>
    <row r="1690" spans="1:76" s="303" customFormat="1" x14ac:dyDescent="0.25">
      <c r="A1690" s="275"/>
      <c r="B1690" s="275"/>
      <c r="C1690" s="275"/>
      <c r="D1690" s="275"/>
      <c r="E1690" s="275"/>
      <c r="F1690" s="275"/>
      <c r="V1690" s="304"/>
      <c r="W1690" s="304"/>
      <c r="AD1690" s="304"/>
      <c r="AE1690" s="304"/>
      <c r="AR1690" s="304"/>
      <c r="AS1690" s="304"/>
      <c r="AT1690" s="304"/>
      <c r="AU1690" s="304"/>
      <c r="AV1690" s="304"/>
      <c r="AW1690" s="304"/>
      <c r="AX1690" s="304"/>
      <c r="AY1690" s="304"/>
      <c r="AZ1690" s="304"/>
      <c r="BA1690" s="304"/>
      <c r="BB1690" s="304"/>
      <c r="BC1690" s="304"/>
      <c r="BK1690" s="305"/>
      <c r="BL1690" s="305"/>
      <c r="BM1690" s="305"/>
      <c r="BN1690" s="305"/>
      <c r="BO1690" s="305"/>
      <c r="BP1690" s="305"/>
      <c r="BQ1690" s="305"/>
      <c r="BR1690" s="305"/>
      <c r="BS1690" s="305"/>
      <c r="BT1690" s="305"/>
      <c r="BU1690" s="305"/>
      <c r="BV1690" s="305"/>
      <c r="BX1690" s="319"/>
    </row>
    <row r="1691" spans="1:76" s="303" customFormat="1" x14ac:dyDescent="0.25">
      <c r="A1691" s="275"/>
      <c r="B1691" s="275"/>
      <c r="C1691" s="275"/>
      <c r="D1691" s="275"/>
      <c r="E1691" s="275"/>
      <c r="F1691" s="275"/>
      <c r="V1691" s="304"/>
      <c r="W1691" s="304"/>
      <c r="AD1691" s="304"/>
      <c r="AE1691" s="304"/>
      <c r="AR1691" s="304"/>
      <c r="AS1691" s="304"/>
      <c r="AT1691" s="304"/>
      <c r="AU1691" s="304"/>
      <c r="AV1691" s="304"/>
      <c r="AW1691" s="304"/>
      <c r="AX1691" s="304"/>
      <c r="AY1691" s="304"/>
      <c r="AZ1691" s="304"/>
      <c r="BA1691" s="304"/>
      <c r="BB1691" s="304"/>
      <c r="BC1691" s="304"/>
      <c r="BK1691" s="305"/>
      <c r="BL1691" s="305"/>
      <c r="BM1691" s="305"/>
      <c r="BN1691" s="305"/>
      <c r="BO1691" s="305"/>
      <c r="BP1691" s="305"/>
      <c r="BQ1691" s="305"/>
      <c r="BR1691" s="305"/>
      <c r="BS1691" s="305"/>
      <c r="BT1691" s="305"/>
      <c r="BU1691" s="305"/>
      <c r="BV1691" s="305"/>
      <c r="BX1691" s="319"/>
    </row>
    <row r="1692" spans="1:76" s="303" customFormat="1" x14ac:dyDescent="0.25">
      <c r="A1692" s="275"/>
      <c r="B1692" s="275"/>
      <c r="C1692" s="275"/>
      <c r="D1692" s="275"/>
      <c r="E1692" s="275"/>
      <c r="F1692" s="275"/>
      <c r="V1692" s="304"/>
      <c r="W1692" s="304"/>
      <c r="AD1692" s="304"/>
      <c r="AE1692" s="304"/>
      <c r="AR1692" s="304"/>
      <c r="AS1692" s="304"/>
      <c r="AT1692" s="304"/>
      <c r="AU1692" s="304"/>
      <c r="AV1692" s="304"/>
      <c r="AW1692" s="304"/>
      <c r="AX1692" s="304"/>
      <c r="AY1692" s="304"/>
      <c r="AZ1692" s="304"/>
      <c r="BA1692" s="304"/>
      <c r="BB1692" s="304"/>
      <c r="BC1692" s="304"/>
      <c r="BK1692" s="305"/>
      <c r="BL1692" s="305"/>
      <c r="BM1692" s="305"/>
      <c r="BN1692" s="305"/>
      <c r="BO1692" s="305"/>
      <c r="BP1692" s="305"/>
      <c r="BQ1692" s="305"/>
      <c r="BR1692" s="305"/>
      <c r="BS1692" s="305"/>
      <c r="BT1692" s="305"/>
      <c r="BU1692" s="305"/>
      <c r="BV1692" s="305"/>
      <c r="BX1692" s="319"/>
    </row>
    <row r="1693" spans="1:76" s="303" customFormat="1" x14ac:dyDescent="0.25">
      <c r="A1693" s="275"/>
      <c r="B1693" s="275"/>
      <c r="C1693" s="275"/>
      <c r="D1693" s="275"/>
      <c r="E1693" s="275"/>
      <c r="F1693" s="275"/>
      <c r="V1693" s="304"/>
      <c r="W1693" s="304"/>
      <c r="AD1693" s="304"/>
      <c r="AE1693" s="304"/>
      <c r="AR1693" s="304"/>
      <c r="AS1693" s="304"/>
      <c r="AT1693" s="304"/>
      <c r="AU1693" s="304"/>
      <c r="AV1693" s="304"/>
      <c r="AW1693" s="304"/>
      <c r="AX1693" s="304"/>
      <c r="AY1693" s="304"/>
      <c r="AZ1693" s="304"/>
      <c r="BA1693" s="304"/>
      <c r="BB1693" s="304"/>
      <c r="BC1693" s="304"/>
      <c r="BK1693" s="305"/>
      <c r="BL1693" s="305"/>
      <c r="BM1693" s="305"/>
      <c r="BN1693" s="305"/>
      <c r="BO1693" s="305"/>
      <c r="BP1693" s="305"/>
      <c r="BQ1693" s="305"/>
      <c r="BR1693" s="305"/>
      <c r="BS1693" s="305"/>
      <c r="BT1693" s="305"/>
      <c r="BU1693" s="305"/>
      <c r="BV1693" s="305"/>
      <c r="BX1693" s="319"/>
    </row>
    <row r="1694" spans="1:76" s="303" customFormat="1" x14ac:dyDescent="0.25">
      <c r="A1694" s="275"/>
      <c r="B1694" s="275"/>
      <c r="C1694" s="275"/>
      <c r="D1694" s="275"/>
      <c r="E1694" s="275"/>
      <c r="F1694" s="275"/>
      <c r="V1694" s="304"/>
      <c r="W1694" s="304"/>
      <c r="AD1694" s="304"/>
      <c r="AE1694" s="304"/>
      <c r="AR1694" s="304"/>
      <c r="AS1694" s="304"/>
      <c r="AT1694" s="304"/>
      <c r="AU1694" s="304"/>
      <c r="AV1694" s="304"/>
      <c r="AW1694" s="304"/>
      <c r="AX1694" s="304"/>
      <c r="AY1694" s="304"/>
      <c r="AZ1694" s="304"/>
      <c r="BA1694" s="304"/>
      <c r="BB1694" s="304"/>
      <c r="BC1694" s="304"/>
      <c r="BK1694" s="305"/>
      <c r="BL1694" s="305"/>
      <c r="BM1694" s="305"/>
      <c r="BN1694" s="305"/>
      <c r="BO1694" s="305"/>
      <c r="BP1694" s="305"/>
      <c r="BQ1694" s="305"/>
      <c r="BR1694" s="305"/>
      <c r="BS1694" s="305"/>
      <c r="BT1694" s="305"/>
      <c r="BU1694" s="305"/>
      <c r="BV1694" s="305"/>
      <c r="BX1694" s="319"/>
    </row>
    <row r="1695" spans="1:76" s="303" customFormat="1" x14ac:dyDescent="0.25">
      <c r="A1695" s="275"/>
      <c r="B1695" s="275"/>
      <c r="C1695" s="275"/>
      <c r="D1695" s="275"/>
      <c r="E1695" s="275"/>
      <c r="F1695" s="275"/>
      <c r="V1695" s="304"/>
      <c r="W1695" s="304"/>
      <c r="AD1695" s="304"/>
      <c r="AE1695" s="304"/>
      <c r="AR1695" s="304"/>
      <c r="AS1695" s="304"/>
      <c r="AT1695" s="304"/>
      <c r="AU1695" s="304"/>
      <c r="AV1695" s="304"/>
      <c r="AW1695" s="304"/>
      <c r="AX1695" s="304"/>
      <c r="AY1695" s="304"/>
      <c r="AZ1695" s="304"/>
      <c r="BA1695" s="304"/>
      <c r="BB1695" s="304"/>
      <c r="BC1695" s="304"/>
      <c r="BK1695" s="305"/>
      <c r="BL1695" s="305"/>
      <c r="BM1695" s="305"/>
      <c r="BN1695" s="305"/>
      <c r="BO1695" s="305"/>
      <c r="BP1695" s="305"/>
      <c r="BQ1695" s="305"/>
      <c r="BR1695" s="305"/>
      <c r="BS1695" s="305"/>
      <c r="BT1695" s="305"/>
      <c r="BU1695" s="305"/>
      <c r="BV1695" s="305"/>
      <c r="BX1695" s="319"/>
    </row>
    <row r="1696" spans="1:76" s="303" customFormat="1" x14ac:dyDescent="0.25">
      <c r="A1696" s="275"/>
      <c r="B1696" s="275"/>
      <c r="C1696" s="275"/>
      <c r="D1696" s="275"/>
      <c r="E1696" s="275"/>
      <c r="F1696" s="275"/>
      <c r="V1696" s="304"/>
      <c r="W1696" s="304"/>
      <c r="AD1696" s="304"/>
      <c r="AE1696" s="304"/>
      <c r="AR1696" s="304"/>
      <c r="AS1696" s="304"/>
      <c r="AT1696" s="304"/>
      <c r="AU1696" s="304"/>
      <c r="AV1696" s="304"/>
      <c r="AW1696" s="304"/>
      <c r="AX1696" s="304"/>
      <c r="AY1696" s="304"/>
      <c r="AZ1696" s="304"/>
      <c r="BA1696" s="304"/>
      <c r="BB1696" s="304"/>
      <c r="BC1696" s="304"/>
      <c r="BK1696" s="305"/>
      <c r="BL1696" s="305"/>
      <c r="BM1696" s="305"/>
      <c r="BN1696" s="305"/>
      <c r="BO1696" s="305"/>
      <c r="BP1696" s="305"/>
      <c r="BQ1696" s="305"/>
      <c r="BR1696" s="305"/>
      <c r="BS1696" s="305"/>
      <c r="BT1696" s="305"/>
      <c r="BU1696" s="305"/>
      <c r="BV1696" s="305"/>
      <c r="BX1696" s="319"/>
    </row>
    <row r="1697" spans="1:76" s="303" customFormat="1" x14ac:dyDescent="0.25">
      <c r="A1697" s="275"/>
      <c r="B1697" s="275"/>
      <c r="C1697" s="275"/>
      <c r="D1697" s="275"/>
      <c r="E1697" s="275"/>
      <c r="F1697" s="275"/>
      <c r="V1697" s="304"/>
      <c r="W1697" s="304"/>
      <c r="AD1697" s="304"/>
      <c r="AE1697" s="304"/>
      <c r="AR1697" s="304"/>
      <c r="AS1697" s="304"/>
      <c r="AT1697" s="304"/>
      <c r="AU1697" s="304"/>
      <c r="AV1697" s="304"/>
      <c r="AW1697" s="304"/>
      <c r="AX1697" s="304"/>
      <c r="AY1697" s="304"/>
      <c r="AZ1697" s="304"/>
      <c r="BA1697" s="304"/>
      <c r="BB1697" s="304"/>
      <c r="BC1697" s="304"/>
      <c r="BK1697" s="305"/>
      <c r="BL1697" s="305"/>
      <c r="BM1697" s="305"/>
      <c r="BN1697" s="305"/>
      <c r="BO1697" s="305"/>
      <c r="BP1697" s="305"/>
      <c r="BQ1697" s="305"/>
      <c r="BR1697" s="305"/>
      <c r="BS1697" s="305"/>
      <c r="BT1697" s="305"/>
      <c r="BU1697" s="305"/>
      <c r="BV1697" s="305"/>
      <c r="BX1697" s="319"/>
    </row>
    <row r="1698" spans="1:76" s="303" customFormat="1" x14ac:dyDescent="0.25">
      <c r="A1698" s="275"/>
      <c r="B1698" s="275"/>
      <c r="C1698" s="275"/>
      <c r="D1698" s="275"/>
      <c r="E1698" s="275"/>
      <c r="F1698" s="275"/>
      <c r="V1698" s="304"/>
      <c r="W1698" s="304"/>
      <c r="AD1698" s="304"/>
      <c r="AE1698" s="304"/>
      <c r="AR1698" s="304"/>
      <c r="AS1698" s="304"/>
      <c r="AT1698" s="304"/>
      <c r="AU1698" s="304"/>
      <c r="AV1698" s="304"/>
      <c r="AW1698" s="304"/>
      <c r="AX1698" s="304"/>
      <c r="AY1698" s="304"/>
      <c r="AZ1698" s="304"/>
      <c r="BA1698" s="304"/>
      <c r="BB1698" s="304"/>
      <c r="BC1698" s="304"/>
      <c r="BK1698" s="305"/>
      <c r="BL1698" s="305"/>
      <c r="BM1698" s="305"/>
      <c r="BN1698" s="305"/>
      <c r="BO1698" s="305"/>
      <c r="BP1698" s="305"/>
      <c r="BQ1698" s="305"/>
      <c r="BR1698" s="305"/>
      <c r="BS1698" s="305"/>
      <c r="BT1698" s="305"/>
      <c r="BU1698" s="305"/>
      <c r="BV1698" s="305"/>
      <c r="BX1698" s="319"/>
    </row>
    <row r="1699" spans="1:76" s="303" customFormat="1" x14ac:dyDescent="0.25">
      <c r="A1699" s="275"/>
      <c r="B1699" s="275"/>
      <c r="C1699" s="275"/>
      <c r="D1699" s="275"/>
      <c r="E1699" s="275"/>
      <c r="F1699" s="275"/>
      <c r="V1699" s="304"/>
      <c r="W1699" s="304"/>
      <c r="AD1699" s="304"/>
      <c r="AE1699" s="304"/>
      <c r="AR1699" s="304"/>
      <c r="AS1699" s="304"/>
      <c r="AT1699" s="304"/>
      <c r="AU1699" s="304"/>
      <c r="AV1699" s="304"/>
      <c r="AW1699" s="304"/>
      <c r="AX1699" s="304"/>
      <c r="AY1699" s="304"/>
      <c r="AZ1699" s="304"/>
      <c r="BA1699" s="304"/>
      <c r="BB1699" s="304"/>
      <c r="BC1699" s="304"/>
      <c r="BK1699" s="305"/>
      <c r="BL1699" s="305"/>
      <c r="BM1699" s="305"/>
      <c r="BN1699" s="305"/>
      <c r="BO1699" s="305"/>
      <c r="BP1699" s="305"/>
      <c r="BQ1699" s="305"/>
      <c r="BR1699" s="305"/>
      <c r="BS1699" s="305"/>
      <c r="BT1699" s="305"/>
      <c r="BU1699" s="305"/>
      <c r="BV1699" s="305"/>
      <c r="BX1699" s="319"/>
    </row>
    <row r="1700" spans="1:76" s="303" customFormat="1" x14ac:dyDescent="0.25">
      <c r="A1700" s="275"/>
      <c r="B1700" s="275"/>
      <c r="C1700" s="275"/>
      <c r="D1700" s="275"/>
      <c r="E1700" s="275"/>
      <c r="F1700" s="275"/>
      <c r="V1700" s="304"/>
      <c r="W1700" s="304"/>
      <c r="AD1700" s="304"/>
      <c r="AE1700" s="304"/>
      <c r="AR1700" s="304"/>
      <c r="AS1700" s="304"/>
      <c r="AT1700" s="304"/>
      <c r="AU1700" s="304"/>
      <c r="AV1700" s="304"/>
      <c r="AW1700" s="304"/>
      <c r="AX1700" s="304"/>
      <c r="AY1700" s="304"/>
      <c r="AZ1700" s="304"/>
      <c r="BA1700" s="304"/>
      <c r="BB1700" s="304"/>
      <c r="BC1700" s="304"/>
      <c r="BK1700" s="305"/>
      <c r="BL1700" s="305"/>
      <c r="BM1700" s="305"/>
      <c r="BN1700" s="305"/>
      <c r="BO1700" s="305"/>
      <c r="BP1700" s="305"/>
      <c r="BQ1700" s="305"/>
      <c r="BR1700" s="305"/>
      <c r="BS1700" s="305"/>
      <c r="BT1700" s="305"/>
      <c r="BU1700" s="305"/>
      <c r="BV1700" s="305"/>
      <c r="BX1700" s="319"/>
    </row>
    <row r="1701" spans="1:76" s="303" customFormat="1" x14ac:dyDescent="0.25">
      <c r="A1701" s="275"/>
      <c r="B1701" s="275"/>
      <c r="C1701" s="275"/>
      <c r="D1701" s="275"/>
      <c r="E1701" s="275"/>
      <c r="F1701" s="275"/>
      <c r="V1701" s="304"/>
      <c r="W1701" s="304"/>
      <c r="AD1701" s="304"/>
      <c r="AE1701" s="304"/>
      <c r="AR1701" s="304"/>
      <c r="AS1701" s="304"/>
      <c r="AT1701" s="304"/>
      <c r="AU1701" s="304"/>
      <c r="AV1701" s="304"/>
      <c r="AW1701" s="304"/>
      <c r="AX1701" s="304"/>
      <c r="AY1701" s="304"/>
      <c r="AZ1701" s="304"/>
      <c r="BA1701" s="304"/>
      <c r="BB1701" s="304"/>
      <c r="BC1701" s="304"/>
      <c r="BK1701" s="305"/>
      <c r="BL1701" s="305"/>
      <c r="BM1701" s="305"/>
      <c r="BN1701" s="305"/>
      <c r="BO1701" s="305"/>
      <c r="BP1701" s="305"/>
      <c r="BQ1701" s="305"/>
      <c r="BR1701" s="305"/>
      <c r="BS1701" s="305"/>
      <c r="BT1701" s="305"/>
      <c r="BU1701" s="305"/>
      <c r="BV1701" s="305"/>
      <c r="BX1701" s="319"/>
    </row>
    <row r="1702" spans="1:76" s="303" customFormat="1" x14ac:dyDescent="0.25">
      <c r="A1702" s="275"/>
      <c r="B1702" s="275"/>
      <c r="C1702" s="275"/>
      <c r="D1702" s="275"/>
      <c r="E1702" s="275"/>
      <c r="F1702" s="275"/>
      <c r="V1702" s="304"/>
      <c r="W1702" s="304"/>
      <c r="AD1702" s="304"/>
      <c r="AE1702" s="304"/>
      <c r="AR1702" s="304"/>
      <c r="AS1702" s="304"/>
      <c r="AT1702" s="304"/>
      <c r="AU1702" s="304"/>
      <c r="AV1702" s="304"/>
      <c r="AW1702" s="304"/>
      <c r="AX1702" s="304"/>
      <c r="AY1702" s="304"/>
      <c r="AZ1702" s="304"/>
      <c r="BA1702" s="304"/>
      <c r="BB1702" s="304"/>
      <c r="BC1702" s="304"/>
      <c r="BK1702" s="305"/>
      <c r="BL1702" s="305"/>
      <c r="BM1702" s="305"/>
      <c r="BN1702" s="305"/>
      <c r="BO1702" s="305"/>
      <c r="BP1702" s="305"/>
      <c r="BQ1702" s="305"/>
      <c r="BR1702" s="305"/>
      <c r="BS1702" s="305"/>
      <c r="BT1702" s="305"/>
      <c r="BU1702" s="305"/>
      <c r="BV1702" s="305"/>
      <c r="BX1702" s="319"/>
    </row>
    <row r="1703" spans="1:76" s="303" customFormat="1" x14ac:dyDescent="0.25">
      <c r="A1703" s="275"/>
      <c r="B1703" s="275"/>
      <c r="C1703" s="275"/>
      <c r="D1703" s="275"/>
      <c r="E1703" s="275"/>
      <c r="F1703" s="275"/>
      <c r="V1703" s="304"/>
      <c r="W1703" s="304"/>
      <c r="AD1703" s="304"/>
      <c r="AE1703" s="304"/>
      <c r="AR1703" s="304"/>
      <c r="AS1703" s="304"/>
      <c r="AT1703" s="304"/>
      <c r="AU1703" s="304"/>
      <c r="AV1703" s="304"/>
      <c r="AW1703" s="304"/>
      <c r="AX1703" s="304"/>
      <c r="AY1703" s="304"/>
      <c r="AZ1703" s="304"/>
      <c r="BA1703" s="304"/>
      <c r="BB1703" s="304"/>
      <c r="BC1703" s="304"/>
      <c r="BK1703" s="305"/>
      <c r="BL1703" s="305"/>
      <c r="BM1703" s="305"/>
      <c r="BN1703" s="305"/>
      <c r="BO1703" s="305"/>
      <c r="BP1703" s="305"/>
      <c r="BQ1703" s="305"/>
      <c r="BR1703" s="305"/>
      <c r="BS1703" s="305"/>
      <c r="BT1703" s="305"/>
      <c r="BU1703" s="305"/>
      <c r="BV1703" s="305"/>
      <c r="BX1703" s="319"/>
    </row>
    <row r="1704" spans="1:76" s="303" customFormat="1" x14ac:dyDescent="0.25">
      <c r="A1704" s="275"/>
      <c r="B1704" s="275"/>
      <c r="C1704" s="275"/>
      <c r="D1704" s="275"/>
      <c r="E1704" s="275"/>
      <c r="F1704" s="275"/>
      <c r="V1704" s="304"/>
      <c r="W1704" s="304"/>
      <c r="AD1704" s="304"/>
      <c r="AE1704" s="304"/>
      <c r="AR1704" s="304"/>
      <c r="AS1704" s="304"/>
      <c r="AT1704" s="304"/>
      <c r="AU1704" s="304"/>
      <c r="AV1704" s="304"/>
      <c r="AW1704" s="304"/>
      <c r="AX1704" s="304"/>
      <c r="AY1704" s="304"/>
      <c r="AZ1704" s="304"/>
      <c r="BA1704" s="304"/>
      <c r="BB1704" s="304"/>
      <c r="BC1704" s="304"/>
      <c r="BK1704" s="305"/>
      <c r="BL1704" s="305"/>
      <c r="BM1704" s="305"/>
      <c r="BN1704" s="305"/>
      <c r="BO1704" s="305"/>
      <c r="BP1704" s="305"/>
      <c r="BQ1704" s="305"/>
      <c r="BR1704" s="305"/>
      <c r="BS1704" s="305"/>
      <c r="BT1704" s="305"/>
      <c r="BU1704" s="305"/>
      <c r="BV1704" s="305"/>
      <c r="BX1704" s="319"/>
    </row>
    <row r="1705" spans="1:76" s="303" customFormat="1" x14ac:dyDescent="0.25">
      <c r="A1705" s="275"/>
      <c r="B1705" s="275"/>
      <c r="C1705" s="275"/>
      <c r="D1705" s="275"/>
      <c r="E1705" s="275"/>
      <c r="F1705" s="275"/>
      <c r="V1705" s="304"/>
      <c r="W1705" s="304"/>
      <c r="AD1705" s="304"/>
      <c r="AE1705" s="304"/>
      <c r="AR1705" s="304"/>
      <c r="AS1705" s="304"/>
      <c r="AT1705" s="304"/>
      <c r="AU1705" s="304"/>
      <c r="AV1705" s="304"/>
      <c r="AW1705" s="304"/>
      <c r="AX1705" s="304"/>
      <c r="AY1705" s="304"/>
      <c r="AZ1705" s="304"/>
      <c r="BA1705" s="304"/>
      <c r="BB1705" s="304"/>
      <c r="BC1705" s="304"/>
      <c r="BK1705" s="305"/>
      <c r="BL1705" s="305"/>
      <c r="BM1705" s="305"/>
      <c r="BN1705" s="305"/>
      <c r="BO1705" s="305"/>
      <c r="BP1705" s="305"/>
      <c r="BQ1705" s="305"/>
      <c r="BR1705" s="305"/>
      <c r="BS1705" s="305"/>
      <c r="BT1705" s="305"/>
      <c r="BU1705" s="305"/>
      <c r="BV1705" s="305"/>
      <c r="BX1705" s="319"/>
    </row>
    <row r="1706" spans="1:76" s="303" customFormat="1" x14ac:dyDescent="0.25">
      <c r="A1706" s="275"/>
      <c r="B1706" s="275"/>
      <c r="C1706" s="275"/>
      <c r="D1706" s="275"/>
      <c r="E1706" s="275"/>
      <c r="F1706" s="275"/>
      <c r="V1706" s="304"/>
      <c r="W1706" s="304"/>
      <c r="AD1706" s="304"/>
      <c r="AE1706" s="304"/>
      <c r="AR1706" s="304"/>
      <c r="AS1706" s="304"/>
      <c r="AT1706" s="304"/>
      <c r="AU1706" s="304"/>
      <c r="AV1706" s="304"/>
      <c r="AW1706" s="304"/>
      <c r="AX1706" s="304"/>
      <c r="AY1706" s="304"/>
      <c r="AZ1706" s="304"/>
      <c r="BA1706" s="304"/>
      <c r="BB1706" s="304"/>
      <c r="BC1706" s="304"/>
      <c r="BK1706" s="305"/>
      <c r="BL1706" s="305"/>
      <c r="BM1706" s="305"/>
      <c r="BN1706" s="305"/>
      <c r="BO1706" s="305"/>
      <c r="BP1706" s="305"/>
      <c r="BQ1706" s="305"/>
      <c r="BR1706" s="305"/>
      <c r="BS1706" s="305"/>
      <c r="BT1706" s="305"/>
      <c r="BU1706" s="305"/>
      <c r="BV1706" s="305"/>
      <c r="BX1706" s="319"/>
    </row>
    <row r="1707" spans="1:76" s="303" customFormat="1" x14ac:dyDescent="0.25">
      <c r="A1707" s="275"/>
      <c r="B1707" s="275"/>
      <c r="C1707" s="275"/>
      <c r="D1707" s="275"/>
      <c r="E1707" s="275"/>
      <c r="F1707" s="275"/>
      <c r="V1707" s="304"/>
      <c r="W1707" s="304"/>
      <c r="AD1707" s="304"/>
      <c r="AE1707" s="304"/>
      <c r="AR1707" s="304"/>
      <c r="AS1707" s="304"/>
      <c r="AT1707" s="304"/>
      <c r="AU1707" s="304"/>
      <c r="AV1707" s="304"/>
      <c r="AW1707" s="304"/>
      <c r="AX1707" s="304"/>
      <c r="AY1707" s="304"/>
      <c r="AZ1707" s="304"/>
      <c r="BA1707" s="304"/>
      <c r="BB1707" s="304"/>
      <c r="BC1707" s="304"/>
      <c r="BK1707" s="305"/>
      <c r="BL1707" s="305"/>
      <c r="BM1707" s="305"/>
      <c r="BN1707" s="305"/>
      <c r="BO1707" s="305"/>
      <c r="BP1707" s="305"/>
      <c r="BQ1707" s="305"/>
      <c r="BR1707" s="305"/>
      <c r="BS1707" s="305"/>
      <c r="BT1707" s="305"/>
      <c r="BU1707" s="305"/>
      <c r="BV1707" s="305"/>
      <c r="BX1707" s="319"/>
    </row>
    <row r="1708" spans="1:76" s="303" customFormat="1" x14ac:dyDescent="0.25">
      <c r="A1708" s="275"/>
      <c r="B1708" s="275"/>
      <c r="C1708" s="275"/>
      <c r="D1708" s="275"/>
      <c r="E1708" s="275"/>
      <c r="F1708" s="275"/>
      <c r="V1708" s="304"/>
      <c r="W1708" s="304"/>
      <c r="AD1708" s="304"/>
      <c r="AE1708" s="304"/>
      <c r="AR1708" s="304"/>
      <c r="AS1708" s="304"/>
      <c r="AT1708" s="304"/>
      <c r="AU1708" s="304"/>
      <c r="AV1708" s="304"/>
      <c r="AW1708" s="304"/>
      <c r="AX1708" s="304"/>
      <c r="AY1708" s="304"/>
      <c r="AZ1708" s="304"/>
      <c r="BA1708" s="304"/>
      <c r="BB1708" s="304"/>
      <c r="BC1708" s="304"/>
      <c r="BK1708" s="305"/>
      <c r="BL1708" s="305"/>
      <c r="BM1708" s="305"/>
      <c r="BN1708" s="305"/>
      <c r="BO1708" s="305"/>
      <c r="BP1708" s="305"/>
      <c r="BQ1708" s="305"/>
      <c r="BR1708" s="305"/>
      <c r="BS1708" s="305"/>
      <c r="BT1708" s="305"/>
      <c r="BU1708" s="305"/>
      <c r="BV1708" s="305"/>
      <c r="BX1708" s="319"/>
    </row>
    <row r="1709" spans="1:76" s="303" customFormat="1" x14ac:dyDescent="0.25">
      <c r="A1709" s="275"/>
      <c r="B1709" s="275"/>
      <c r="C1709" s="275"/>
      <c r="D1709" s="275"/>
      <c r="E1709" s="275"/>
      <c r="F1709" s="275"/>
      <c r="V1709" s="304"/>
      <c r="W1709" s="304"/>
      <c r="AD1709" s="304"/>
      <c r="AE1709" s="304"/>
      <c r="AR1709" s="304"/>
      <c r="AS1709" s="304"/>
      <c r="AT1709" s="304"/>
      <c r="AU1709" s="304"/>
      <c r="AV1709" s="304"/>
      <c r="AW1709" s="304"/>
      <c r="AX1709" s="304"/>
      <c r="AY1709" s="304"/>
      <c r="AZ1709" s="304"/>
      <c r="BA1709" s="304"/>
      <c r="BB1709" s="304"/>
      <c r="BC1709" s="304"/>
      <c r="BK1709" s="305"/>
      <c r="BL1709" s="305"/>
      <c r="BM1709" s="305"/>
      <c r="BN1709" s="305"/>
      <c r="BO1709" s="305"/>
      <c r="BP1709" s="305"/>
      <c r="BQ1709" s="305"/>
      <c r="BR1709" s="305"/>
      <c r="BS1709" s="305"/>
      <c r="BT1709" s="305"/>
      <c r="BU1709" s="305"/>
      <c r="BV1709" s="305"/>
      <c r="BX1709" s="319"/>
    </row>
    <row r="1710" spans="1:76" s="303" customFormat="1" x14ac:dyDescent="0.25">
      <c r="A1710" s="275"/>
      <c r="B1710" s="275"/>
      <c r="C1710" s="275"/>
      <c r="D1710" s="275"/>
      <c r="E1710" s="275"/>
      <c r="F1710" s="275"/>
      <c r="V1710" s="304"/>
      <c r="W1710" s="304"/>
      <c r="AD1710" s="304"/>
      <c r="AE1710" s="304"/>
      <c r="AR1710" s="304"/>
      <c r="AS1710" s="304"/>
      <c r="AT1710" s="304"/>
      <c r="AU1710" s="304"/>
      <c r="AV1710" s="304"/>
      <c r="AW1710" s="304"/>
      <c r="AX1710" s="304"/>
      <c r="AY1710" s="304"/>
      <c r="AZ1710" s="304"/>
      <c r="BA1710" s="304"/>
      <c r="BB1710" s="304"/>
      <c r="BC1710" s="304"/>
      <c r="BK1710" s="305"/>
      <c r="BL1710" s="305"/>
      <c r="BM1710" s="305"/>
      <c r="BN1710" s="305"/>
      <c r="BO1710" s="305"/>
      <c r="BP1710" s="305"/>
      <c r="BQ1710" s="305"/>
      <c r="BR1710" s="305"/>
      <c r="BS1710" s="305"/>
      <c r="BT1710" s="305"/>
      <c r="BU1710" s="305"/>
      <c r="BV1710" s="305"/>
      <c r="BX1710" s="319"/>
    </row>
    <row r="1711" spans="1:76" s="303" customFormat="1" x14ac:dyDescent="0.25">
      <c r="A1711" s="275"/>
      <c r="B1711" s="275"/>
      <c r="C1711" s="275"/>
      <c r="D1711" s="275"/>
      <c r="E1711" s="275"/>
      <c r="F1711" s="275"/>
      <c r="V1711" s="304"/>
      <c r="W1711" s="304"/>
      <c r="AD1711" s="304"/>
      <c r="AE1711" s="304"/>
      <c r="AR1711" s="304"/>
      <c r="AS1711" s="304"/>
      <c r="AT1711" s="304"/>
      <c r="AU1711" s="304"/>
      <c r="AV1711" s="304"/>
      <c r="AW1711" s="304"/>
      <c r="AX1711" s="304"/>
      <c r="AY1711" s="304"/>
      <c r="AZ1711" s="304"/>
      <c r="BA1711" s="304"/>
      <c r="BB1711" s="304"/>
      <c r="BC1711" s="304"/>
      <c r="BK1711" s="305"/>
      <c r="BL1711" s="305"/>
      <c r="BM1711" s="305"/>
      <c r="BN1711" s="305"/>
      <c r="BO1711" s="305"/>
      <c r="BP1711" s="305"/>
      <c r="BQ1711" s="305"/>
      <c r="BR1711" s="305"/>
      <c r="BS1711" s="305"/>
      <c r="BT1711" s="305"/>
      <c r="BU1711" s="305"/>
      <c r="BV1711" s="305"/>
      <c r="BX1711" s="319"/>
    </row>
    <row r="1712" spans="1:76" s="303" customFormat="1" x14ac:dyDescent="0.25">
      <c r="A1712" s="275"/>
      <c r="B1712" s="275"/>
      <c r="C1712" s="275"/>
      <c r="D1712" s="275"/>
      <c r="E1712" s="275"/>
      <c r="F1712" s="275"/>
      <c r="V1712" s="304"/>
      <c r="W1712" s="304"/>
      <c r="AD1712" s="304"/>
      <c r="AE1712" s="304"/>
      <c r="AR1712" s="304"/>
      <c r="AS1712" s="304"/>
      <c r="AT1712" s="304"/>
      <c r="AU1712" s="304"/>
      <c r="AV1712" s="304"/>
      <c r="AW1712" s="304"/>
      <c r="AX1712" s="304"/>
      <c r="AY1712" s="304"/>
      <c r="AZ1712" s="304"/>
      <c r="BA1712" s="304"/>
      <c r="BB1712" s="304"/>
      <c r="BC1712" s="304"/>
      <c r="BK1712" s="305"/>
      <c r="BL1712" s="305"/>
      <c r="BM1712" s="305"/>
      <c r="BN1712" s="305"/>
      <c r="BO1712" s="305"/>
      <c r="BP1712" s="305"/>
      <c r="BQ1712" s="305"/>
      <c r="BR1712" s="305"/>
      <c r="BS1712" s="305"/>
      <c r="BT1712" s="305"/>
      <c r="BU1712" s="305"/>
      <c r="BV1712" s="305"/>
      <c r="BX1712" s="319"/>
    </row>
    <row r="1713" spans="1:76" s="303" customFormat="1" x14ac:dyDescent="0.25">
      <c r="A1713" s="275"/>
      <c r="B1713" s="275"/>
      <c r="C1713" s="275"/>
      <c r="D1713" s="275"/>
      <c r="E1713" s="275"/>
      <c r="F1713" s="275"/>
      <c r="V1713" s="304"/>
      <c r="W1713" s="304"/>
      <c r="AD1713" s="304"/>
      <c r="AE1713" s="304"/>
      <c r="AR1713" s="304"/>
      <c r="AS1713" s="304"/>
      <c r="AT1713" s="304"/>
      <c r="AU1713" s="304"/>
      <c r="AV1713" s="304"/>
      <c r="AW1713" s="304"/>
      <c r="AX1713" s="304"/>
      <c r="AY1713" s="304"/>
      <c r="AZ1713" s="304"/>
      <c r="BA1713" s="304"/>
      <c r="BB1713" s="304"/>
      <c r="BC1713" s="304"/>
      <c r="BK1713" s="305"/>
      <c r="BL1713" s="305"/>
      <c r="BM1713" s="305"/>
      <c r="BN1713" s="305"/>
      <c r="BO1713" s="305"/>
      <c r="BP1713" s="305"/>
      <c r="BQ1713" s="305"/>
      <c r="BR1713" s="305"/>
      <c r="BS1713" s="305"/>
      <c r="BT1713" s="305"/>
      <c r="BU1713" s="305"/>
      <c r="BV1713" s="305"/>
      <c r="BX1713" s="319"/>
    </row>
    <row r="1714" spans="1:76" s="303" customFormat="1" x14ac:dyDescent="0.25">
      <c r="A1714" s="275"/>
      <c r="B1714" s="275"/>
      <c r="C1714" s="275"/>
      <c r="D1714" s="275"/>
      <c r="E1714" s="275"/>
      <c r="F1714" s="275"/>
      <c r="V1714" s="304"/>
      <c r="W1714" s="304"/>
      <c r="AD1714" s="304"/>
      <c r="AE1714" s="304"/>
      <c r="AR1714" s="304"/>
      <c r="AS1714" s="304"/>
      <c r="AT1714" s="304"/>
      <c r="AU1714" s="304"/>
      <c r="AV1714" s="304"/>
      <c r="AW1714" s="304"/>
      <c r="AX1714" s="304"/>
      <c r="AY1714" s="304"/>
      <c r="AZ1714" s="304"/>
      <c r="BA1714" s="304"/>
      <c r="BB1714" s="304"/>
      <c r="BC1714" s="304"/>
      <c r="BK1714" s="305"/>
      <c r="BL1714" s="305"/>
      <c r="BM1714" s="305"/>
      <c r="BN1714" s="305"/>
      <c r="BO1714" s="305"/>
      <c r="BP1714" s="305"/>
      <c r="BQ1714" s="305"/>
      <c r="BR1714" s="305"/>
      <c r="BS1714" s="305"/>
      <c r="BT1714" s="305"/>
      <c r="BU1714" s="305"/>
      <c r="BV1714" s="305"/>
      <c r="BX1714" s="319"/>
    </row>
    <row r="1715" spans="1:76" s="303" customFormat="1" x14ac:dyDescent="0.25">
      <c r="A1715" s="275"/>
      <c r="B1715" s="275"/>
      <c r="C1715" s="275"/>
      <c r="D1715" s="275"/>
      <c r="E1715" s="275"/>
      <c r="F1715" s="275"/>
      <c r="V1715" s="304"/>
      <c r="W1715" s="304"/>
      <c r="AD1715" s="304"/>
      <c r="AE1715" s="304"/>
      <c r="AR1715" s="304"/>
      <c r="AS1715" s="304"/>
      <c r="AT1715" s="304"/>
      <c r="AU1715" s="304"/>
      <c r="AV1715" s="304"/>
      <c r="AW1715" s="304"/>
      <c r="AX1715" s="304"/>
      <c r="AY1715" s="304"/>
      <c r="AZ1715" s="304"/>
      <c r="BA1715" s="304"/>
      <c r="BB1715" s="304"/>
      <c r="BC1715" s="304"/>
      <c r="BK1715" s="305"/>
      <c r="BL1715" s="305"/>
      <c r="BM1715" s="305"/>
      <c r="BN1715" s="305"/>
      <c r="BO1715" s="305"/>
      <c r="BP1715" s="305"/>
      <c r="BQ1715" s="305"/>
      <c r="BR1715" s="305"/>
      <c r="BS1715" s="305"/>
      <c r="BT1715" s="305"/>
      <c r="BU1715" s="305"/>
      <c r="BV1715" s="305"/>
      <c r="BX1715" s="319"/>
    </row>
    <row r="1716" spans="1:76" s="303" customFormat="1" x14ac:dyDescent="0.25">
      <c r="A1716" s="275"/>
      <c r="B1716" s="275"/>
      <c r="C1716" s="275"/>
      <c r="D1716" s="275"/>
      <c r="E1716" s="275"/>
      <c r="F1716" s="275"/>
      <c r="V1716" s="304"/>
      <c r="W1716" s="304"/>
      <c r="AD1716" s="304"/>
      <c r="AE1716" s="304"/>
      <c r="AR1716" s="304"/>
      <c r="AS1716" s="304"/>
      <c r="AT1716" s="304"/>
      <c r="AU1716" s="304"/>
      <c r="AV1716" s="304"/>
      <c r="AW1716" s="304"/>
      <c r="AX1716" s="304"/>
      <c r="AY1716" s="304"/>
      <c r="AZ1716" s="304"/>
      <c r="BA1716" s="304"/>
      <c r="BB1716" s="304"/>
      <c r="BC1716" s="304"/>
      <c r="BK1716" s="305"/>
      <c r="BL1716" s="305"/>
      <c r="BM1716" s="305"/>
      <c r="BN1716" s="305"/>
      <c r="BO1716" s="305"/>
      <c r="BP1716" s="305"/>
      <c r="BQ1716" s="305"/>
      <c r="BR1716" s="305"/>
      <c r="BS1716" s="305"/>
      <c r="BT1716" s="305"/>
      <c r="BU1716" s="305"/>
      <c r="BV1716" s="305"/>
      <c r="BX1716" s="319"/>
    </row>
    <row r="1717" spans="1:76" s="303" customFormat="1" x14ac:dyDescent="0.25">
      <c r="A1717" s="275"/>
      <c r="B1717" s="275"/>
      <c r="C1717" s="275"/>
      <c r="D1717" s="275"/>
      <c r="E1717" s="275"/>
      <c r="F1717" s="275"/>
      <c r="V1717" s="304"/>
      <c r="W1717" s="304"/>
      <c r="AD1717" s="304"/>
      <c r="AE1717" s="304"/>
      <c r="AR1717" s="304"/>
      <c r="AS1717" s="304"/>
      <c r="AT1717" s="304"/>
      <c r="AU1717" s="304"/>
      <c r="AV1717" s="304"/>
      <c r="AW1717" s="304"/>
      <c r="AX1717" s="304"/>
      <c r="AY1717" s="304"/>
      <c r="AZ1717" s="304"/>
      <c r="BA1717" s="304"/>
      <c r="BB1717" s="304"/>
      <c r="BC1717" s="304"/>
      <c r="BK1717" s="305"/>
      <c r="BL1717" s="305"/>
      <c r="BM1717" s="305"/>
      <c r="BN1717" s="305"/>
      <c r="BO1717" s="305"/>
      <c r="BP1717" s="305"/>
      <c r="BQ1717" s="305"/>
      <c r="BR1717" s="305"/>
      <c r="BS1717" s="305"/>
      <c r="BT1717" s="305"/>
      <c r="BU1717" s="305"/>
      <c r="BV1717" s="305"/>
      <c r="BX1717" s="319"/>
    </row>
    <row r="1718" spans="1:76" s="303" customFormat="1" x14ac:dyDescent="0.25">
      <c r="A1718" s="275"/>
      <c r="B1718" s="275"/>
      <c r="C1718" s="275"/>
      <c r="D1718" s="275"/>
      <c r="E1718" s="275"/>
      <c r="F1718" s="275"/>
      <c r="V1718" s="304"/>
      <c r="W1718" s="304"/>
      <c r="AD1718" s="304"/>
      <c r="AE1718" s="304"/>
      <c r="AR1718" s="304"/>
      <c r="AS1718" s="304"/>
      <c r="AT1718" s="304"/>
      <c r="AU1718" s="304"/>
      <c r="AV1718" s="304"/>
      <c r="AW1718" s="304"/>
      <c r="AX1718" s="304"/>
      <c r="AY1718" s="304"/>
      <c r="AZ1718" s="304"/>
      <c r="BA1718" s="304"/>
      <c r="BB1718" s="304"/>
      <c r="BC1718" s="304"/>
      <c r="BK1718" s="305"/>
      <c r="BL1718" s="305"/>
      <c r="BM1718" s="305"/>
      <c r="BN1718" s="305"/>
      <c r="BO1718" s="305"/>
      <c r="BP1718" s="305"/>
      <c r="BQ1718" s="305"/>
      <c r="BR1718" s="305"/>
      <c r="BS1718" s="305"/>
      <c r="BT1718" s="305"/>
      <c r="BU1718" s="305"/>
      <c r="BV1718" s="305"/>
      <c r="BX1718" s="319"/>
    </row>
    <row r="1719" spans="1:76" s="303" customFormat="1" x14ac:dyDescent="0.25">
      <c r="A1719" s="275"/>
      <c r="B1719" s="275"/>
      <c r="C1719" s="275"/>
      <c r="D1719" s="275"/>
      <c r="E1719" s="275"/>
      <c r="F1719" s="275"/>
      <c r="V1719" s="304"/>
      <c r="W1719" s="304"/>
      <c r="AD1719" s="304"/>
      <c r="AE1719" s="304"/>
      <c r="AR1719" s="304"/>
      <c r="AS1719" s="304"/>
      <c r="AT1719" s="304"/>
      <c r="AU1719" s="304"/>
      <c r="AV1719" s="304"/>
      <c r="AW1719" s="304"/>
      <c r="AX1719" s="304"/>
      <c r="AY1719" s="304"/>
      <c r="AZ1719" s="304"/>
      <c r="BA1719" s="304"/>
      <c r="BB1719" s="304"/>
      <c r="BC1719" s="304"/>
      <c r="BK1719" s="305"/>
      <c r="BL1719" s="305"/>
      <c r="BM1719" s="305"/>
      <c r="BN1719" s="305"/>
      <c r="BO1719" s="305"/>
      <c r="BP1719" s="305"/>
      <c r="BQ1719" s="305"/>
      <c r="BR1719" s="305"/>
      <c r="BS1719" s="305"/>
      <c r="BT1719" s="305"/>
      <c r="BU1719" s="305"/>
      <c r="BV1719" s="305"/>
      <c r="BX1719" s="319"/>
    </row>
    <row r="1720" spans="1:76" s="303" customFormat="1" x14ac:dyDescent="0.25">
      <c r="A1720" s="275"/>
      <c r="B1720" s="275"/>
      <c r="C1720" s="275"/>
      <c r="D1720" s="275"/>
      <c r="E1720" s="275"/>
      <c r="F1720" s="275"/>
      <c r="V1720" s="304"/>
      <c r="W1720" s="304"/>
      <c r="AD1720" s="304"/>
      <c r="AE1720" s="304"/>
      <c r="AR1720" s="304"/>
      <c r="AS1720" s="304"/>
      <c r="AT1720" s="304"/>
      <c r="AU1720" s="304"/>
      <c r="AV1720" s="304"/>
      <c r="AW1720" s="304"/>
      <c r="AX1720" s="304"/>
      <c r="AY1720" s="304"/>
      <c r="AZ1720" s="304"/>
      <c r="BA1720" s="304"/>
      <c r="BB1720" s="304"/>
      <c r="BC1720" s="304"/>
      <c r="BK1720" s="305"/>
      <c r="BL1720" s="305"/>
      <c r="BM1720" s="305"/>
      <c r="BN1720" s="305"/>
      <c r="BO1720" s="305"/>
      <c r="BP1720" s="305"/>
      <c r="BQ1720" s="305"/>
      <c r="BR1720" s="305"/>
      <c r="BS1720" s="305"/>
      <c r="BT1720" s="305"/>
      <c r="BU1720" s="305"/>
      <c r="BV1720" s="305"/>
      <c r="BX1720" s="319"/>
    </row>
    <row r="1721" spans="1:76" s="303" customFormat="1" x14ac:dyDescent="0.25">
      <c r="A1721" s="275"/>
      <c r="B1721" s="275"/>
      <c r="C1721" s="275"/>
      <c r="D1721" s="275"/>
      <c r="E1721" s="275"/>
      <c r="F1721" s="275"/>
      <c r="V1721" s="304"/>
      <c r="W1721" s="304"/>
      <c r="AD1721" s="304"/>
      <c r="AE1721" s="304"/>
      <c r="AR1721" s="304"/>
      <c r="AS1721" s="304"/>
      <c r="AT1721" s="304"/>
      <c r="AU1721" s="304"/>
      <c r="AV1721" s="304"/>
      <c r="AW1721" s="304"/>
      <c r="AX1721" s="304"/>
      <c r="AY1721" s="304"/>
      <c r="AZ1721" s="304"/>
      <c r="BA1721" s="304"/>
      <c r="BB1721" s="304"/>
      <c r="BC1721" s="304"/>
      <c r="BK1721" s="305"/>
      <c r="BL1721" s="305"/>
      <c r="BM1721" s="305"/>
      <c r="BN1721" s="305"/>
      <c r="BO1721" s="305"/>
      <c r="BP1721" s="305"/>
      <c r="BQ1721" s="305"/>
      <c r="BR1721" s="305"/>
      <c r="BS1721" s="305"/>
      <c r="BT1721" s="305"/>
      <c r="BU1721" s="305"/>
      <c r="BV1721" s="305"/>
      <c r="BX1721" s="319"/>
    </row>
    <row r="1722" spans="1:76" s="303" customFormat="1" x14ac:dyDescent="0.25">
      <c r="A1722" s="275"/>
      <c r="B1722" s="275"/>
      <c r="C1722" s="275"/>
      <c r="D1722" s="275"/>
      <c r="E1722" s="275"/>
      <c r="F1722" s="275"/>
      <c r="V1722" s="304"/>
      <c r="W1722" s="304"/>
      <c r="AD1722" s="304"/>
      <c r="AE1722" s="304"/>
      <c r="AR1722" s="304"/>
      <c r="AS1722" s="304"/>
      <c r="AT1722" s="304"/>
      <c r="AU1722" s="304"/>
      <c r="AV1722" s="304"/>
      <c r="AW1722" s="304"/>
      <c r="AX1722" s="304"/>
      <c r="AY1722" s="304"/>
      <c r="AZ1722" s="304"/>
      <c r="BA1722" s="304"/>
      <c r="BB1722" s="304"/>
      <c r="BC1722" s="304"/>
      <c r="BK1722" s="305"/>
      <c r="BL1722" s="305"/>
      <c r="BM1722" s="305"/>
      <c r="BN1722" s="305"/>
      <c r="BO1722" s="305"/>
      <c r="BP1722" s="305"/>
      <c r="BQ1722" s="305"/>
      <c r="BR1722" s="305"/>
      <c r="BS1722" s="305"/>
      <c r="BT1722" s="305"/>
      <c r="BU1722" s="305"/>
      <c r="BV1722" s="305"/>
      <c r="BX1722" s="319"/>
    </row>
    <row r="1723" spans="1:76" s="303" customFormat="1" x14ac:dyDescent="0.25">
      <c r="A1723" s="275"/>
      <c r="B1723" s="275"/>
      <c r="C1723" s="275"/>
      <c r="D1723" s="275"/>
      <c r="E1723" s="275"/>
      <c r="F1723" s="275"/>
      <c r="V1723" s="304"/>
      <c r="W1723" s="304"/>
      <c r="AD1723" s="304"/>
      <c r="AE1723" s="304"/>
      <c r="AR1723" s="304"/>
      <c r="AS1723" s="304"/>
      <c r="AT1723" s="304"/>
      <c r="AU1723" s="304"/>
      <c r="AV1723" s="304"/>
      <c r="AW1723" s="304"/>
      <c r="AX1723" s="304"/>
      <c r="AY1723" s="304"/>
      <c r="AZ1723" s="304"/>
      <c r="BA1723" s="304"/>
      <c r="BB1723" s="304"/>
      <c r="BC1723" s="304"/>
      <c r="BK1723" s="305"/>
      <c r="BL1723" s="305"/>
      <c r="BM1723" s="305"/>
      <c r="BN1723" s="305"/>
      <c r="BO1723" s="305"/>
      <c r="BP1723" s="305"/>
      <c r="BQ1723" s="305"/>
      <c r="BR1723" s="305"/>
      <c r="BS1723" s="305"/>
      <c r="BT1723" s="305"/>
      <c r="BU1723" s="305"/>
      <c r="BV1723" s="305"/>
      <c r="BX1723" s="319"/>
    </row>
    <row r="1724" spans="1:76" s="303" customFormat="1" x14ac:dyDescent="0.25">
      <c r="A1724" s="275"/>
      <c r="B1724" s="275"/>
      <c r="C1724" s="275"/>
      <c r="D1724" s="275"/>
      <c r="E1724" s="275"/>
      <c r="F1724" s="275"/>
      <c r="V1724" s="304"/>
      <c r="W1724" s="304"/>
      <c r="AD1724" s="304"/>
      <c r="AE1724" s="304"/>
      <c r="AR1724" s="304"/>
      <c r="AS1724" s="304"/>
      <c r="AT1724" s="304"/>
      <c r="AU1724" s="304"/>
      <c r="AV1724" s="304"/>
      <c r="AW1724" s="304"/>
      <c r="AX1724" s="304"/>
      <c r="AY1724" s="304"/>
      <c r="AZ1724" s="304"/>
      <c r="BA1724" s="304"/>
      <c r="BB1724" s="304"/>
      <c r="BC1724" s="304"/>
      <c r="BK1724" s="305"/>
      <c r="BL1724" s="305"/>
      <c r="BM1724" s="305"/>
      <c r="BN1724" s="305"/>
      <c r="BO1724" s="305"/>
      <c r="BP1724" s="305"/>
      <c r="BQ1724" s="305"/>
      <c r="BR1724" s="305"/>
      <c r="BS1724" s="305"/>
      <c r="BT1724" s="305"/>
      <c r="BU1724" s="305"/>
      <c r="BV1724" s="305"/>
      <c r="BX1724" s="319"/>
    </row>
    <row r="1725" spans="1:76" s="303" customFormat="1" x14ac:dyDescent="0.25">
      <c r="A1725" s="275"/>
      <c r="B1725" s="275"/>
      <c r="C1725" s="275"/>
      <c r="D1725" s="275"/>
      <c r="E1725" s="275"/>
      <c r="F1725" s="275"/>
      <c r="V1725" s="304"/>
      <c r="W1725" s="304"/>
      <c r="AD1725" s="304"/>
      <c r="AE1725" s="304"/>
      <c r="AR1725" s="304"/>
      <c r="AS1725" s="304"/>
      <c r="AT1725" s="304"/>
      <c r="AU1725" s="304"/>
      <c r="AV1725" s="304"/>
      <c r="AW1725" s="304"/>
      <c r="AX1725" s="304"/>
      <c r="AY1725" s="304"/>
      <c r="AZ1725" s="304"/>
      <c r="BA1725" s="304"/>
      <c r="BB1725" s="304"/>
      <c r="BC1725" s="304"/>
      <c r="BK1725" s="305"/>
      <c r="BL1725" s="305"/>
      <c r="BM1725" s="305"/>
      <c r="BN1725" s="305"/>
      <c r="BO1725" s="305"/>
      <c r="BP1725" s="305"/>
      <c r="BQ1725" s="305"/>
      <c r="BR1725" s="305"/>
      <c r="BS1725" s="305"/>
      <c r="BT1725" s="305"/>
      <c r="BU1725" s="305"/>
      <c r="BV1725" s="305"/>
      <c r="BX1725" s="319"/>
    </row>
    <row r="1726" spans="1:76" s="303" customFormat="1" x14ac:dyDescent="0.25">
      <c r="A1726" s="275"/>
      <c r="B1726" s="275"/>
      <c r="C1726" s="275"/>
      <c r="D1726" s="275"/>
      <c r="E1726" s="275"/>
      <c r="F1726" s="275"/>
      <c r="V1726" s="304"/>
      <c r="W1726" s="304"/>
      <c r="AD1726" s="304"/>
      <c r="AE1726" s="304"/>
      <c r="AR1726" s="304"/>
      <c r="AS1726" s="304"/>
      <c r="AT1726" s="304"/>
      <c r="AU1726" s="304"/>
      <c r="AV1726" s="304"/>
      <c r="AW1726" s="304"/>
      <c r="AX1726" s="304"/>
      <c r="AY1726" s="304"/>
      <c r="AZ1726" s="304"/>
      <c r="BA1726" s="304"/>
      <c r="BB1726" s="304"/>
      <c r="BC1726" s="304"/>
      <c r="BK1726" s="305"/>
      <c r="BL1726" s="305"/>
      <c r="BM1726" s="305"/>
      <c r="BN1726" s="305"/>
      <c r="BO1726" s="305"/>
      <c r="BP1726" s="305"/>
      <c r="BQ1726" s="305"/>
      <c r="BR1726" s="305"/>
      <c r="BS1726" s="305"/>
      <c r="BT1726" s="305"/>
      <c r="BU1726" s="305"/>
      <c r="BV1726" s="305"/>
      <c r="BX1726" s="319"/>
    </row>
    <row r="1727" spans="1:76" s="303" customFormat="1" x14ac:dyDescent="0.25">
      <c r="A1727" s="275"/>
      <c r="B1727" s="275"/>
      <c r="C1727" s="275"/>
      <c r="D1727" s="275"/>
      <c r="E1727" s="275"/>
      <c r="F1727" s="275"/>
      <c r="V1727" s="304"/>
      <c r="W1727" s="304"/>
      <c r="AD1727" s="304"/>
      <c r="AE1727" s="304"/>
      <c r="AR1727" s="304"/>
      <c r="AS1727" s="304"/>
      <c r="AT1727" s="304"/>
      <c r="AU1727" s="304"/>
      <c r="AV1727" s="304"/>
      <c r="AW1727" s="304"/>
      <c r="AX1727" s="304"/>
      <c r="AY1727" s="304"/>
      <c r="AZ1727" s="304"/>
      <c r="BA1727" s="304"/>
      <c r="BB1727" s="304"/>
      <c r="BC1727" s="304"/>
      <c r="BK1727" s="305"/>
      <c r="BL1727" s="305"/>
      <c r="BM1727" s="305"/>
      <c r="BN1727" s="305"/>
      <c r="BO1727" s="305"/>
      <c r="BP1727" s="305"/>
      <c r="BQ1727" s="305"/>
      <c r="BR1727" s="305"/>
      <c r="BS1727" s="305"/>
      <c r="BT1727" s="305"/>
      <c r="BU1727" s="305"/>
      <c r="BV1727" s="305"/>
      <c r="BX1727" s="319"/>
    </row>
    <row r="1728" spans="1:76" s="303" customFormat="1" x14ac:dyDescent="0.25">
      <c r="A1728" s="275"/>
      <c r="B1728" s="275"/>
      <c r="C1728" s="275"/>
      <c r="D1728" s="275"/>
      <c r="E1728" s="275"/>
      <c r="F1728" s="275"/>
      <c r="V1728" s="304"/>
      <c r="W1728" s="304"/>
      <c r="AD1728" s="304"/>
      <c r="AE1728" s="304"/>
      <c r="AR1728" s="304"/>
      <c r="AS1728" s="304"/>
      <c r="AT1728" s="304"/>
      <c r="AU1728" s="304"/>
      <c r="AV1728" s="304"/>
      <c r="AW1728" s="304"/>
      <c r="AX1728" s="304"/>
      <c r="AY1728" s="304"/>
      <c r="AZ1728" s="304"/>
      <c r="BA1728" s="304"/>
      <c r="BB1728" s="304"/>
      <c r="BC1728" s="304"/>
      <c r="BK1728" s="305"/>
      <c r="BL1728" s="305"/>
      <c r="BM1728" s="305"/>
      <c r="BN1728" s="305"/>
      <c r="BO1728" s="305"/>
      <c r="BP1728" s="305"/>
      <c r="BQ1728" s="305"/>
      <c r="BR1728" s="305"/>
      <c r="BS1728" s="305"/>
      <c r="BT1728" s="305"/>
      <c r="BU1728" s="305"/>
      <c r="BV1728" s="305"/>
      <c r="BX1728" s="319"/>
    </row>
    <row r="1729" spans="1:76" s="303" customFormat="1" x14ac:dyDescent="0.25">
      <c r="A1729" s="275"/>
      <c r="B1729" s="275"/>
      <c r="C1729" s="275"/>
      <c r="D1729" s="275"/>
      <c r="E1729" s="275"/>
      <c r="F1729" s="275"/>
      <c r="V1729" s="304"/>
      <c r="W1729" s="304"/>
      <c r="AD1729" s="304"/>
      <c r="AE1729" s="304"/>
      <c r="AR1729" s="304"/>
      <c r="AS1729" s="304"/>
      <c r="AT1729" s="304"/>
      <c r="AU1729" s="304"/>
      <c r="AV1729" s="304"/>
      <c r="AW1729" s="304"/>
      <c r="AX1729" s="304"/>
      <c r="AY1729" s="304"/>
      <c r="AZ1729" s="304"/>
      <c r="BA1729" s="304"/>
      <c r="BB1729" s="304"/>
      <c r="BC1729" s="304"/>
      <c r="BK1729" s="305"/>
      <c r="BL1729" s="305"/>
      <c r="BM1729" s="305"/>
      <c r="BN1729" s="305"/>
      <c r="BO1729" s="305"/>
      <c r="BP1729" s="305"/>
      <c r="BQ1729" s="305"/>
      <c r="BR1729" s="305"/>
      <c r="BS1729" s="305"/>
      <c r="BT1729" s="305"/>
      <c r="BU1729" s="305"/>
      <c r="BV1729" s="305"/>
      <c r="BX1729" s="319"/>
    </row>
    <row r="1730" spans="1:76" s="303" customFormat="1" x14ac:dyDescent="0.25">
      <c r="A1730" s="275"/>
      <c r="B1730" s="275"/>
      <c r="C1730" s="275"/>
      <c r="D1730" s="275"/>
      <c r="E1730" s="275"/>
      <c r="F1730" s="275"/>
      <c r="V1730" s="304"/>
      <c r="W1730" s="304"/>
      <c r="AD1730" s="304"/>
      <c r="AE1730" s="304"/>
      <c r="AR1730" s="304"/>
      <c r="AS1730" s="304"/>
      <c r="AT1730" s="304"/>
      <c r="AU1730" s="304"/>
      <c r="AV1730" s="304"/>
      <c r="AW1730" s="304"/>
      <c r="AX1730" s="304"/>
      <c r="AY1730" s="304"/>
      <c r="AZ1730" s="304"/>
      <c r="BA1730" s="304"/>
      <c r="BB1730" s="304"/>
      <c r="BC1730" s="304"/>
      <c r="BK1730" s="305"/>
      <c r="BL1730" s="305"/>
      <c r="BM1730" s="305"/>
      <c r="BN1730" s="305"/>
      <c r="BO1730" s="305"/>
      <c r="BP1730" s="305"/>
      <c r="BQ1730" s="305"/>
      <c r="BR1730" s="305"/>
      <c r="BS1730" s="305"/>
      <c r="BT1730" s="305"/>
      <c r="BU1730" s="305"/>
      <c r="BV1730" s="305"/>
      <c r="BX1730" s="319"/>
    </row>
    <row r="1731" spans="1:76" s="303" customFormat="1" x14ac:dyDescent="0.25">
      <c r="A1731" s="275"/>
      <c r="B1731" s="275"/>
      <c r="C1731" s="275"/>
      <c r="D1731" s="275"/>
      <c r="E1731" s="275"/>
      <c r="F1731" s="275"/>
      <c r="V1731" s="304"/>
      <c r="W1731" s="304"/>
      <c r="AD1731" s="304"/>
      <c r="AE1731" s="304"/>
      <c r="AR1731" s="304"/>
      <c r="AS1731" s="304"/>
      <c r="AT1731" s="304"/>
      <c r="AU1731" s="304"/>
      <c r="AV1731" s="304"/>
      <c r="AW1731" s="304"/>
      <c r="AX1731" s="304"/>
      <c r="AY1731" s="304"/>
      <c r="AZ1731" s="304"/>
      <c r="BA1731" s="304"/>
      <c r="BB1731" s="304"/>
      <c r="BC1731" s="304"/>
      <c r="BK1731" s="305"/>
      <c r="BL1731" s="305"/>
      <c r="BM1731" s="305"/>
      <c r="BN1731" s="305"/>
      <c r="BO1731" s="305"/>
      <c r="BP1731" s="305"/>
      <c r="BQ1731" s="305"/>
      <c r="BR1731" s="305"/>
      <c r="BS1731" s="305"/>
      <c r="BT1731" s="305"/>
      <c r="BU1731" s="305"/>
      <c r="BV1731" s="305"/>
      <c r="BX1731" s="319"/>
    </row>
    <row r="1732" spans="1:76" s="303" customFormat="1" x14ac:dyDescent="0.25">
      <c r="A1732" s="275"/>
      <c r="B1732" s="275"/>
      <c r="C1732" s="275"/>
      <c r="D1732" s="275"/>
      <c r="E1732" s="275"/>
      <c r="F1732" s="275"/>
      <c r="V1732" s="304"/>
      <c r="W1732" s="304"/>
      <c r="AD1732" s="304"/>
      <c r="AE1732" s="304"/>
      <c r="AR1732" s="304"/>
      <c r="AS1732" s="304"/>
      <c r="AT1732" s="304"/>
      <c r="AU1732" s="304"/>
      <c r="AV1732" s="304"/>
      <c r="AW1732" s="304"/>
      <c r="AX1732" s="304"/>
      <c r="AY1732" s="304"/>
      <c r="AZ1732" s="304"/>
      <c r="BA1732" s="304"/>
      <c r="BB1732" s="304"/>
      <c r="BC1732" s="304"/>
      <c r="BK1732" s="305"/>
      <c r="BL1732" s="305"/>
      <c r="BM1732" s="305"/>
      <c r="BN1732" s="305"/>
      <c r="BO1732" s="305"/>
      <c r="BP1732" s="305"/>
      <c r="BQ1732" s="305"/>
      <c r="BR1732" s="305"/>
      <c r="BS1732" s="305"/>
      <c r="BT1732" s="305"/>
      <c r="BU1732" s="305"/>
      <c r="BV1732" s="305"/>
      <c r="BX1732" s="319"/>
    </row>
    <row r="1733" spans="1:76" s="303" customFormat="1" x14ac:dyDescent="0.25">
      <c r="A1733" s="275"/>
      <c r="B1733" s="275"/>
      <c r="C1733" s="275"/>
      <c r="D1733" s="275"/>
      <c r="E1733" s="275"/>
      <c r="F1733" s="275"/>
      <c r="V1733" s="304"/>
      <c r="W1733" s="304"/>
      <c r="AD1733" s="304"/>
      <c r="AE1733" s="304"/>
      <c r="AR1733" s="304"/>
      <c r="AS1733" s="304"/>
      <c r="AT1733" s="304"/>
      <c r="AU1733" s="304"/>
      <c r="AV1733" s="304"/>
      <c r="AW1733" s="304"/>
      <c r="AX1733" s="304"/>
      <c r="AY1733" s="304"/>
      <c r="AZ1733" s="304"/>
      <c r="BA1733" s="304"/>
      <c r="BB1733" s="304"/>
      <c r="BC1733" s="304"/>
      <c r="BK1733" s="305"/>
      <c r="BL1733" s="305"/>
      <c r="BM1733" s="305"/>
      <c r="BN1733" s="305"/>
      <c r="BO1733" s="305"/>
      <c r="BP1733" s="305"/>
      <c r="BQ1733" s="305"/>
      <c r="BR1733" s="305"/>
      <c r="BS1733" s="305"/>
      <c r="BT1733" s="305"/>
      <c r="BU1733" s="305"/>
      <c r="BV1733" s="305"/>
      <c r="BX1733" s="319"/>
    </row>
    <row r="1734" spans="1:76" s="303" customFormat="1" x14ac:dyDescent="0.25">
      <c r="A1734" s="275"/>
      <c r="B1734" s="275"/>
      <c r="C1734" s="275"/>
      <c r="D1734" s="275"/>
      <c r="E1734" s="275"/>
      <c r="F1734" s="275"/>
      <c r="V1734" s="304"/>
      <c r="W1734" s="304"/>
      <c r="AD1734" s="304"/>
      <c r="AE1734" s="304"/>
      <c r="AR1734" s="304"/>
      <c r="AS1734" s="304"/>
      <c r="AT1734" s="304"/>
      <c r="AU1734" s="304"/>
      <c r="AV1734" s="304"/>
      <c r="AW1734" s="304"/>
      <c r="AX1734" s="304"/>
      <c r="AY1734" s="304"/>
      <c r="AZ1734" s="304"/>
      <c r="BA1734" s="304"/>
      <c r="BB1734" s="304"/>
      <c r="BC1734" s="304"/>
      <c r="BK1734" s="305"/>
      <c r="BL1734" s="305"/>
      <c r="BM1734" s="305"/>
      <c r="BN1734" s="305"/>
      <c r="BO1734" s="305"/>
      <c r="BP1734" s="305"/>
      <c r="BQ1734" s="305"/>
      <c r="BR1734" s="305"/>
      <c r="BS1734" s="305"/>
      <c r="BT1734" s="305"/>
      <c r="BU1734" s="305"/>
      <c r="BV1734" s="305"/>
      <c r="BX1734" s="319"/>
    </row>
    <row r="1735" spans="1:76" s="303" customFormat="1" x14ac:dyDescent="0.25">
      <c r="A1735" s="275"/>
      <c r="B1735" s="275"/>
      <c r="C1735" s="275"/>
      <c r="D1735" s="275"/>
      <c r="E1735" s="275"/>
      <c r="F1735" s="275"/>
      <c r="V1735" s="304"/>
      <c r="W1735" s="304"/>
      <c r="AD1735" s="304"/>
      <c r="AE1735" s="304"/>
      <c r="AR1735" s="304"/>
      <c r="AS1735" s="304"/>
      <c r="AT1735" s="304"/>
      <c r="AU1735" s="304"/>
      <c r="AV1735" s="304"/>
      <c r="AW1735" s="304"/>
      <c r="AX1735" s="304"/>
      <c r="AY1735" s="304"/>
      <c r="AZ1735" s="304"/>
      <c r="BA1735" s="304"/>
      <c r="BB1735" s="304"/>
      <c r="BC1735" s="304"/>
      <c r="BK1735" s="305"/>
      <c r="BL1735" s="305"/>
      <c r="BM1735" s="305"/>
      <c r="BN1735" s="305"/>
      <c r="BO1735" s="305"/>
      <c r="BP1735" s="305"/>
      <c r="BQ1735" s="305"/>
      <c r="BR1735" s="305"/>
      <c r="BS1735" s="305"/>
      <c r="BT1735" s="305"/>
      <c r="BU1735" s="305"/>
      <c r="BV1735" s="305"/>
      <c r="BX1735" s="319"/>
    </row>
    <row r="1736" spans="1:76" s="303" customFormat="1" x14ac:dyDescent="0.25">
      <c r="A1736" s="275"/>
      <c r="B1736" s="275"/>
      <c r="C1736" s="275"/>
      <c r="D1736" s="275"/>
      <c r="E1736" s="275"/>
      <c r="F1736" s="275"/>
      <c r="V1736" s="304"/>
      <c r="W1736" s="304"/>
      <c r="AD1736" s="304"/>
      <c r="AE1736" s="304"/>
      <c r="AR1736" s="304"/>
      <c r="AS1736" s="304"/>
      <c r="AT1736" s="304"/>
      <c r="AU1736" s="304"/>
      <c r="AV1736" s="304"/>
      <c r="AW1736" s="304"/>
      <c r="AX1736" s="304"/>
      <c r="AY1736" s="304"/>
      <c r="AZ1736" s="304"/>
      <c r="BA1736" s="304"/>
      <c r="BB1736" s="304"/>
      <c r="BC1736" s="304"/>
      <c r="BK1736" s="305"/>
      <c r="BL1736" s="305"/>
      <c r="BM1736" s="305"/>
      <c r="BN1736" s="305"/>
      <c r="BO1736" s="305"/>
      <c r="BP1736" s="305"/>
      <c r="BQ1736" s="305"/>
      <c r="BR1736" s="305"/>
      <c r="BS1736" s="305"/>
      <c r="BT1736" s="305"/>
      <c r="BU1736" s="305"/>
      <c r="BV1736" s="305"/>
      <c r="BX1736" s="319"/>
    </row>
    <row r="1737" spans="1:76" s="303" customFormat="1" x14ac:dyDescent="0.25">
      <c r="A1737" s="275"/>
      <c r="B1737" s="275"/>
      <c r="C1737" s="275"/>
      <c r="D1737" s="275"/>
      <c r="E1737" s="275"/>
      <c r="F1737" s="275"/>
      <c r="V1737" s="304"/>
      <c r="W1737" s="304"/>
      <c r="AD1737" s="304"/>
      <c r="AE1737" s="304"/>
      <c r="AR1737" s="304"/>
      <c r="AS1737" s="304"/>
      <c r="AT1737" s="304"/>
      <c r="AU1737" s="304"/>
      <c r="AV1737" s="304"/>
      <c r="AW1737" s="304"/>
      <c r="AX1737" s="304"/>
      <c r="AY1737" s="304"/>
      <c r="AZ1737" s="304"/>
      <c r="BA1737" s="304"/>
      <c r="BB1737" s="304"/>
      <c r="BC1737" s="304"/>
      <c r="BK1737" s="305"/>
      <c r="BL1737" s="305"/>
      <c r="BM1737" s="305"/>
      <c r="BN1737" s="305"/>
      <c r="BO1737" s="305"/>
      <c r="BP1737" s="305"/>
      <c r="BQ1737" s="305"/>
      <c r="BR1737" s="305"/>
      <c r="BS1737" s="305"/>
      <c r="BT1737" s="305"/>
      <c r="BU1737" s="305"/>
      <c r="BV1737" s="305"/>
      <c r="BX1737" s="319"/>
    </row>
    <row r="1738" spans="1:76" s="303" customFormat="1" x14ac:dyDescent="0.25">
      <c r="A1738" s="275"/>
      <c r="B1738" s="275"/>
      <c r="C1738" s="275"/>
      <c r="D1738" s="275"/>
      <c r="E1738" s="275"/>
      <c r="F1738" s="275"/>
      <c r="V1738" s="304"/>
      <c r="W1738" s="304"/>
      <c r="AD1738" s="304"/>
      <c r="AE1738" s="304"/>
      <c r="AR1738" s="304"/>
      <c r="AS1738" s="304"/>
      <c r="AT1738" s="304"/>
      <c r="AU1738" s="304"/>
      <c r="AV1738" s="304"/>
      <c r="AW1738" s="304"/>
      <c r="AX1738" s="304"/>
      <c r="AY1738" s="304"/>
      <c r="AZ1738" s="304"/>
      <c r="BA1738" s="304"/>
      <c r="BB1738" s="304"/>
      <c r="BC1738" s="304"/>
      <c r="BK1738" s="305"/>
      <c r="BL1738" s="305"/>
      <c r="BM1738" s="305"/>
      <c r="BN1738" s="305"/>
      <c r="BO1738" s="305"/>
      <c r="BP1738" s="305"/>
      <c r="BQ1738" s="305"/>
      <c r="BR1738" s="305"/>
      <c r="BS1738" s="305"/>
      <c r="BT1738" s="305"/>
      <c r="BU1738" s="305"/>
      <c r="BV1738" s="305"/>
      <c r="BX1738" s="319"/>
    </row>
    <row r="1739" spans="1:76" s="303" customFormat="1" x14ac:dyDescent="0.25">
      <c r="A1739" s="275"/>
      <c r="B1739" s="275"/>
      <c r="C1739" s="275"/>
      <c r="D1739" s="275"/>
      <c r="E1739" s="275"/>
      <c r="F1739" s="275"/>
      <c r="V1739" s="304"/>
      <c r="W1739" s="304"/>
      <c r="AD1739" s="304"/>
      <c r="AE1739" s="304"/>
      <c r="AR1739" s="304"/>
      <c r="AS1739" s="304"/>
      <c r="AT1739" s="304"/>
      <c r="AU1739" s="304"/>
      <c r="AV1739" s="304"/>
      <c r="AW1739" s="304"/>
      <c r="AX1739" s="304"/>
      <c r="AY1739" s="304"/>
      <c r="AZ1739" s="304"/>
      <c r="BA1739" s="304"/>
      <c r="BB1739" s="304"/>
      <c r="BC1739" s="304"/>
      <c r="BK1739" s="305"/>
      <c r="BL1739" s="305"/>
      <c r="BM1739" s="305"/>
      <c r="BN1739" s="305"/>
      <c r="BO1739" s="305"/>
      <c r="BP1739" s="305"/>
      <c r="BQ1739" s="305"/>
      <c r="BR1739" s="305"/>
      <c r="BS1739" s="305"/>
      <c r="BT1739" s="305"/>
      <c r="BU1739" s="305"/>
      <c r="BV1739" s="305"/>
      <c r="BX1739" s="319"/>
    </row>
    <row r="1740" spans="1:76" s="303" customFormat="1" x14ac:dyDescent="0.25">
      <c r="A1740" s="275"/>
      <c r="B1740" s="275"/>
      <c r="C1740" s="275"/>
      <c r="D1740" s="275"/>
      <c r="E1740" s="275"/>
      <c r="F1740" s="275"/>
      <c r="V1740" s="304"/>
      <c r="W1740" s="304"/>
      <c r="AD1740" s="304"/>
      <c r="AE1740" s="304"/>
      <c r="AR1740" s="304"/>
      <c r="AS1740" s="304"/>
      <c r="AT1740" s="304"/>
      <c r="AU1740" s="304"/>
      <c r="AV1740" s="304"/>
      <c r="AW1740" s="304"/>
      <c r="AX1740" s="304"/>
      <c r="AY1740" s="304"/>
      <c r="AZ1740" s="304"/>
      <c r="BA1740" s="304"/>
      <c r="BB1740" s="304"/>
      <c r="BC1740" s="304"/>
      <c r="BK1740" s="305"/>
      <c r="BL1740" s="305"/>
      <c r="BM1740" s="305"/>
      <c r="BN1740" s="305"/>
      <c r="BO1740" s="305"/>
      <c r="BP1740" s="305"/>
      <c r="BQ1740" s="305"/>
      <c r="BR1740" s="305"/>
      <c r="BS1740" s="305"/>
      <c r="BT1740" s="305"/>
      <c r="BU1740" s="305"/>
      <c r="BV1740" s="305"/>
      <c r="BX1740" s="319"/>
    </row>
    <row r="1741" spans="1:76" s="303" customFormat="1" x14ac:dyDescent="0.25">
      <c r="A1741" s="275"/>
      <c r="B1741" s="275"/>
      <c r="C1741" s="275"/>
      <c r="D1741" s="275"/>
      <c r="E1741" s="275"/>
      <c r="F1741" s="275"/>
      <c r="V1741" s="304"/>
      <c r="W1741" s="304"/>
      <c r="AD1741" s="304"/>
      <c r="AE1741" s="304"/>
      <c r="AR1741" s="304"/>
      <c r="AS1741" s="304"/>
      <c r="AT1741" s="304"/>
      <c r="AU1741" s="304"/>
      <c r="AV1741" s="304"/>
      <c r="AW1741" s="304"/>
      <c r="AX1741" s="304"/>
      <c r="AY1741" s="304"/>
      <c r="AZ1741" s="304"/>
      <c r="BA1741" s="304"/>
      <c r="BB1741" s="304"/>
      <c r="BC1741" s="304"/>
      <c r="BK1741" s="305"/>
      <c r="BL1741" s="305"/>
      <c r="BM1741" s="305"/>
      <c r="BN1741" s="305"/>
      <c r="BO1741" s="305"/>
      <c r="BP1741" s="305"/>
      <c r="BQ1741" s="305"/>
      <c r="BR1741" s="305"/>
      <c r="BS1741" s="305"/>
      <c r="BT1741" s="305"/>
      <c r="BU1741" s="305"/>
      <c r="BV1741" s="305"/>
      <c r="BX1741" s="319"/>
    </row>
    <row r="1742" spans="1:76" s="303" customFormat="1" x14ac:dyDescent="0.25">
      <c r="A1742" s="275"/>
      <c r="B1742" s="275"/>
      <c r="C1742" s="275"/>
      <c r="D1742" s="275"/>
      <c r="E1742" s="275"/>
      <c r="F1742" s="275"/>
      <c r="V1742" s="304"/>
      <c r="W1742" s="304"/>
      <c r="AD1742" s="304"/>
      <c r="AE1742" s="304"/>
      <c r="AR1742" s="304"/>
      <c r="AS1742" s="304"/>
      <c r="AT1742" s="304"/>
      <c r="AU1742" s="304"/>
      <c r="AV1742" s="304"/>
      <c r="AW1742" s="304"/>
      <c r="AX1742" s="304"/>
      <c r="AY1742" s="304"/>
      <c r="AZ1742" s="304"/>
      <c r="BA1742" s="304"/>
      <c r="BB1742" s="304"/>
      <c r="BC1742" s="304"/>
      <c r="BK1742" s="305"/>
      <c r="BL1742" s="305"/>
      <c r="BM1742" s="305"/>
      <c r="BN1742" s="305"/>
      <c r="BO1742" s="305"/>
      <c r="BP1742" s="305"/>
      <c r="BQ1742" s="305"/>
      <c r="BR1742" s="305"/>
      <c r="BS1742" s="305"/>
      <c r="BT1742" s="305"/>
      <c r="BU1742" s="305"/>
      <c r="BV1742" s="305"/>
      <c r="BX1742" s="319"/>
    </row>
    <row r="1743" spans="1:76" s="303" customFormat="1" x14ac:dyDescent="0.25">
      <c r="A1743" s="275"/>
      <c r="B1743" s="275"/>
      <c r="C1743" s="275"/>
      <c r="D1743" s="275"/>
      <c r="E1743" s="275"/>
      <c r="F1743" s="275"/>
      <c r="V1743" s="304"/>
      <c r="W1743" s="304"/>
      <c r="AD1743" s="304"/>
      <c r="AE1743" s="304"/>
      <c r="AR1743" s="304"/>
      <c r="AS1743" s="304"/>
      <c r="AT1743" s="304"/>
      <c r="AU1743" s="304"/>
      <c r="AV1743" s="304"/>
      <c r="AW1743" s="304"/>
      <c r="AX1743" s="304"/>
      <c r="AY1743" s="304"/>
      <c r="AZ1743" s="304"/>
      <c r="BA1743" s="304"/>
      <c r="BB1743" s="304"/>
      <c r="BC1743" s="304"/>
      <c r="BK1743" s="305"/>
      <c r="BL1743" s="305"/>
      <c r="BM1743" s="305"/>
      <c r="BN1743" s="305"/>
      <c r="BO1743" s="305"/>
      <c r="BP1743" s="305"/>
      <c r="BQ1743" s="305"/>
      <c r="BR1743" s="305"/>
      <c r="BS1743" s="305"/>
      <c r="BT1743" s="305"/>
      <c r="BU1743" s="305"/>
      <c r="BV1743" s="305"/>
      <c r="BX1743" s="319"/>
    </row>
    <row r="1744" spans="1:76" s="303" customFormat="1" x14ac:dyDescent="0.25">
      <c r="A1744" s="275"/>
      <c r="B1744" s="275"/>
      <c r="C1744" s="275"/>
      <c r="D1744" s="275"/>
      <c r="E1744" s="275"/>
      <c r="F1744" s="275"/>
      <c r="V1744" s="304"/>
      <c r="W1744" s="304"/>
      <c r="AD1744" s="304"/>
      <c r="AE1744" s="304"/>
      <c r="AR1744" s="304"/>
      <c r="AS1744" s="304"/>
      <c r="AT1744" s="304"/>
      <c r="AU1744" s="304"/>
      <c r="AV1744" s="304"/>
      <c r="AW1744" s="304"/>
      <c r="AX1744" s="304"/>
      <c r="AY1744" s="304"/>
      <c r="AZ1744" s="304"/>
      <c r="BA1744" s="304"/>
      <c r="BB1744" s="304"/>
      <c r="BC1744" s="304"/>
      <c r="BK1744" s="305"/>
      <c r="BL1744" s="305"/>
      <c r="BM1744" s="305"/>
      <c r="BN1744" s="305"/>
      <c r="BO1744" s="305"/>
      <c r="BP1744" s="305"/>
      <c r="BQ1744" s="305"/>
      <c r="BR1744" s="305"/>
      <c r="BS1744" s="305"/>
      <c r="BT1744" s="305"/>
      <c r="BU1744" s="305"/>
      <c r="BV1744" s="305"/>
      <c r="BX1744" s="319"/>
    </row>
    <row r="1745" spans="1:76" s="303" customFormat="1" x14ac:dyDescent="0.25">
      <c r="A1745" s="275"/>
      <c r="B1745" s="275"/>
      <c r="C1745" s="275"/>
      <c r="D1745" s="275"/>
      <c r="E1745" s="275"/>
      <c r="F1745" s="275"/>
      <c r="V1745" s="304"/>
      <c r="W1745" s="304"/>
      <c r="AD1745" s="304"/>
      <c r="AE1745" s="304"/>
      <c r="AR1745" s="304"/>
      <c r="AS1745" s="304"/>
      <c r="AT1745" s="304"/>
      <c r="AU1745" s="304"/>
      <c r="AV1745" s="304"/>
      <c r="AW1745" s="304"/>
      <c r="AX1745" s="304"/>
      <c r="AY1745" s="304"/>
      <c r="AZ1745" s="304"/>
      <c r="BA1745" s="304"/>
      <c r="BB1745" s="304"/>
      <c r="BC1745" s="304"/>
      <c r="BK1745" s="305"/>
      <c r="BL1745" s="305"/>
      <c r="BM1745" s="305"/>
      <c r="BN1745" s="305"/>
      <c r="BO1745" s="305"/>
      <c r="BP1745" s="305"/>
      <c r="BQ1745" s="305"/>
      <c r="BR1745" s="305"/>
      <c r="BS1745" s="305"/>
      <c r="BT1745" s="305"/>
      <c r="BU1745" s="305"/>
      <c r="BV1745" s="305"/>
      <c r="BX1745" s="319"/>
    </row>
    <row r="1746" spans="1:76" s="303" customFormat="1" x14ac:dyDescent="0.25">
      <c r="A1746" s="275"/>
      <c r="B1746" s="275"/>
      <c r="C1746" s="275"/>
      <c r="D1746" s="275"/>
      <c r="E1746" s="275"/>
      <c r="F1746" s="275"/>
      <c r="V1746" s="304"/>
      <c r="W1746" s="304"/>
      <c r="AD1746" s="304"/>
      <c r="AE1746" s="304"/>
      <c r="AR1746" s="304"/>
      <c r="AS1746" s="304"/>
      <c r="AT1746" s="304"/>
      <c r="AU1746" s="304"/>
      <c r="AV1746" s="304"/>
      <c r="AW1746" s="304"/>
      <c r="AX1746" s="304"/>
      <c r="AY1746" s="304"/>
      <c r="AZ1746" s="304"/>
      <c r="BA1746" s="304"/>
      <c r="BB1746" s="304"/>
      <c r="BC1746" s="304"/>
      <c r="BK1746" s="305"/>
      <c r="BL1746" s="305"/>
      <c r="BM1746" s="305"/>
      <c r="BN1746" s="305"/>
      <c r="BO1746" s="305"/>
      <c r="BP1746" s="305"/>
      <c r="BQ1746" s="305"/>
      <c r="BR1746" s="305"/>
      <c r="BS1746" s="305"/>
      <c r="BT1746" s="305"/>
      <c r="BU1746" s="305"/>
      <c r="BV1746" s="305"/>
      <c r="BX1746" s="319"/>
    </row>
    <row r="1747" spans="1:76" s="303" customFormat="1" x14ac:dyDescent="0.25">
      <c r="A1747" s="275"/>
      <c r="B1747" s="275"/>
      <c r="C1747" s="275"/>
      <c r="D1747" s="275"/>
      <c r="E1747" s="275"/>
      <c r="F1747" s="275"/>
      <c r="V1747" s="304"/>
      <c r="W1747" s="304"/>
      <c r="AD1747" s="304"/>
      <c r="AE1747" s="304"/>
      <c r="AR1747" s="304"/>
      <c r="AS1747" s="304"/>
      <c r="AT1747" s="304"/>
      <c r="AU1747" s="304"/>
      <c r="AV1747" s="304"/>
      <c r="AW1747" s="304"/>
      <c r="AX1747" s="304"/>
      <c r="AY1747" s="304"/>
      <c r="AZ1747" s="304"/>
      <c r="BA1747" s="304"/>
      <c r="BB1747" s="304"/>
      <c r="BC1747" s="304"/>
      <c r="BK1747" s="305"/>
      <c r="BL1747" s="305"/>
      <c r="BM1747" s="305"/>
      <c r="BN1747" s="305"/>
      <c r="BO1747" s="305"/>
      <c r="BP1747" s="305"/>
      <c r="BQ1747" s="305"/>
      <c r="BR1747" s="305"/>
      <c r="BS1747" s="305"/>
      <c r="BT1747" s="305"/>
      <c r="BU1747" s="305"/>
      <c r="BV1747" s="305"/>
      <c r="BX1747" s="319"/>
    </row>
    <row r="1748" spans="1:76" s="303" customFormat="1" x14ac:dyDescent="0.25">
      <c r="A1748" s="275"/>
      <c r="B1748" s="275"/>
      <c r="C1748" s="275"/>
      <c r="D1748" s="275"/>
      <c r="E1748" s="275"/>
      <c r="F1748" s="275"/>
      <c r="V1748" s="304"/>
      <c r="W1748" s="304"/>
      <c r="AD1748" s="304"/>
      <c r="AE1748" s="304"/>
      <c r="AR1748" s="304"/>
      <c r="AS1748" s="304"/>
      <c r="AT1748" s="304"/>
      <c r="AU1748" s="304"/>
      <c r="AV1748" s="304"/>
      <c r="AW1748" s="304"/>
      <c r="AX1748" s="304"/>
      <c r="AY1748" s="304"/>
      <c r="AZ1748" s="304"/>
      <c r="BA1748" s="304"/>
      <c r="BB1748" s="304"/>
      <c r="BC1748" s="304"/>
      <c r="BK1748" s="305"/>
      <c r="BL1748" s="305"/>
      <c r="BM1748" s="305"/>
      <c r="BN1748" s="305"/>
      <c r="BO1748" s="305"/>
      <c r="BP1748" s="305"/>
      <c r="BQ1748" s="305"/>
      <c r="BR1748" s="305"/>
      <c r="BS1748" s="305"/>
      <c r="BT1748" s="305"/>
      <c r="BU1748" s="305"/>
      <c r="BV1748" s="305"/>
      <c r="BX1748" s="319"/>
    </row>
    <row r="1749" spans="1:76" s="303" customFormat="1" x14ac:dyDescent="0.25">
      <c r="A1749" s="275"/>
      <c r="B1749" s="275"/>
      <c r="C1749" s="275"/>
      <c r="D1749" s="275"/>
      <c r="E1749" s="275"/>
      <c r="F1749" s="275"/>
      <c r="V1749" s="304"/>
      <c r="W1749" s="304"/>
      <c r="AD1749" s="304"/>
      <c r="AE1749" s="304"/>
      <c r="AR1749" s="304"/>
      <c r="AS1749" s="304"/>
      <c r="AT1749" s="304"/>
      <c r="AU1749" s="304"/>
      <c r="AV1749" s="304"/>
      <c r="AW1749" s="304"/>
      <c r="AX1749" s="304"/>
      <c r="AY1749" s="304"/>
      <c r="AZ1749" s="304"/>
      <c r="BA1749" s="304"/>
      <c r="BB1749" s="304"/>
      <c r="BC1749" s="304"/>
      <c r="BK1749" s="305"/>
      <c r="BL1749" s="305"/>
      <c r="BM1749" s="305"/>
      <c r="BN1749" s="305"/>
      <c r="BO1749" s="305"/>
      <c r="BP1749" s="305"/>
      <c r="BQ1749" s="305"/>
      <c r="BR1749" s="305"/>
      <c r="BS1749" s="305"/>
      <c r="BT1749" s="305"/>
      <c r="BU1749" s="305"/>
      <c r="BV1749" s="305"/>
      <c r="BX1749" s="319"/>
    </row>
    <row r="1750" spans="1:76" s="303" customFormat="1" x14ac:dyDescent="0.25">
      <c r="A1750" s="275"/>
      <c r="B1750" s="275"/>
      <c r="C1750" s="275"/>
      <c r="D1750" s="275"/>
      <c r="E1750" s="275"/>
      <c r="F1750" s="275"/>
      <c r="V1750" s="304"/>
      <c r="W1750" s="304"/>
      <c r="AD1750" s="304"/>
      <c r="AE1750" s="304"/>
      <c r="AR1750" s="304"/>
      <c r="AS1750" s="304"/>
      <c r="AT1750" s="304"/>
      <c r="AU1750" s="304"/>
      <c r="AV1750" s="304"/>
      <c r="AW1750" s="304"/>
      <c r="AX1750" s="304"/>
      <c r="AY1750" s="304"/>
      <c r="AZ1750" s="304"/>
      <c r="BA1750" s="304"/>
      <c r="BB1750" s="304"/>
      <c r="BC1750" s="304"/>
      <c r="BK1750" s="305"/>
      <c r="BL1750" s="305"/>
      <c r="BM1750" s="305"/>
      <c r="BN1750" s="305"/>
      <c r="BO1750" s="305"/>
      <c r="BP1750" s="305"/>
      <c r="BQ1750" s="305"/>
      <c r="BR1750" s="305"/>
      <c r="BS1750" s="305"/>
      <c r="BT1750" s="305"/>
      <c r="BU1750" s="305"/>
      <c r="BV1750" s="305"/>
      <c r="BX1750" s="319"/>
    </row>
    <row r="1751" spans="1:76" s="303" customFormat="1" x14ac:dyDescent="0.25">
      <c r="A1751" s="275"/>
      <c r="B1751" s="275"/>
      <c r="C1751" s="275"/>
      <c r="D1751" s="275"/>
      <c r="E1751" s="275"/>
      <c r="F1751" s="275"/>
      <c r="V1751" s="304"/>
      <c r="W1751" s="304"/>
      <c r="AD1751" s="304"/>
      <c r="AE1751" s="304"/>
      <c r="AR1751" s="304"/>
      <c r="AS1751" s="304"/>
      <c r="AT1751" s="304"/>
      <c r="AU1751" s="304"/>
      <c r="AV1751" s="304"/>
      <c r="AW1751" s="304"/>
      <c r="AX1751" s="304"/>
      <c r="AY1751" s="304"/>
      <c r="AZ1751" s="304"/>
      <c r="BA1751" s="304"/>
      <c r="BB1751" s="304"/>
      <c r="BC1751" s="304"/>
      <c r="BK1751" s="305"/>
      <c r="BL1751" s="305"/>
      <c r="BM1751" s="305"/>
      <c r="BN1751" s="305"/>
      <c r="BO1751" s="305"/>
      <c r="BP1751" s="305"/>
      <c r="BQ1751" s="305"/>
      <c r="BR1751" s="305"/>
      <c r="BS1751" s="305"/>
      <c r="BT1751" s="305"/>
      <c r="BU1751" s="305"/>
      <c r="BV1751" s="305"/>
      <c r="BX1751" s="319"/>
    </row>
    <row r="1752" spans="1:76" s="303" customFormat="1" x14ac:dyDescent="0.25">
      <c r="A1752" s="275"/>
      <c r="B1752" s="275"/>
      <c r="C1752" s="275"/>
      <c r="D1752" s="275"/>
      <c r="E1752" s="275"/>
      <c r="F1752" s="275"/>
      <c r="V1752" s="304"/>
      <c r="W1752" s="304"/>
      <c r="AD1752" s="304"/>
      <c r="AE1752" s="304"/>
      <c r="AR1752" s="304"/>
      <c r="AS1752" s="304"/>
      <c r="AT1752" s="304"/>
      <c r="AU1752" s="304"/>
      <c r="AV1752" s="304"/>
      <c r="AW1752" s="304"/>
      <c r="AX1752" s="304"/>
      <c r="AY1752" s="304"/>
      <c r="AZ1752" s="304"/>
      <c r="BA1752" s="304"/>
      <c r="BB1752" s="304"/>
      <c r="BC1752" s="304"/>
      <c r="BK1752" s="305"/>
      <c r="BL1752" s="305"/>
      <c r="BM1752" s="305"/>
      <c r="BN1752" s="305"/>
      <c r="BO1752" s="305"/>
      <c r="BP1752" s="305"/>
      <c r="BQ1752" s="305"/>
      <c r="BR1752" s="305"/>
      <c r="BS1752" s="305"/>
      <c r="BT1752" s="305"/>
      <c r="BU1752" s="305"/>
      <c r="BV1752" s="305"/>
      <c r="BX1752" s="319"/>
    </row>
    <row r="1753" spans="1:76" s="303" customFormat="1" x14ac:dyDescent="0.25">
      <c r="A1753" s="275"/>
      <c r="B1753" s="275"/>
      <c r="C1753" s="275"/>
      <c r="D1753" s="275"/>
      <c r="E1753" s="275"/>
      <c r="F1753" s="275"/>
      <c r="V1753" s="304"/>
      <c r="W1753" s="304"/>
      <c r="AD1753" s="304"/>
      <c r="AE1753" s="304"/>
      <c r="AR1753" s="304"/>
      <c r="AS1753" s="304"/>
      <c r="AT1753" s="304"/>
      <c r="AU1753" s="304"/>
      <c r="AV1753" s="304"/>
      <c r="AW1753" s="304"/>
      <c r="AX1753" s="304"/>
      <c r="AY1753" s="304"/>
      <c r="AZ1753" s="304"/>
      <c r="BA1753" s="304"/>
      <c r="BB1753" s="304"/>
      <c r="BC1753" s="304"/>
      <c r="BK1753" s="305"/>
      <c r="BL1753" s="305"/>
      <c r="BM1753" s="305"/>
      <c r="BN1753" s="305"/>
      <c r="BO1753" s="305"/>
      <c r="BP1753" s="305"/>
      <c r="BQ1753" s="305"/>
      <c r="BR1753" s="305"/>
      <c r="BS1753" s="305"/>
      <c r="BT1753" s="305"/>
      <c r="BU1753" s="305"/>
      <c r="BV1753" s="305"/>
      <c r="BX1753" s="319"/>
    </row>
    <row r="1754" spans="1:76" s="303" customFormat="1" x14ac:dyDescent="0.25">
      <c r="A1754" s="275"/>
      <c r="B1754" s="275"/>
      <c r="C1754" s="275"/>
      <c r="D1754" s="275"/>
      <c r="E1754" s="275"/>
      <c r="F1754" s="275"/>
      <c r="V1754" s="304"/>
      <c r="W1754" s="304"/>
      <c r="AD1754" s="304"/>
      <c r="AE1754" s="304"/>
      <c r="AR1754" s="304"/>
      <c r="AS1754" s="304"/>
      <c r="AT1754" s="304"/>
      <c r="AU1754" s="304"/>
      <c r="AV1754" s="304"/>
      <c r="AW1754" s="304"/>
      <c r="AX1754" s="304"/>
      <c r="AY1754" s="304"/>
      <c r="AZ1754" s="304"/>
      <c r="BA1754" s="304"/>
      <c r="BB1754" s="304"/>
      <c r="BC1754" s="304"/>
      <c r="BK1754" s="305"/>
      <c r="BL1754" s="305"/>
      <c r="BM1754" s="305"/>
      <c r="BN1754" s="305"/>
      <c r="BO1754" s="305"/>
      <c r="BP1754" s="305"/>
      <c r="BQ1754" s="305"/>
      <c r="BR1754" s="305"/>
      <c r="BS1754" s="305"/>
      <c r="BT1754" s="305"/>
      <c r="BU1754" s="305"/>
      <c r="BV1754" s="305"/>
      <c r="BX1754" s="319"/>
    </row>
    <row r="1755" spans="1:76" s="303" customFormat="1" x14ac:dyDescent="0.25">
      <c r="A1755" s="275"/>
      <c r="B1755" s="275"/>
      <c r="C1755" s="275"/>
      <c r="D1755" s="275"/>
      <c r="E1755" s="275"/>
      <c r="F1755" s="275"/>
      <c r="V1755" s="304"/>
      <c r="W1755" s="304"/>
      <c r="AD1755" s="304"/>
      <c r="AE1755" s="304"/>
      <c r="AR1755" s="304"/>
      <c r="AS1755" s="304"/>
      <c r="AT1755" s="304"/>
      <c r="AU1755" s="304"/>
      <c r="AV1755" s="304"/>
      <c r="AW1755" s="304"/>
      <c r="AX1755" s="304"/>
      <c r="AY1755" s="304"/>
      <c r="AZ1755" s="304"/>
      <c r="BA1755" s="304"/>
      <c r="BB1755" s="304"/>
      <c r="BC1755" s="304"/>
      <c r="BK1755" s="305"/>
      <c r="BL1755" s="305"/>
      <c r="BM1755" s="305"/>
      <c r="BN1755" s="305"/>
      <c r="BO1755" s="305"/>
      <c r="BP1755" s="305"/>
      <c r="BQ1755" s="305"/>
      <c r="BR1755" s="305"/>
      <c r="BS1755" s="305"/>
      <c r="BT1755" s="305"/>
      <c r="BU1755" s="305"/>
      <c r="BV1755" s="305"/>
      <c r="BX1755" s="319"/>
    </row>
    <row r="1756" spans="1:76" s="303" customFormat="1" x14ac:dyDescent="0.25">
      <c r="A1756" s="275"/>
      <c r="B1756" s="275"/>
      <c r="C1756" s="275"/>
      <c r="D1756" s="275"/>
      <c r="E1756" s="275"/>
      <c r="F1756" s="275"/>
      <c r="V1756" s="304"/>
      <c r="W1756" s="304"/>
      <c r="AD1756" s="304"/>
      <c r="AE1756" s="304"/>
      <c r="AR1756" s="304"/>
      <c r="AS1756" s="304"/>
      <c r="AT1756" s="304"/>
      <c r="AU1756" s="304"/>
      <c r="AV1756" s="304"/>
      <c r="AW1756" s="304"/>
      <c r="AX1756" s="304"/>
      <c r="AY1756" s="304"/>
      <c r="AZ1756" s="304"/>
      <c r="BA1756" s="304"/>
      <c r="BB1756" s="304"/>
      <c r="BC1756" s="304"/>
      <c r="BK1756" s="305"/>
      <c r="BL1756" s="305"/>
      <c r="BM1756" s="305"/>
      <c r="BN1756" s="305"/>
      <c r="BO1756" s="305"/>
      <c r="BP1756" s="305"/>
      <c r="BQ1756" s="305"/>
      <c r="BR1756" s="305"/>
      <c r="BS1756" s="305"/>
      <c r="BT1756" s="305"/>
      <c r="BU1756" s="305"/>
      <c r="BV1756" s="305"/>
      <c r="BX1756" s="319"/>
    </row>
    <row r="1757" spans="1:76" s="303" customFormat="1" x14ac:dyDescent="0.25">
      <c r="A1757" s="275"/>
      <c r="B1757" s="275"/>
      <c r="C1757" s="275"/>
      <c r="D1757" s="275"/>
      <c r="E1757" s="275"/>
      <c r="F1757" s="275"/>
      <c r="V1757" s="304"/>
      <c r="W1757" s="304"/>
      <c r="AD1757" s="304"/>
      <c r="AE1757" s="304"/>
      <c r="AR1757" s="304"/>
      <c r="AS1757" s="304"/>
      <c r="AT1757" s="304"/>
      <c r="AU1757" s="304"/>
      <c r="AV1757" s="304"/>
      <c r="AW1757" s="304"/>
      <c r="AX1757" s="304"/>
      <c r="AY1757" s="304"/>
      <c r="AZ1757" s="304"/>
      <c r="BA1757" s="304"/>
      <c r="BB1757" s="304"/>
      <c r="BC1757" s="304"/>
      <c r="BK1757" s="305"/>
      <c r="BL1757" s="305"/>
      <c r="BM1757" s="305"/>
      <c r="BN1757" s="305"/>
      <c r="BO1757" s="305"/>
      <c r="BP1757" s="305"/>
      <c r="BQ1757" s="305"/>
      <c r="BR1757" s="305"/>
      <c r="BS1757" s="305"/>
      <c r="BT1757" s="305"/>
      <c r="BU1757" s="305"/>
      <c r="BV1757" s="305"/>
      <c r="BX1757" s="319"/>
    </row>
    <row r="1758" spans="1:76" s="303" customFormat="1" x14ac:dyDescent="0.25">
      <c r="A1758" s="275"/>
      <c r="B1758" s="275"/>
      <c r="C1758" s="275"/>
      <c r="D1758" s="275"/>
      <c r="E1758" s="275"/>
      <c r="F1758" s="275"/>
      <c r="V1758" s="304"/>
      <c r="W1758" s="304"/>
      <c r="AD1758" s="304"/>
      <c r="AE1758" s="304"/>
      <c r="AR1758" s="304"/>
      <c r="AS1758" s="304"/>
      <c r="AT1758" s="304"/>
      <c r="AU1758" s="304"/>
      <c r="AV1758" s="304"/>
      <c r="AW1758" s="304"/>
      <c r="AX1758" s="304"/>
      <c r="AY1758" s="304"/>
      <c r="AZ1758" s="304"/>
      <c r="BA1758" s="304"/>
      <c r="BB1758" s="304"/>
      <c r="BC1758" s="304"/>
      <c r="BK1758" s="305"/>
      <c r="BL1758" s="305"/>
      <c r="BM1758" s="305"/>
      <c r="BN1758" s="305"/>
      <c r="BO1758" s="305"/>
      <c r="BP1758" s="305"/>
      <c r="BQ1758" s="305"/>
      <c r="BR1758" s="305"/>
      <c r="BS1758" s="305"/>
      <c r="BT1758" s="305"/>
      <c r="BU1758" s="305"/>
      <c r="BV1758" s="305"/>
      <c r="BX1758" s="319"/>
    </row>
    <row r="1759" spans="1:76" s="303" customFormat="1" x14ac:dyDescent="0.25">
      <c r="A1759" s="275"/>
      <c r="B1759" s="275"/>
      <c r="C1759" s="275"/>
      <c r="D1759" s="275"/>
      <c r="E1759" s="275"/>
      <c r="F1759" s="275"/>
      <c r="V1759" s="304"/>
      <c r="W1759" s="304"/>
      <c r="AD1759" s="304"/>
      <c r="AE1759" s="304"/>
      <c r="AR1759" s="304"/>
      <c r="AS1759" s="304"/>
      <c r="AT1759" s="304"/>
      <c r="AU1759" s="304"/>
      <c r="AV1759" s="304"/>
      <c r="AW1759" s="304"/>
      <c r="AX1759" s="304"/>
      <c r="AY1759" s="304"/>
      <c r="AZ1759" s="304"/>
      <c r="BA1759" s="304"/>
      <c r="BB1759" s="304"/>
      <c r="BC1759" s="304"/>
      <c r="BK1759" s="305"/>
      <c r="BL1759" s="305"/>
      <c r="BM1759" s="305"/>
      <c r="BN1759" s="305"/>
      <c r="BO1759" s="305"/>
      <c r="BP1759" s="305"/>
      <c r="BQ1759" s="305"/>
      <c r="BR1759" s="305"/>
      <c r="BS1759" s="305"/>
      <c r="BT1759" s="305"/>
      <c r="BU1759" s="305"/>
      <c r="BV1759" s="305"/>
      <c r="BX1759" s="319"/>
    </row>
    <row r="1760" spans="1:76" s="303" customFormat="1" x14ac:dyDescent="0.25">
      <c r="A1760" s="275"/>
      <c r="B1760" s="275"/>
      <c r="C1760" s="275"/>
      <c r="D1760" s="275"/>
      <c r="E1760" s="275"/>
      <c r="F1760" s="275"/>
      <c r="V1760" s="304"/>
      <c r="W1760" s="304"/>
      <c r="AD1760" s="304"/>
      <c r="AE1760" s="304"/>
      <c r="AR1760" s="304"/>
      <c r="AS1760" s="304"/>
      <c r="AT1760" s="304"/>
      <c r="AU1760" s="304"/>
      <c r="AV1760" s="304"/>
      <c r="AW1760" s="304"/>
      <c r="AX1760" s="304"/>
      <c r="AY1760" s="304"/>
      <c r="AZ1760" s="304"/>
      <c r="BA1760" s="304"/>
      <c r="BB1760" s="304"/>
      <c r="BC1760" s="304"/>
      <c r="BK1760" s="305"/>
      <c r="BL1760" s="305"/>
      <c r="BM1760" s="305"/>
      <c r="BN1760" s="305"/>
      <c r="BO1760" s="305"/>
      <c r="BP1760" s="305"/>
      <c r="BQ1760" s="305"/>
      <c r="BR1760" s="305"/>
      <c r="BS1760" s="305"/>
      <c r="BT1760" s="305"/>
      <c r="BU1760" s="305"/>
      <c r="BV1760" s="305"/>
      <c r="BX1760" s="319"/>
    </row>
    <row r="1761" spans="1:76" s="303" customFormat="1" x14ac:dyDescent="0.25">
      <c r="A1761" s="275"/>
      <c r="B1761" s="275"/>
      <c r="C1761" s="275"/>
      <c r="D1761" s="275"/>
      <c r="E1761" s="275"/>
      <c r="F1761" s="275"/>
      <c r="V1761" s="304"/>
      <c r="W1761" s="304"/>
      <c r="AD1761" s="304"/>
      <c r="AE1761" s="304"/>
      <c r="AR1761" s="304"/>
      <c r="AS1761" s="304"/>
      <c r="AT1761" s="304"/>
      <c r="AU1761" s="304"/>
      <c r="AV1761" s="304"/>
      <c r="AW1761" s="304"/>
      <c r="AX1761" s="304"/>
      <c r="AY1761" s="304"/>
      <c r="AZ1761" s="304"/>
      <c r="BA1761" s="304"/>
      <c r="BB1761" s="304"/>
      <c r="BC1761" s="304"/>
      <c r="BK1761" s="305"/>
      <c r="BL1761" s="305"/>
      <c r="BM1761" s="305"/>
      <c r="BN1761" s="305"/>
      <c r="BO1761" s="305"/>
      <c r="BP1761" s="305"/>
      <c r="BQ1761" s="305"/>
      <c r="BR1761" s="305"/>
      <c r="BS1761" s="305"/>
      <c r="BT1761" s="305"/>
      <c r="BU1761" s="305"/>
      <c r="BV1761" s="305"/>
      <c r="BX1761" s="319"/>
    </row>
    <row r="1762" spans="1:76" s="303" customFormat="1" x14ac:dyDescent="0.25">
      <c r="A1762" s="275"/>
      <c r="B1762" s="275"/>
      <c r="C1762" s="275"/>
      <c r="D1762" s="275"/>
      <c r="E1762" s="275"/>
      <c r="F1762" s="275"/>
      <c r="V1762" s="304"/>
      <c r="W1762" s="304"/>
      <c r="AD1762" s="304"/>
      <c r="AE1762" s="304"/>
      <c r="AR1762" s="304"/>
      <c r="AS1762" s="304"/>
      <c r="AT1762" s="304"/>
      <c r="AU1762" s="304"/>
      <c r="AV1762" s="304"/>
      <c r="AW1762" s="304"/>
      <c r="AX1762" s="304"/>
      <c r="AY1762" s="304"/>
      <c r="AZ1762" s="304"/>
      <c r="BA1762" s="304"/>
      <c r="BB1762" s="304"/>
      <c r="BC1762" s="304"/>
      <c r="BK1762" s="305"/>
      <c r="BL1762" s="305"/>
      <c r="BM1762" s="305"/>
      <c r="BN1762" s="305"/>
      <c r="BO1762" s="305"/>
      <c r="BP1762" s="305"/>
      <c r="BQ1762" s="305"/>
      <c r="BR1762" s="305"/>
      <c r="BS1762" s="305"/>
      <c r="BT1762" s="305"/>
      <c r="BU1762" s="305"/>
      <c r="BV1762" s="305"/>
      <c r="BX1762" s="319"/>
    </row>
    <row r="1763" spans="1:76" s="303" customFormat="1" x14ac:dyDescent="0.25">
      <c r="A1763" s="275"/>
      <c r="B1763" s="275"/>
      <c r="C1763" s="275"/>
      <c r="D1763" s="275"/>
      <c r="E1763" s="275"/>
      <c r="F1763" s="275"/>
      <c r="V1763" s="304"/>
      <c r="W1763" s="304"/>
      <c r="AD1763" s="304"/>
      <c r="AE1763" s="304"/>
      <c r="AR1763" s="304"/>
      <c r="AS1763" s="304"/>
      <c r="AT1763" s="304"/>
      <c r="AU1763" s="304"/>
      <c r="AV1763" s="304"/>
      <c r="AW1763" s="304"/>
      <c r="AX1763" s="304"/>
      <c r="AY1763" s="304"/>
      <c r="AZ1763" s="304"/>
      <c r="BA1763" s="304"/>
      <c r="BB1763" s="304"/>
      <c r="BC1763" s="304"/>
      <c r="BK1763" s="305"/>
      <c r="BL1763" s="305"/>
      <c r="BM1763" s="305"/>
      <c r="BN1763" s="305"/>
      <c r="BO1763" s="305"/>
      <c r="BP1763" s="305"/>
      <c r="BQ1763" s="305"/>
      <c r="BR1763" s="305"/>
      <c r="BS1763" s="305"/>
      <c r="BT1763" s="305"/>
      <c r="BU1763" s="305"/>
      <c r="BV1763" s="305"/>
      <c r="BX1763" s="319"/>
    </row>
    <row r="1764" spans="1:76" s="303" customFormat="1" x14ac:dyDescent="0.25">
      <c r="A1764" s="275"/>
      <c r="B1764" s="275"/>
      <c r="C1764" s="275"/>
      <c r="D1764" s="275"/>
      <c r="E1764" s="275"/>
      <c r="F1764" s="275"/>
      <c r="V1764" s="304"/>
      <c r="W1764" s="304"/>
      <c r="AD1764" s="304"/>
      <c r="AE1764" s="304"/>
      <c r="AR1764" s="304"/>
      <c r="AS1764" s="304"/>
      <c r="AT1764" s="304"/>
      <c r="AU1764" s="304"/>
      <c r="AV1764" s="304"/>
      <c r="AW1764" s="304"/>
      <c r="AX1764" s="304"/>
      <c r="AY1764" s="304"/>
      <c r="AZ1764" s="304"/>
      <c r="BA1764" s="304"/>
      <c r="BB1764" s="304"/>
      <c r="BC1764" s="304"/>
      <c r="BK1764" s="305"/>
      <c r="BL1764" s="305"/>
      <c r="BM1764" s="305"/>
      <c r="BN1764" s="305"/>
      <c r="BO1764" s="305"/>
      <c r="BP1764" s="305"/>
      <c r="BQ1764" s="305"/>
      <c r="BR1764" s="305"/>
      <c r="BS1764" s="305"/>
      <c r="BT1764" s="305"/>
      <c r="BU1764" s="305"/>
      <c r="BV1764" s="305"/>
      <c r="BX1764" s="319"/>
    </row>
    <row r="1765" spans="1:76" s="303" customFormat="1" x14ac:dyDescent="0.25">
      <c r="A1765" s="275"/>
      <c r="B1765" s="275"/>
      <c r="C1765" s="275"/>
      <c r="D1765" s="275"/>
      <c r="E1765" s="275"/>
      <c r="F1765" s="275"/>
      <c r="V1765" s="304"/>
      <c r="W1765" s="304"/>
      <c r="AD1765" s="304"/>
      <c r="AE1765" s="304"/>
      <c r="AR1765" s="304"/>
      <c r="AS1765" s="304"/>
      <c r="AT1765" s="304"/>
      <c r="AU1765" s="304"/>
      <c r="AV1765" s="304"/>
      <c r="AW1765" s="304"/>
      <c r="AX1765" s="304"/>
      <c r="AY1765" s="304"/>
      <c r="AZ1765" s="304"/>
      <c r="BA1765" s="304"/>
      <c r="BB1765" s="304"/>
      <c r="BC1765" s="304"/>
      <c r="BK1765" s="305"/>
      <c r="BL1765" s="305"/>
      <c r="BM1765" s="305"/>
      <c r="BN1765" s="305"/>
      <c r="BO1765" s="305"/>
      <c r="BP1765" s="305"/>
      <c r="BQ1765" s="305"/>
      <c r="BR1765" s="305"/>
      <c r="BS1765" s="305"/>
      <c r="BT1765" s="305"/>
      <c r="BU1765" s="305"/>
      <c r="BV1765" s="305"/>
      <c r="BX1765" s="319"/>
    </row>
    <row r="1766" spans="1:76" s="303" customFormat="1" x14ac:dyDescent="0.25">
      <c r="A1766" s="275"/>
      <c r="B1766" s="275"/>
      <c r="C1766" s="275"/>
      <c r="D1766" s="275"/>
      <c r="E1766" s="275"/>
      <c r="F1766" s="275"/>
      <c r="V1766" s="304"/>
      <c r="W1766" s="304"/>
      <c r="AD1766" s="304"/>
      <c r="AE1766" s="304"/>
      <c r="AR1766" s="304"/>
      <c r="AS1766" s="304"/>
      <c r="AT1766" s="304"/>
      <c r="AU1766" s="304"/>
      <c r="AV1766" s="304"/>
      <c r="AW1766" s="304"/>
      <c r="AX1766" s="304"/>
      <c r="AY1766" s="304"/>
      <c r="AZ1766" s="304"/>
      <c r="BA1766" s="304"/>
      <c r="BB1766" s="304"/>
      <c r="BC1766" s="304"/>
      <c r="BK1766" s="305"/>
      <c r="BL1766" s="305"/>
      <c r="BM1766" s="305"/>
      <c r="BN1766" s="305"/>
      <c r="BO1766" s="305"/>
      <c r="BP1766" s="305"/>
      <c r="BQ1766" s="305"/>
      <c r="BR1766" s="305"/>
      <c r="BS1766" s="305"/>
      <c r="BT1766" s="305"/>
      <c r="BU1766" s="305"/>
      <c r="BV1766" s="305"/>
      <c r="BX1766" s="319"/>
    </row>
    <row r="1767" spans="1:76" s="303" customFormat="1" x14ac:dyDescent="0.25">
      <c r="A1767" s="275"/>
      <c r="B1767" s="275"/>
      <c r="C1767" s="275"/>
      <c r="D1767" s="275"/>
      <c r="E1767" s="275"/>
      <c r="F1767" s="275"/>
      <c r="V1767" s="304"/>
      <c r="W1767" s="304"/>
      <c r="AD1767" s="304"/>
      <c r="AE1767" s="304"/>
      <c r="AR1767" s="304"/>
      <c r="AS1767" s="304"/>
      <c r="AT1767" s="304"/>
      <c r="AU1767" s="304"/>
      <c r="AV1767" s="304"/>
      <c r="AW1767" s="304"/>
      <c r="AX1767" s="304"/>
      <c r="AY1767" s="304"/>
      <c r="AZ1767" s="304"/>
      <c r="BA1767" s="304"/>
      <c r="BB1767" s="304"/>
      <c r="BC1767" s="304"/>
      <c r="BK1767" s="305"/>
      <c r="BL1767" s="305"/>
      <c r="BM1767" s="305"/>
      <c r="BN1767" s="305"/>
      <c r="BO1767" s="305"/>
      <c r="BP1767" s="305"/>
      <c r="BQ1767" s="305"/>
      <c r="BR1767" s="305"/>
      <c r="BS1767" s="305"/>
      <c r="BT1767" s="305"/>
      <c r="BU1767" s="305"/>
      <c r="BV1767" s="305"/>
      <c r="BX1767" s="319"/>
    </row>
    <row r="1768" spans="1:76" s="303" customFormat="1" x14ac:dyDescent="0.25">
      <c r="A1768" s="275"/>
      <c r="B1768" s="275"/>
      <c r="C1768" s="275"/>
      <c r="D1768" s="275"/>
      <c r="E1768" s="275"/>
      <c r="F1768" s="275"/>
      <c r="V1768" s="304"/>
      <c r="W1768" s="304"/>
      <c r="AD1768" s="304"/>
      <c r="AE1768" s="304"/>
      <c r="AR1768" s="304"/>
      <c r="AS1768" s="304"/>
      <c r="AT1768" s="304"/>
      <c r="AU1768" s="304"/>
      <c r="AV1768" s="304"/>
      <c r="AW1768" s="304"/>
      <c r="AX1768" s="304"/>
      <c r="AY1768" s="304"/>
      <c r="AZ1768" s="304"/>
      <c r="BA1768" s="304"/>
      <c r="BB1768" s="304"/>
      <c r="BC1768" s="304"/>
      <c r="BK1768" s="305"/>
      <c r="BL1768" s="305"/>
      <c r="BM1768" s="305"/>
      <c r="BN1768" s="305"/>
      <c r="BO1768" s="305"/>
      <c r="BP1768" s="305"/>
      <c r="BQ1768" s="305"/>
      <c r="BR1768" s="305"/>
      <c r="BS1768" s="305"/>
      <c r="BT1768" s="305"/>
      <c r="BU1768" s="305"/>
      <c r="BV1768" s="305"/>
      <c r="BX1768" s="319"/>
    </row>
    <row r="1769" spans="1:76" s="303" customFormat="1" x14ac:dyDescent="0.25">
      <c r="A1769" s="275"/>
      <c r="B1769" s="275"/>
      <c r="C1769" s="275"/>
      <c r="D1769" s="275"/>
      <c r="E1769" s="275"/>
      <c r="F1769" s="275"/>
      <c r="V1769" s="304"/>
      <c r="W1769" s="304"/>
      <c r="AD1769" s="304"/>
      <c r="AE1769" s="304"/>
      <c r="AR1769" s="304"/>
      <c r="AS1769" s="304"/>
      <c r="AT1769" s="304"/>
      <c r="AU1769" s="304"/>
      <c r="AV1769" s="304"/>
      <c r="AW1769" s="304"/>
      <c r="AX1769" s="304"/>
      <c r="AY1769" s="304"/>
      <c r="AZ1769" s="304"/>
      <c r="BA1769" s="304"/>
      <c r="BB1769" s="304"/>
      <c r="BC1769" s="304"/>
      <c r="BK1769" s="305"/>
      <c r="BL1769" s="305"/>
      <c r="BM1769" s="305"/>
      <c r="BN1769" s="305"/>
      <c r="BO1769" s="305"/>
      <c r="BP1769" s="305"/>
      <c r="BQ1769" s="305"/>
      <c r="BR1769" s="305"/>
      <c r="BS1769" s="305"/>
      <c r="BT1769" s="305"/>
      <c r="BU1769" s="305"/>
      <c r="BV1769" s="305"/>
      <c r="BX1769" s="319"/>
    </row>
    <row r="1770" spans="1:76" s="303" customFormat="1" x14ac:dyDescent="0.25">
      <c r="A1770" s="275"/>
      <c r="B1770" s="275"/>
      <c r="C1770" s="275"/>
      <c r="D1770" s="275"/>
      <c r="E1770" s="275"/>
      <c r="F1770" s="275"/>
      <c r="V1770" s="304"/>
      <c r="W1770" s="304"/>
      <c r="AD1770" s="304"/>
      <c r="AE1770" s="304"/>
      <c r="AR1770" s="304"/>
      <c r="AS1770" s="304"/>
      <c r="AT1770" s="304"/>
      <c r="AU1770" s="304"/>
      <c r="AV1770" s="304"/>
      <c r="AW1770" s="304"/>
      <c r="AX1770" s="304"/>
      <c r="AY1770" s="304"/>
      <c r="AZ1770" s="304"/>
      <c r="BA1770" s="304"/>
      <c r="BB1770" s="304"/>
      <c r="BC1770" s="304"/>
      <c r="BK1770" s="305"/>
      <c r="BL1770" s="305"/>
      <c r="BM1770" s="305"/>
      <c r="BN1770" s="305"/>
      <c r="BO1770" s="305"/>
      <c r="BP1770" s="305"/>
      <c r="BQ1770" s="305"/>
      <c r="BR1770" s="305"/>
      <c r="BS1770" s="305"/>
      <c r="BT1770" s="305"/>
      <c r="BU1770" s="305"/>
      <c r="BV1770" s="305"/>
      <c r="BX1770" s="319"/>
    </row>
    <row r="1771" spans="1:76" s="303" customFormat="1" x14ac:dyDescent="0.25">
      <c r="A1771" s="275"/>
      <c r="B1771" s="275"/>
      <c r="C1771" s="275"/>
      <c r="D1771" s="275"/>
      <c r="E1771" s="275"/>
      <c r="F1771" s="275"/>
      <c r="V1771" s="304"/>
      <c r="W1771" s="304"/>
      <c r="AD1771" s="304"/>
      <c r="AE1771" s="304"/>
      <c r="AR1771" s="304"/>
      <c r="AS1771" s="304"/>
      <c r="AT1771" s="304"/>
      <c r="AU1771" s="304"/>
      <c r="AV1771" s="304"/>
      <c r="AW1771" s="304"/>
      <c r="AX1771" s="304"/>
      <c r="AY1771" s="304"/>
      <c r="AZ1771" s="304"/>
      <c r="BA1771" s="304"/>
      <c r="BB1771" s="304"/>
      <c r="BC1771" s="304"/>
      <c r="BK1771" s="305"/>
      <c r="BL1771" s="305"/>
      <c r="BM1771" s="305"/>
      <c r="BN1771" s="305"/>
      <c r="BO1771" s="305"/>
      <c r="BP1771" s="305"/>
      <c r="BQ1771" s="305"/>
      <c r="BR1771" s="305"/>
      <c r="BS1771" s="305"/>
      <c r="BT1771" s="305"/>
      <c r="BU1771" s="305"/>
      <c r="BV1771" s="305"/>
      <c r="BX1771" s="319"/>
    </row>
    <row r="1772" spans="1:76" s="303" customFormat="1" x14ac:dyDescent="0.25">
      <c r="A1772" s="275"/>
      <c r="B1772" s="275"/>
      <c r="C1772" s="275"/>
      <c r="D1772" s="275"/>
      <c r="E1772" s="275"/>
      <c r="F1772" s="275"/>
      <c r="V1772" s="304"/>
      <c r="W1772" s="304"/>
      <c r="AD1772" s="304"/>
      <c r="AE1772" s="304"/>
      <c r="AR1772" s="304"/>
      <c r="AS1772" s="304"/>
      <c r="AT1772" s="304"/>
      <c r="AU1772" s="304"/>
      <c r="AV1772" s="304"/>
      <c r="AW1772" s="304"/>
      <c r="AX1772" s="304"/>
      <c r="AY1772" s="304"/>
      <c r="AZ1772" s="304"/>
      <c r="BA1772" s="304"/>
      <c r="BB1772" s="304"/>
      <c r="BC1772" s="304"/>
      <c r="BK1772" s="305"/>
      <c r="BL1772" s="305"/>
      <c r="BM1772" s="305"/>
      <c r="BN1772" s="305"/>
      <c r="BO1772" s="305"/>
      <c r="BP1772" s="305"/>
      <c r="BQ1772" s="305"/>
      <c r="BR1772" s="305"/>
      <c r="BS1772" s="305"/>
      <c r="BT1772" s="305"/>
      <c r="BU1772" s="305"/>
      <c r="BV1772" s="305"/>
      <c r="BX1772" s="319"/>
    </row>
    <row r="1773" spans="1:76" s="303" customFormat="1" x14ac:dyDescent="0.25">
      <c r="A1773" s="275"/>
      <c r="B1773" s="275"/>
      <c r="C1773" s="275"/>
      <c r="D1773" s="275"/>
      <c r="E1773" s="275"/>
      <c r="F1773" s="275"/>
      <c r="V1773" s="304"/>
      <c r="W1773" s="304"/>
      <c r="AD1773" s="304"/>
      <c r="AE1773" s="304"/>
      <c r="AR1773" s="304"/>
      <c r="AS1773" s="304"/>
      <c r="AT1773" s="304"/>
      <c r="AU1773" s="304"/>
      <c r="AV1773" s="304"/>
      <c r="AW1773" s="304"/>
      <c r="AX1773" s="304"/>
      <c r="AY1773" s="304"/>
      <c r="AZ1773" s="304"/>
      <c r="BA1773" s="304"/>
      <c r="BB1773" s="304"/>
      <c r="BC1773" s="304"/>
      <c r="BK1773" s="305"/>
      <c r="BL1773" s="305"/>
      <c r="BM1773" s="305"/>
      <c r="BN1773" s="305"/>
      <c r="BO1773" s="305"/>
      <c r="BP1773" s="305"/>
      <c r="BQ1773" s="305"/>
      <c r="BR1773" s="305"/>
      <c r="BS1773" s="305"/>
      <c r="BT1773" s="305"/>
      <c r="BU1773" s="305"/>
      <c r="BV1773" s="305"/>
      <c r="BX1773" s="319"/>
    </row>
    <row r="1774" spans="1:76" s="303" customFormat="1" x14ac:dyDescent="0.25">
      <c r="A1774" s="275"/>
      <c r="B1774" s="275"/>
      <c r="C1774" s="275"/>
      <c r="D1774" s="275"/>
      <c r="E1774" s="275"/>
      <c r="F1774" s="275"/>
      <c r="V1774" s="304"/>
      <c r="W1774" s="304"/>
      <c r="AD1774" s="304"/>
      <c r="AE1774" s="304"/>
      <c r="AR1774" s="304"/>
      <c r="AS1774" s="304"/>
      <c r="AT1774" s="304"/>
      <c r="AU1774" s="304"/>
      <c r="AV1774" s="304"/>
      <c r="AW1774" s="304"/>
      <c r="AX1774" s="304"/>
      <c r="AY1774" s="304"/>
      <c r="AZ1774" s="304"/>
      <c r="BA1774" s="304"/>
      <c r="BB1774" s="304"/>
      <c r="BC1774" s="304"/>
      <c r="BK1774" s="305"/>
      <c r="BL1774" s="305"/>
      <c r="BM1774" s="305"/>
      <c r="BN1774" s="305"/>
      <c r="BO1774" s="305"/>
      <c r="BP1774" s="305"/>
      <c r="BQ1774" s="305"/>
      <c r="BR1774" s="305"/>
      <c r="BS1774" s="305"/>
      <c r="BT1774" s="305"/>
      <c r="BU1774" s="305"/>
      <c r="BV1774" s="305"/>
      <c r="BX1774" s="319"/>
    </row>
    <row r="1775" spans="1:76" s="303" customFormat="1" x14ac:dyDescent="0.25">
      <c r="A1775" s="275"/>
      <c r="B1775" s="275"/>
      <c r="C1775" s="275"/>
      <c r="D1775" s="275"/>
      <c r="E1775" s="275"/>
      <c r="F1775" s="275"/>
      <c r="V1775" s="304"/>
      <c r="W1775" s="304"/>
      <c r="AD1775" s="304"/>
      <c r="AE1775" s="304"/>
      <c r="AR1775" s="304"/>
      <c r="AS1775" s="304"/>
      <c r="AT1775" s="304"/>
      <c r="AU1775" s="304"/>
      <c r="AV1775" s="304"/>
      <c r="AW1775" s="304"/>
      <c r="AX1775" s="304"/>
      <c r="AY1775" s="304"/>
      <c r="AZ1775" s="304"/>
      <c r="BA1775" s="304"/>
      <c r="BB1775" s="304"/>
      <c r="BC1775" s="304"/>
      <c r="BK1775" s="305"/>
      <c r="BL1775" s="305"/>
      <c r="BM1775" s="305"/>
      <c r="BN1775" s="305"/>
      <c r="BO1775" s="305"/>
      <c r="BP1775" s="305"/>
      <c r="BQ1775" s="305"/>
      <c r="BR1775" s="305"/>
      <c r="BS1775" s="305"/>
      <c r="BT1775" s="305"/>
      <c r="BU1775" s="305"/>
      <c r="BV1775" s="305"/>
      <c r="BX1775" s="319"/>
    </row>
    <row r="1776" spans="1:76" s="303" customFormat="1" x14ac:dyDescent="0.25">
      <c r="A1776" s="275"/>
      <c r="B1776" s="275"/>
      <c r="C1776" s="275"/>
      <c r="D1776" s="275"/>
      <c r="E1776" s="275"/>
      <c r="F1776" s="275"/>
      <c r="V1776" s="304"/>
      <c r="W1776" s="304"/>
      <c r="AD1776" s="304"/>
      <c r="AE1776" s="304"/>
      <c r="AR1776" s="304"/>
      <c r="AS1776" s="304"/>
      <c r="AT1776" s="304"/>
      <c r="AU1776" s="304"/>
      <c r="AV1776" s="304"/>
      <c r="AW1776" s="304"/>
      <c r="AX1776" s="304"/>
      <c r="AY1776" s="304"/>
      <c r="AZ1776" s="304"/>
      <c r="BA1776" s="304"/>
      <c r="BB1776" s="304"/>
      <c r="BC1776" s="304"/>
      <c r="BK1776" s="305"/>
      <c r="BL1776" s="305"/>
      <c r="BM1776" s="305"/>
      <c r="BN1776" s="305"/>
      <c r="BO1776" s="305"/>
      <c r="BP1776" s="305"/>
      <c r="BQ1776" s="305"/>
      <c r="BR1776" s="305"/>
      <c r="BS1776" s="305"/>
      <c r="BT1776" s="305"/>
      <c r="BU1776" s="305"/>
      <c r="BV1776" s="305"/>
      <c r="BX1776" s="319"/>
    </row>
    <row r="1777" spans="1:76" s="303" customFormat="1" x14ac:dyDescent="0.25">
      <c r="A1777" s="275"/>
      <c r="B1777" s="275"/>
      <c r="C1777" s="275"/>
      <c r="D1777" s="275"/>
      <c r="E1777" s="275"/>
      <c r="F1777" s="275"/>
      <c r="V1777" s="304"/>
      <c r="W1777" s="304"/>
      <c r="AD1777" s="304"/>
      <c r="AE1777" s="304"/>
      <c r="AR1777" s="304"/>
      <c r="AS1777" s="304"/>
      <c r="AT1777" s="304"/>
      <c r="AU1777" s="304"/>
      <c r="AV1777" s="304"/>
      <c r="AW1777" s="304"/>
      <c r="AX1777" s="304"/>
      <c r="AY1777" s="304"/>
      <c r="AZ1777" s="304"/>
      <c r="BA1777" s="304"/>
      <c r="BB1777" s="304"/>
      <c r="BC1777" s="304"/>
      <c r="BK1777" s="305"/>
      <c r="BL1777" s="305"/>
      <c r="BM1777" s="305"/>
      <c r="BN1777" s="305"/>
      <c r="BO1777" s="305"/>
      <c r="BP1777" s="305"/>
      <c r="BQ1777" s="305"/>
      <c r="BR1777" s="305"/>
      <c r="BS1777" s="305"/>
      <c r="BT1777" s="305"/>
      <c r="BU1777" s="305"/>
      <c r="BV1777" s="305"/>
      <c r="BX1777" s="319"/>
    </row>
    <row r="1778" spans="1:76" s="303" customFormat="1" x14ac:dyDescent="0.25">
      <c r="A1778" s="275"/>
      <c r="B1778" s="275"/>
      <c r="C1778" s="275"/>
      <c r="D1778" s="275"/>
      <c r="E1778" s="275"/>
      <c r="F1778" s="275"/>
      <c r="V1778" s="304"/>
      <c r="W1778" s="304"/>
      <c r="AD1778" s="304"/>
      <c r="AE1778" s="304"/>
      <c r="AR1778" s="304"/>
      <c r="AS1778" s="304"/>
      <c r="AT1778" s="304"/>
      <c r="AU1778" s="304"/>
      <c r="AV1778" s="304"/>
      <c r="AW1778" s="304"/>
      <c r="AX1778" s="304"/>
      <c r="AY1778" s="304"/>
      <c r="AZ1778" s="304"/>
      <c r="BA1778" s="304"/>
      <c r="BB1778" s="304"/>
      <c r="BC1778" s="304"/>
      <c r="BK1778" s="305"/>
      <c r="BL1778" s="305"/>
      <c r="BM1778" s="305"/>
      <c r="BN1778" s="305"/>
      <c r="BO1778" s="305"/>
      <c r="BP1778" s="305"/>
      <c r="BQ1778" s="305"/>
      <c r="BR1778" s="305"/>
      <c r="BS1778" s="305"/>
      <c r="BT1778" s="305"/>
      <c r="BU1778" s="305"/>
      <c r="BV1778" s="305"/>
      <c r="BX1778" s="319"/>
    </row>
    <row r="1779" spans="1:76" s="303" customFormat="1" x14ac:dyDescent="0.25">
      <c r="A1779" s="275"/>
      <c r="B1779" s="275"/>
      <c r="C1779" s="275"/>
      <c r="D1779" s="275"/>
      <c r="E1779" s="275"/>
      <c r="F1779" s="275"/>
      <c r="V1779" s="304"/>
      <c r="W1779" s="304"/>
      <c r="AD1779" s="304"/>
      <c r="AE1779" s="304"/>
      <c r="AR1779" s="304"/>
      <c r="AS1779" s="304"/>
      <c r="AT1779" s="304"/>
      <c r="AU1779" s="304"/>
      <c r="AV1779" s="304"/>
      <c r="AW1779" s="304"/>
      <c r="AX1779" s="304"/>
      <c r="AY1779" s="304"/>
      <c r="AZ1779" s="304"/>
      <c r="BA1779" s="304"/>
      <c r="BB1779" s="304"/>
      <c r="BC1779" s="304"/>
      <c r="BK1779" s="305"/>
      <c r="BL1779" s="305"/>
      <c r="BM1779" s="305"/>
      <c r="BN1779" s="305"/>
      <c r="BO1779" s="305"/>
      <c r="BP1779" s="305"/>
      <c r="BQ1779" s="305"/>
      <c r="BR1779" s="305"/>
      <c r="BS1779" s="305"/>
      <c r="BT1779" s="305"/>
      <c r="BU1779" s="305"/>
      <c r="BV1779" s="305"/>
      <c r="BX1779" s="319"/>
    </row>
    <row r="1780" spans="1:76" s="303" customFormat="1" x14ac:dyDescent="0.25">
      <c r="A1780" s="275"/>
      <c r="B1780" s="275"/>
      <c r="C1780" s="275"/>
      <c r="D1780" s="275"/>
      <c r="E1780" s="275"/>
      <c r="F1780" s="275"/>
      <c r="V1780" s="304"/>
      <c r="W1780" s="304"/>
      <c r="AD1780" s="304"/>
      <c r="AE1780" s="304"/>
      <c r="AR1780" s="304"/>
      <c r="AS1780" s="304"/>
      <c r="AT1780" s="304"/>
      <c r="AU1780" s="304"/>
      <c r="AV1780" s="304"/>
      <c r="AW1780" s="304"/>
      <c r="AX1780" s="304"/>
      <c r="AY1780" s="304"/>
      <c r="AZ1780" s="304"/>
      <c r="BA1780" s="304"/>
      <c r="BB1780" s="304"/>
      <c r="BC1780" s="304"/>
      <c r="BK1780" s="305"/>
      <c r="BL1780" s="305"/>
      <c r="BM1780" s="305"/>
      <c r="BN1780" s="305"/>
      <c r="BO1780" s="305"/>
      <c r="BP1780" s="305"/>
      <c r="BQ1780" s="305"/>
      <c r="BR1780" s="305"/>
      <c r="BS1780" s="305"/>
      <c r="BT1780" s="305"/>
      <c r="BU1780" s="305"/>
      <c r="BV1780" s="305"/>
      <c r="BX1780" s="319"/>
    </row>
    <row r="1781" spans="1:76" s="303" customFormat="1" x14ac:dyDescent="0.25">
      <c r="A1781" s="275"/>
      <c r="B1781" s="275"/>
      <c r="C1781" s="275"/>
      <c r="D1781" s="275"/>
      <c r="E1781" s="275"/>
      <c r="F1781" s="275"/>
      <c r="V1781" s="304"/>
      <c r="W1781" s="304"/>
      <c r="AD1781" s="304"/>
      <c r="AE1781" s="304"/>
      <c r="AR1781" s="304"/>
      <c r="AS1781" s="304"/>
      <c r="AT1781" s="304"/>
      <c r="AU1781" s="304"/>
      <c r="AV1781" s="304"/>
      <c r="AW1781" s="304"/>
      <c r="AX1781" s="304"/>
      <c r="AY1781" s="304"/>
      <c r="AZ1781" s="304"/>
      <c r="BA1781" s="304"/>
      <c r="BB1781" s="304"/>
      <c r="BC1781" s="304"/>
      <c r="BK1781" s="305"/>
      <c r="BL1781" s="305"/>
      <c r="BM1781" s="305"/>
      <c r="BN1781" s="305"/>
      <c r="BO1781" s="305"/>
      <c r="BP1781" s="305"/>
      <c r="BQ1781" s="305"/>
      <c r="BR1781" s="305"/>
      <c r="BS1781" s="305"/>
      <c r="BT1781" s="305"/>
      <c r="BU1781" s="305"/>
      <c r="BV1781" s="305"/>
      <c r="BX1781" s="319"/>
    </row>
    <row r="1782" spans="1:76" s="303" customFormat="1" x14ac:dyDescent="0.25">
      <c r="A1782" s="275"/>
      <c r="B1782" s="275"/>
      <c r="C1782" s="275"/>
      <c r="D1782" s="275"/>
      <c r="E1782" s="275"/>
      <c r="F1782" s="275"/>
      <c r="V1782" s="304"/>
      <c r="W1782" s="304"/>
      <c r="AD1782" s="304"/>
      <c r="AE1782" s="304"/>
      <c r="AR1782" s="304"/>
      <c r="AS1782" s="304"/>
      <c r="AT1782" s="304"/>
      <c r="AU1782" s="304"/>
      <c r="AV1782" s="304"/>
      <c r="AW1782" s="304"/>
      <c r="AX1782" s="304"/>
      <c r="AY1782" s="304"/>
      <c r="AZ1782" s="304"/>
      <c r="BA1782" s="304"/>
      <c r="BB1782" s="304"/>
      <c r="BC1782" s="304"/>
      <c r="BK1782" s="305"/>
      <c r="BL1782" s="305"/>
      <c r="BM1782" s="305"/>
      <c r="BN1782" s="305"/>
      <c r="BO1782" s="305"/>
      <c r="BP1782" s="305"/>
      <c r="BQ1782" s="305"/>
      <c r="BR1782" s="305"/>
      <c r="BS1782" s="305"/>
      <c r="BT1782" s="305"/>
      <c r="BU1782" s="305"/>
      <c r="BV1782" s="305"/>
      <c r="BX1782" s="319"/>
    </row>
    <row r="1783" spans="1:76" s="303" customFormat="1" x14ac:dyDescent="0.25">
      <c r="A1783" s="275"/>
      <c r="B1783" s="275"/>
      <c r="C1783" s="275"/>
      <c r="D1783" s="275"/>
      <c r="E1783" s="275"/>
      <c r="F1783" s="275"/>
      <c r="V1783" s="304"/>
      <c r="W1783" s="304"/>
      <c r="AD1783" s="304"/>
      <c r="AE1783" s="304"/>
      <c r="AR1783" s="304"/>
      <c r="AS1783" s="304"/>
      <c r="AT1783" s="304"/>
      <c r="AU1783" s="304"/>
      <c r="AV1783" s="304"/>
      <c r="AW1783" s="304"/>
      <c r="AX1783" s="304"/>
      <c r="AY1783" s="304"/>
      <c r="AZ1783" s="304"/>
      <c r="BA1783" s="304"/>
      <c r="BB1783" s="304"/>
      <c r="BC1783" s="304"/>
      <c r="BK1783" s="305"/>
      <c r="BL1783" s="305"/>
      <c r="BM1783" s="305"/>
      <c r="BN1783" s="305"/>
      <c r="BO1783" s="305"/>
      <c r="BP1783" s="305"/>
      <c r="BQ1783" s="305"/>
      <c r="BR1783" s="305"/>
      <c r="BS1783" s="305"/>
      <c r="BT1783" s="305"/>
      <c r="BU1783" s="305"/>
      <c r="BV1783" s="305"/>
      <c r="BX1783" s="319"/>
    </row>
    <row r="1784" spans="1:76" s="303" customFormat="1" x14ac:dyDescent="0.25">
      <c r="A1784" s="275"/>
      <c r="B1784" s="275"/>
      <c r="C1784" s="275"/>
      <c r="D1784" s="275"/>
      <c r="E1784" s="275"/>
      <c r="F1784" s="275"/>
      <c r="V1784" s="304"/>
      <c r="W1784" s="304"/>
      <c r="AD1784" s="304"/>
      <c r="AE1784" s="304"/>
      <c r="AR1784" s="304"/>
      <c r="AS1784" s="304"/>
      <c r="AT1784" s="304"/>
      <c r="AU1784" s="304"/>
      <c r="AV1784" s="304"/>
      <c r="AW1784" s="304"/>
      <c r="AX1784" s="304"/>
      <c r="AY1784" s="304"/>
      <c r="AZ1784" s="304"/>
      <c r="BA1784" s="304"/>
      <c r="BB1784" s="304"/>
      <c r="BC1784" s="304"/>
      <c r="BK1784" s="305"/>
      <c r="BL1784" s="305"/>
      <c r="BM1784" s="305"/>
      <c r="BN1784" s="305"/>
      <c r="BO1784" s="305"/>
      <c r="BP1784" s="305"/>
      <c r="BQ1784" s="305"/>
      <c r="BR1784" s="305"/>
      <c r="BS1784" s="305"/>
      <c r="BT1784" s="305"/>
      <c r="BU1784" s="305"/>
      <c r="BV1784" s="305"/>
      <c r="BX1784" s="319"/>
    </row>
    <row r="1785" spans="1:76" s="303" customFormat="1" x14ac:dyDescent="0.25">
      <c r="A1785" s="275"/>
      <c r="B1785" s="275"/>
      <c r="C1785" s="275"/>
      <c r="D1785" s="275"/>
      <c r="E1785" s="275"/>
      <c r="F1785" s="275"/>
      <c r="V1785" s="304"/>
      <c r="W1785" s="304"/>
      <c r="AD1785" s="304"/>
      <c r="AE1785" s="304"/>
      <c r="AR1785" s="304"/>
      <c r="AS1785" s="304"/>
      <c r="AT1785" s="304"/>
      <c r="AU1785" s="304"/>
      <c r="AV1785" s="304"/>
      <c r="AW1785" s="304"/>
      <c r="AX1785" s="304"/>
      <c r="AY1785" s="304"/>
      <c r="AZ1785" s="304"/>
      <c r="BA1785" s="304"/>
      <c r="BB1785" s="304"/>
      <c r="BC1785" s="304"/>
      <c r="BK1785" s="305"/>
      <c r="BL1785" s="305"/>
      <c r="BM1785" s="305"/>
      <c r="BN1785" s="305"/>
      <c r="BO1785" s="305"/>
      <c r="BP1785" s="305"/>
      <c r="BQ1785" s="305"/>
      <c r="BR1785" s="305"/>
      <c r="BS1785" s="305"/>
      <c r="BT1785" s="305"/>
      <c r="BU1785" s="305"/>
      <c r="BV1785" s="305"/>
      <c r="BX1785" s="319"/>
    </row>
    <row r="1786" spans="1:76" s="303" customFormat="1" x14ac:dyDescent="0.25">
      <c r="A1786" s="275"/>
      <c r="B1786" s="275"/>
      <c r="C1786" s="275"/>
      <c r="D1786" s="275"/>
      <c r="E1786" s="275"/>
      <c r="F1786" s="275"/>
      <c r="V1786" s="304"/>
      <c r="W1786" s="304"/>
      <c r="AD1786" s="304"/>
      <c r="AE1786" s="304"/>
      <c r="AR1786" s="304"/>
      <c r="AS1786" s="304"/>
      <c r="AT1786" s="304"/>
      <c r="AU1786" s="304"/>
      <c r="AV1786" s="304"/>
      <c r="AW1786" s="304"/>
      <c r="AX1786" s="304"/>
      <c r="AY1786" s="304"/>
      <c r="AZ1786" s="304"/>
      <c r="BA1786" s="304"/>
      <c r="BB1786" s="304"/>
      <c r="BC1786" s="304"/>
      <c r="BK1786" s="305"/>
      <c r="BL1786" s="305"/>
      <c r="BM1786" s="305"/>
      <c r="BN1786" s="305"/>
      <c r="BO1786" s="305"/>
      <c r="BP1786" s="305"/>
      <c r="BQ1786" s="305"/>
      <c r="BR1786" s="305"/>
      <c r="BS1786" s="305"/>
      <c r="BT1786" s="305"/>
      <c r="BU1786" s="305"/>
      <c r="BV1786" s="305"/>
      <c r="BX1786" s="319"/>
    </row>
    <row r="1787" spans="1:76" s="303" customFormat="1" x14ac:dyDescent="0.25">
      <c r="A1787" s="275"/>
      <c r="B1787" s="275"/>
      <c r="C1787" s="275"/>
      <c r="D1787" s="275"/>
      <c r="E1787" s="275"/>
      <c r="F1787" s="275"/>
      <c r="V1787" s="304"/>
      <c r="W1787" s="304"/>
      <c r="AD1787" s="304"/>
      <c r="AE1787" s="304"/>
      <c r="AR1787" s="304"/>
      <c r="AS1787" s="304"/>
      <c r="AT1787" s="304"/>
      <c r="AU1787" s="304"/>
      <c r="AV1787" s="304"/>
      <c r="AW1787" s="304"/>
      <c r="AX1787" s="304"/>
      <c r="AY1787" s="304"/>
      <c r="AZ1787" s="304"/>
      <c r="BA1787" s="304"/>
      <c r="BB1787" s="304"/>
      <c r="BC1787" s="304"/>
      <c r="BK1787" s="305"/>
      <c r="BL1787" s="305"/>
      <c r="BM1787" s="305"/>
      <c r="BN1787" s="305"/>
      <c r="BO1787" s="305"/>
      <c r="BP1787" s="305"/>
      <c r="BQ1787" s="305"/>
      <c r="BR1787" s="305"/>
      <c r="BS1787" s="305"/>
      <c r="BT1787" s="305"/>
      <c r="BU1787" s="305"/>
      <c r="BV1787" s="305"/>
      <c r="BX1787" s="319"/>
    </row>
    <row r="1788" spans="1:76" s="303" customFormat="1" x14ac:dyDescent="0.25">
      <c r="A1788" s="275"/>
      <c r="B1788" s="275"/>
      <c r="C1788" s="275"/>
      <c r="D1788" s="275"/>
      <c r="E1788" s="275"/>
      <c r="F1788" s="275"/>
      <c r="V1788" s="304"/>
      <c r="W1788" s="304"/>
      <c r="AD1788" s="304"/>
      <c r="AE1788" s="304"/>
      <c r="AR1788" s="304"/>
      <c r="AS1788" s="304"/>
      <c r="AT1788" s="304"/>
      <c r="AU1788" s="304"/>
      <c r="AV1788" s="304"/>
      <c r="AW1788" s="304"/>
      <c r="AX1788" s="304"/>
      <c r="AY1788" s="304"/>
      <c r="AZ1788" s="304"/>
      <c r="BA1788" s="304"/>
      <c r="BB1788" s="304"/>
      <c r="BC1788" s="304"/>
      <c r="BK1788" s="305"/>
      <c r="BL1788" s="305"/>
      <c r="BM1788" s="305"/>
      <c r="BN1788" s="305"/>
      <c r="BO1788" s="305"/>
      <c r="BP1788" s="305"/>
      <c r="BQ1788" s="305"/>
      <c r="BR1788" s="305"/>
      <c r="BS1788" s="305"/>
      <c r="BT1788" s="305"/>
      <c r="BU1788" s="305"/>
      <c r="BV1788" s="305"/>
      <c r="BX1788" s="319"/>
    </row>
    <row r="1789" spans="1:76" s="303" customFormat="1" x14ac:dyDescent="0.25">
      <c r="A1789" s="275"/>
      <c r="B1789" s="275"/>
      <c r="C1789" s="275"/>
      <c r="D1789" s="275"/>
      <c r="E1789" s="275"/>
      <c r="F1789" s="275"/>
      <c r="V1789" s="304"/>
      <c r="W1789" s="304"/>
      <c r="AD1789" s="304"/>
      <c r="AE1789" s="304"/>
      <c r="AR1789" s="304"/>
      <c r="AS1789" s="304"/>
      <c r="AT1789" s="304"/>
      <c r="AU1789" s="304"/>
      <c r="AV1789" s="304"/>
      <c r="AW1789" s="304"/>
      <c r="AX1789" s="304"/>
      <c r="AY1789" s="304"/>
      <c r="AZ1789" s="304"/>
      <c r="BA1789" s="304"/>
      <c r="BB1789" s="304"/>
      <c r="BC1789" s="304"/>
      <c r="BK1789" s="305"/>
      <c r="BL1789" s="305"/>
      <c r="BM1789" s="305"/>
      <c r="BN1789" s="305"/>
      <c r="BO1789" s="305"/>
      <c r="BP1789" s="305"/>
      <c r="BQ1789" s="305"/>
      <c r="BR1789" s="305"/>
      <c r="BS1789" s="305"/>
      <c r="BT1789" s="305"/>
      <c r="BU1789" s="305"/>
      <c r="BV1789" s="305"/>
      <c r="BX1789" s="319"/>
    </row>
    <row r="1790" spans="1:76" s="303" customFormat="1" x14ac:dyDescent="0.25">
      <c r="A1790" s="275"/>
      <c r="B1790" s="275"/>
      <c r="C1790" s="275"/>
      <c r="D1790" s="275"/>
      <c r="E1790" s="275"/>
      <c r="F1790" s="275"/>
      <c r="V1790" s="304"/>
      <c r="W1790" s="304"/>
      <c r="AD1790" s="304"/>
      <c r="AE1790" s="304"/>
      <c r="AR1790" s="304"/>
      <c r="AS1790" s="304"/>
      <c r="AT1790" s="304"/>
      <c r="AU1790" s="304"/>
      <c r="AV1790" s="304"/>
      <c r="AW1790" s="304"/>
      <c r="AX1790" s="304"/>
      <c r="AY1790" s="304"/>
      <c r="AZ1790" s="304"/>
      <c r="BA1790" s="304"/>
      <c r="BB1790" s="304"/>
      <c r="BC1790" s="304"/>
      <c r="BK1790" s="305"/>
      <c r="BL1790" s="305"/>
      <c r="BM1790" s="305"/>
      <c r="BN1790" s="305"/>
      <c r="BO1790" s="305"/>
      <c r="BP1790" s="305"/>
      <c r="BQ1790" s="305"/>
      <c r="BR1790" s="305"/>
      <c r="BS1790" s="305"/>
      <c r="BT1790" s="305"/>
      <c r="BU1790" s="305"/>
      <c r="BV1790" s="305"/>
      <c r="BX1790" s="319"/>
    </row>
    <row r="1791" spans="1:76" s="303" customFormat="1" x14ac:dyDescent="0.25">
      <c r="A1791" s="275"/>
      <c r="B1791" s="275"/>
      <c r="C1791" s="275"/>
      <c r="D1791" s="275"/>
      <c r="E1791" s="275"/>
      <c r="F1791" s="275"/>
      <c r="V1791" s="304"/>
      <c r="W1791" s="304"/>
      <c r="AD1791" s="304"/>
      <c r="AE1791" s="304"/>
      <c r="AR1791" s="304"/>
      <c r="AS1791" s="304"/>
      <c r="AT1791" s="304"/>
      <c r="AU1791" s="304"/>
      <c r="AV1791" s="304"/>
      <c r="AW1791" s="304"/>
      <c r="AX1791" s="304"/>
      <c r="AY1791" s="304"/>
      <c r="AZ1791" s="304"/>
      <c r="BA1791" s="304"/>
      <c r="BB1791" s="304"/>
      <c r="BC1791" s="304"/>
      <c r="BK1791" s="305"/>
      <c r="BL1791" s="305"/>
      <c r="BM1791" s="305"/>
      <c r="BN1791" s="305"/>
      <c r="BO1791" s="305"/>
      <c r="BP1791" s="305"/>
      <c r="BQ1791" s="305"/>
      <c r="BR1791" s="305"/>
      <c r="BS1791" s="305"/>
      <c r="BT1791" s="305"/>
      <c r="BU1791" s="305"/>
      <c r="BV1791" s="305"/>
      <c r="BX1791" s="319"/>
    </row>
    <row r="1792" spans="1:76" s="303" customFormat="1" x14ac:dyDescent="0.25">
      <c r="A1792" s="275"/>
      <c r="B1792" s="275"/>
      <c r="C1792" s="275"/>
      <c r="D1792" s="275"/>
      <c r="E1792" s="275"/>
      <c r="F1792" s="275"/>
      <c r="V1792" s="304"/>
      <c r="W1792" s="304"/>
      <c r="AD1792" s="304"/>
      <c r="AE1792" s="304"/>
      <c r="AR1792" s="304"/>
      <c r="AS1792" s="304"/>
      <c r="AT1792" s="304"/>
      <c r="AU1792" s="304"/>
      <c r="AV1792" s="304"/>
      <c r="AW1792" s="304"/>
      <c r="AX1792" s="304"/>
      <c r="AY1792" s="304"/>
      <c r="AZ1792" s="304"/>
      <c r="BA1792" s="304"/>
      <c r="BB1792" s="304"/>
      <c r="BC1792" s="304"/>
      <c r="BK1792" s="305"/>
      <c r="BL1792" s="305"/>
      <c r="BM1792" s="305"/>
      <c r="BN1792" s="305"/>
      <c r="BO1792" s="305"/>
      <c r="BP1792" s="305"/>
      <c r="BQ1792" s="305"/>
      <c r="BR1792" s="305"/>
      <c r="BS1792" s="305"/>
      <c r="BT1792" s="305"/>
      <c r="BU1792" s="305"/>
      <c r="BV1792" s="305"/>
      <c r="BX1792" s="319"/>
    </row>
    <row r="1793" spans="1:76" s="303" customFormat="1" x14ac:dyDescent="0.25">
      <c r="A1793" s="275"/>
      <c r="B1793" s="275"/>
      <c r="C1793" s="275"/>
      <c r="D1793" s="275"/>
      <c r="E1793" s="275"/>
      <c r="F1793" s="275"/>
      <c r="V1793" s="304"/>
      <c r="W1793" s="304"/>
      <c r="AD1793" s="304"/>
      <c r="AE1793" s="304"/>
      <c r="AR1793" s="304"/>
      <c r="AS1793" s="304"/>
      <c r="AT1793" s="304"/>
      <c r="AU1793" s="304"/>
      <c r="AV1793" s="304"/>
      <c r="AW1793" s="304"/>
      <c r="AX1793" s="304"/>
      <c r="AY1793" s="304"/>
      <c r="AZ1793" s="304"/>
      <c r="BA1793" s="304"/>
      <c r="BB1793" s="304"/>
      <c r="BC1793" s="304"/>
      <c r="BK1793" s="305"/>
      <c r="BL1793" s="305"/>
      <c r="BM1793" s="305"/>
      <c r="BN1793" s="305"/>
      <c r="BO1793" s="305"/>
      <c r="BP1793" s="305"/>
      <c r="BQ1793" s="305"/>
      <c r="BR1793" s="305"/>
      <c r="BS1793" s="305"/>
      <c r="BT1793" s="305"/>
      <c r="BU1793" s="305"/>
      <c r="BV1793" s="305"/>
      <c r="BX1793" s="319"/>
    </row>
    <row r="1794" spans="1:76" s="303" customFormat="1" x14ac:dyDescent="0.25">
      <c r="A1794" s="275"/>
      <c r="B1794" s="275"/>
      <c r="C1794" s="275"/>
      <c r="D1794" s="275"/>
      <c r="E1794" s="275"/>
      <c r="F1794" s="275"/>
      <c r="V1794" s="304"/>
      <c r="W1794" s="304"/>
      <c r="AD1794" s="304"/>
      <c r="AE1794" s="304"/>
      <c r="AR1794" s="304"/>
      <c r="AS1794" s="304"/>
      <c r="AT1794" s="304"/>
      <c r="AU1794" s="304"/>
      <c r="AV1794" s="304"/>
      <c r="AW1794" s="304"/>
      <c r="AX1794" s="304"/>
      <c r="AY1794" s="304"/>
      <c r="AZ1794" s="304"/>
      <c r="BA1794" s="304"/>
      <c r="BB1794" s="304"/>
      <c r="BC1794" s="304"/>
      <c r="BK1794" s="305"/>
      <c r="BL1794" s="305"/>
      <c r="BM1794" s="305"/>
      <c r="BN1794" s="305"/>
      <c r="BO1794" s="305"/>
      <c r="BP1794" s="305"/>
      <c r="BQ1794" s="305"/>
      <c r="BR1794" s="305"/>
      <c r="BS1794" s="305"/>
      <c r="BT1794" s="305"/>
      <c r="BU1794" s="305"/>
      <c r="BV1794" s="305"/>
      <c r="BX1794" s="319"/>
    </row>
    <row r="1795" spans="1:76" s="303" customFormat="1" x14ac:dyDescent="0.25">
      <c r="A1795" s="275"/>
      <c r="B1795" s="275"/>
      <c r="C1795" s="275"/>
      <c r="D1795" s="275"/>
      <c r="E1795" s="275"/>
      <c r="F1795" s="275"/>
      <c r="V1795" s="304"/>
      <c r="W1795" s="304"/>
      <c r="AD1795" s="304"/>
      <c r="AE1795" s="304"/>
      <c r="AR1795" s="304"/>
      <c r="AS1795" s="304"/>
      <c r="AT1795" s="304"/>
      <c r="AU1795" s="304"/>
      <c r="AV1795" s="304"/>
      <c r="AW1795" s="304"/>
      <c r="AX1795" s="304"/>
      <c r="AY1795" s="304"/>
      <c r="AZ1795" s="304"/>
      <c r="BA1795" s="304"/>
      <c r="BB1795" s="304"/>
      <c r="BC1795" s="304"/>
      <c r="BK1795" s="305"/>
      <c r="BL1795" s="305"/>
      <c r="BM1795" s="305"/>
      <c r="BN1795" s="305"/>
      <c r="BO1795" s="305"/>
      <c r="BP1795" s="305"/>
      <c r="BQ1795" s="305"/>
      <c r="BR1795" s="305"/>
      <c r="BS1795" s="305"/>
      <c r="BT1795" s="305"/>
      <c r="BU1795" s="305"/>
      <c r="BV1795" s="305"/>
      <c r="BX1795" s="319"/>
    </row>
    <row r="1796" spans="1:76" s="303" customFormat="1" x14ac:dyDescent="0.25">
      <c r="A1796" s="275"/>
      <c r="B1796" s="275"/>
      <c r="C1796" s="275"/>
      <c r="D1796" s="275"/>
      <c r="E1796" s="275"/>
      <c r="F1796" s="275"/>
      <c r="V1796" s="304"/>
      <c r="W1796" s="304"/>
      <c r="AD1796" s="304"/>
      <c r="AE1796" s="304"/>
      <c r="AR1796" s="304"/>
      <c r="AS1796" s="304"/>
      <c r="AT1796" s="304"/>
      <c r="AU1796" s="304"/>
      <c r="AV1796" s="304"/>
      <c r="AW1796" s="304"/>
      <c r="AX1796" s="304"/>
      <c r="AY1796" s="304"/>
      <c r="AZ1796" s="304"/>
      <c r="BA1796" s="304"/>
      <c r="BB1796" s="304"/>
      <c r="BC1796" s="304"/>
      <c r="BK1796" s="305"/>
      <c r="BL1796" s="305"/>
      <c r="BM1796" s="305"/>
      <c r="BN1796" s="305"/>
      <c r="BO1796" s="305"/>
      <c r="BP1796" s="305"/>
      <c r="BQ1796" s="305"/>
      <c r="BR1796" s="305"/>
      <c r="BS1796" s="305"/>
      <c r="BT1796" s="305"/>
      <c r="BU1796" s="305"/>
      <c r="BV1796" s="305"/>
      <c r="BX1796" s="319"/>
    </row>
    <row r="1797" spans="1:76" s="303" customFormat="1" x14ac:dyDescent="0.25">
      <c r="A1797" s="275"/>
      <c r="B1797" s="275"/>
      <c r="C1797" s="275"/>
      <c r="D1797" s="275"/>
      <c r="E1797" s="275"/>
      <c r="F1797" s="275"/>
      <c r="V1797" s="304"/>
      <c r="W1797" s="304"/>
      <c r="AD1797" s="304"/>
      <c r="AE1797" s="304"/>
      <c r="AR1797" s="304"/>
      <c r="AS1797" s="304"/>
      <c r="AT1797" s="304"/>
      <c r="AU1797" s="304"/>
      <c r="AV1797" s="304"/>
      <c r="AW1797" s="304"/>
      <c r="AX1797" s="304"/>
      <c r="AY1797" s="304"/>
      <c r="AZ1797" s="304"/>
      <c r="BA1797" s="304"/>
      <c r="BB1797" s="304"/>
      <c r="BC1797" s="304"/>
      <c r="BK1797" s="305"/>
      <c r="BL1797" s="305"/>
      <c r="BM1797" s="305"/>
      <c r="BN1797" s="305"/>
      <c r="BO1797" s="305"/>
      <c r="BP1797" s="305"/>
      <c r="BQ1797" s="305"/>
      <c r="BR1797" s="305"/>
      <c r="BS1797" s="305"/>
      <c r="BT1797" s="305"/>
      <c r="BU1797" s="305"/>
      <c r="BV1797" s="305"/>
      <c r="BX1797" s="319"/>
    </row>
    <row r="1798" spans="1:76" s="303" customFormat="1" x14ac:dyDescent="0.25">
      <c r="A1798" s="275"/>
      <c r="B1798" s="275"/>
      <c r="C1798" s="275"/>
      <c r="D1798" s="275"/>
      <c r="E1798" s="275"/>
      <c r="F1798" s="275"/>
      <c r="V1798" s="304"/>
      <c r="W1798" s="304"/>
      <c r="AD1798" s="304"/>
      <c r="AE1798" s="304"/>
      <c r="AR1798" s="304"/>
      <c r="AS1798" s="304"/>
      <c r="AT1798" s="304"/>
      <c r="AU1798" s="304"/>
      <c r="AV1798" s="304"/>
      <c r="AW1798" s="304"/>
      <c r="AX1798" s="304"/>
      <c r="AY1798" s="304"/>
      <c r="AZ1798" s="304"/>
      <c r="BA1798" s="304"/>
      <c r="BB1798" s="304"/>
      <c r="BC1798" s="304"/>
      <c r="BK1798" s="305"/>
      <c r="BL1798" s="305"/>
      <c r="BM1798" s="305"/>
      <c r="BN1798" s="305"/>
      <c r="BO1798" s="305"/>
      <c r="BP1798" s="305"/>
      <c r="BQ1798" s="305"/>
      <c r="BR1798" s="305"/>
      <c r="BS1798" s="305"/>
      <c r="BT1798" s="305"/>
      <c r="BU1798" s="305"/>
      <c r="BV1798" s="305"/>
      <c r="BX1798" s="319"/>
    </row>
    <row r="1799" spans="1:76" s="303" customFormat="1" x14ac:dyDescent="0.25">
      <c r="A1799" s="275"/>
      <c r="B1799" s="275"/>
      <c r="C1799" s="275"/>
      <c r="D1799" s="275"/>
      <c r="E1799" s="275"/>
      <c r="F1799" s="275"/>
      <c r="V1799" s="304"/>
      <c r="W1799" s="304"/>
      <c r="AD1799" s="304"/>
      <c r="AE1799" s="304"/>
      <c r="AR1799" s="304"/>
      <c r="AS1799" s="304"/>
      <c r="AT1799" s="304"/>
      <c r="AU1799" s="304"/>
      <c r="AV1799" s="304"/>
      <c r="AW1799" s="304"/>
      <c r="AX1799" s="304"/>
      <c r="AY1799" s="304"/>
      <c r="AZ1799" s="304"/>
      <c r="BA1799" s="304"/>
      <c r="BB1799" s="304"/>
      <c r="BC1799" s="304"/>
      <c r="BK1799" s="305"/>
      <c r="BL1799" s="305"/>
      <c r="BM1799" s="305"/>
      <c r="BN1799" s="305"/>
      <c r="BO1799" s="305"/>
      <c r="BP1799" s="305"/>
      <c r="BQ1799" s="305"/>
      <c r="BR1799" s="305"/>
      <c r="BS1799" s="305"/>
      <c r="BT1799" s="305"/>
      <c r="BU1799" s="305"/>
      <c r="BV1799" s="305"/>
      <c r="BX1799" s="319"/>
    </row>
    <row r="1800" spans="1:76" s="303" customFormat="1" x14ac:dyDescent="0.25">
      <c r="A1800" s="275"/>
      <c r="B1800" s="275"/>
      <c r="C1800" s="275"/>
      <c r="D1800" s="275"/>
      <c r="E1800" s="275"/>
      <c r="F1800" s="275"/>
      <c r="V1800" s="304"/>
      <c r="W1800" s="304"/>
      <c r="AD1800" s="304"/>
      <c r="AE1800" s="304"/>
      <c r="AR1800" s="304"/>
      <c r="AS1800" s="304"/>
      <c r="AT1800" s="304"/>
      <c r="AU1800" s="304"/>
      <c r="AV1800" s="304"/>
      <c r="AW1800" s="304"/>
      <c r="AX1800" s="304"/>
      <c r="AY1800" s="304"/>
      <c r="AZ1800" s="304"/>
      <c r="BA1800" s="304"/>
      <c r="BB1800" s="304"/>
      <c r="BC1800" s="304"/>
      <c r="BK1800" s="305"/>
      <c r="BL1800" s="305"/>
      <c r="BM1800" s="305"/>
      <c r="BN1800" s="305"/>
      <c r="BO1800" s="305"/>
      <c r="BP1800" s="305"/>
      <c r="BQ1800" s="305"/>
      <c r="BR1800" s="305"/>
      <c r="BS1800" s="305"/>
      <c r="BT1800" s="305"/>
      <c r="BU1800" s="305"/>
      <c r="BV1800" s="305"/>
      <c r="BX1800" s="319"/>
    </row>
    <row r="1801" spans="1:76" s="303" customFormat="1" x14ac:dyDescent="0.25">
      <c r="A1801" s="275"/>
      <c r="B1801" s="275"/>
      <c r="C1801" s="275"/>
      <c r="D1801" s="275"/>
      <c r="E1801" s="275"/>
      <c r="F1801" s="275"/>
      <c r="V1801" s="304"/>
      <c r="W1801" s="304"/>
      <c r="AD1801" s="304"/>
      <c r="AE1801" s="304"/>
      <c r="AR1801" s="304"/>
      <c r="AS1801" s="304"/>
      <c r="AT1801" s="304"/>
      <c r="AU1801" s="304"/>
      <c r="AV1801" s="304"/>
      <c r="AW1801" s="304"/>
      <c r="AX1801" s="304"/>
      <c r="AY1801" s="304"/>
      <c r="AZ1801" s="304"/>
      <c r="BA1801" s="304"/>
      <c r="BB1801" s="304"/>
      <c r="BC1801" s="304"/>
      <c r="BK1801" s="305"/>
      <c r="BL1801" s="305"/>
      <c r="BM1801" s="305"/>
      <c r="BN1801" s="305"/>
      <c r="BO1801" s="305"/>
      <c r="BP1801" s="305"/>
      <c r="BQ1801" s="305"/>
      <c r="BR1801" s="305"/>
      <c r="BS1801" s="305"/>
      <c r="BT1801" s="305"/>
      <c r="BU1801" s="305"/>
      <c r="BV1801" s="305"/>
      <c r="BX1801" s="319"/>
    </row>
    <row r="1802" spans="1:76" s="303" customFormat="1" x14ac:dyDescent="0.25">
      <c r="A1802" s="275"/>
      <c r="B1802" s="275"/>
      <c r="C1802" s="275"/>
      <c r="D1802" s="275"/>
      <c r="E1802" s="275"/>
      <c r="F1802" s="275"/>
      <c r="V1802" s="304"/>
      <c r="W1802" s="304"/>
      <c r="AD1802" s="304"/>
      <c r="AE1802" s="304"/>
      <c r="AR1802" s="304"/>
      <c r="AS1802" s="304"/>
      <c r="AT1802" s="304"/>
      <c r="AU1802" s="304"/>
      <c r="AV1802" s="304"/>
      <c r="AW1802" s="304"/>
      <c r="AX1802" s="304"/>
      <c r="AY1802" s="304"/>
      <c r="AZ1802" s="304"/>
      <c r="BA1802" s="304"/>
      <c r="BB1802" s="304"/>
      <c r="BC1802" s="304"/>
      <c r="BK1802" s="305"/>
      <c r="BL1802" s="305"/>
      <c r="BM1802" s="305"/>
      <c r="BN1802" s="305"/>
      <c r="BO1802" s="305"/>
      <c r="BP1802" s="305"/>
      <c r="BQ1802" s="305"/>
      <c r="BR1802" s="305"/>
      <c r="BS1802" s="305"/>
      <c r="BT1802" s="305"/>
      <c r="BU1802" s="305"/>
      <c r="BV1802" s="305"/>
      <c r="BX1802" s="319"/>
    </row>
    <row r="1803" spans="1:76" s="303" customFormat="1" x14ac:dyDescent="0.25">
      <c r="A1803" s="275"/>
      <c r="B1803" s="275"/>
      <c r="C1803" s="275"/>
      <c r="D1803" s="275"/>
      <c r="E1803" s="275"/>
      <c r="F1803" s="275"/>
      <c r="V1803" s="304"/>
      <c r="W1803" s="304"/>
      <c r="AD1803" s="304"/>
      <c r="AE1803" s="304"/>
      <c r="AR1803" s="304"/>
      <c r="AS1803" s="304"/>
      <c r="AT1803" s="304"/>
      <c r="AU1803" s="304"/>
      <c r="AV1803" s="304"/>
      <c r="AW1803" s="304"/>
      <c r="AX1803" s="304"/>
      <c r="AY1803" s="304"/>
      <c r="AZ1803" s="304"/>
      <c r="BA1803" s="304"/>
      <c r="BB1803" s="304"/>
      <c r="BC1803" s="304"/>
      <c r="BK1803" s="305"/>
      <c r="BL1803" s="305"/>
      <c r="BM1803" s="305"/>
      <c r="BN1803" s="305"/>
      <c r="BO1803" s="305"/>
      <c r="BP1803" s="305"/>
      <c r="BQ1803" s="305"/>
      <c r="BR1803" s="305"/>
      <c r="BS1803" s="305"/>
      <c r="BT1803" s="305"/>
      <c r="BU1803" s="305"/>
      <c r="BV1803" s="305"/>
      <c r="BX1803" s="319"/>
    </row>
    <row r="1804" spans="1:76" s="303" customFormat="1" x14ac:dyDescent="0.25">
      <c r="A1804" s="275"/>
      <c r="B1804" s="275"/>
      <c r="C1804" s="275"/>
      <c r="D1804" s="275"/>
      <c r="E1804" s="275"/>
      <c r="F1804" s="275"/>
      <c r="V1804" s="304"/>
      <c r="W1804" s="304"/>
      <c r="AD1804" s="304"/>
      <c r="AE1804" s="304"/>
      <c r="AR1804" s="304"/>
      <c r="AS1804" s="304"/>
      <c r="AT1804" s="304"/>
      <c r="AU1804" s="304"/>
      <c r="AV1804" s="304"/>
      <c r="AW1804" s="304"/>
      <c r="AX1804" s="304"/>
      <c r="AY1804" s="304"/>
      <c r="AZ1804" s="304"/>
      <c r="BA1804" s="304"/>
      <c r="BB1804" s="304"/>
      <c r="BC1804" s="304"/>
      <c r="BK1804" s="305"/>
      <c r="BL1804" s="305"/>
      <c r="BM1804" s="305"/>
      <c r="BN1804" s="305"/>
      <c r="BO1804" s="305"/>
      <c r="BP1804" s="305"/>
      <c r="BQ1804" s="305"/>
      <c r="BR1804" s="305"/>
      <c r="BS1804" s="305"/>
      <c r="BT1804" s="305"/>
      <c r="BU1804" s="305"/>
      <c r="BV1804" s="305"/>
      <c r="BX1804" s="319"/>
    </row>
    <row r="1805" spans="1:76" s="303" customFormat="1" x14ac:dyDescent="0.25">
      <c r="A1805" s="275"/>
      <c r="B1805" s="275"/>
      <c r="C1805" s="275"/>
      <c r="D1805" s="275"/>
      <c r="E1805" s="275"/>
      <c r="F1805" s="275"/>
      <c r="V1805" s="304"/>
      <c r="W1805" s="304"/>
      <c r="AD1805" s="304"/>
      <c r="AE1805" s="304"/>
      <c r="AR1805" s="304"/>
      <c r="AS1805" s="304"/>
      <c r="AT1805" s="304"/>
      <c r="AU1805" s="304"/>
      <c r="AV1805" s="304"/>
      <c r="AW1805" s="304"/>
      <c r="AX1805" s="304"/>
      <c r="AY1805" s="304"/>
      <c r="AZ1805" s="304"/>
      <c r="BA1805" s="304"/>
      <c r="BB1805" s="304"/>
      <c r="BC1805" s="304"/>
      <c r="BK1805" s="305"/>
      <c r="BL1805" s="305"/>
      <c r="BM1805" s="305"/>
      <c r="BN1805" s="305"/>
      <c r="BO1805" s="305"/>
      <c r="BP1805" s="305"/>
      <c r="BQ1805" s="305"/>
      <c r="BR1805" s="305"/>
      <c r="BS1805" s="305"/>
      <c r="BT1805" s="305"/>
      <c r="BU1805" s="305"/>
      <c r="BV1805" s="305"/>
      <c r="BX1805" s="319"/>
    </row>
    <row r="1806" spans="1:76" s="303" customFormat="1" x14ac:dyDescent="0.25">
      <c r="A1806" s="275"/>
      <c r="B1806" s="275"/>
      <c r="C1806" s="275"/>
      <c r="D1806" s="275"/>
      <c r="E1806" s="275"/>
      <c r="F1806" s="275"/>
      <c r="V1806" s="304"/>
      <c r="W1806" s="304"/>
      <c r="AD1806" s="304"/>
      <c r="AE1806" s="304"/>
      <c r="AR1806" s="304"/>
      <c r="AS1806" s="304"/>
      <c r="AT1806" s="304"/>
      <c r="AU1806" s="304"/>
      <c r="AV1806" s="304"/>
      <c r="AW1806" s="304"/>
      <c r="AX1806" s="304"/>
      <c r="AY1806" s="304"/>
      <c r="AZ1806" s="304"/>
      <c r="BA1806" s="304"/>
      <c r="BB1806" s="304"/>
      <c r="BC1806" s="304"/>
      <c r="BK1806" s="305"/>
      <c r="BL1806" s="305"/>
      <c r="BM1806" s="305"/>
      <c r="BN1806" s="305"/>
      <c r="BO1806" s="305"/>
      <c r="BP1806" s="305"/>
      <c r="BQ1806" s="305"/>
      <c r="BR1806" s="305"/>
      <c r="BS1806" s="305"/>
      <c r="BT1806" s="305"/>
      <c r="BU1806" s="305"/>
      <c r="BV1806" s="305"/>
      <c r="BX1806" s="319"/>
    </row>
    <row r="1807" spans="1:76" s="303" customFormat="1" x14ac:dyDescent="0.25">
      <c r="A1807" s="275"/>
      <c r="B1807" s="275"/>
      <c r="C1807" s="275"/>
      <c r="D1807" s="275"/>
      <c r="E1807" s="275"/>
      <c r="F1807" s="275"/>
      <c r="V1807" s="304"/>
      <c r="W1807" s="304"/>
      <c r="AD1807" s="304"/>
      <c r="AE1807" s="304"/>
      <c r="AR1807" s="304"/>
      <c r="AS1807" s="304"/>
      <c r="AT1807" s="304"/>
      <c r="AU1807" s="304"/>
      <c r="AV1807" s="304"/>
      <c r="AW1807" s="304"/>
      <c r="AX1807" s="304"/>
      <c r="AY1807" s="304"/>
      <c r="AZ1807" s="304"/>
      <c r="BA1807" s="304"/>
      <c r="BB1807" s="304"/>
      <c r="BC1807" s="304"/>
      <c r="BK1807" s="305"/>
      <c r="BL1807" s="305"/>
      <c r="BM1807" s="305"/>
      <c r="BN1807" s="305"/>
      <c r="BO1807" s="305"/>
      <c r="BP1807" s="305"/>
      <c r="BQ1807" s="305"/>
      <c r="BR1807" s="305"/>
      <c r="BS1807" s="305"/>
      <c r="BT1807" s="305"/>
      <c r="BU1807" s="305"/>
      <c r="BV1807" s="305"/>
      <c r="BX1807" s="319"/>
    </row>
    <row r="1808" spans="1:76" s="303" customFormat="1" x14ac:dyDescent="0.25">
      <c r="A1808" s="275"/>
      <c r="B1808" s="275"/>
      <c r="C1808" s="275"/>
      <c r="D1808" s="275"/>
      <c r="E1808" s="275"/>
      <c r="F1808" s="275"/>
      <c r="V1808" s="304"/>
      <c r="W1808" s="304"/>
      <c r="AD1808" s="304"/>
      <c r="AE1808" s="304"/>
      <c r="AR1808" s="304"/>
      <c r="AS1808" s="304"/>
      <c r="AT1808" s="304"/>
      <c r="AU1808" s="304"/>
      <c r="AV1808" s="304"/>
      <c r="AW1808" s="304"/>
      <c r="AX1808" s="304"/>
      <c r="AY1808" s="304"/>
      <c r="AZ1808" s="304"/>
      <c r="BA1808" s="304"/>
      <c r="BB1808" s="304"/>
      <c r="BC1808" s="304"/>
      <c r="BK1808" s="305"/>
      <c r="BL1808" s="305"/>
      <c r="BM1808" s="305"/>
      <c r="BN1808" s="305"/>
      <c r="BO1808" s="305"/>
      <c r="BP1808" s="305"/>
      <c r="BQ1808" s="305"/>
      <c r="BR1808" s="305"/>
      <c r="BS1808" s="305"/>
      <c r="BT1808" s="305"/>
      <c r="BU1808" s="305"/>
      <c r="BV1808" s="305"/>
      <c r="BX1808" s="319"/>
    </row>
    <row r="1809" spans="1:76" s="303" customFormat="1" x14ac:dyDescent="0.25">
      <c r="A1809" s="275"/>
      <c r="B1809" s="275"/>
      <c r="C1809" s="275"/>
      <c r="D1809" s="275"/>
      <c r="E1809" s="275"/>
      <c r="F1809" s="275"/>
      <c r="V1809" s="304"/>
      <c r="W1809" s="304"/>
      <c r="AD1809" s="304"/>
      <c r="AE1809" s="304"/>
      <c r="AR1809" s="304"/>
      <c r="AS1809" s="304"/>
      <c r="AT1809" s="304"/>
      <c r="AU1809" s="304"/>
      <c r="AV1809" s="304"/>
      <c r="AW1809" s="304"/>
      <c r="AX1809" s="304"/>
      <c r="AY1809" s="304"/>
      <c r="AZ1809" s="304"/>
      <c r="BA1809" s="304"/>
      <c r="BB1809" s="304"/>
      <c r="BC1809" s="304"/>
      <c r="BK1809" s="305"/>
      <c r="BL1809" s="305"/>
      <c r="BM1809" s="305"/>
      <c r="BN1809" s="305"/>
      <c r="BO1809" s="305"/>
      <c r="BP1809" s="305"/>
      <c r="BQ1809" s="305"/>
      <c r="BR1809" s="305"/>
      <c r="BS1809" s="305"/>
      <c r="BT1809" s="305"/>
      <c r="BU1809" s="305"/>
      <c r="BV1809" s="305"/>
      <c r="BX1809" s="319"/>
    </row>
    <row r="1810" spans="1:76" s="303" customFormat="1" x14ac:dyDescent="0.25">
      <c r="A1810" s="275"/>
      <c r="B1810" s="275"/>
      <c r="C1810" s="275"/>
      <c r="D1810" s="275"/>
      <c r="E1810" s="275"/>
      <c r="F1810" s="275"/>
      <c r="V1810" s="304"/>
      <c r="W1810" s="304"/>
      <c r="AD1810" s="304"/>
      <c r="AE1810" s="304"/>
      <c r="AR1810" s="304"/>
      <c r="AS1810" s="304"/>
      <c r="AT1810" s="304"/>
      <c r="AU1810" s="304"/>
      <c r="AV1810" s="304"/>
      <c r="AW1810" s="304"/>
      <c r="AX1810" s="304"/>
      <c r="AY1810" s="304"/>
      <c r="AZ1810" s="304"/>
      <c r="BA1810" s="304"/>
      <c r="BB1810" s="304"/>
      <c r="BC1810" s="304"/>
      <c r="BK1810" s="305"/>
      <c r="BL1810" s="305"/>
      <c r="BM1810" s="305"/>
      <c r="BN1810" s="305"/>
      <c r="BO1810" s="305"/>
      <c r="BP1810" s="305"/>
      <c r="BQ1810" s="305"/>
      <c r="BR1810" s="305"/>
      <c r="BS1810" s="305"/>
      <c r="BT1810" s="305"/>
      <c r="BU1810" s="305"/>
      <c r="BV1810" s="305"/>
      <c r="BX1810" s="319"/>
    </row>
    <row r="1811" spans="1:76" s="303" customFormat="1" x14ac:dyDescent="0.25">
      <c r="A1811" s="275"/>
      <c r="B1811" s="275"/>
      <c r="C1811" s="275"/>
      <c r="D1811" s="275"/>
      <c r="E1811" s="275"/>
      <c r="F1811" s="275"/>
      <c r="V1811" s="304"/>
      <c r="W1811" s="304"/>
      <c r="AD1811" s="304"/>
      <c r="AE1811" s="304"/>
      <c r="AR1811" s="304"/>
      <c r="AS1811" s="304"/>
      <c r="AT1811" s="304"/>
      <c r="AU1811" s="304"/>
      <c r="AV1811" s="304"/>
      <c r="AW1811" s="304"/>
      <c r="AX1811" s="304"/>
      <c r="AY1811" s="304"/>
      <c r="AZ1811" s="304"/>
      <c r="BA1811" s="304"/>
      <c r="BB1811" s="304"/>
      <c r="BC1811" s="304"/>
      <c r="BK1811" s="305"/>
      <c r="BL1811" s="305"/>
      <c r="BM1811" s="305"/>
      <c r="BN1811" s="305"/>
      <c r="BO1811" s="305"/>
      <c r="BP1811" s="305"/>
      <c r="BQ1811" s="305"/>
      <c r="BR1811" s="305"/>
      <c r="BS1811" s="305"/>
      <c r="BT1811" s="305"/>
      <c r="BU1811" s="305"/>
      <c r="BV1811" s="305"/>
      <c r="BX1811" s="319"/>
    </row>
    <row r="1812" spans="1:76" s="303" customFormat="1" x14ac:dyDescent="0.25">
      <c r="A1812" s="275"/>
      <c r="B1812" s="275"/>
      <c r="C1812" s="275"/>
      <c r="D1812" s="275"/>
      <c r="E1812" s="275"/>
      <c r="F1812" s="275"/>
      <c r="V1812" s="304"/>
      <c r="W1812" s="304"/>
      <c r="AD1812" s="304"/>
      <c r="AE1812" s="304"/>
      <c r="AR1812" s="304"/>
      <c r="AS1812" s="304"/>
      <c r="AT1812" s="304"/>
      <c r="AU1812" s="304"/>
      <c r="AV1812" s="304"/>
      <c r="AW1812" s="304"/>
      <c r="AX1812" s="304"/>
      <c r="AY1812" s="304"/>
      <c r="AZ1812" s="304"/>
      <c r="BA1812" s="304"/>
      <c r="BB1812" s="304"/>
      <c r="BC1812" s="304"/>
      <c r="BK1812" s="305"/>
      <c r="BL1812" s="305"/>
      <c r="BM1812" s="305"/>
      <c r="BN1812" s="305"/>
      <c r="BO1812" s="305"/>
      <c r="BP1812" s="305"/>
      <c r="BQ1812" s="305"/>
      <c r="BR1812" s="305"/>
      <c r="BS1812" s="305"/>
      <c r="BT1812" s="305"/>
      <c r="BU1812" s="305"/>
      <c r="BV1812" s="305"/>
      <c r="BX1812" s="319"/>
    </row>
    <row r="1813" spans="1:76" s="303" customFormat="1" x14ac:dyDescent="0.25">
      <c r="A1813" s="275"/>
      <c r="B1813" s="275"/>
      <c r="C1813" s="275"/>
      <c r="D1813" s="275"/>
      <c r="E1813" s="275"/>
      <c r="F1813" s="275"/>
      <c r="V1813" s="304"/>
      <c r="W1813" s="304"/>
      <c r="AD1813" s="304"/>
      <c r="AE1813" s="304"/>
      <c r="AR1813" s="304"/>
      <c r="AS1813" s="304"/>
      <c r="AT1813" s="304"/>
      <c r="AU1813" s="304"/>
      <c r="AV1813" s="304"/>
      <c r="AW1813" s="304"/>
      <c r="AX1813" s="304"/>
      <c r="AY1813" s="304"/>
      <c r="AZ1813" s="304"/>
      <c r="BA1813" s="304"/>
      <c r="BB1813" s="304"/>
      <c r="BC1813" s="304"/>
      <c r="BK1813" s="305"/>
      <c r="BL1813" s="305"/>
      <c r="BM1813" s="305"/>
      <c r="BN1813" s="305"/>
      <c r="BO1813" s="305"/>
      <c r="BP1813" s="305"/>
      <c r="BQ1813" s="305"/>
      <c r="BR1813" s="305"/>
      <c r="BS1813" s="305"/>
      <c r="BT1813" s="305"/>
      <c r="BU1813" s="305"/>
      <c r="BV1813" s="305"/>
      <c r="BX1813" s="319"/>
    </row>
    <row r="1814" spans="1:76" s="303" customFormat="1" x14ac:dyDescent="0.25">
      <c r="A1814" s="275"/>
      <c r="B1814" s="275"/>
      <c r="C1814" s="275"/>
      <c r="D1814" s="275"/>
      <c r="E1814" s="275"/>
      <c r="F1814" s="275"/>
      <c r="V1814" s="304"/>
      <c r="W1814" s="304"/>
      <c r="AD1814" s="304"/>
      <c r="AE1814" s="304"/>
      <c r="AR1814" s="304"/>
      <c r="AS1814" s="304"/>
      <c r="AT1814" s="304"/>
      <c r="AU1814" s="304"/>
      <c r="AV1814" s="304"/>
      <c r="AW1814" s="304"/>
      <c r="AX1814" s="304"/>
      <c r="AY1814" s="304"/>
      <c r="AZ1814" s="304"/>
      <c r="BA1814" s="304"/>
      <c r="BB1814" s="304"/>
      <c r="BC1814" s="304"/>
      <c r="BK1814" s="305"/>
      <c r="BL1814" s="305"/>
      <c r="BM1814" s="305"/>
      <c r="BN1814" s="305"/>
      <c r="BO1814" s="305"/>
      <c r="BP1814" s="305"/>
      <c r="BQ1814" s="305"/>
      <c r="BR1814" s="305"/>
      <c r="BS1814" s="305"/>
      <c r="BT1814" s="305"/>
      <c r="BU1814" s="305"/>
      <c r="BV1814" s="305"/>
      <c r="BX1814" s="319"/>
    </row>
    <row r="1815" spans="1:76" s="303" customFormat="1" x14ac:dyDescent="0.25">
      <c r="A1815" s="275"/>
      <c r="B1815" s="275"/>
      <c r="C1815" s="275"/>
      <c r="D1815" s="275"/>
      <c r="E1815" s="275"/>
      <c r="F1815" s="275"/>
      <c r="V1815" s="304"/>
      <c r="W1815" s="304"/>
      <c r="AD1815" s="304"/>
      <c r="AE1815" s="304"/>
      <c r="AR1815" s="304"/>
      <c r="AS1815" s="304"/>
      <c r="AT1815" s="304"/>
      <c r="AU1815" s="304"/>
      <c r="AV1815" s="304"/>
      <c r="AW1815" s="304"/>
      <c r="AX1815" s="304"/>
      <c r="AY1815" s="304"/>
      <c r="AZ1815" s="304"/>
      <c r="BA1815" s="304"/>
      <c r="BB1815" s="304"/>
      <c r="BC1815" s="304"/>
      <c r="BK1815" s="305"/>
      <c r="BL1815" s="305"/>
      <c r="BM1815" s="305"/>
      <c r="BN1815" s="305"/>
      <c r="BO1815" s="305"/>
      <c r="BP1815" s="305"/>
      <c r="BQ1815" s="305"/>
      <c r="BR1815" s="305"/>
      <c r="BS1815" s="305"/>
      <c r="BT1815" s="305"/>
      <c r="BU1815" s="305"/>
      <c r="BV1815" s="305"/>
      <c r="BX1815" s="319"/>
    </row>
    <row r="1816" spans="1:76" s="303" customFormat="1" x14ac:dyDescent="0.25">
      <c r="A1816" s="275"/>
      <c r="B1816" s="275"/>
      <c r="C1816" s="275"/>
      <c r="D1816" s="275"/>
      <c r="E1816" s="275"/>
      <c r="F1816" s="275"/>
      <c r="V1816" s="304"/>
      <c r="W1816" s="304"/>
      <c r="AD1816" s="304"/>
      <c r="AE1816" s="304"/>
      <c r="AR1816" s="304"/>
      <c r="AS1816" s="304"/>
      <c r="AT1816" s="304"/>
      <c r="AU1816" s="304"/>
      <c r="AV1816" s="304"/>
      <c r="AW1816" s="304"/>
      <c r="AX1816" s="304"/>
      <c r="AY1816" s="304"/>
      <c r="AZ1816" s="304"/>
      <c r="BA1816" s="304"/>
      <c r="BB1816" s="304"/>
      <c r="BC1816" s="304"/>
      <c r="BK1816" s="305"/>
      <c r="BL1816" s="305"/>
      <c r="BM1816" s="305"/>
      <c r="BN1816" s="305"/>
      <c r="BO1816" s="305"/>
      <c r="BP1816" s="305"/>
      <c r="BQ1816" s="305"/>
      <c r="BR1816" s="305"/>
      <c r="BS1816" s="305"/>
      <c r="BT1816" s="305"/>
      <c r="BU1816" s="305"/>
      <c r="BV1816" s="305"/>
      <c r="BX1816" s="319"/>
    </row>
    <row r="1817" spans="1:76" s="303" customFormat="1" x14ac:dyDescent="0.25">
      <c r="A1817" s="275"/>
      <c r="B1817" s="275"/>
      <c r="C1817" s="275"/>
      <c r="D1817" s="275"/>
      <c r="E1817" s="275"/>
      <c r="F1817" s="275"/>
      <c r="V1817" s="304"/>
      <c r="W1817" s="304"/>
      <c r="AD1817" s="304"/>
      <c r="AE1817" s="304"/>
      <c r="AR1817" s="304"/>
      <c r="AS1817" s="304"/>
      <c r="AT1817" s="304"/>
      <c r="AU1817" s="304"/>
      <c r="AV1817" s="304"/>
      <c r="AW1817" s="304"/>
      <c r="AX1817" s="304"/>
      <c r="AY1817" s="304"/>
      <c r="AZ1817" s="304"/>
      <c r="BA1817" s="304"/>
      <c r="BB1817" s="304"/>
      <c r="BC1817" s="304"/>
      <c r="BK1817" s="305"/>
      <c r="BL1817" s="305"/>
      <c r="BM1817" s="305"/>
      <c r="BN1817" s="305"/>
      <c r="BO1817" s="305"/>
      <c r="BP1817" s="305"/>
      <c r="BQ1817" s="305"/>
      <c r="BR1817" s="305"/>
      <c r="BS1817" s="305"/>
      <c r="BT1817" s="305"/>
      <c r="BU1817" s="305"/>
      <c r="BV1817" s="305"/>
      <c r="BX1817" s="319"/>
    </row>
    <row r="1818" spans="1:76" s="303" customFormat="1" x14ac:dyDescent="0.25">
      <c r="A1818" s="275"/>
      <c r="B1818" s="275"/>
      <c r="C1818" s="275"/>
      <c r="D1818" s="275"/>
      <c r="E1818" s="275"/>
      <c r="F1818" s="275"/>
      <c r="V1818" s="304"/>
      <c r="W1818" s="304"/>
      <c r="AD1818" s="304"/>
      <c r="AE1818" s="304"/>
      <c r="AR1818" s="304"/>
      <c r="AS1818" s="304"/>
      <c r="AT1818" s="304"/>
      <c r="AU1818" s="304"/>
      <c r="AV1818" s="304"/>
      <c r="AW1818" s="304"/>
      <c r="AX1818" s="304"/>
      <c r="AY1818" s="304"/>
      <c r="AZ1818" s="304"/>
      <c r="BA1818" s="304"/>
      <c r="BB1818" s="304"/>
      <c r="BC1818" s="304"/>
      <c r="BK1818" s="305"/>
      <c r="BL1818" s="305"/>
      <c r="BM1818" s="305"/>
      <c r="BN1818" s="305"/>
      <c r="BO1818" s="305"/>
      <c r="BP1818" s="305"/>
      <c r="BQ1818" s="305"/>
      <c r="BR1818" s="305"/>
      <c r="BS1818" s="305"/>
      <c r="BT1818" s="305"/>
      <c r="BU1818" s="305"/>
      <c r="BV1818" s="305"/>
      <c r="BX1818" s="319"/>
    </row>
    <row r="1819" spans="1:76" s="303" customFormat="1" x14ac:dyDescent="0.25">
      <c r="A1819" s="275"/>
      <c r="B1819" s="275"/>
      <c r="C1819" s="275"/>
      <c r="D1819" s="275"/>
      <c r="E1819" s="275"/>
      <c r="F1819" s="275"/>
      <c r="V1819" s="304"/>
      <c r="W1819" s="304"/>
      <c r="AD1819" s="304"/>
      <c r="AE1819" s="304"/>
      <c r="AR1819" s="304"/>
      <c r="AS1819" s="304"/>
      <c r="AT1819" s="304"/>
      <c r="AU1819" s="304"/>
      <c r="AV1819" s="304"/>
      <c r="AW1819" s="304"/>
      <c r="AX1819" s="304"/>
      <c r="AY1819" s="304"/>
      <c r="AZ1819" s="304"/>
      <c r="BA1819" s="304"/>
      <c r="BB1819" s="304"/>
      <c r="BC1819" s="304"/>
      <c r="BK1819" s="305"/>
      <c r="BL1819" s="305"/>
      <c r="BM1819" s="305"/>
      <c r="BN1819" s="305"/>
      <c r="BO1819" s="305"/>
      <c r="BP1819" s="305"/>
      <c r="BQ1819" s="305"/>
      <c r="BR1819" s="305"/>
      <c r="BS1819" s="305"/>
      <c r="BT1819" s="305"/>
      <c r="BU1819" s="305"/>
      <c r="BV1819" s="305"/>
      <c r="BX1819" s="319"/>
    </row>
    <row r="1820" spans="1:76" s="303" customFormat="1" x14ac:dyDescent="0.25">
      <c r="A1820" s="275"/>
      <c r="B1820" s="275"/>
      <c r="C1820" s="275"/>
      <c r="D1820" s="275"/>
      <c r="E1820" s="275"/>
      <c r="F1820" s="275"/>
      <c r="V1820" s="304"/>
      <c r="W1820" s="304"/>
      <c r="AD1820" s="304"/>
      <c r="AE1820" s="304"/>
      <c r="AR1820" s="304"/>
      <c r="AS1820" s="304"/>
      <c r="AT1820" s="304"/>
      <c r="AU1820" s="304"/>
      <c r="AV1820" s="304"/>
      <c r="AW1820" s="304"/>
      <c r="AX1820" s="304"/>
      <c r="AY1820" s="304"/>
      <c r="AZ1820" s="304"/>
      <c r="BA1820" s="304"/>
      <c r="BB1820" s="304"/>
      <c r="BC1820" s="304"/>
      <c r="BK1820" s="305"/>
      <c r="BL1820" s="305"/>
      <c r="BM1820" s="305"/>
      <c r="BN1820" s="305"/>
      <c r="BO1820" s="305"/>
      <c r="BP1820" s="305"/>
      <c r="BQ1820" s="305"/>
      <c r="BR1820" s="305"/>
      <c r="BS1820" s="305"/>
      <c r="BT1820" s="305"/>
      <c r="BU1820" s="305"/>
      <c r="BV1820" s="305"/>
      <c r="BX1820" s="319"/>
    </row>
    <row r="1821" spans="1:76" s="303" customFormat="1" x14ac:dyDescent="0.25">
      <c r="A1821" s="275"/>
      <c r="B1821" s="275"/>
      <c r="C1821" s="275"/>
      <c r="D1821" s="275"/>
      <c r="E1821" s="275"/>
      <c r="F1821" s="275"/>
      <c r="V1821" s="304"/>
      <c r="W1821" s="304"/>
      <c r="AD1821" s="304"/>
      <c r="AE1821" s="304"/>
      <c r="AR1821" s="304"/>
      <c r="AS1821" s="304"/>
      <c r="AT1821" s="304"/>
      <c r="AU1821" s="304"/>
      <c r="AV1821" s="304"/>
      <c r="AW1821" s="304"/>
      <c r="AX1821" s="304"/>
      <c r="AY1821" s="304"/>
      <c r="AZ1821" s="304"/>
      <c r="BA1821" s="304"/>
      <c r="BB1821" s="304"/>
      <c r="BC1821" s="304"/>
      <c r="BK1821" s="305"/>
      <c r="BL1821" s="305"/>
      <c r="BM1821" s="305"/>
      <c r="BN1821" s="305"/>
      <c r="BO1821" s="305"/>
      <c r="BP1821" s="305"/>
      <c r="BQ1821" s="305"/>
      <c r="BR1821" s="305"/>
      <c r="BS1821" s="305"/>
      <c r="BT1821" s="305"/>
      <c r="BU1821" s="305"/>
      <c r="BV1821" s="305"/>
      <c r="BX1821" s="319"/>
    </row>
    <row r="1822" spans="1:76" s="303" customFormat="1" x14ac:dyDescent="0.25">
      <c r="A1822" s="275"/>
      <c r="B1822" s="275"/>
      <c r="C1822" s="275"/>
      <c r="D1822" s="275"/>
      <c r="E1822" s="275"/>
      <c r="F1822" s="275"/>
      <c r="V1822" s="304"/>
      <c r="W1822" s="304"/>
      <c r="AD1822" s="304"/>
      <c r="AE1822" s="304"/>
      <c r="AR1822" s="304"/>
      <c r="AS1822" s="304"/>
      <c r="AT1822" s="304"/>
      <c r="AU1822" s="304"/>
      <c r="AV1822" s="304"/>
      <c r="AW1822" s="304"/>
      <c r="AX1822" s="304"/>
      <c r="AY1822" s="304"/>
      <c r="AZ1822" s="304"/>
      <c r="BA1822" s="304"/>
      <c r="BB1822" s="304"/>
      <c r="BC1822" s="304"/>
      <c r="BK1822" s="305"/>
      <c r="BL1822" s="305"/>
      <c r="BM1822" s="305"/>
      <c r="BN1822" s="305"/>
      <c r="BO1822" s="305"/>
      <c r="BP1822" s="305"/>
      <c r="BQ1822" s="305"/>
      <c r="BR1822" s="305"/>
      <c r="BS1822" s="305"/>
      <c r="BT1822" s="305"/>
      <c r="BU1822" s="305"/>
      <c r="BV1822" s="305"/>
      <c r="BX1822" s="319"/>
    </row>
    <row r="1823" spans="1:76" s="303" customFormat="1" x14ac:dyDescent="0.25">
      <c r="A1823" s="275"/>
      <c r="B1823" s="275"/>
      <c r="C1823" s="275"/>
      <c r="D1823" s="275"/>
      <c r="E1823" s="275"/>
      <c r="F1823" s="275"/>
      <c r="V1823" s="304"/>
      <c r="W1823" s="304"/>
      <c r="AD1823" s="304"/>
      <c r="AE1823" s="304"/>
      <c r="AR1823" s="304"/>
      <c r="AS1823" s="304"/>
      <c r="AT1823" s="304"/>
      <c r="AU1823" s="304"/>
      <c r="AV1823" s="304"/>
      <c r="AW1823" s="304"/>
      <c r="AX1823" s="304"/>
      <c r="AY1823" s="304"/>
      <c r="AZ1823" s="304"/>
      <c r="BA1823" s="304"/>
      <c r="BB1823" s="304"/>
      <c r="BC1823" s="304"/>
      <c r="BK1823" s="305"/>
      <c r="BL1823" s="305"/>
      <c r="BM1823" s="305"/>
      <c r="BN1823" s="305"/>
      <c r="BO1823" s="305"/>
      <c r="BP1823" s="305"/>
      <c r="BQ1823" s="305"/>
      <c r="BR1823" s="305"/>
      <c r="BS1823" s="305"/>
      <c r="BT1823" s="305"/>
      <c r="BU1823" s="305"/>
      <c r="BV1823" s="305"/>
      <c r="BX1823" s="319"/>
    </row>
    <row r="1824" spans="1:76" s="303" customFormat="1" x14ac:dyDescent="0.25">
      <c r="A1824" s="275"/>
      <c r="B1824" s="275"/>
      <c r="C1824" s="275"/>
      <c r="D1824" s="275"/>
      <c r="E1824" s="275"/>
      <c r="F1824" s="275"/>
      <c r="V1824" s="304"/>
      <c r="W1824" s="304"/>
      <c r="AD1824" s="304"/>
      <c r="AE1824" s="304"/>
      <c r="AR1824" s="304"/>
      <c r="AS1824" s="304"/>
      <c r="AT1824" s="304"/>
      <c r="AU1824" s="304"/>
      <c r="AV1824" s="304"/>
      <c r="AW1824" s="304"/>
      <c r="AX1824" s="304"/>
      <c r="AY1824" s="304"/>
      <c r="AZ1824" s="304"/>
      <c r="BA1824" s="304"/>
      <c r="BB1824" s="304"/>
      <c r="BC1824" s="304"/>
      <c r="BK1824" s="305"/>
      <c r="BL1824" s="305"/>
      <c r="BM1824" s="305"/>
      <c r="BN1824" s="305"/>
      <c r="BO1824" s="305"/>
      <c r="BP1824" s="305"/>
      <c r="BQ1824" s="305"/>
      <c r="BR1824" s="305"/>
      <c r="BS1824" s="305"/>
      <c r="BT1824" s="305"/>
      <c r="BU1824" s="305"/>
      <c r="BV1824" s="305"/>
      <c r="BX1824" s="319"/>
    </row>
    <row r="1825" spans="1:76" s="303" customFormat="1" x14ac:dyDescent="0.25">
      <c r="A1825" s="275"/>
      <c r="B1825" s="275"/>
      <c r="C1825" s="275"/>
      <c r="D1825" s="275"/>
      <c r="E1825" s="275"/>
      <c r="F1825" s="275"/>
      <c r="V1825" s="304"/>
      <c r="W1825" s="304"/>
      <c r="AD1825" s="304"/>
      <c r="AE1825" s="304"/>
      <c r="AR1825" s="304"/>
      <c r="AS1825" s="304"/>
      <c r="AT1825" s="304"/>
      <c r="AU1825" s="304"/>
      <c r="AV1825" s="304"/>
      <c r="AW1825" s="304"/>
      <c r="AX1825" s="304"/>
      <c r="AY1825" s="304"/>
      <c r="AZ1825" s="304"/>
      <c r="BA1825" s="304"/>
      <c r="BB1825" s="304"/>
      <c r="BC1825" s="304"/>
      <c r="BK1825" s="305"/>
      <c r="BL1825" s="305"/>
      <c r="BM1825" s="305"/>
      <c r="BN1825" s="305"/>
      <c r="BO1825" s="305"/>
      <c r="BP1825" s="305"/>
      <c r="BQ1825" s="305"/>
      <c r="BR1825" s="305"/>
      <c r="BS1825" s="305"/>
      <c r="BT1825" s="305"/>
      <c r="BU1825" s="305"/>
      <c r="BV1825" s="305"/>
      <c r="BX1825" s="319"/>
    </row>
    <row r="1826" spans="1:76" s="303" customFormat="1" x14ac:dyDescent="0.25">
      <c r="A1826" s="275"/>
      <c r="B1826" s="275"/>
      <c r="C1826" s="275"/>
      <c r="D1826" s="275"/>
      <c r="E1826" s="275"/>
      <c r="F1826" s="275"/>
      <c r="V1826" s="304"/>
      <c r="W1826" s="304"/>
      <c r="AD1826" s="304"/>
      <c r="AE1826" s="304"/>
      <c r="AR1826" s="304"/>
      <c r="AS1826" s="304"/>
      <c r="AT1826" s="304"/>
      <c r="AU1826" s="304"/>
      <c r="AV1826" s="304"/>
      <c r="AW1826" s="304"/>
      <c r="AX1826" s="304"/>
      <c r="AY1826" s="304"/>
      <c r="AZ1826" s="304"/>
      <c r="BA1826" s="304"/>
      <c r="BB1826" s="304"/>
      <c r="BC1826" s="304"/>
      <c r="BK1826" s="305"/>
      <c r="BL1826" s="305"/>
      <c r="BM1826" s="305"/>
      <c r="BN1826" s="305"/>
      <c r="BO1826" s="305"/>
      <c r="BP1826" s="305"/>
      <c r="BQ1826" s="305"/>
      <c r="BR1826" s="305"/>
      <c r="BS1826" s="305"/>
      <c r="BT1826" s="305"/>
      <c r="BU1826" s="305"/>
      <c r="BV1826" s="305"/>
      <c r="BX1826" s="319"/>
    </row>
    <row r="1827" spans="1:76" s="303" customFormat="1" x14ac:dyDescent="0.25">
      <c r="A1827" s="275"/>
      <c r="B1827" s="275"/>
      <c r="C1827" s="275"/>
      <c r="D1827" s="275"/>
      <c r="E1827" s="275"/>
      <c r="F1827" s="275"/>
      <c r="V1827" s="304"/>
      <c r="W1827" s="304"/>
      <c r="AD1827" s="304"/>
      <c r="AE1827" s="304"/>
      <c r="AR1827" s="304"/>
      <c r="AS1827" s="304"/>
      <c r="AT1827" s="304"/>
      <c r="AU1827" s="304"/>
      <c r="AV1827" s="304"/>
      <c r="AW1827" s="304"/>
      <c r="AX1827" s="304"/>
      <c r="AY1827" s="304"/>
      <c r="AZ1827" s="304"/>
      <c r="BA1827" s="304"/>
      <c r="BB1827" s="304"/>
      <c r="BC1827" s="304"/>
      <c r="BK1827" s="305"/>
      <c r="BL1827" s="305"/>
      <c r="BM1827" s="305"/>
      <c r="BN1827" s="305"/>
      <c r="BO1827" s="305"/>
      <c r="BP1827" s="305"/>
      <c r="BQ1827" s="305"/>
      <c r="BR1827" s="305"/>
      <c r="BS1827" s="305"/>
      <c r="BT1827" s="305"/>
      <c r="BU1827" s="305"/>
      <c r="BV1827" s="305"/>
      <c r="BX1827" s="319"/>
    </row>
    <row r="1828" spans="1:76" s="303" customFormat="1" x14ac:dyDescent="0.25">
      <c r="A1828" s="275"/>
      <c r="B1828" s="275"/>
      <c r="C1828" s="275"/>
      <c r="D1828" s="275"/>
      <c r="E1828" s="275"/>
      <c r="F1828" s="275"/>
      <c r="V1828" s="304"/>
      <c r="W1828" s="304"/>
      <c r="AD1828" s="304"/>
      <c r="AE1828" s="304"/>
      <c r="AR1828" s="304"/>
      <c r="AS1828" s="304"/>
      <c r="AT1828" s="304"/>
      <c r="AU1828" s="304"/>
      <c r="AV1828" s="304"/>
      <c r="AW1828" s="304"/>
      <c r="AX1828" s="304"/>
      <c r="AY1828" s="304"/>
      <c r="AZ1828" s="304"/>
      <c r="BA1828" s="304"/>
      <c r="BB1828" s="304"/>
      <c r="BC1828" s="304"/>
      <c r="BK1828" s="305"/>
      <c r="BL1828" s="305"/>
      <c r="BM1828" s="305"/>
      <c r="BN1828" s="305"/>
      <c r="BO1828" s="305"/>
      <c r="BP1828" s="305"/>
      <c r="BQ1828" s="305"/>
      <c r="BR1828" s="305"/>
      <c r="BS1828" s="305"/>
      <c r="BT1828" s="305"/>
      <c r="BU1828" s="305"/>
      <c r="BV1828" s="305"/>
      <c r="BX1828" s="319"/>
    </row>
    <row r="1829" spans="1:76" s="303" customFormat="1" x14ac:dyDescent="0.25">
      <c r="A1829" s="275"/>
      <c r="B1829" s="275"/>
      <c r="C1829" s="275"/>
      <c r="D1829" s="275"/>
      <c r="E1829" s="275"/>
      <c r="F1829" s="275"/>
      <c r="V1829" s="304"/>
      <c r="W1829" s="304"/>
      <c r="AD1829" s="304"/>
      <c r="AE1829" s="304"/>
      <c r="AR1829" s="304"/>
      <c r="AS1829" s="304"/>
      <c r="AT1829" s="304"/>
      <c r="AU1829" s="304"/>
      <c r="AV1829" s="304"/>
      <c r="AW1829" s="304"/>
      <c r="AX1829" s="304"/>
      <c r="AY1829" s="304"/>
      <c r="AZ1829" s="304"/>
      <c r="BA1829" s="304"/>
      <c r="BB1829" s="304"/>
      <c r="BC1829" s="304"/>
      <c r="BK1829" s="305"/>
      <c r="BL1829" s="305"/>
      <c r="BM1829" s="305"/>
      <c r="BN1829" s="305"/>
      <c r="BO1829" s="305"/>
      <c r="BP1829" s="305"/>
      <c r="BQ1829" s="305"/>
      <c r="BR1829" s="305"/>
      <c r="BS1829" s="305"/>
      <c r="BT1829" s="305"/>
      <c r="BU1829" s="305"/>
      <c r="BV1829" s="305"/>
      <c r="BX1829" s="319"/>
    </row>
    <row r="1830" spans="1:76" s="303" customFormat="1" x14ac:dyDescent="0.25">
      <c r="A1830" s="275"/>
      <c r="B1830" s="275"/>
      <c r="C1830" s="275"/>
      <c r="D1830" s="275"/>
      <c r="E1830" s="275"/>
      <c r="F1830" s="275"/>
      <c r="V1830" s="304"/>
      <c r="W1830" s="304"/>
      <c r="AD1830" s="304"/>
      <c r="AE1830" s="304"/>
      <c r="AR1830" s="304"/>
      <c r="AS1830" s="304"/>
      <c r="AT1830" s="304"/>
      <c r="AU1830" s="304"/>
      <c r="AV1830" s="304"/>
      <c r="AW1830" s="304"/>
      <c r="AX1830" s="304"/>
      <c r="AY1830" s="304"/>
      <c r="AZ1830" s="304"/>
      <c r="BA1830" s="304"/>
      <c r="BB1830" s="304"/>
      <c r="BC1830" s="304"/>
      <c r="BK1830" s="305"/>
      <c r="BL1830" s="305"/>
      <c r="BM1830" s="305"/>
      <c r="BN1830" s="305"/>
      <c r="BO1830" s="305"/>
      <c r="BP1830" s="305"/>
      <c r="BQ1830" s="305"/>
      <c r="BR1830" s="305"/>
      <c r="BS1830" s="305"/>
      <c r="BT1830" s="305"/>
      <c r="BU1830" s="305"/>
      <c r="BV1830" s="305"/>
      <c r="BX1830" s="319"/>
    </row>
    <row r="1831" spans="1:76" s="303" customFormat="1" x14ac:dyDescent="0.25">
      <c r="A1831" s="275"/>
      <c r="B1831" s="275"/>
      <c r="C1831" s="275"/>
      <c r="D1831" s="275"/>
      <c r="E1831" s="275"/>
      <c r="F1831" s="275"/>
      <c r="V1831" s="304"/>
      <c r="W1831" s="304"/>
      <c r="AD1831" s="304"/>
      <c r="AE1831" s="304"/>
      <c r="AR1831" s="304"/>
      <c r="AS1831" s="304"/>
      <c r="AT1831" s="304"/>
      <c r="AU1831" s="304"/>
      <c r="AV1831" s="304"/>
      <c r="AW1831" s="304"/>
      <c r="AX1831" s="304"/>
      <c r="AY1831" s="304"/>
      <c r="AZ1831" s="304"/>
      <c r="BA1831" s="304"/>
      <c r="BB1831" s="304"/>
      <c r="BC1831" s="304"/>
      <c r="BK1831" s="305"/>
      <c r="BL1831" s="305"/>
      <c r="BM1831" s="305"/>
      <c r="BN1831" s="305"/>
      <c r="BO1831" s="305"/>
      <c r="BP1831" s="305"/>
      <c r="BQ1831" s="305"/>
      <c r="BR1831" s="305"/>
      <c r="BS1831" s="305"/>
      <c r="BT1831" s="305"/>
      <c r="BU1831" s="305"/>
      <c r="BV1831" s="305"/>
      <c r="BX1831" s="319"/>
    </row>
    <row r="1832" spans="1:76" s="303" customFormat="1" x14ac:dyDescent="0.25">
      <c r="A1832" s="275"/>
      <c r="B1832" s="275"/>
      <c r="C1832" s="275"/>
      <c r="D1832" s="275"/>
      <c r="E1832" s="275"/>
      <c r="F1832" s="275"/>
      <c r="V1832" s="304"/>
      <c r="W1832" s="304"/>
      <c r="AD1832" s="304"/>
      <c r="AE1832" s="304"/>
      <c r="AR1832" s="304"/>
      <c r="AS1832" s="304"/>
      <c r="AT1832" s="304"/>
      <c r="AU1832" s="304"/>
      <c r="AV1832" s="304"/>
      <c r="AW1832" s="304"/>
      <c r="AX1832" s="304"/>
      <c r="AY1832" s="304"/>
      <c r="AZ1832" s="304"/>
      <c r="BA1832" s="304"/>
      <c r="BB1832" s="304"/>
      <c r="BC1832" s="304"/>
      <c r="BK1832" s="305"/>
      <c r="BL1832" s="305"/>
      <c r="BM1832" s="305"/>
      <c r="BN1832" s="305"/>
      <c r="BO1832" s="305"/>
      <c r="BP1832" s="305"/>
      <c r="BQ1832" s="305"/>
      <c r="BR1832" s="305"/>
      <c r="BS1832" s="305"/>
      <c r="BT1832" s="305"/>
      <c r="BU1832" s="305"/>
      <c r="BV1832" s="305"/>
      <c r="BX1832" s="319"/>
    </row>
    <row r="1833" spans="1:76" s="303" customFormat="1" x14ac:dyDescent="0.25">
      <c r="A1833" s="275"/>
      <c r="B1833" s="275"/>
      <c r="C1833" s="275"/>
      <c r="D1833" s="275"/>
      <c r="E1833" s="275"/>
      <c r="F1833" s="275"/>
      <c r="V1833" s="304"/>
      <c r="W1833" s="304"/>
      <c r="AD1833" s="304"/>
      <c r="AE1833" s="304"/>
      <c r="AR1833" s="304"/>
      <c r="AS1833" s="304"/>
      <c r="AT1833" s="304"/>
      <c r="AU1833" s="304"/>
      <c r="AV1833" s="304"/>
      <c r="AW1833" s="304"/>
      <c r="AX1833" s="304"/>
      <c r="AY1833" s="304"/>
      <c r="AZ1833" s="304"/>
      <c r="BA1833" s="304"/>
      <c r="BB1833" s="304"/>
      <c r="BC1833" s="304"/>
      <c r="BK1833" s="305"/>
      <c r="BL1833" s="305"/>
      <c r="BM1833" s="305"/>
      <c r="BN1833" s="305"/>
      <c r="BO1833" s="305"/>
      <c r="BP1833" s="305"/>
      <c r="BQ1833" s="305"/>
      <c r="BR1833" s="305"/>
      <c r="BS1833" s="305"/>
      <c r="BT1833" s="305"/>
      <c r="BU1833" s="305"/>
      <c r="BV1833" s="305"/>
      <c r="BX1833" s="319"/>
    </row>
    <row r="1834" spans="1:76" s="303" customFormat="1" x14ac:dyDescent="0.25">
      <c r="A1834" s="275"/>
      <c r="B1834" s="275"/>
      <c r="C1834" s="275"/>
      <c r="D1834" s="275"/>
      <c r="E1834" s="275"/>
      <c r="F1834" s="275"/>
      <c r="V1834" s="304"/>
      <c r="W1834" s="304"/>
      <c r="AD1834" s="304"/>
      <c r="AE1834" s="304"/>
      <c r="AR1834" s="304"/>
      <c r="AS1834" s="304"/>
      <c r="AT1834" s="304"/>
      <c r="AU1834" s="304"/>
      <c r="AV1834" s="304"/>
      <c r="AW1834" s="304"/>
      <c r="AX1834" s="304"/>
      <c r="AY1834" s="304"/>
      <c r="AZ1834" s="304"/>
      <c r="BA1834" s="304"/>
      <c r="BB1834" s="304"/>
      <c r="BC1834" s="304"/>
      <c r="BK1834" s="305"/>
      <c r="BL1834" s="305"/>
      <c r="BM1834" s="305"/>
      <c r="BN1834" s="305"/>
      <c r="BO1834" s="305"/>
      <c r="BP1834" s="305"/>
      <c r="BQ1834" s="305"/>
      <c r="BR1834" s="305"/>
      <c r="BS1834" s="305"/>
      <c r="BT1834" s="305"/>
      <c r="BU1834" s="305"/>
      <c r="BV1834" s="305"/>
      <c r="BX1834" s="319"/>
    </row>
    <row r="1835" spans="1:76" s="303" customFormat="1" x14ac:dyDescent="0.25">
      <c r="A1835" s="275"/>
      <c r="B1835" s="275"/>
      <c r="C1835" s="275"/>
      <c r="D1835" s="275"/>
      <c r="E1835" s="275"/>
      <c r="F1835" s="275"/>
      <c r="V1835" s="304"/>
      <c r="W1835" s="304"/>
      <c r="AD1835" s="304"/>
      <c r="AE1835" s="304"/>
      <c r="AR1835" s="304"/>
      <c r="AS1835" s="304"/>
      <c r="AT1835" s="304"/>
      <c r="AU1835" s="304"/>
      <c r="AV1835" s="304"/>
      <c r="AW1835" s="304"/>
      <c r="AX1835" s="304"/>
      <c r="AY1835" s="304"/>
      <c r="AZ1835" s="304"/>
      <c r="BA1835" s="304"/>
      <c r="BB1835" s="304"/>
      <c r="BC1835" s="304"/>
      <c r="BK1835" s="305"/>
      <c r="BL1835" s="305"/>
      <c r="BM1835" s="305"/>
      <c r="BN1835" s="305"/>
      <c r="BO1835" s="305"/>
      <c r="BP1835" s="305"/>
      <c r="BQ1835" s="305"/>
      <c r="BR1835" s="305"/>
      <c r="BS1835" s="305"/>
      <c r="BT1835" s="305"/>
      <c r="BU1835" s="305"/>
      <c r="BV1835" s="305"/>
      <c r="BX1835" s="319"/>
    </row>
    <row r="1836" spans="1:76" s="303" customFormat="1" x14ac:dyDescent="0.25">
      <c r="A1836" s="275"/>
      <c r="B1836" s="275"/>
      <c r="C1836" s="275"/>
      <c r="D1836" s="275"/>
      <c r="E1836" s="275"/>
      <c r="F1836" s="275"/>
      <c r="V1836" s="304"/>
      <c r="W1836" s="304"/>
      <c r="AD1836" s="304"/>
      <c r="AE1836" s="304"/>
      <c r="AR1836" s="304"/>
      <c r="AS1836" s="304"/>
      <c r="AT1836" s="304"/>
      <c r="AU1836" s="304"/>
      <c r="AV1836" s="304"/>
      <c r="AW1836" s="304"/>
      <c r="AX1836" s="304"/>
      <c r="AY1836" s="304"/>
      <c r="AZ1836" s="304"/>
      <c r="BA1836" s="304"/>
      <c r="BB1836" s="304"/>
      <c r="BC1836" s="304"/>
      <c r="BK1836" s="305"/>
      <c r="BL1836" s="305"/>
      <c r="BM1836" s="305"/>
      <c r="BN1836" s="305"/>
      <c r="BO1836" s="305"/>
      <c r="BP1836" s="305"/>
      <c r="BQ1836" s="305"/>
      <c r="BR1836" s="305"/>
      <c r="BS1836" s="305"/>
      <c r="BT1836" s="305"/>
      <c r="BU1836" s="305"/>
      <c r="BV1836" s="305"/>
      <c r="BX1836" s="319"/>
    </row>
    <row r="1837" spans="1:76" s="303" customFormat="1" x14ac:dyDescent="0.25">
      <c r="A1837" s="275"/>
      <c r="B1837" s="275"/>
      <c r="C1837" s="275"/>
      <c r="D1837" s="275"/>
      <c r="E1837" s="275"/>
      <c r="F1837" s="275"/>
      <c r="V1837" s="304"/>
      <c r="W1837" s="304"/>
      <c r="AD1837" s="304"/>
      <c r="AE1837" s="304"/>
      <c r="AR1837" s="304"/>
      <c r="AS1837" s="304"/>
      <c r="AT1837" s="304"/>
      <c r="AU1837" s="304"/>
      <c r="AV1837" s="304"/>
      <c r="AW1837" s="304"/>
      <c r="AX1837" s="304"/>
      <c r="AY1837" s="304"/>
      <c r="AZ1837" s="304"/>
      <c r="BA1837" s="304"/>
      <c r="BB1837" s="304"/>
      <c r="BC1837" s="304"/>
      <c r="BK1837" s="305"/>
      <c r="BL1837" s="305"/>
      <c r="BM1837" s="305"/>
      <c r="BN1837" s="305"/>
      <c r="BO1837" s="305"/>
      <c r="BP1837" s="305"/>
      <c r="BQ1837" s="305"/>
      <c r="BR1837" s="305"/>
      <c r="BS1837" s="305"/>
      <c r="BT1837" s="305"/>
      <c r="BU1837" s="305"/>
      <c r="BV1837" s="305"/>
      <c r="BX1837" s="319"/>
    </row>
    <row r="1838" spans="1:76" s="303" customFormat="1" x14ac:dyDescent="0.25">
      <c r="A1838" s="275"/>
      <c r="B1838" s="275"/>
      <c r="C1838" s="275"/>
      <c r="D1838" s="275"/>
      <c r="E1838" s="275"/>
      <c r="F1838" s="275"/>
      <c r="V1838" s="304"/>
      <c r="W1838" s="304"/>
      <c r="AD1838" s="304"/>
      <c r="AE1838" s="304"/>
      <c r="AR1838" s="304"/>
      <c r="AS1838" s="304"/>
      <c r="AT1838" s="304"/>
      <c r="AU1838" s="304"/>
      <c r="AV1838" s="304"/>
      <c r="AW1838" s="304"/>
      <c r="AX1838" s="304"/>
      <c r="AY1838" s="304"/>
      <c r="AZ1838" s="304"/>
      <c r="BA1838" s="304"/>
      <c r="BB1838" s="304"/>
      <c r="BC1838" s="304"/>
      <c r="BK1838" s="305"/>
      <c r="BL1838" s="305"/>
      <c r="BM1838" s="305"/>
      <c r="BN1838" s="305"/>
      <c r="BO1838" s="305"/>
      <c r="BP1838" s="305"/>
      <c r="BQ1838" s="305"/>
      <c r="BR1838" s="305"/>
      <c r="BS1838" s="305"/>
      <c r="BT1838" s="305"/>
      <c r="BU1838" s="305"/>
      <c r="BV1838" s="305"/>
      <c r="BX1838" s="319"/>
    </row>
    <row r="1839" spans="1:76" s="303" customFormat="1" x14ac:dyDescent="0.25">
      <c r="A1839" s="275"/>
      <c r="B1839" s="275"/>
      <c r="C1839" s="275"/>
      <c r="D1839" s="275"/>
      <c r="E1839" s="275"/>
      <c r="F1839" s="275"/>
      <c r="V1839" s="304"/>
      <c r="W1839" s="304"/>
      <c r="AD1839" s="304"/>
      <c r="AE1839" s="304"/>
      <c r="AR1839" s="304"/>
      <c r="AS1839" s="304"/>
      <c r="AT1839" s="304"/>
      <c r="AU1839" s="304"/>
      <c r="AV1839" s="304"/>
      <c r="AW1839" s="304"/>
      <c r="AX1839" s="304"/>
      <c r="AY1839" s="304"/>
      <c r="AZ1839" s="304"/>
      <c r="BA1839" s="304"/>
      <c r="BB1839" s="304"/>
      <c r="BC1839" s="304"/>
      <c r="BK1839" s="305"/>
      <c r="BL1839" s="305"/>
      <c r="BM1839" s="305"/>
      <c r="BN1839" s="305"/>
      <c r="BO1839" s="305"/>
      <c r="BP1839" s="305"/>
      <c r="BQ1839" s="305"/>
      <c r="BR1839" s="305"/>
      <c r="BS1839" s="305"/>
      <c r="BT1839" s="305"/>
      <c r="BU1839" s="305"/>
      <c r="BV1839" s="305"/>
      <c r="BX1839" s="319"/>
    </row>
    <row r="1840" spans="1:76" s="303" customFormat="1" x14ac:dyDescent="0.25">
      <c r="A1840" s="275"/>
      <c r="B1840" s="275"/>
      <c r="C1840" s="275"/>
      <c r="D1840" s="275"/>
      <c r="E1840" s="275"/>
      <c r="F1840" s="275"/>
      <c r="V1840" s="304"/>
      <c r="W1840" s="304"/>
      <c r="AD1840" s="304"/>
      <c r="AE1840" s="304"/>
      <c r="AR1840" s="304"/>
      <c r="AS1840" s="304"/>
      <c r="AT1840" s="304"/>
      <c r="AU1840" s="304"/>
      <c r="AV1840" s="304"/>
      <c r="AW1840" s="304"/>
      <c r="AX1840" s="304"/>
      <c r="AY1840" s="304"/>
      <c r="AZ1840" s="304"/>
      <c r="BA1840" s="304"/>
      <c r="BB1840" s="304"/>
      <c r="BC1840" s="304"/>
      <c r="BK1840" s="305"/>
      <c r="BL1840" s="305"/>
      <c r="BM1840" s="305"/>
      <c r="BN1840" s="305"/>
      <c r="BO1840" s="305"/>
      <c r="BP1840" s="305"/>
      <c r="BQ1840" s="305"/>
      <c r="BR1840" s="305"/>
      <c r="BS1840" s="305"/>
      <c r="BT1840" s="305"/>
      <c r="BU1840" s="305"/>
      <c r="BV1840" s="305"/>
      <c r="BX1840" s="319"/>
    </row>
    <row r="1841" spans="1:76" s="303" customFormat="1" x14ac:dyDescent="0.25">
      <c r="A1841" s="275"/>
      <c r="B1841" s="275"/>
      <c r="C1841" s="275"/>
      <c r="D1841" s="275"/>
      <c r="E1841" s="275"/>
      <c r="F1841" s="275"/>
      <c r="V1841" s="304"/>
      <c r="W1841" s="304"/>
      <c r="AD1841" s="304"/>
      <c r="AE1841" s="304"/>
      <c r="AR1841" s="304"/>
      <c r="AS1841" s="304"/>
      <c r="AT1841" s="304"/>
      <c r="AU1841" s="304"/>
      <c r="AV1841" s="304"/>
      <c r="AW1841" s="304"/>
      <c r="AX1841" s="304"/>
      <c r="AY1841" s="304"/>
      <c r="AZ1841" s="304"/>
      <c r="BA1841" s="304"/>
      <c r="BB1841" s="304"/>
      <c r="BC1841" s="304"/>
      <c r="BK1841" s="305"/>
      <c r="BL1841" s="305"/>
      <c r="BM1841" s="305"/>
      <c r="BN1841" s="305"/>
      <c r="BO1841" s="305"/>
      <c r="BP1841" s="305"/>
      <c r="BQ1841" s="305"/>
      <c r="BR1841" s="305"/>
      <c r="BS1841" s="305"/>
      <c r="BT1841" s="305"/>
      <c r="BU1841" s="305"/>
      <c r="BV1841" s="305"/>
      <c r="BX1841" s="319"/>
    </row>
    <row r="1842" spans="1:76" s="303" customFormat="1" x14ac:dyDescent="0.25">
      <c r="A1842" s="275"/>
      <c r="B1842" s="275"/>
      <c r="C1842" s="275"/>
      <c r="D1842" s="275"/>
      <c r="E1842" s="275"/>
      <c r="F1842" s="275"/>
      <c r="V1842" s="304"/>
      <c r="W1842" s="304"/>
      <c r="AD1842" s="304"/>
      <c r="AE1842" s="304"/>
      <c r="AR1842" s="304"/>
      <c r="AS1842" s="304"/>
      <c r="AT1842" s="304"/>
      <c r="AU1842" s="304"/>
      <c r="AV1842" s="304"/>
      <c r="AW1842" s="304"/>
      <c r="AX1842" s="304"/>
      <c r="AY1842" s="304"/>
      <c r="AZ1842" s="304"/>
      <c r="BA1842" s="304"/>
      <c r="BB1842" s="304"/>
      <c r="BC1842" s="304"/>
      <c r="BK1842" s="305"/>
      <c r="BL1842" s="305"/>
      <c r="BM1842" s="305"/>
      <c r="BN1842" s="305"/>
      <c r="BO1842" s="305"/>
      <c r="BP1842" s="305"/>
      <c r="BQ1842" s="305"/>
      <c r="BR1842" s="305"/>
      <c r="BS1842" s="305"/>
      <c r="BT1842" s="305"/>
      <c r="BU1842" s="305"/>
      <c r="BV1842" s="305"/>
      <c r="BX1842" s="319"/>
    </row>
    <row r="1843" spans="1:76" s="303" customFormat="1" x14ac:dyDescent="0.25">
      <c r="A1843" s="275"/>
      <c r="B1843" s="275"/>
      <c r="C1843" s="275"/>
      <c r="D1843" s="275"/>
      <c r="E1843" s="275"/>
      <c r="F1843" s="275"/>
      <c r="V1843" s="304"/>
      <c r="W1843" s="304"/>
      <c r="AD1843" s="304"/>
      <c r="AE1843" s="304"/>
      <c r="AR1843" s="304"/>
      <c r="AS1843" s="304"/>
      <c r="AT1843" s="304"/>
      <c r="AU1843" s="304"/>
      <c r="AV1843" s="304"/>
      <c r="AW1843" s="304"/>
      <c r="AX1843" s="304"/>
      <c r="AY1843" s="304"/>
      <c r="AZ1843" s="304"/>
      <c r="BA1843" s="304"/>
      <c r="BB1843" s="304"/>
      <c r="BC1843" s="304"/>
      <c r="BK1843" s="305"/>
      <c r="BL1843" s="305"/>
      <c r="BM1843" s="305"/>
      <c r="BN1843" s="305"/>
      <c r="BO1843" s="305"/>
      <c r="BP1843" s="305"/>
      <c r="BQ1843" s="305"/>
      <c r="BR1843" s="305"/>
      <c r="BS1843" s="305"/>
      <c r="BT1843" s="305"/>
      <c r="BU1843" s="305"/>
      <c r="BV1843" s="305"/>
      <c r="BX1843" s="319"/>
    </row>
    <row r="1844" spans="1:76" s="303" customFormat="1" x14ac:dyDescent="0.25">
      <c r="A1844" s="275"/>
      <c r="B1844" s="275"/>
      <c r="C1844" s="275"/>
      <c r="D1844" s="275"/>
      <c r="E1844" s="275"/>
      <c r="F1844" s="275"/>
      <c r="V1844" s="304"/>
      <c r="W1844" s="304"/>
      <c r="AD1844" s="304"/>
      <c r="AE1844" s="304"/>
      <c r="AR1844" s="304"/>
      <c r="AS1844" s="304"/>
      <c r="AT1844" s="304"/>
      <c r="AU1844" s="304"/>
      <c r="AV1844" s="304"/>
      <c r="AW1844" s="304"/>
      <c r="AX1844" s="304"/>
      <c r="AY1844" s="304"/>
      <c r="AZ1844" s="304"/>
      <c r="BA1844" s="304"/>
      <c r="BB1844" s="304"/>
      <c r="BC1844" s="304"/>
      <c r="BK1844" s="305"/>
      <c r="BL1844" s="305"/>
      <c r="BM1844" s="305"/>
      <c r="BN1844" s="305"/>
      <c r="BO1844" s="305"/>
      <c r="BP1844" s="305"/>
      <c r="BQ1844" s="305"/>
      <c r="BR1844" s="305"/>
      <c r="BS1844" s="305"/>
      <c r="BT1844" s="305"/>
      <c r="BU1844" s="305"/>
      <c r="BV1844" s="305"/>
      <c r="BX1844" s="319"/>
    </row>
    <row r="1845" spans="1:76" s="303" customFormat="1" x14ac:dyDescent="0.25">
      <c r="A1845" s="275"/>
      <c r="B1845" s="275"/>
      <c r="C1845" s="275"/>
      <c r="D1845" s="275"/>
      <c r="E1845" s="275"/>
      <c r="F1845" s="275"/>
      <c r="V1845" s="304"/>
      <c r="W1845" s="304"/>
      <c r="AD1845" s="304"/>
      <c r="AE1845" s="304"/>
      <c r="AR1845" s="304"/>
      <c r="AS1845" s="304"/>
      <c r="AT1845" s="304"/>
      <c r="AU1845" s="304"/>
      <c r="AV1845" s="304"/>
      <c r="AW1845" s="304"/>
      <c r="AX1845" s="304"/>
      <c r="AY1845" s="304"/>
      <c r="AZ1845" s="304"/>
      <c r="BA1845" s="304"/>
      <c r="BB1845" s="304"/>
      <c r="BC1845" s="304"/>
      <c r="BK1845" s="305"/>
      <c r="BL1845" s="305"/>
      <c r="BM1845" s="305"/>
      <c r="BN1845" s="305"/>
      <c r="BO1845" s="305"/>
      <c r="BP1845" s="305"/>
      <c r="BQ1845" s="305"/>
      <c r="BR1845" s="305"/>
      <c r="BS1845" s="305"/>
      <c r="BT1845" s="305"/>
      <c r="BU1845" s="305"/>
      <c r="BV1845" s="305"/>
      <c r="BX1845" s="319"/>
    </row>
    <row r="1846" spans="1:76" s="303" customFormat="1" x14ac:dyDescent="0.25">
      <c r="A1846" s="275"/>
      <c r="B1846" s="275"/>
      <c r="C1846" s="275"/>
      <c r="D1846" s="275"/>
      <c r="E1846" s="275"/>
      <c r="F1846" s="275"/>
      <c r="V1846" s="304"/>
      <c r="W1846" s="304"/>
      <c r="AD1846" s="304"/>
      <c r="AE1846" s="304"/>
      <c r="AR1846" s="304"/>
      <c r="AS1846" s="304"/>
      <c r="AT1846" s="304"/>
      <c r="AU1846" s="304"/>
      <c r="AV1846" s="304"/>
      <c r="AW1846" s="304"/>
      <c r="AX1846" s="304"/>
      <c r="AY1846" s="304"/>
      <c r="AZ1846" s="304"/>
      <c r="BA1846" s="304"/>
      <c r="BB1846" s="304"/>
      <c r="BC1846" s="304"/>
      <c r="BK1846" s="305"/>
      <c r="BL1846" s="305"/>
      <c r="BM1846" s="305"/>
      <c r="BN1846" s="305"/>
      <c r="BO1846" s="305"/>
      <c r="BP1846" s="305"/>
      <c r="BQ1846" s="305"/>
      <c r="BR1846" s="305"/>
      <c r="BS1846" s="305"/>
      <c r="BT1846" s="305"/>
      <c r="BU1846" s="305"/>
      <c r="BV1846" s="305"/>
      <c r="BX1846" s="319"/>
    </row>
    <row r="1847" spans="1:76" s="303" customFormat="1" x14ac:dyDescent="0.25">
      <c r="A1847" s="275"/>
      <c r="B1847" s="275"/>
      <c r="C1847" s="275"/>
      <c r="D1847" s="275"/>
      <c r="E1847" s="275"/>
      <c r="F1847" s="275"/>
      <c r="V1847" s="304"/>
      <c r="W1847" s="304"/>
      <c r="AD1847" s="304"/>
      <c r="AE1847" s="304"/>
      <c r="AR1847" s="304"/>
      <c r="AS1847" s="304"/>
      <c r="AT1847" s="304"/>
      <c r="AU1847" s="304"/>
      <c r="AV1847" s="304"/>
      <c r="AW1847" s="304"/>
      <c r="AX1847" s="304"/>
      <c r="AY1847" s="304"/>
      <c r="AZ1847" s="304"/>
      <c r="BA1847" s="304"/>
      <c r="BB1847" s="304"/>
      <c r="BC1847" s="304"/>
      <c r="BK1847" s="305"/>
      <c r="BL1847" s="305"/>
      <c r="BM1847" s="305"/>
      <c r="BN1847" s="305"/>
      <c r="BO1847" s="305"/>
      <c r="BP1847" s="305"/>
      <c r="BQ1847" s="305"/>
      <c r="BR1847" s="305"/>
      <c r="BS1847" s="305"/>
      <c r="BT1847" s="305"/>
      <c r="BU1847" s="305"/>
      <c r="BV1847" s="305"/>
      <c r="BX1847" s="319"/>
    </row>
    <row r="1848" spans="1:76" s="303" customFormat="1" x14ac:dyDescent="0.25">
      <c r="A1848" s="275"/>
      <c r="B1848" s="275"/>
      <c r="C1848" s="275"/>
      <c r="D1848" s="275"/>
      <c r="E1848" s="275"/>
      <c r="F1848" s="275"/>
      <c r="V1848" s="304"/>
      <c r="W1848" s="304"/>
      <c r="AD1848" s="304"/>
      <c r="AE1848" s="304"/>
      <c r="AR1848" s="304"/>
      <c r="AS1848" s="304"/>
      <c r="AT1848" s="304"/>
      <c r="AU1848" s="304"/>
      <c r="AV1848" s="304"/>
      <c r="AW1848" s="304"/>
      <c r="AX1848" s="304"/>
      <c r="AY1848" s="304"/>
      <c r="AZ1848" s="304"/>
      <c r="BA1848" s="304"/>
      <c r="BB1848" s="304"/>
      <c r="BC1848" s="304"/>
      <c r="BK1848" s="305"/>
      <c r="BL1848" s="305"/>
      <c r="BM1848" s="305"/>
      <c r="BN1848" s="305"/>
      <c r="BO1848" s="305"/>
      <c r="BP1848" s="305"/>
      <c r="BQ1848" s="305"/>
      <c r="BR1848" s="305"/>
      <c r="BS1848" s="305"/>
      <c r="BT1848" s="305"/>
      <c r="BU1848" s="305"/>
      <c r="BV1848" s="305"/>
      <c r="BX1848" s="319"/>
    </row>
    <row r="1849" spans="1:76" s="303" customFormat="1" x14ac:dyDescent="0.25">
      <c r="A1849" s="275"/>
      <c r="B1849" s="275"/>
      <c r="C1849" s="275"/>
      <c r="D1849" s="275"/>
      <c r="E1849" s="275"/>
      <c r="F1849" s="275"/>
      <c r="V1849" s="304"/>
      <c r="W1849" s="304"/>
      <c r="AD1849" s="304"/>
      <c r="AE1849" s="304"/>
      <c r="AR1849" s="304"/>
      <c r="AS1849" s="304"/>
      <c r="AT1849" s="304"/>
      <c r="AU1849" s="304"/>
      <c r="AV1849" s="304"/>
      <c r="AW1849" s="304"/>
      <c r="AX1849" s="304"/>
      <c r="AY1849" s="304"/>
      <c r="AZ1849" s="304"/>
      <c r="BA1849" s="304"/>
      <c r="BB1849" s="304"/>
      <c r="BC1849" s="304"/>
      <c r="BK1849" s="305"/>
      <c r="BL1849" s="305"/>
      <c r="BM1849" s="305"/>
      <c r="BN1849" s="305"/>
      <c r="BO1849" s="305"/>
      <c r="BP1849" s="305"/>
      <c r="BQ1849" s="305"/>
      <c r="BR1849" s="305"/>
      <c r="BS1849" s="305"/>
      <c r="BT1849" s="305"/>
      <c r="BU1849" s="305"/>
      <c r="BV1849" s="305"/>
      <c r="BX1849" s="319"/>
    </row>
    <row r="1850" spans="1:76" s="303" customFormat="1" x14ac:dyDescent="0.25">
      <c r="A1850" s="275"/>
      <c r="B1850" s="275"/>
      <c r="C1850" s="275"/>
      <c r="D1850" s="275"/>
      <c r="E1850" s="275"/>
      <c r="F1850" s="275"/>
      <c r="V1850" s="304"/>
      <c r="W1850" s="304"/>
      <c r="AD1850" s="304"/>
      <c r="AE1850" s="304"/>
      <c r="AR1850" s="304"/>
      <c r="AS1850" s="304"/>
      <c r="AT1850" s="304"/>
      <c r="AU1850" s="304"/>
      <c r="AV1850" s="304"/>
      <c r="AW1850" s="304"/>
      <c r="AX1850" s="304"/>
      <c r="AY1850" s="304"/>
      <c r="AZ1850" s="304"/>
      <c r="BA1850" s="304"/>
      <c r="BB1850" s="304"/>
      <c r="BC1850" s="304"/>
      <c r="BK1850" s="305"/>
      <c r="BL1850" s="305"/>
      <c r="BM1850" s="305"/>
      <c r="BN1850" s="305"/>
      <c r="BO1850" s="305"/>
      <c r="BP1850" s="305"/>
      <c r="BQ1850" s="305"/>
      <c r="BR1850" s="305"/>
      <c r="BS1850" s="305"/>
      <c r="BT1850" s="305"/>
      <c r="BU1850" s="305"/>
      <c r="BV1850" s="305"/>
      <c r="BX1850" s="319"/>
    </row>
    <row r="1851" spans="1:76" s="303" customFormat="1" x14ac:dyDescent="0.25">
      <c r="A1851" s="275"/>
      <c r="B1851" s="275"/>
      <c r="C1851" s="275"/>
      <c r="D1851" s="275"/>
      <c r="E1851" s="275"/>
      <c r="F1851" s="275"/>
      <c r="V1851" s="304"/>
      <c r="W1851" s="304"/>
      <c r="AD1851" s="304"/>
      <c r="AE1851" s="304"/>
      <c r="AR1851" s="304"/>
      <c r="AS1851" s="304"/>
      <c r="AT1851" s="304"/>
      <c r="AU1851" s="304"/>
      <c r="AV1851" s="304"/>
      <c r="AW1851" s="304"/>
      <c r="AX1851" s="304"/>
      <c r="AY1851" s="304"/>
      <c r="AZ1851" s="304"/>
      <c r="BA1851" s="304"/>
      <c r="BB1851" s="304"/>
      <c r="BC1851" s="304"/>
      <c r="BK1851" s="305"/>
      <c r="BL1851" s="305"/>
      <c r="BM1851" s="305"/>
      <c r="BN1851" s="305"/>
      <c r="BO1851" s="305"/>
      <c r="BP1851" s="305"/>
      <c r="BQ1851" s="305"/>
      <c r="BR1851" s="305"/>
      <c r="BS1851" s="305"/>
      <c r="BT1851" s="305"/>
      <c r="BU1851" s="305"/>
      <c r="BV1851" s="305"/>
      <c r="BX1851" s="319"/>
    </row>
    <row r="1852" spans="1:76" s="303" customFormat="1" x14ac:dyDescent="0.25">
      <c r="A1852" s="275"/>
      <c r="B1852" s="275"/>
      <c r="C1852" s="275"/>
      <c r="D1852" s="275"/>
      <c r="E1852" s="275"/>
      <c r="F1852" s="275"/>
      <c r="V1852" s="304"/>
      <c r="W1852" s="304"/>
      <c r="AD1852" s="304"/>
      <c r="AE1852" s="304"/>
      <c r="AR1852" s="304"/>
      <c r="AS1852" s="304"/>
      <c r="AT1852" s="304"/>
      <c r="AU1852" s="304"/>
      <c r="AV1852" s="304"/>
      <c r="AW1852" s="304"/>
      <c r="AX1852" s="304"/>
      <c r="AY1852" s="304"/>
      <c r="AZ1852" s="304"/>
      <c r="BA1852" s="304"/>
      <c r="BB1852" s="304"/>
      <c r="BC1852" s="304"/>
      <c r="BK1852" s="305"/>
      <c r="BL1852" s="305"/>
      <c r="BM1852" s="305"/>
      <c r="BN1852" s="305"/>
      <c r="BO1852" s="305"/>
      <c r="BP1852" s="305"/>
      <c r="BQ1852" s="305"/>
      <c r="BR1852" s="305"/>
      <c r="BS1852" s="305"/>
      <c r="BT1852" s="305"/>
      <c r="BU1852" s="305"/>
      <c r="BV1852" s="305"/>
      <c r="BX1852" s="319"/>
    </row>
    <row r="1853" spans="1:76" s="303" customFormat="1" x14ac:dyDescent="0.25">
      <c r="A1853" s="275"/>
      <c r="B1853" s="275"/>
      <c r="C1853" s="275"/>
      <c r="D1853" s="275"/>
      <c r="E1853" s="275"/>
      <c r="F1853" s="275"/>
      <c r="V1853" s="304"/>
      <c r="W1853" s="304"/>
      <c r="AD1853" s="304"/>
      <c r="AE1853" s="304"/>
      <c r="AR1853" s="304"/>
      <c r="AS1853" s="304"/>
      <c r="AT1853" s="304"/>
      <c r="AU1853" s="304"/>
      <c r="AV1853" s="304"/>
      <c r="AW1853" s="304"/>
      <c r="AX1853" s="304"/>
      <c r="AY1853" s="304"/>
      <c r="AZ1853" s="304"/>
      <c r="BA1853" s="304"/>
      <c r="BB1853" s="304"/>
      <c r="BC1853" s="304"/>
      <c r="BK1853" s="305"/>
      <c r="BL1853" s="305"/>
      <c r="BM1853" s="305"/>
      <c r="BN1853" s="305"/>
      <c r="BO1853" s="305"/>
      <c r="BP1853" s="305"/>
      <c r="BQ1853" s="305"/>
      <c r="BR1853" s="305"/>
      <c r="BS1853" s="305"/>
      <c r="BT1853" s="305"/>
      <c r="BU1853" s="305"/>
      <c r="BV1853" s="305"/>
      <c r="BX1853" s="319"/>
    </row>
    <row r="1854" spans="1:76" s="303" customFormat="1" x14ac:dyDescent="0.25">
      <c r="A1854" s="275"/>
      <c r="B1854" s="275"/>
      <c r="C1854" s="275"/>
      <c r="D1854" s="275"/>
      <c r="E1854" s="275"/>
      <c r="F1854" s="275"/>
      <c r="V1854" s="304"/>
      <c r="W1854" s="304"/>
      <c r="AD1854" s="304"/>
      <c r="AE1854" s="304"/>
      <c r="AR1854" s="304"/>
      <c r="AS1854" s="304"/>
      <c r="AT1854" s="304"/>
      <c r="AU1854" s="304"/>
      <c r="AV1854" s="304"/>
      <c r="AW1854" s="304"/>
      <c r="AX1854" s="304"/>
      <c r="AY1854" s="304"/>
      <c r="AZ1854" s="304"/>
      <c r="BA1854" s="304"/>
      <c r="BB1854" s="304"/>
      <c r="BC1854" s="304"/>
      <c r="BK1854" s="305"/>
      <c r="BL1854" s="305"/>
      <c r="BM1854" s="305"/>
      <c r="BN1854" s="305"/>
      <c r="BO1854" s="305"/>
      <c r="BP1854" s="305"/>
      <c r="BQ1854" s="305"/>
      <c r="BR1854" s="305"/>
      <c r="BS1854" s="305"/>
      <c r="BT1854" s="305"/>
      <c r="BU1854" s="305"/>
      <c r="BV1854" s="305"/>
      <c r="BX1854" s="319"/>
    </row>
    <row r="1855" spans="1:76" s="303" customFormat="1" x14ac:dyDescent="0.25">
      <c r="A1855" s="275"/>
      <c r="B1855" s="275"/>
      <c r="C1855" s="275"/>
      <c r="D1855" s="275"/>
      <c r="E1855" s="275"/>
      <c r="F1855" s="275"/>
      <c r="V1855" s="304"/>
      <c r="W1855" s="304"/>
      <c r="AD1855" s="304"/>
      <c r="AE1855" s="304"/>
      <c r="AR1855" s="304"/>
      <c r="AS1855" s="304"/>
      <c r="AT1855" s="304"/>
      <c r="AU1855" s="304"/>
      <c r="AV1855" s="304"/>
      <c r="AW1855" s="304"/>
      <c r="AX1855" s="304"/>
      <c r="AY1855" s="304"/>
      <c r="AZ1855" s="304"/>
      <c r="BA1855" s="304"/>
      <c r="BB1855" s="304"/>
      <c r="BC1855" s="304"/>
      <c r="BK1855" s="305"/>
      <c r="BL1855" s="305"/>
      <c r="BM1855" s="305"/>
      <c r="BN1855" s="305"/>
      <c r="BO1855" s="305"/>
      <c r="BP1855" s="305"/>
      <c r="BQ1855" s="305"/>
      <c r="BR1855" s="305"/>
      <c r="BS1855" s="305"/>
      <c r="BT1855" s="305"/>
      <c r="BU1855" s="305"/>
      <c r="BV1855" s="305"/>
      <c r="BX1855" s="319"/>
    </row>
    <row r="1856" spans="1:76" s="303" customFormat="1" x14ac:dyDescent="0.25">
      <c r="A1856" s="275"/>
      <c r="B1856" s="275"/>
      <c r="C1856" s="275"/>
      <c r="D1856" s="275"/>
      <c r="E1856" s="275"/>
      <c r="F1856" s="275"/>
      <c r="V1856" s="304"/>
      <c r="W1856" s="304"/>
      <c r="AD1856" s="304"/>
      <c r="AE1856" s="304"/>
      <c r="AR1856" s="304"/>
      <c r="AS1856" s="304"/>
      <c r="AT1856" s="304"/>
      <c r="AU1856" s="304"/>
      <c r="AV1856" s="304"/>
      <c r="AW1856" s="304"/>
      <c r="AX1856" s="304"/>
      <c r="AY1856" s="304"/>
      <c r="AZ1856" s="304"/>
      <c r="BA1856" s="304"/>
      <c r="BB1856" s="304"/>
      <c r="BC1856" s="304"/>
      <c r="BK1856" s="305"/>
      <c r="BL1856" s="305"/>
      <c r="BM1856" s="305"/>
      <c r="BN1856" s="305"/>
      <c r="BO1856" s="305"/>
      <c r="BP1856" s="305"/>
      <c r="BQ1856" s="305"/>
      <c r="BR1856" s="305"/>
      <c r="BS1856" s="305"/>
      <c r="BT1856" s="305"/>
      <c r="BU1856" s="305"/>
      <c r="BV1856" s="305"/>
      <c r="BX1856" s="319"/>
    </row>
    <row r="1857" spans="1:76" s="303" customFormat="1" x14ac:dyDescent="0.25">
      <c r="A1857" s="275"/>
      <c r="B1857" s="275"/>
      <c r="C1857" s="275"/>
      <c r="D1857" s="275"/>
      <c r="E1857" s="275"/>
      <c r="F1857" s="275"/>
      <c r="V1857" s="304"/>
      <c r="W1857" s="304"/>
      <c r="AD1857" s="304"/>
      <c r="AE1857" s="304"/>
      <c r="AR1857" s="304"/>
      <c r="AS1857" s="304"/>
      <c r="AT1857" s="304"/>
      <c r="AU1857" s="304"/>
      <c r="AV1857" s="304"/>
      <c r="AW1857" s="304"/>
      <c r="AX1857" s="304"/>
      <c r="AY1857" s="304"/>
      <c r="AZ1857" s="304"/>
      <c r="BA1857" s="304"/>
      <c r="BB1857" s="304"/>
      <c r="BC1857" s="304"/>
      <c r="BK1857" s="305"/>
      <c r="BL1857" s="305"/>
      <c r="BM1857" s="305"/>
      <c r="BN1857" s="305"/>
      <c r="BO1857" s="305"/>
      <c r="BP1857" s="305"/>
      <c r="BQ1857" s="305"/>
      <c r="BR1857" s="305"/>
      <c r="BS1857" s="305"/>
      <c r="BT1857" s="305"/>
      <c r="BU1857" s="305"/>
      <c r="BV1857" s="305"/>
      <c r="BX1857" s="319"/>
    </row>
    <row r="1858" spans="1:76" s="303" customFormat="1" x14ac:dyDescent="0.25">
      <c r="A1858" s="275"/>
      <c r="B1858" s="275"/>
      <c r="C1858" s="275"/>
      <c r="D1858" s="275"/>
      <c r="E1858" s="275"/>
      <c r="F1858" s="275"/>
      <c r="V1858" s="304"/>
      <c r="W1858" s="304"/>
      <c r="AD1858" s="304"/>
      <c r="AE1858" s="304"/>
      <c r="AR1858" s="304"/>
      <c r="AS1858" s="304"/>
      <c r="AT1858" s="304"/>
      <c r="AU1858" s="304"/>
      <c r="AV1858" s="304"/>
      <c r="AW1858" s="304"/>
      <c r="AX1858" s="304"/>
      <c r="AY1858" s="304"/>
      <c r="AZ1858" s="304"/>
      <c r="BA1858" s="304"/>
      <c r="BB1858" s="304"/>
      <c r="BC1858" s="304"/>
      <c r="BK1858" s="305"/>
      <c r="BL1858" s="305"/>
      <c r="BM1858" s="305"/>
      <c r="BN1858" s="305"/>
      <c r="BO1858" s="305"/>
      <c r="BP1858" s="305"/>
      <c r="BQ1858" s="305"/>
      <c r="BR1858" s="305"/>
      <c r="BS1858" s="305"/>
      <c r="BT1858" s="305"/>
      <c r="BU1858" s="305"/>
      <c r="BV1858" s="305"/>
      <c r="BX1858" s="319"/>
    </row>
    <row r="1859" spans="1:76" s="303" customFormat="1" x14ac:dyDescent="0.25">
      <c r="A1859" s="275"/>
      <c r="B1859" s="275"/>
      <c r="C1859" s="275"/>
      <c r="D1859" s="275"/>
      <c r="E1859" s="275"/>
      <c r="F1859" s="275"/>
      <c r="V1859" s="304"/>
      <c r="W1859" s="304"/>
      <c r="AD1859" s="304"/>
      <c r="AE1859" s="304"/>
      <c r="AR1859" s="304"/>
      <c r="AS1859" s="304"/>
      <c r="AT1859" s="304"/>
      <c r="AU1859" s="304"/>
      <c r="AV1859" s="304"/>
      <c r="AW1859" s="304"/>
      <c r="AX1859" s="304"/>
      <c r="AY1859" s="304"/>
      <c r="AZ1859" s="304"/>
      <c r="BA1859" s="304"/>
      <c r="BB1859" s="304"/>
      <c r="BC1859" s="304"/>
      <c r="BK1859" s="305"/>
      <c r="BL1859" s="305"/>
      <c r="BM1859" s="305"/>
      <c r="BN1859" s="305"/>
      <c r="BO1859" s="305"/>
      <c r="BP1859" s="305"/>
      <c r="BQ1859" s="305"/>
      <c r="BR1859" s="305"/>
      <c r="BS1859" s="305"/>
      <c r="BT1859" s="305"/>
      <c r="BU1859" s="305"/>
      <c r="BV1859" s="305"/>
      <c r="BX1859" s="319"/>
    </row>
    <row r="1860" spans="1:76" s="303" customFormat="1" x14ac:dyDescent="0.25">
      <c r="A1860" s="275"/>
      <c r="B1860" s="275"/>
      <c r="C1860" s="275"/>
      <c r="D1860" s="275"/>
      <c r="E1860" s="275"/>
      <c r="F1860" s="275"/>
      <c r="V1860" s="304"/>
      <c r="W1860" s="304"/>
      <c r="AD1860" s="304"/>
      <c r="AE1860" s="304"/>
      <c r="AR1860" s="304"/>
      <c r="AS1860" s="304"/>
      <c r="AT1860" s="304"/>
      <c r="AU1860" s="304"/>
      <c r="AV1860" s="304"/>
      <c r="AW1860" s="304"/>
      <c r="AX1860" s="304"/>
      <c r="AY1860" s="304"/>
      <c r="AZ1860" s="304"/>
      <c r="BA1860" s="304"/>
      <c r="BB1860" s="304"/>
      <c r="BC1860" s="304"/>
      <c r="BK1860" s="305"/>
      <c r="BL1860" s="305"/>
      <c r="BM1860" s="305"/>
      <c r="BN1860" s="305"/>
      <c r="BO1860" s="305"/>
      <c r="BP1860" s="305"/>
      <c r="BQ1860" s="305"/>
      <c r="BR1860" s="305"/>
      <c r="BS1860" s="305"/>
      <c r="BT1860" s="305"/>
      <c r="BU1860" s="305"/>
      <c r="BV1860" s="305"/>
      <c r="BX1860" s="319"/>
    </row>
    <row r="1861" spans="1:76" s="303" customFormat="1" x14ac:dyDescent="0.25">
      <c r="A1861" s="275"/>
      <c r="B1861" s="275"/>
      <c r="C1861" s="275"/>
      <c r="D1861" s="275"/>
      <c r="E1861" s="275"/>
      <c r="F1861" s="275"/>
      <c r="V1861" s="304"/>
      <c r="W1861" s="304"/>
      <c r="AD1861" s="304"/>
      <c r="AE1861" s="304"/>
      <c r="AR1861" s="304"/>
      <c r="AS1861" s="304"/>
      <c r="AT1861" s="304"/>
      <c r="AU1861" s="304"/>
      <c r="AV1861" s="304"/>
      <c r="AW1861" s="304"/>
      <c r="AX1861" s="304"/>
      <c r="AY1861" s="304"/>
      <c r="AZ1861" s="304"/>
      <c r="BA1861" s="304"/>
      <c r="BB1861" s="304"/>
      <c r="BC1861" s="304"/>
      <c r="BK1861" s="305"/>
      <c r="BL1861" s="305"/>
      <c r="BM1861" s="305"/>
      <c r="BN1861" s="305"/>
      <c r="BO1861" s="305"/>
      <c r="BP1861" s="305"/>
      <c r="BQ1861" s="305"/>
      <c r="BR1861" s="305"/>
      <c r="BS1861" s="305"/>
      <c r="BT1861" s="305"/>
      <c r="BU1861" s="305"/>
      <c r="BV1861" s="305"/>
      <c r="BX1861" s="319"/>
    </row>
    <row r="1862" spans="1:76" s="303" customFormat="1" x14ac:dyDescent="0.25">
      <c r="A1862" s="275"/>
      <c r="B1862" s="275"/>
      <c r="C1862" s="275"/>
      <c r="D1862" s="275"/>
      <c r="E1862" s="275"/>
      <c r="F1862" s="275"/>
      <c r="V1862" s="304"/>
      <c r="W1862" s="304"/>
      <c r="AD1862" s="304"/>
      <c r="AE1862" s="304"/>
      <c r="AR1862" s="304"/>
      <c r="AS1862" s="304"/>
      <c r="AT1862" s="304"/>
      <c r="AU1862" s="304"/>
      <c r="AV1862" s="304"/>
      <c r="AW1862" s="304"/>
      <c r="AX1862" s="304"/>
      <c r="AY1862" s="304"/>
      <c r="AZ1862" s="304"/>
      <c r="BA1862" s="304"/>
      <c r="BB1862" s="304"/>
      <c r="BC1862" s="304"/>
      <c r="BK1862" s="305"/>
      <c r="BL1862" s="305"/>
      <c r="BM1862" s="305"/>
      <c r="BN1862" s="305"/>
      <c r="BO1862" s="305"/>
      <c r="BP1862" s="305"/>
      <c r="BQ1862" s="305"/>
      <c r="BR1862" s="305"/>
      <c r="BS1862" s="305"/>
      <c r="BT1862" s="305"/>
      <c r="BU1862" s="305"/>
      <c r="BV1862" s="305"/>
      <c r="BX1862" s="319"/>
    </row>
    <row r="1863" spans="1:76" s="303" customFormat="1" x14ac:dyDescent="0.25">
      <c r="A1863" s="275"/>
      <c r="B1863" s="275"/>
      <c r="C1863" s="275"/>
      <c r="D1863" s="275"/>
      <c r="E1863" s="275"/>
      <c r="F1863" s="275"/>
      <c r="V1863" s="304"/>
      <c r="W1863" s="304"/>
      <c r="AD1863" s="304"/>
      <c r="AE1863" s="304"/>
      <c r="AR1863" s="304"/>
      <c r="AS1863" s="304"/>
      <c r="AT1863" s="304"/>
      <c r="AU1863" s="304"/>
      <c r="AV1863" s="304"/>
      <c r="AW1863" s="304"/>
      <c r="AX1863" s="304"/>
      <c r="AY1863" s="304"/>
      <c r="AZ1863" s="304"/>
      <c r="BA1863" s="304"/>
      <c r="BB1863" s="304"/>
      <c r="BC1863" s="304"/>
      <c r="BK1863" s="305"/>
      <c r="BL1863" s="305"/>
      <c r="BM1863" s="305"/>
      <c r="BN1863" s="305"/>
      <c r="BO1863" s="305"/>
      <c r="BP1863" s="305"/>
      <c r="BQ1863" s="305"/>
      <c r="BR1863" s="305"/>
      <c r="BS1863" s="305"/>
      <c r="BT1863" s="305"/>
      <c r="BU1863" s="305"/>
      <c r="BV1863" s="305"/>
      <c r="BX1863" s="319"/>
    </row>
    <row r="1864" spans="1:76" s="303" customFormat="1" x14ac:dyDescent="0.25">
      <c r="A1864" s="275"/>
      <c r="B1864" s="275"/>
      <c r="C1864" s="275"/>
      <c r="D1864" s="275"/>
      <c r="E1864" s="275"/>
      <c r="F1864" s="275"/>
      <c r="V1864" s="304"/>
      <c r="W1864" s="304"/>
      <c r="AD1864" s="304"/>
      <c r="AE1864" s="304"/>
      <c r="AR1864" s="304"/>
      <c r="AS1864" s="304"/>
      <c r="AT1864" s="304"/>
      <c r="AU1864" s="304"/>
      <c r="AV1864" s="304"/>
      <c r="AW1864" s="304"/>
      <c r="AX1864" s="304"/>
      <c r="AY1864" s="304"/>
      <c r="AZ1864" s="304"/>
      <c r="BA1864" s="304"/>
      <c r="BB1864" s="304"/>
      <c r="BC1864" s="304"/>
      <c r="BK1864" s="305"/>
      <c r="BL1864" s="305"/>
      <c r="BM1864" s="305"/>
      <c r="BN1864" s="305"/>
      <c r="BO1864" s="305"/>
      <c r="BP1864" s="305"/>
      <c r="BQ1864" s="305"/>
      <c r="BR1864" s="305"/>
      <c r="BS1864" s="305"/>
      <c r="BT1864" s="305"/>
      <c r="BU1864" s="305"/>
      <c r="BV1864" s="305"/>
      <c r="BX1864" s="319"/>
    </row>
    <row r="1865" spans="1:76" s="303" customFormat="1" x14ac:dyDescent="0.25">
      <c r="A1865" s="275"/>
      <c r="B1865" s="275"/>
      <c r="C1865" s="275"/>
      <c r="D1865" s="275"/>
      <c r="E1865" s="275"/>
      <c r="F1865" s="275"/>
      <c r="V1865" s="304"/>
      <c r="W1865" s="304"/>
      <c r="AD1865" s="304"/>
      <c r="AE1865" s="304"/>
      <c r="AR1865" s="304"/>
      <c r="AS1865" s="304"/>
      <c r="AT1865" s="304"/>
      <c r="AU1865" s="304"/>
      <c r="AV1865" s="304"/>
      <c r="AW1865" s="304"/>
      <c r="AX1865" s="304"/>
      <c r="AY1865" s="304"/>
      <c r="AZ1865" s="304"/>
      <c r="BA1865" s="304"/>
      <c r="BB1865" s="304"/>
      <c r="BC1865" s="304"/>
      <c r="BK1865" s="305"/>
      <c r="BL1865" s="305"/>
      <c r="BM1865" s="305"/>
      <c r="BN1865" s="305"/>
      <c r="BO1865" s="305"/>
      <c r="BP1865" s="305"/>
      <c r="BQ1865" s="305"/>
      <c r="BR1865" s="305"/>
      <c r="BS1865" s="305"/>
      <c r="BT1865" s="305"/>
      <c r="BU1865" s="305"/>
      <c r="BV1865" s="305"/>
      <c r="BX1865" s="319"/>
    </row>
    <row r="1866" spans="1:76" s="303" customFormat="1" x14ac:dyDescent="0.25">
      <c r="A1866" s="275"/>
      <c r="B1866" s="275"/>
      <c r="C1866" s="275"/>
      <c r="D1866" s="275"/>
      <c r="E1866" s="275"/>
      <c r="F1866" s="275"/>
      <c r="V1866" s="304"/>
      <c r="W1866" s="304"/>
      <c r="AD1866" s="304"/>
      <c r="AE1866" s="304"/>
      <c r="AR1866" s="304"/>
      <c r="AS1866" s="304"/>
      <c r="AT1866" s="304"/>
      <c r="AU1866" s="304"/>
      <c r="AV1866" s="304"/>
      <c r="AW1866" s="304"/>
      <c r="AX1866" s="304"/>
      <c r="AY1866" s="304"/>
      <c r="AZ1866" s="304"/>
      <c r="BA1866" s="304"/>
      <c r="BB1866" s="304"/>
      <c r="BC1866" s="304"/>
      <c r="BK1866" s="305"/>
      <c r="BL1866" s="305"/>
      <c r="BM1866" s="305"/>
      <c r="BN1866" s="305"/>
      <c r="BO1866" s="305"/>
      <c r="BP1866" s="305"/>
      <c r="BQ1866" s="305"/>
      <c r="BR1866" s="305"/>
      <c r="BS1866" s="305"/>
      <c r="BT1866" s="305"/>
      <c r="BU1866" s="305"/>
      <c r="BV1866" s="305"/>
      <c r="BX1866" s="319"/>
    </row>
    <row r="1867" spans="1:76" s="303" customFormat="1" x14ac:dyDescent="0.25">
      <c r="A1867" s="275"/>
      <c r="B1867" s="275"/>
      <c r="C1867" s="275"/>
      <c r="D1867" s="275"/>
      <c r="E1867" s="275"/>
      <c r="F1867" s="275"/>
      <c r="V1867" s="304"/>
      <c r="W1867" s="304"/>
      <c r="AD1867" s="304"/>
      <c r="AE1867" s="304"/>
      <c r="AR1867" s="304"/>
      <c r="AS1867" s="304"/>
      <c r="AT1867" s="304"/>
      <c r="AU1867" s="304"/>
      <c r="AV1867" s="304"/>
      <c r="AW1867" s="304"/>
      <c r="AX1867" s="304"/>
      <c r="AY1867" s="304"/>
      <c r="AZ1867" s="304"/>
      <c r="BA1867" s="304"/>
      <c r="BB1867" s="304"/>
      <c r="BC1867" s="304"/>
      <c r="BK1867" s="305"/>
      <c r="BL1867" s="305"/>
      <c r="BM1867" s="305"/>
      <c r="BN1867" s="305"/>
      <c r="BO1867" s="305"/>
      <c r="BP1867" s="305"/>
      <c r="BQ1867" s="305"/>
      <c r="BR1867" s="305"/>
      <c r="BS1867" s="305"/>
      <c r="BT1867" s="305"/>
      <c r="BU1867" s="305"/>
      <c r="BV1867" s="305"/>
      <c r="BX1867" s="319"/>
    </row>
    <row r="1868" spans="1:76" s="303" customFormat="1" x14ac:dyDescent="0.25">
      <c r="A1868" s="275"/>
      <c r="B1868" s="275"/>
      <c r="C1868" s="275"/>
      <c r="D1868" s="275"/>
      <c r="E1868" s="275"/>
      <c r="F1868" s="275"/>
      <c r="V1868" s="304"/>
      <c r="W1868" s="304"/>
      <c r="AD1868" s="304"/>
      <c r="AE1868" s="304"/>
      <c r="AR1868" s="304"/>
      <c r="AS1868" s="304"/>
      <c r="AT1868" s="304"/>
      <c r="AU1868" s="304"/>
      <c r="AV1868" s="304"/>
      <c r="AW1868" s="304"/>
      <c r="AX1868" s="304"/>
      <c r="AY1868" s="304"/>
      <c r="AZ1868" s="304"/>
      <c r="BA1868" s="304"/>
      <c r="BB1868" s="304"/>
      <c r="BC1868" s="304"/>
      <c r="BK1868" s="305"/>
      <c r="BL1868" s="305"/>
      <c r="BM1868" s="305"/>
      <c r="BN1868" s="305"/>
      <c r="BO1868" s="305"/>
      <c r="BP1868" s="305"/>
      <c r="BQ1868" s="305"/>
      <c r="BR1868" s="305"/>
      <c r="BS1868" s="305"/>
      <c r="BT1868" s="305"/>
      <c r="BU1868" s="305"/>
      <c r="BV1868" s="305"/>
      <c r="BX1868" s="319"/>
    </row>
    <row r="1869" spans="1:76" s="303" customFormat="1" x14ac:dyDescent="0.25">
      <c r="A1869" s="275"/>
      <c r="B1869" s="275"/>
      <c r="C1869" s="275"/>
      <c r="D1869" s="275"/>
      <c r="E1869" s="275"/>
      <c r="F1869" s="275"/>
      <c r="V1869" s="304"/>
      <c r="W1869" s="304"/>
      <c r="AD1869" s="304"/>
      <c r="AE1869" s="304"/>
      <c r="AR1869" s="304"/>
      <c r="AS1869" s="304"/>
      <c r="AT1869" s="304"/>
      <c r="AU1869" s="304"/>
      <c r="AV1869" s="304"/>
      <c r="AW1869" s="304"/>
      <c r="AX1869" s="304"/>
      <c r="AY1869" s="304"/>
      <c r="AZ1869" s="304"/>
      <c r="BA1869" s="304"/>
      <c r="BB1869" s="304"/>
      <c r="BC1869" s="304"/>
      <c r="BK1869" s="305"/>
      <c r="BL1869" s="305"/>
      <c r="BM1869" s="305"/>
      <c r="BN1869" s="305"/>
      <c r="BO1869" s="305"/>
      <c r="BP1869" s="305"/>
      <c r="BQ1869" s="305"/>
      <c r="BR1869" s="305"/>
      <c r="BS1869" s="305"/>
      <c r="BT1869" s="305"/>
      <c r="BU1869" s="305"/>
      <c r="BV1869" s="305"/>
      <c r="BX1869" s="319"/>
    </row>
    <row r="1870" spans="1:76" s="303" customFormat="1" x14ac:dyDescent="0.25">
      <c r="A1870" s="275"/>
      <c r="B1870" s="275"/>
      <c r="C1870" s="275"/>
      <c r="D1870" s="275"/>
      <c r="E1870" s="275"/>
      <c r="F1870" s="275"/>
      <c r="V1870" s="304"/>
      <c r="W1870" s="304"/>
      <c r="AD1870" s="304"/>
      <c r="AE1870" s="304"/>
      <c r="AR1870" s="304"/>
      <c r="AS1870" s="304"/>
      <c r="AT1870" s="304"/>
      <c r="AU1870" s="304"/>
      <c r="AV1870" s="304"/>
      <c r="AW1870" s="304"/>
      <c r="AX1870" s="304"/>
      <c r="AY1870" s="304"/>
      <c r="AZ1870" s="304"/>
      <c r="BA1870" s="304"/>
      <c r="BB1870" s="304"/>
      <c r="BC1870" s="304"/>
      <c r="BK1870" s="305"/>
      <c r="BL1870" s="305"/>
      <c r="BM1870" s="305"/>
      <c r="BN1870" s="305"/>
      <c r="BO1870" s="305"/>
      <c r="BP1870" s="305"/>
      <c r="BQ1870" s="305"/>
      <c r="BR1870" s="305"/>
      <c r="BS1870" s="305"/>
      <c r="BT1870" s="305"/>
      <c r="BU1870" s="305"/>
      <c r="BV1870" s="305"/>
      <c r="BX1870" s="319"/>
    </row>
    <row r="1871" spans="1:76" s="303" customFormat="1" x14ac:dyDescent="0.25">
      <c r="A1871" s="275"/>
      <c r="B1871" s="275"/>
      <c r="C1871" s="275"/>
      <c r="D1871" s="275"/>
      <c r="E1871" s="275"/>
      <c r="F1871" s="275"/>
      <c r="V1871" s="304"/>
      <c r="W1871" s="304"/>
      <c r="AD1871" s="304"/>
      <c r="AE1871" s="304"/>
      <c r="AR1871" s="304"/>
      <c r="AS1871" s="304"/>
      <c r="AT1871" s="304"/>
      <c r="AU1871" s="304"/>
      <c r="AV1871" s="304"/>
      <c r="AW1871" s="304"/>
      <c r="AX1871" s="304"/>
      <c r="AY1871" s="304"/>
      <c r="AZ1871" s="304"/>
      <c r="BA1871" s="304"/>
      <c r="BB1871" s="304"/>
      <c r="BC1871" s="304"/>
      <c r="BK1871" s="305"/>
      <c r="BL1871" s="305"/>
      <c r="BM1871" s="305"/>
      <c r="BN1871" s="305"/>
      <c r="BO1871" s="305"/>
      <c r="BP1871" s="305"/>
      <c r="BQ1871" s="305"/>
      <c r="BR1871" s="305"/>
      <c r="BS1871" s="305"/>
      <c r="BT1871" s="305"/>
      <c r="BU1871" s="305"/>
      <c r="BV1871" s="305"/>
      <c r="BX1871" s="319"/>
    </row>
    <row r="1872" spans="1:76" s="303" customFormat="1" x14ac:dyDescent="0.25">
      <c r="A1872" s="275"/>
      <c r="B1872" s="275"/>
      <c r="C1872" s="275"/>
      <c r="D1872" s="275"/>
      <c r="E1872" s="275"/>
      <c r="F1872" s="275"/>
      <c r="V1872" s="304"/>
      <c r="W1872" s="304"/>
      <c r="AD1872" s="304"/>
      <c r="AE1872" s="304"/>
      <c r="AR1872" s="304"/>
      <c r="AS1872" s="304"/>
      <c r="AT1872" s="304"/>
      <c r="AU1872" s="304"/>
      <c r="AV1872" s="304"/>
      <c r="AW1872" s="304"/>
      <c r="AX1872" s="304"/>
      <c r="AY1872" s="304"/>
      <c r="AZ1872" s="304"/>
      <c r="BA1872" s="304"/>
      <c r="BB1872" s="304"/>
      <c r="BC1872" s="304"/>
      <c r="BK1872" s="305"/>
      <c r="BL1872" s="305"/>
      <c r="BM1872" s="305"/>
      <c r="BN1872" s="305"/>
      <c r="BO1872" s="305"/>
      <c r="BP1872" s="305"/>
      <c r="BQ1872" s="305"/>
      <c r="BR1872" s="305"/>
      <c r="BS1872" s="305"/>
      <c r="BT1872" s="305"/>
      <c r="BU1872" s="305"/>
      <c r="BV1872" s="305"/>
      <c r="BX1872" s="319"/>
    </row>
    <row r="1873" spans="1:76" s="303" customFormat="1" x14ac:dyDescent="0.25">
      <c r="A1873" s="275"/>
      <c r="B1873" s="275"/>
      <c r="C1873" s="275"/>
      <c r="D1873" s="275"/>
      <c r="E1873" s="275"/>
      <c r="F1873" s="275"/>
      <c r="V1873" s="304"/>
      <c r="W1873" s="304"/>
      <c r="AD1873" s="304"/>
      <c r="AE1873" s="304"/>
      <c r="AR1873" s="304"/>
      <c r="AS1873" s="304"/>
      <c r="AT1873" s="304"/>
      <c r="AU1873" s="304"/>
      <c r="AV1873" s="304"/>
      <c r="AW1873" s="304"/>
      <c r="AX1873" s="304"/>
      <c r="AY1873" s="304"/>
      <c r="AZ1873" s="304"/>
      <c r="BA1873" s="304"/>
      <c r="BB1873" s="304"/>
      <c r="BC1873" s="304"/>
      <c r="BK1873" s="305"/>
      <c r="BL1873" s="305"/>
      <c r="BM1873" s="305"/>
      <c r="BN1873" s="305"/>
      <c r="BO1873" s="305"/>
      <c r="BP1873" s="305"/>
      <c r="BQ1873" s="305"/>
      <c r="BR1873" s="305"/>
      <c r="BS1873" s="305"/>
      <c r="BT1873" s="305"/>
      <c r="BU1873" s="305"/>
      <c r="BV1873" s="305"/>
      <c r="BX1873" s="319"/>
    </row>
    <row r="1874" spans="1:76" s="303" customFormat="1" x14ac:dyDescent="0.25">
      <c r="A1874" s="275"/>
      <c r="B1874" s="275"/>
      <c r="C1874" s="275"/>
      <c r="D1874" s="275"/>
      <c r="E1874" s="275"/>
      <c r="F1874" s="275"/>
      <c r="V1874" s="304"/>
      <c r="W1874" s="304"/>
      <c r="AD1874" s="304"/>
      <c r="AE1874" s="304"/>
      <c r="AR1874" s="304"/>
      <c r="AS1874" s="304"/>
      <c r="AT1874" s="304"/>
      <c r="AU1874" s="304"/>
      <c r="AV1874" s="304"/>
      <c r="AW1874" s="304"/>
      <c r="AX1874" s="304"/>
      <c r="AY1874" s="304"/>
      <c r="AZ1874" s="304"/>
      <c r="BA1874" s="304"/>
      <c r="BB1874" s="304"/>
      <c r="BC1874" s="304"/>
      <c r="BK1874" s="305"/>
      <c r="BL1874" s="305"/>
      <c r="BM1874" s="305"/>
      <c r="BN1874" s="305"/>
      <c r="BO1874" s="305"/>
      <c r="BP1874" s="305"/>
      <c r="BQ1874" s="305"/>
      <c r="BR1874" s="305"/>
      <c r="BS1874" s="305"/>
      <c r="BT1874" s="305"/>
      <c r="BU1874" s="305"/>
      <c r="BV1874" s="305"/>
      <c r="BX1874" s="319"/>
    </row>
    <row r="1875" spans="1:76" s="303" customFormat="1" x14ac:dyDescent="0.25">
      <c r="A1875" s="275"/>
      <c r="B1875" s="275"/>
      <c r="C1875" s="275"/>
      <c r="D1875" s="275"/>
      <c r="E1875" s="275"/>
      <c r="F1875" s="275"/>
      <c r="V1875" s="304"/>
      <c r="W1875" s="304"/>
      <c r="AD1875" s="304"/>
      <c r="AE1875" s="304"/>
      <c r="AR1875" s="304"/>
      <c r="AS1875" s="304"/>
      <c r="AT1875" s="304"/>
      <c r="AU1875" s="304"/>
      <c r="AV1875" s="304"/>
      <c r="AW1875" s="304"/>
      <c r="AX1875" s="304"/>
      <c r="AY1875" s="304"/>
      <c r="AZ1875" s="304"/>
      <c r="BA1875" s="304"/>
      <c r="BB1875" s="304"/>
      <c r="BC1875" s="304"/>
      <c r="BK1875" s="305"/>
      <c r="BL1875" s="305"/>
      <c r="BM1875" s="305"/>
      <c r="BN1875" s="305"/>
      <c r="BO1875" s="305"/>
      <c r="BP1875" s="305"/>
      <c r="BQ1875" s="305"/>
      <c r="BR1875" s="305"/>
      <c r="BS1875" s="305"/>
      <c r="BT1875" s="305"/>
      <c r="BU1875" s="305"/>
      <c r="BV1875" s="305"/>
      <c r="BX1875" s="319"/>
    </row>
    <row r="1876" spans="1:76" s="303" customFormat="1" x14ac:dyDescent="0.25">
      <c r="A1876" s="275"/>
      <c r="B1876" s="275"/>
      <c r="C1876" s="275"/>
      <c r="D1876" s="275"/>
      <c r="E1876" s="275"/>
      <c r="F1876" s="275"/>
      <c r="V1876" s="304"/>
      <c r="W1876" s="304"/>
      <c r="AD1876" s="304"/>
      <c r="AE1876" s="304"/>
      <c r="AR1876" s="304"/>
      <c r="AS1876" s="304"/>
      <c r="AT1876" s="304"/>
      <c r="AU1876" s="304"/>
      <c r="AV1876" s="304"/>
      <c r="AW1876" s="304"/>
      <c r="AX1876" s="304"/>
      <c r="AY1876" s="304"/>
      <c r="AZ1876" s="304"/>
      <c r="BA1876" s="304"/>
      <c r="BB1876" s="304"/>
      <c r="BC1876" s="304"/>
      <c r="BK1876" s="305"/>
      <c r="BL1876" s="305"/>
      <c r="BM1876" s="305"/>
      <c r="BN1876" s="305"/>
      <c r="BO1876" s="305"/>
      <c r="BP1876" s="305"/>
      <c r="BQ1876" s="305"/>
      <c r="BR1876" s="305"/>
      <c r="BS1876" s="305"/>
      <c r="BT1876" s="305"/>
      <c r="BU1876" s="305"/>
      <c r="BV1876" s="305"/>
      <c r="BX1876" s="319"/>
    </row>
    <row r="1877" spans="1:76" s="303" customFormat="1" x14ac:dyDescent="0.25">
      <c r="A1877" s="275"/>
      <c r="B1877" s="275"/>
      <c r="C1877" s="275"/>
      <c r="D1877" s="275"/>
      <c r="E1877" s="275"/>
      <c r="F1877" s="275"/>
      <c r="V1877" s="304"/>
      <c r="W1877" s="304"/>
      <c r="AD1877" s="304"/>
      <c r="AE1877" s="304"/>
      <c r="AR1877" s="304"/>
      <c r="AS1877" s="304"/>
      <c r="AT1877" s="304"/>
      <c r="AU1877" s="304"/>
      <c r="AV1877" s="304"/>
      <c r="AW1877" s="304"/>
      <c r="AX1877" s="304"/>
      <c r="AY1877" s="304"/>
      <c r="AZ1877" s="304"/>
      <c r="BA1877" s="304"/>
      <c r="BB1877" s="304"/>
      <c r="BC1877" s="304"/>
      <c r="BK1877" s="305"/>
      <c r="BL1877" s="305"/>
      <c r="BM1877" s="305"/>
      <c r="BN1877" s="305"/>
      <c r="BO1877" s="305"/>
      <c r="BP1877" s="305"/>
      <c r="BQ1877" s="305"/>
      <c r="BR1877" s="305"/>
      <c r="BS1877" s="305"/>
      <c r="BT1877" s="305"/>
      <c r="BU1877" s="305"/>
      <c r="BV1877" s="305"/>
      <c r="BX1877" s="319"/>
    </row>
    <row r="1878" spans="1:76" s="303" customFormat="1" x14ac:dyDescent="0.25">
      <c r="A1878" s="275"/>
      <c r="B1878" s="275"/>
      <c r="C1878" s="275"/>
      <c r="D1878" s="275"/>
      <c r="E1878" s="275"/>
      <c r="F1878" s="275"/>
      <c r="V1878" s="304"/>
      <c r="W1878" s="304"/>
      <c r="AD1878" s="304"/>
      <c r="AE1878" s="304"/>
      <c r="AR1878" s="304"/>
      <c r="AS1878" s="304"/>
      <c r="AT1878" s="304"/>
      <c r="AU1878" s="304"/>
      <c r="AV1878" s="304"/>
      <c r="AW1878" s="304"/>
      <c r="AX1878" s="304"/>
      <c r="AY1878" s="304"/>
      <c r="AZ1878" s="304"/>
      <c r="BA1878" s="304"/>
      <c r="BB1878" s="304"/>
      <c r="BC1878" s="304"/>
      <c r="BK1878" s="305"/>
      <c r="BL1878" s="305"/>
      <c r="BM1878" s="305"/>
      <c r="BN1878" s="305"/>
      <c r="BO1878" s="305"/>
      <c r="BP1878" s="305"/>
      <c r="BQ1878" s="305"/>
      <c r="BR1878" s="305"/>
      <c r="BS1878" s="305"/>
      <c r="BT1878" s="305"/>
      <c r="BU1878" s="305"/>
      <c r="BV1878" s="305"/>
      <c r="BX1878" s="319"/>
    </row>
    <row r="1879" spans="1:76" s="303" customFormat="1" x14ac:dyDescent="0.25">
      <c r="A1879" s="275"/>
      <c r="B1879" s="275"/>
      <c r="C1879" s="275"/>
      <c r="D1879" s="275"/>
      <c r="E1879" s="275"/>
      <c r="F1879" s="275"/>
      <c r="V1879" s="304"/>
      <c r="W1879" s="304"/>
      <c r="AD1879" s="304"/>
      <c r="AE1879" s="304"/>
      <c r="AR1879" s="304"/>
      <c r="AS1879" s="304"/>
      <c r="AT1879" s="304"/>
      <c r="AU1879" s="304"/>
      <c r="AV1879" s="304"/>
      <c r="AW1879" s="304"/>
      <c r="AX1879" s="304"/>
      <c r="AY1879" s="304"/>
      <c r="AZ1879" s="304"/>
      <c r="BA1879" s="304"/>
      <c r="BB1879" s="304"/>
      <c r="BC1879" s="304"/>
      <c r="BK1879" s="305"/>
      <c r="BL1879" s="305"/>
      <c r="BM1879" s="305"/>
      <c r="BN1879" s="305"/>
      <c r="BO1879" s="305"/>
      <c r="BP1879" s="305"/>
      <c r="BQ1879" s="305"/>
      <c r="BR1879" s="305"/>
      <c r="BS1879" s="305"/>
      <c r="BT1879" s="305"/>
      <c r="BU1879" s="305"/>
      <c r="BV1879" s="305"/>
      <c r="BX1879" s="319"/>
    </row>
    <row r="1880" spans="1:76" s="303" customFormat="1" x14ac:dyDescent="0.25">
      <c r="A1880" s="275"/>
      <c r="B1880" s="275"/>
      <c r="C1880" s="275"/>
      <c r="D1880" s="275"/>
      <c r="E1880" s="275"/>
      <c r="F1880" s="275"/>
      <c r="V1880" s="304"/>
      <c r="W1880" s="304"/>
      <c r="AD1880" s="304"/>
      <c r="AE1880" s="304"/>
      <c r="AR1880" s="304"/>
      <c r="AS1880" s="304"/>
      <c r="AT1880" s="304"/>
      <c r="AU1880" s="304"/>
      <c r="AV1880" s="304"/>
      <c r="AW1880" s="304"/>
      <c r="AX1880" s="304"/>
      <c r="AY1880" s="304"/>
      <c r="AZ1880" s="304"/>
      <c r="BA1880" s="304"/>
      <c r="BB1880" s="304"/>
      <c r="BC1880" s="304"/>
      <c r="BK1880" s="305"/>
      <c r="BL1880" s="305"/>
      <c r="BM1880" s="305"/>
      <c r="BN1880" s="305"/>
      <c r="BO1880" s="305"/>
      <c r="BP1880" s="305"/>
      <c r="BQ1880" s="305"/>
      <c r="BR1880" s="305"/>
      <c r="BS1880" s="305"/>
      <c r="BT1880" s="305"/>
      <c r="BU1880" s="305"/>
      <c r="BV1880" s="305"/>
      <c r="BX1880" s="319"/>
    </row>
    <row r="1881" spans="1:76" s="303" customFormat="1" x14ac:dyDescent="0.25">
      <c r="A1881" s="275"/>
      <c r="B1881" s="275"/>
      <c r="C1881" s="275"/>
      <c r="D1881" s="275"/>
      <c r="E1881" s="275"/>
      <c r="F1881" s="275"/>
      <c r="V1881" s="304"/>
      <c r="W1881" s="304"/>
      <c r="AD1881" s="304"/>
      <c r="AE1881" s="304"/>
      <c r="AR1881" s="304"/>
      <c r="AS1881" s="304"/>
      <c r="AT1881" s="304"/>
      <c r="AU1881" s="304"/>
      <c r="AV1881" s="304"/>
      <c r="AW1881" s="304"/>
      <c r="AX1881" s="304"/>
      <c r="AY1881" s="304"/>
      <c r="AZ1881" s="304"/>
      <c r="BA1881" s="304"/>
      <c r="BB1881" s="304"/>
      <c r="BC1881" s="304"/>
      <c r="BK1881" s="305"/>
      <c r="BL1881" s="305"/>
      <c r="BM1881" s="305"/>
      <c r="BN1881" s="305"/>
      <c r="BO1881" s="305"/>
      <c r="BP1881" s="305"/>
      <c r="BQ1881" s="305"/>
      <c r="BR1881" s="305"/>
      <c r="BS1881" s="305"/>
      <c r="BT1881" s="305"/>
      <c r="BU1881" s="305"/>
      <c r="BV1881" s="305"/>
      <c r="BX1881" s="319"/>
    </row>
    <row r="1882" spans="1:76" s="303" customFormat="1" x14ac:dyDescent="0.25">
      <c r="A1882" s="275"/>
      <c r="B1882" s="275"/>
      <c r="C1882" s="275"/>
      <c r="D1882" s="275"/>
      <c r="E1882" s="275"/>
      <c r="F1882" s="275"/>
      <c r="V1882" s="304"/>
      <c r="W1882" s="304"/>
      <c r="AD1882" s="304"/>
      <c r="AE1882" s="304"/>
      <c r="AR1882" s="304"/>
      <c r="AS1882" s="304"/>
      <c r="AT1882" s="304"/>
      <c r="AU1882" s="304"/>
      <c r="AV1882" s="304"/>
      <c r="AW1882" s="304"/>
      <c r="AX1882" s="304"/>
      <c r="AY1882" s="304"/>
      <c r="AZ1882" s="304"/>
      <c r="BA1882" s="304"/>
      <c r="BB1882" s="304"/>
      <c r="BC1882" s="304"/>
      <c r="BK1882" s="305"/>
      <c r="BL1882" s="305"/>
      <c r="BM1882" s="305"/>
      <c r="BN1882" s="305"/>
      <c r="BO1882" s="305"/>
      <c r="BP1882" s="305"/>
      <c r="BQ1882" s="305"/>
      <c r="BR1882" s="305"/>
      <c r="BS1882" s="305"/>
      <c r="BT1882" s="305"/>
      <c r="BU1882" s="305"/>
      <c r="BV1882" s="305"/>
      <c r="BX1882" s="319"/>
    </row>
    <row r="1883" spans="1:76" s="303" customFormat="1" x14ac:dyDescent="0.25">
      <c r="A1883" s="275"/>
      <c r="B1883" s="275"/>
      <c r="C1883" s="275"/>
      <c r="D1883" s="275"/>
      <c r="E1883" s="275"/>
      <c r="F1883" s="275"/>
      <c r="V1883" s="304"/>
      <c r="W1883" s="304"/>
      <c r="AD1883" s="304"/>
      <c r="AE1883" s="304"/>
      <c r="AR1883" s="304"/>
      <c r="AS1883" s="304"/>
      <c r="AT1883" s="304"/>
      <c r="AU1883" s="304"/>
      <c r="AV1883" s="304"/>
      <c r="AW1883" s="304"/>
      <c r="AX1883" s="304"/>
      <c r="AY1883" s="304"/>
      <c r="AZ1883" s="304"/>
      <c r="BA1883" s="304"/>
      <c r="BB1883" s="304"/>
      <c r="BC1883" s="304"/>
      <c r="BK1883" s="305"/>
      <c r="BL1883" s="305"/>
      <c r="BM1883" s="305"/>
      <c r="BN1883" s="305"/>
      <c r="BO1883" s="305"/>
      <c r="BP1883" s="305"/>
      <c r="BQ1883" s="305"/>
      <c r="BR1883" s="305"/>
      <c r="BS1883" s="305"/>
      <c r="BT1883" s="305"/>
      <c r="BU1883" s="305"/>
      <c r="BV1883" s="305"/>
      <c r="BX1883" s="319"/>
    </row>
    <row r="1884" spans="1:76" s="303" customFormat="1" x14ac:dyDescent="0.25">
      <c r="A1884" s="275"/>
      <c r="B1884" s="275"/>
      <c r="C1884" s="275"/>
      <c r="D1884" s="275"/>
      <c r="E1884" s="275"/>
      <c r="F1884" s="275"/>
      <c r="V1884" s="304"/>
      <c r="W1884" s="304"/>
      <c r="AD1884" s="304"/>
      <c r="AE1884" s="304"/>
      <c r="AR1884" s="304"/>
      <c r="AS1884" s="304"/>
      <c r="AT1884" s="304"/>
      <c r="AU1884" s="304"/>
      <c r="AV1884" s="304"/>
      <c r="AW1884" s="304"/>
      <c r="AX1884" s="304"/>
      <c r="AY1884" s="304"/>
      <c r="AZ1884" s="304"/>
      <c r="BA1884" s="304"/>
      <c r="BB1884" s="304"/>
      <c r="BC1884" s="304"/>
      <c r="BK1884" s="305"/>
      <c r="BL1884" s="305"/>
      <c r="BM1884" s="305"/>
      <c r="BN1884" s="305"/>
      <c r="BO1884" s="305"/>
      <c r="BP1884" s="305"/>
      <c r="BQ1884" s="305"/>
      <c r="BR1884" s="305"/>
      <c r="BS1884" s="305"/>
      <c r="BT1884" s="305"/>
      <c r="BU1884" s="305"/>
      <c r="BV1884" s="305"/>
      <c r="BX1884" s="319"/>
    </row>
    <row r="1885" spans="1:76" s="303" customFormat="1" x14ac:dyDescent="0.25">
      <c r="A1885" s="275"/>
      <c r="B1885" s="275"/>
      <c r="C1885" s="275"/>
      <c r="D1885" s="275"/>
      <c r="E1885" s="275"/>
      <c r="F1885" s="275"/>
      <c r="V1885" s="304"/>
      <c r="W1885" s="304"/>
      <c r="AD1885" s="304"/>
      <c r="AE1885" s="304"/>
      <c r="AR1885" s="304"/>
      <c r="AS1885" s="304"/>
      <c r="AT1885" s="304"/>
      <c r="AU1885" s="304"/>
      <c r="AV1885" s="304"/>
      <c r="AW1885" s="304"/>
      <c r="AX1885" s="304"/>
      <c r="AY1885" s="304"/>
      <c r="AZ1885" s="304"/>
      <c r="BA1885" s="304"/>
      <c r="BB1885" s="304"/>
      <c r="BC1885" s="304"/>
      <c r="BK1885" s="305"/>
      <c r="BL1885" s="305"/>
      <c r="BM1885" s="305"/>
      <c r="BN1885" s="305"/>
      <c r="BO1885" s="305"/>
      <c r="BP1885" s="305"/>
      <c r="BQ1885" s="305"/>
      <c r="BR1885" s="305"/>
      <c r="BS1885" s="305"/>
      <c r="BT1885" s="305"/>
      <c r="BU1885" s="305"/>
      <c r="BV1885" s="305"/>
      <c r="BX1885" s="319"/>
    </row>
    <row r="1886" spans="1:76" s="303" customFormat="1" x14ac:dyDescent="0.25">
      <c r="A1886" s="275"/>
      <c r="B1886" s="275"/>
      <c r="C1886" s="275"/>
      <c r="D1886" s="275"/>
      <c r="E1886" s="275"/>
      <c r="F1886" s="275"/>
      <c r="V1886" s="304"/>
      <c r="W1886" s="304"/>
      <c r="AD1886" s="304"/>
      <c r="AE1886" s="304"/>
      <c r="AR1886" s="304"/>
      <c r="AS1886" s="304"/>
      <c r="AT1886" s="304"/>
      <c r="AU1886" s="304"/>
      <c r="AV1886" s="304"/>
      <c r="AW1886" s="304"/>
      <c r="AX1886" s="304"/>
      <c r="AY1886" s="304"/>
      <c r="AZ1886" s="304"/>
      <c r="BA1886" s="304"/>
      <c r="BB1886" s="304"/>
      <c r="BC1886" s="304"/>
      <c r="BK1886" s="305"/>
      <c r="BL1886" s="305"/>
      <c r="BM1886" s="305"/>
      <c r="BN1886" s="305"/>
      <c r="BO1886" s="305"/>
      <c r="BP1886" s="305"/>
      <c r="BQ1886" s="305"/>
      <c r="BR1886" s="305"/>
      <c r="BS1886" s="305"/>
      <c r="BT1886" s="305"/>
      <c r="BU1886" s="305"/>
      <c r="BV1886" s="305"/>
      <c r="BX1886" s="319"/>
    </row>
    <row r="1887" spans="1:76" s="303" customFormat="1" x14ac:dyDescent="0.25">
      <c r="A1887" s="275"/>
      <c r="B1887" s="275"/>
      <c r="C1887" s="275"/>
      <c r="D1887" s="275"/>
      <c r="E1887" s="275"/>
      <c r="F1887" s="275"/>
      <c r="V1887" s="304"/>
      <c r="W1887" s="304"/>
      <c r="AD1887" s="304"/>
      <c r="AE1887" s="304"/>
      <c r="AR1887" s="304"/>
      <c r="AS1887" s="304"/>
      <c r="AT1887" s="304"/>
      <c r="AU1887" s="304"/>
      <c r="AV1887" s="304"/>
      <c r="AW1887" s="304"/>
      <c r="AX1887" s="304"/>
      <c r="AY1887" s="304"/>
      <c r="AZ1887" s="304"/>
      <c r="BA1887" s="304"/>
      <c r="BB1887" s="304"/>
      <c r="BC1887" s="304"/>
      <c r="BK1887" s="305"/>
      <c r="BL1887" s="305"/>
      <c r="BM1887" s="305"/>
      <c r="BN1887" s="305"/>
      <c r="BO1887" s="305"/>
      <c r="BP1887" s="305"/>
      <c r="BQ1887" s="305"/>
      <c r="BR1887" s="305"/>
      <c r="BS1887" s="305"/>
      <c r="BT1887" s="305"/>
      <c r="BU1887" s="305"/>
      <c r="BV1887" s="305"/>
      <c r="BX1887" s="319"/>
    </row>
    <row r="1888" spans="1:76" s="303" customFormat="1" x14ac:dyDescent="0.25">
      <c r="A1888" s="275"/>
      <c r="B1888" s="275"/>
      <c r="C1888" s="275"/>
      <c r="D1888" s="275"/>
      <c r="E1888" s="275"/>
      <c r="F1888" s="275"/>
      <c r="V1888" s="304"/>
      <c r="W1888" s="304"/>
      <c r="AD1888" s="304"/>
      <c r="AE1888" s="304"/>
      <c r="AR1888" s="304"/>
      <c r="AS1888" s="304"/>
      <c r="AT1888" s="304"/>
      <c r="AU1888" s="304"/>
      <c r="AV1888" s="304"/>
      <c r="AW1888" s="304"/>
      <c r="AX1888" s="304"/>
      <c r="AY1888" s="304"/>
      <c r="AZ1888" s="304"/>
      <c r="BA1888" s="304"/>
      <c r="BB1888" s="304"/>
      <c r="BC1888" s="304"/>
      <c r="BK1888" s="305"/>
      <c r="BL1888" s="305"/>
      <c r="BM1888" s="305"/>
      <c r="BN1888" s="305"/>
      <c r="BO1888" s="305"/>
      <c r="BP1888" s="305"/>
      <c r="BQ1888" s="305"/>
      <c r="BR1888" s="305"/>
      <c r="BS1888" s="305"/>
      <c r="BT1888" s="305"/>
      <c r="BU1888" s="305"/>
      <c r="BV1888" s="305"/>
      <c r="BX1888" s="319"/>
    </row>
    <row r="1889" spans="1:76" s="303" customFormat="1" x14ac:dyDescent="0.25">
      <c r="A1889" s="275"/>
      <c r="B1889" s="275"/>
      <c r="C1889" s="275"/>
      <c r="D1889" s="275"/>
      <c r="E1889" s="275"/>
      <c r="F1889" s="275"/>
      <c r="V1889" s="304"/>
      <c r="W1889" s="304"/>
      <c r="AD1889" s="304"/>
      <c r="AE1889" s="304"/>
      <c r="AR1889" s="304"/>
      <c r="AS1889" s="304"/>
      <c r="AT1889" s="304"/>
      <c r="AU1889" s="304"/>
      <c r="AV1889" s="304"/>
      <c r="AW1889" s="304"/>
      <c r="AX1889" s="304"/>
      <c r="AY1889" s="304"/>
      <c r="AZ1889" s="304"/>
      <c r="BA1889" s="304"/>
      <c r="BB1889" s="304"/>
      <c r="BC1889" s="304"/>
      <c r="BK1889" s="305"/>
      <c r="BL1889" s="305"/>
      <c r="BM1889" s="305"/>
      <c r="BN1889" s="305"/>
      <c r="BO1889" s="305"/>
      <c r="BP1889" s="305"/>
      <c r="BQ1889" s="305"/>
      <c r="BR1889" s="305"/>
      <c r="BS1889" s="305"/>
      <c r="BT1889" s="305"/>
      <c r="BU1889" s="305"/>
      <c r="BV1889" s="305"/>
      <c r="BX1889" s="319"/>
    </row>
    <row r="1890" spans="1:76" s="303" customFormat="1" x14ac:dyDescent="0.25">
      <c r="A1890" s="275"/>
      <c r="B1890" s="275"/>
      <c r="C1890" s="275"/>
      <c r="D1890" s="275"/>
      <c r="E1890" s="275"/>
      <c r="F1890" s="275"/>
      <c r="V1890" s="304"/>
      <c r="W1890" s="304"/>
      <c r="AD1890" s="304"/>
      <c r="AE1890" s="304"/>
      <c r="AR1890" s="304"/>
      <c r="AS1890" s="304"/>
      <c r="AT1890" s="304"/>
      <c r="AU1890" s="304"/>
      <c r="AV1890" s="304"/>
      <c r="AW1890" s="304"/>
      <c r="AX1890" s="304"/>
      <c r="AY1890" s="304"/>
      <c r="AZ1890" s="304"/>
      <c r="BA1890" s="304"/>
      <c r="BB1890" s="304"/>
      <c r="BC1890" s="304"/>
      <c r="BK1890" s="305"/>
      <c r="BL1890" s="305"/>
      <c r="BM1890" s="305"/>
      <c r="BN1890" s="305"/>
      <c r="BO1890" s="305"/>
      <c r="BP1890" s="305"/>
      <c r="BQ1890" s="305"/>
      <c r="BR1890" s="305"/>
      <c r="BS1890" s="305"/>
      <c r="BT1890" s="305"/>
      <c r="BU1890" s="305"/>
      <c r="BV1890" s="305"/>
      <c r="BX1890" s="319"/>
    </row>
    <row r="1891" spans="1:76" s="303" customFormat="1" x14ac:dyDescent="0.25">
      <c r="A1891" s="275"/>
      <c r="B1891" s="275"/>
      <c r="C1891" s="275"/>
      <c r="D1891" s="275"/>
      <c r="E1891" s="275"/>
      <c r="F1891" s="275"/>
      <c r="V1891" s="304"/>
      <c r="W1891" s="304"/>
      <c r="AD1891" s="304"/>
      <c r="AE1891" s="304"/>
      <c r="AR1891" s="304"/>
      <c r="AS1891" s="304"/>
      <c r="AT1891" s="304"/>
      <c r="AU1891" s="304"/>
      <c r="AV1891" s="304"/>
      <c r="AW1891" s="304"/>
      <c r="AX1891" s="304"/>
      <c r="AY1891" s="304"/>
      <c r="AZ1891" s="304"/>
      <c r="BA1891" s="304"/>
      <c r="BB1891" s="304"/>
      <c r="BC1891" s="304"/>
      <c r="BK1891" s="305"/>
      <c r="BL1891" s="305"/>
      <c r="BM1891" s="305"/>
      <c r="BN1891" s="305"/>
      <c r="BO1891" s="305"/>
      <c r="BP1891" s="305"/>
      <c r="BQ1891" s="305"/>
      <c r="BR1891" s="305"/>
      <c r="BS1891" s="305"/>
      <c r="BT1891" s="305"/>
      <c r="BU1891" s="305"/>
      <c r="BV1891" s="305"/>
      <c r="BX1891" s="319"/>
    </row>
    <row r="1892" spans="1:76" s="303" customFormat="1" x14ac:dyDescent="0.25">
      <c r="A1892" s="275"/>
      <c r="B1892" s="275"/>
      <c r="C1892" s="275"/>
      <c r="D1892" s="275"/>
      <c r="E1892" s="275"/>
      <c r="F1892" s="275"/>
      <c r="V1892" s="304"/>
      <c r="W1892" s="304"/>
      <c r="AD1892" s="304"/>
      <c r="AE1892" s="304"/>
      <c r="AR1892" s="304"/>
      <c r="AS1892" s="304"/>
      <c r="AT1892" s="304"/>
      <c r="AU1892" s="304"/>
      <c r="AV1892" s="304"/>
      <c r="AW1892" s="304"/>
      <c r="AX1892" s="304"/>
      <c r="AY1892" s="304"/>
      <c r="AZ1892" s="304"/>
      <c r="BA1892" s="304"/>
      <c r="BB1892" s="304"/>
      <c r="BC1892" s="304"/>
      <c r="BK1892" s="305"/>
      <c r="BL1892" s="305"/>
      <c r="BM1892" s="305"/>
      <c r="BN1892" s="305"/>
      <c r="BO1892" s="305"/>
      <c r="BP1892" s="305"/>
      <c r="BQ1892" s="305"/>
      <c r="BR1892" s="305"/>
      <c r="BS1892" s="305"/>
      <c r="BT1892" s="305"/>
      <c r="BU1892" s="305"/>
      <c r="BV1892" s="305"/>
      <c r="BX1892" s="319"/>
    </row>
    <row r="1893" spans="1:76" s="303" customFormat="1" x14ac:dyDescent="0.25">
      <c r="A1893" s="275"/>
      <c r="B1893" s="275"/>
      <c r="C1893" s="275"/>
      <c r="D1893" s="275"/>
      <c r="E1893" s="275"/>
      <c r="F1893" s="275"/>
      <c r="V1893" s="304"/>
      <c r="W1893" s="304"/>
      <c r="AD1893" s="304"/>
      <c r="AE1893" s="304"/>
      <c r="AR1893" s="304"/>
      <c r="AS1893" s="304"/>
      <c r="AT1893" s="304"/>
      <c r="AU1893" s="304"/>
      <c r="AV1893" s="304"/>
      <c r="AW1893" s="304"/>
      <c r="AX1893" s="304"/>
      <c r="AY1893" s="304"/>
      <c r="AZ1893" s="304"/>
      <c r="BA1893" s="304"/>
      <c r="BB1893" s="304"/>
      <c r="BC1893" s="304"/>
      <c r="BK1893" s="305"/>
      <c r="BL1893" s="305"/>
      <c r="BM1893" s="305"/>
      <c r="BN1893" s="305"/>
      <c r="BO1893" s="305"/>
      <c r="BP1893" s="305"/>
      <c r="BQ1893" s="305"/>
      <c r="BR1893" s="305"/>
      <c r="BS1893" s="305"/>
      <c r="BT1893" s="305"/>
      <c r="BU1893" s="305"/>
      <c r="BV1893" s="305"/>
      <c r="BX1893" s="319"/>
    </row>
    <row r="1894" spans="1:76" s="303" customFormat="1" x14ac:dyDescent="0.25">
      <c r="A1894" s="275"/>
      <c r="B1894" s="275"/>
      <c r="C1894" s="275"/>
      <c r="D1894" s="275"/>
      <c r="E1894" s="275"/>
      <c r="F1894" s="275"/>
      <c r="V1894" s="304"/>
      <c r="W1894" s="304"/>
      <c r="AD1894" s="304"/>
      <c r="AE1894" s="304"/>
      <c r="AR1894" s="304"/>
      <c r="AS1894" s="304"/>
      <c r="AT1894" s="304"/>
      <c r="AU1894" s="304"/>
      <c r="AV1894" s="304"/>
      <c r="AW1894" s="304"/>
      <c r="AX1894" s="304"/>
      <c r="AY1894" s="304"/>
      <c r="AZ1894" s="304"/>
      <c r="BA1894" s="304"/>
      <c r="BB1894" s="304"/>
      <c r="BC1894" s="304"/>
      <c r="BK1894" s="305"/>
      <c r="BL1894" s="305"/>
      <c r="BM1894" s="305"/>
      <c r="BN1894" s="305"/>
      <c r="BO1894" s="305"/>
      <c r="BP1894" s="305"/>
      <c r="BQ1894" s="305"/>
      <c r="BR1894" s="305"/>
      <c r="BS1894" s="305"/>
      <c r="BT1894" s="305"/>
      <c r="BU1894" s="305"/>
      <c r="BV1894" s="305"/>
      <c r="BX1894" s="319"/>
    </row>
    <row r="1895" spans="1:76" s="303" customFormat="1" x14ac:dyDescent="0.25">
      <c r="A1895" s="275"/>
      <c r="B1895" s="275"/>
      <c r="C1895" s="275"/>
      <c r="D1895" s="275"/>
      <c r="E1895" s="275"/>
      <c r="F1895" s="275"/>
      <c r="V1895" s="304"/>
      <c r="W1895" s="304"/>
      <c r="AD1895" s="304"/>
      <c r="AE1895" s="304"/>
      <c r="AR1895" s="304"/>
      <c r="AS1895" s="304"/>
      <c r="AT1895" s="304"/>
      <c r="AU1895" s="304"/>
      <c r="AV1895" s="304"/>
      <c r="AW1895" s="304"/>
      <c r="AX1895" s="304"/>
      <c r="AY1895" s="304"/>
      <c r="AZ1895" s="304"/>
      <c r="BA1895" s="304"/>
      <c r="BB1895" s="304"/>
      <c r="BC1895" s="304"/>
      <c r="BK1895" s="305"/>
      <c r="BL1895" s="305"/>
      <c r="BM1895" s="305"/>
      <c r="BN1895" s="305"/>
      <c r="BO1895" s="305"/>
      <c r="BP1895" s="305"/>
      <c r="BQ1895" s="305"/>
      <c r="BR1895" s="305"/>
      <c r="BS1895" s="305"/>
      <c r="BT1895" s="305"/>
      <c r="BU1895" s="305"/>
      <c r="BV1895" s="305"/>
      <c r="BX1895" s="319"/>
    </row>
    <row r="1896" spans="1:76" s="303" customFormat="1" x14ac:dyDescent="0.25">
      <c r="A1896" s="275"/>
      <c r="B1896" s="275"/>
      <c r="C1896" s="275"/>
      <c r="D1896" s="275"/>
      <c r="E1896" s="275"/>
      <c r="F1896" s="275"/>
      <c r="V1896" s="304"/>
      <c r="W1896" s="304"/>
      <c r="AD1896" s="304"/>
      <c r="AE1896" s="304"/>
      <c r="AR1896" s="304"/>
      <c r="AS1896" s="304"/>
      <c r="AT1896" s="304"/>
      <c r="AU1896" s="304"/>
      <c r="AV1896" s="304"/>
      <c r="AW1896" s="304"/>
      <c r="AX1896" s="304"/>
      <c r="AY1896" s="304"/>
      <c r="AZ1896" s="304"/>
      <c r="BA1896" s="304"/>
      <c r="BB1896" s="304"/>
      <c r="BC1896" s="304"/>
      <c r="BK1896" s="305"/>
      <c r="BL1896" s="305"/>
      <c r="BM1896" s="305"/>
      <c r="BN1896" s="305"/>
      <c r="BO1896" s="305"/>
      <c r="BP1896" s="305"/>
      <c r="BQ1896" s="305"/>
      <c r="BR1896" s="305"/>
      <c r="BS1896" s="305"/>
      <c r="BT1896" s="305"/>
      <c r="BU1896" s="305"/>
      <c r="BV1896" s="305"/>
      <c r="BX1896" s="319"/>
    </row>
    <row r="1897" spans="1:76" s="303" customFormat="1" x14ac:dyDescent="0.25">
      <c r="A1897" s="275"/>
      <c r="B1897" s="275"/>
      <c r="C1897" s="275"/>
      <c r="D1897" s="275"/>
      <c r="E1897" s="275"/>
      <c r="F1897" s="275"/>
      <c r="V1897" s="304"/>
      <c r="W1897" s="304"/>
      <c r="AD1897" s="304"/>
      <c r="AE1897" s="304"/>
      <c r="AR1897" s="304"/>
      <c r="AS1897" s="304"/>
      <c r="AT1897" s="304"/>
      <c r="AU1897" s="304"/>
      <c r="AV1897" s="304"/>
      <c r="AW1897" s="304"/>
      <c r="AX1897" s="304"/>
      <c r="AY1897" s="304"/>
      <c r="AZ1897" s="304"/>
      <c r="BA1897" s="304"/>
      <c r="BB1897" s="304"/>
      <c r="BC1897" s="304"/>
      <c r="BK1897" s="305"/>
      <c r="BL1897" s="305"/>
      <c r="BM1897" s="305"/>
      <c r="BN1897" s="305"/>
      <c r="BO1897" s="305"/>
      <c r="BP1897" s="305"/>
      <c r="BQ1897" s="305"/>
      <c r="BR1897" s="305"/>
      <c r="BS1897" s="305"/>
      <c r="BT1897" s="305"/>
      <c r="BU1897" s="305"/>
      <c r="BV1897" s="305"/>
      <c r="BX1897" s="319"/>
    </row>
    <row r="1898" spans="1:76" s="303" customFormat="1" x14ac:dyDescent="0.25">
      <c r="A1898" s="275"/>
      <c r="B1898" s="275"/>
      <c r="C1898" s="275"/>
      <c r="D1898" s="275"/>
      <c r="E1898" s="275"/>
      <c r="F1898" s="275"/>
      <c r="V1898" s="304"/>
      <c r="W1898" s="304"/>
      <c r="AD1898" s="304"/>
      <c r="AE1898" s="304"/>
      <c r="AR1898" s="304"/>
      <c r="AS1898" s="304"/>
      <c r="AT1898" s="304"/>
      <c r="AU1898" s="304"/>
      <c r="AV1898" s="304"/>
      <c r="AW1898" s="304"/>
      <c r="AX1898" s="304"/>
      <c r="AY1898" s="304"/>
      <c r="AZ1898" s="304"/>
      <c r="BA1898" s="304"/>
      <c r="BB1898" s="304"/>
      <c r="BC1898" s="304"/>
      <c r="BK1898" s="305"/>
      <c r="BL1898" s="305"/>
      <c r="BM1898" s="305"/>
      <c r="BN1898" s="305"/>
      <c r="BO1898" s="305"/>
      <c r="BP1898" s="305"/>
      <c r="BQ1898" s="305"/>
      <c r="BR1898" s="305"/>
      <c r="BS1898" s="305"/>
      <c r="BT1898" s="305"/>
      <c r="BU1898" s="305"/>
      <c r="BV1898" s="305"/>
      <c r="BX1898" s="319"/>
    </row>
    <row r="1899" spans="1:76" s="303" customFormat="1" x14ac:dyDescent="0.25">
      <c r="A1899" s="275"/>
      <c r="B1899" s="275"/>
      <c r="C1899" s="275"/>
      <c r="D1899" s="275"/>
      <c r="E1899" s="275"/>
      <c r="F1899" s="275"/>
      <c r="V1899" s="304"/>
      <c r="W1899" s="304"/>
      <c r="AD1899" s="304"/>
      <c r="AE1899" s="304"/>
      <c r="AR1899" s="304"/>
      <c r="AS1899" s="304"/>
      <c r="AT1899" s="304"/>
      <c r="AU1899" s="304"/>
      <c r="AV1899" s="304"/>
      <c r="AW1899" s="304"/>
      <c r="AX1899" s="304"/>
      <c r="AY1899" s="304"/>
      <c r="AZ1899" s="304"/>
      <c r="BA1899" s="304"/>
      <c r="BB1899" s="304"/>
      <c r="BC1899" s="304"/>
      <c r="BK1899" s="305"/>
      <c r="BL1899" s="305"/>
      <c r="BM1899" s="305"/>
      <c r="BN1899" s="305"/>
      <c r="BO1899" s="305"/>
      <c r="BP1899" s="305"/>
      <c r="BQ1899" s="305"/>
      <c r="BR1899" s="305"/>
      <c r="BS1899" s="305"/>
      <c r="BT1899" s="305"/>
      <c r="BU1899" s="305"/>
      <c r="BV1899" s="305"/>
      <c r="BX1899" s="319"/>
    </row>
    <row r="1900" spans="1:76" s="303" customFormat="1" x14ac:dyDescent="0.25">
      <c r="A1900" s="275"/>
      <c r="B1900" s="275"/>
      <c r="C1900" s="275"/>
      <c r="D1900" s="275"/>
      <c r="E1900" s="275"/>
      <c r="F1900" s="275"/>
      <c r="V1900" s="304"/>
      <c r="W1900" s="304"/>
      <c r="AD1900" s="304"/>
      <c r="AE1900" s="304"/>
      <c r="AR1900" s="304"/>
      <c r="AS1900" s="304"/>
      <c r="AT1900" s="304"/>
      <c r="AU1900" s="304"/>
      <c r="AV1900" s="304"/>
      <c r="AW1900" s="304"/>
      <c r="AX1900" s="304"/>
      <c r="AY1900" s="304"/>
      <c r="AZ1900" s="304"/>
      <c r="BA1900" s="304"/>
      <c r="BB1900" s="304"/>
      <c r="BC1900" s="304"/>
      <c r="BK1900" s="305"/>
      <c r="BL1900" s="305"/>
      <c r="BM1900" s="305"/>
      <c r="BN1900" s="305"/>
      <c r="BO1900" s="305"/>
      <c r="BP1900" s="305"/>
      <c r="BQ1900" s="305"/>
      <c r="BR1900" s="305"/>
      <c r="BS1900" s="305"/>
      <c r="BT1900" s="305"/>
      <c r="BU1900" s="305"/>
      <c r="BV1900" s="305"/>
      <c r="BX1900" s="319"/>
    </row>
    <row r="1901" spans="1:76" s="303" customFormat="1" x14ac:dyDescent="0.25">
      <c r="A1901" s="275"/>
      <c r="B1901" s="275"/>
      <c r="C1901" s="275"/>
      <c r="D1901" s="275"/>
      <c r="E1901" s="275"/>
      <c r="F1901" s="275"/>
      <c r="V1901" s="304"/>
      <c r="W1901" s="304"/>
      <c r="AD1901" s="304"/>
      <c r="AE1901" s="304"/>
      <c r="AR1901" s="304"/>
      <c r="AS1901" s="304"/>
      <c r="AT1901" s="304"/>
      <c r="AU1901" s="304"/>
      <c r="AV1901" s="304"/>
      <c r="AW1901" s="304"/>
      <c r="AX1901" s="304"/>
      <c r="AY1901" s="304"/>
      <c r="AZ1901" s="304"/>
      <c r="BA1901" s="304"/>
      <c r="BB1901" s="304"/>
      <c r="BC1901" s="304"/>
      <c r="BK1901" s="305"/>
      <c r="BL1901" s="305"/>
      <c r="BM1901" s="305"/>
      <c r="BN1901" s="305"/>
      <c r="BO1901" s="305"/>
      <c r="BP1901" s="305"/>
      <c r="BQ1901" s="305"/>
      <c r="BR1901" s="305"/>
      <c r="BS1901" s="305"/>
      <c r="BT1901" s="305"/>
      <c r="BU1901" s="305"/>
      <c r="BV1901" s="305"/>
      <c r="BX1901" s="319"/>
    </row>
    <row r="1902" spans="1:76" s="303" customFormat="1" x14ac:dyDescent="0.25">
      <c r="A1902" s="275"/>
      <c r="B1902" s="275"/>
      <c r="C1902" s="275"/>
      <c r="D1902" s="275"/>
      <c r="E1902" s="275"/>
      <c r="F1902" s="275"/>
      <c r="V1902" s="304"/>
      <c r="W1902" s="304"/>
      <c r="AD1902" s="304"/>
      <c r="AE1902" s="304"/>
      <c r="AR1902" s="304"/>
      <c r="AS1902" s="304"/>
      <c r="AT1902" s="304"/>
      <c r="AU1902" s="304"/>
      <c r="AV1902" s="304"/>
      <c r="AW1902" s="304"/>
      <c r="AX1902" s="304"/>
      <c r="AY1902" s="304"/>
      <c r="AZ1902" s="304"/>
      <c r="BA1902" s="304"/>
      <c r="BB1902" s="304"/>
      <c r="BC1902" s="304"/>
      <c r="BK1902" s="305"/>
      <c r="BL1902" s="305"/>
      <c r="BM1902" s="305"/>
      <c r="BN1902" s="305"/>
      <c r="BO1902" s="305"/>
      <c r="BP1902" s="305"/>
      <c r="BQ1902" s="305"/>
      <c r="BR1902" s="305"/>
      <c r="BS1902" s="305"/>
      <c r="BT1902" s="305"/>
      <c r="BU1902" s="305"/>
      <c r="BV1902" s="305"/>
      <c r="BX1902" s="319"/>
    </row>
    <row r="1903" spans="1:76" s="303" customFormat="1" x14ac:dyDescent="0.25">
      <c r="A1903" s="275"/>
      <c r="B1903" s="275"/>
      <c r="C1903" s="275"/>
      <c r="D1903" s="275"/>
      <c r="E1903" s="275"/>
      <c r="F1903" s="275"/>
      <c r="V1903" s="304"/>
      <c r="W1903" s="304"/>
      <c r="AD1903" s="304"/>
      <c r="AE1903" s="304"/>
      <c r="AR1903" s="304"/>
      <c r="AS1903" s="304"/>
      <c r="AT1903" s="304"/>
      <c r="AU1903" s="304"/>
      <c r="AV1903" s="304"/>
      <c r="AW1903" s="304"/>
      <c r="AX1903" s="304"/>
      <c r="AY1903" s="304"/>
      <c r="AZ1903" s="304"/>
      <c r="BA1903" s="304"/>
      <c r="BB1903" s="304"/>
      <c r="BC1903" s="304"/>
      <c r="BK1903" s="305"/>
      <c r="BL1903" s="305"/>
      <c r="BM1903" s="305"/>
      <c r="BN1903" s="305"/>
      <c r="BO1903" s="305"/>
      <c r="BP1903" s="305"/>
      <c r="BQ1903" s="305"/>
      <c r="BR1903" s="305"/>
      <c r="BS1903" s="305"/>
      <c r="BT1903" s="305"/>
      <c r="BU1903" s="305"/>
      <c r="BV1903" s="305"/>
      <c r="BX1903" s="319"/>
    </row>
    <row r="1904" spans="1:76" s="303" customFormat="1" x14ac:dyDescent="0.25">
      <c r="A1904" s="275"/>
      <c r="B1904" s="275"/>
      <c r="C1904" s="275"/>
      <c r="D1904" s="275"/>
      <c r="E1904" s="275"/>
      <c r="F1904" s="275"/>
      <c r="V1904" s="304"/>
      <c r="W1904" s="304"/>
      <c r="AD1904" s="304"/>
      <c r="AE1904" s="304"/>
      <c r="AR1904" s="304"/>
      <c r="AS1904" s="304"/>
      <c r="AT1904" s="304"/>
      <c r="AU1904" s="304"/>
      <c r="AV1904" s="304"/>
      <c r="AW1904" s="304"/>
      <c r="AX1904" s="304"/>
      <c r="AY1904" s="304"/>
      <c r="AZ1904" s="304"/>
      <c r="BA1904" s="304"/>
      <c r="BB1904" s="304"/>
      <c r="BC1904" s="304"/>
      <c r="BK1904" s="305"/>
      <c r="BL1904" s="305"/>
      <c r="BM1904" s="305"/>
      <c r="BN1904" s="305"/>
      <c r="BO1904" s="305"/>
      <c r="BP1904" s="305"/>
      <c r="BQ1904" s="305"/>
      <c r="BR1904" s="305"/>
      <c r="BS1904" s="305"/>
      <c r="BT1904" s="305"/>
      <c r="BU1904" s="305"/>
      <c r="BV1904" s="305"/>
      <c r="BX1904" s="319"/>
    </row>
    <row r="1905" spans="1:76" s="303" customFormat="1" x14ac:dyDescent="0.25">
      <c r="A1905" s="275"/>
      <c r="B1905" s="275"/>
      <c r="C1905" s="275"/>
      <c r="D1905" s="275"/>
      <c r="E1905" s="275"/>
      <c r="F1905" s="275"/>
      <c r="V1905" s="304"/>
      <c r="W1905" s="304"/>
      <c r="AD1905" s="304"/>
      <c r="AE1905" s="304"/>
      <c r="AR1905" s="304"/>
      <c r="AS1905" s="304"/>
      <c r="AT1905" s="304"/>
      <c r="AU1905" s="304"/>
      <c r="AV1905" s="304"/>
      <c r="AW1905" s="304"/>
      <c r="AX1905" s="304"/>
      <c r="AY1905" s="304"/>
      <c r="AZ1905" s="304"/>
      <c r="BA1905" s="304"/>
      <c r="BB1905" s="304"/>
      <c r="BC1905" s="304"/>
      <c r="BK1905" s="305"/>
      <c r="BL1905" s="305"/>
      <c r="BM1905" s="305"/>
      <c r="BN1905" s="305"/>
      <c r="BO1905" s="305"/>
      <c r="BP1905" s="305"/>
      <c r="BQ1905" s="305"/>
      <c r="BR1905" s="305"/>
      <c r="BS1905" s="305"/>
      <c r="BT1905" s="305"/>
      <c r="BU1905" s="305"/>
      <c r="BV1905" s="305"/>
      <c r="BX1905" s="319"/>
    </row>
    <row r="1906" spans="1:76" s="303" customFormat="1" x14ac:dyDescent="0.25">
      <c r="A1906" s="275"/>
      <c r="B1906" s="275"/>
      <c r="C1906" s="275"/>
      <c r="D1906" s="275"/>
      <c r="E1906" s="275"/>
      <c r="F1906" s="275"/>
      <c r="V1906" s="304"/>
      <c r="W1906" s="304"/>
      <c r="AD1906" s="304"/>
      <c r="AE1906" s="304"/>
      <c r="AR1906" s="304"/>
      <c r="AS1906" s="304"/>
      <c r="AT1906" s="304"/>
      <c r="AU1906" s="304"/>
      <c r="AV1906" s="304"/>
      <c r="AW1906" s="304"/>
      <c r="AX1906" s="304"/>
      <c r="AY1906" s="304"/>
      <c r="AZ1906" s="304"/>
      <c r="BA1906" s="304"/>
      <c r="BB1906" s="304"/>
      <c r="BC1906" s="304"/>
      <c r="BK1906" s="305"/>
      <c r="BL1906" s="305"/>
      <c r="BM1906" s="305"/>
      <c r="BN1906" s="305"/>
      <c r="BO1906" s="305"/>
      <c r="BP1906" s="305"/>
      <c r="BQ1906" s="305"/>
      <c r="BR1906" s="305"/>
      <c r="BS1906" s="305"/>
      <c r="BT1906" s="305"/>
      <c r="BU1906" s="305"/>
      <c r="BV1906" s="305"/>
      <c r="BX1906" s="319"/>
    </row>
    <row r="1907" spans="1:76" s="303" customFormat="1" x14ac:dyDescent="0.25">
      <c r="A1907" s="275"/>
      <c r="B1907" s="275"/>
      <c r="C1907" s="275"/>
      <c r="D1907" s="275"/>
      <c r="E1907" s="275"/>
      <c r="F1907" s="275"/>
      <c r="V1907" s="304"/>
      <c r="W1907" s="304"/>
      <c r="AD1907" s="304"/>
      <c r="AE1907" s="304"/>
      <c r="AR1907" s="304"/>
      <c r="AS1907" s="304"/>
      <c r="AT1907" s="304"/>
      <c r="AU1907" s="304"/>
      <c r="AV1907" s="304"/>
      <c r="AW1907" s="304"/>
      <c r="AX1907" s="304"/>
      <c r="AY1907" s="304"/>
      <c r="AZ1907" s="304"/>
      <c r="BA1907" s="304"/>
      <c r="BB1907" s="304"/>
      <c r="BC1907" s="304"/>
      <c r="BK1907" s="305"/>
      <c r="BL1907" s="305"/>
      <c r="BM1907" s="305"/>
      <c r="BN1907" s="305"/>
      <c r="BO1907" s="305"/>
      <c r="BP1907" s="305"/>
      <c r="BQ1907" s="305"/>
      <c r="BR1907" s="305"/>
      <c r="BS1907" s="305"/>
      <c r="BT1907" s="305"/>
      <c r="BU1907" s="305"/>
      <c r="BV1907" s="305"/>
      <c r="BX1907" s="319"/>
    </row>
    <row r="1908" spans="1:76" s="303" customFormat="1" x14ac:dyDescent="0.25">
      <c r="A1908" s="275"/>
      <c r="B1908" s="275"/>
      <c r="C1908" s="275"/>
      <c r="D1908" s="275"/>
      <c r="E1908" s="275"/>
      <c r="F1908" s="275"/>
      <c r="V1908" s="304"/>
      <c r="W1908" s="304"/>
      <c r="AD1908" s="304"/>
      <c r="AE1908" s="304"/>
      <c r="AR1908" s="304"/>
      <c r="AS1908" s="304"/>
      <c r="AT1908" s="304"/>
      <c r="AU1908" s="304"/>
      <c r="AV1908" s="304"/>
      <c r="AW1908" s="304"/>
      <c r="AX1908" s="304"/>
      <c r="AY1908" s="304"/>
      <c r="AZ1908" s="304"/>
      <c r="BA1908" s="304"/>
      <c r="BB1908" s="304"/>
      <c r="BC1908" s="304"/>
      <c r="BK1908" s="305"/>
      <c r="BL1908" s="305"/>
      <c r="BM1908" s="305"/>
      <c r="BN1908" s="305"/>
      <c r="BO1908" s="305"/>
      <c r="BP1908" s="305"/>
      <c r="BQ1908" s="305"/>
      <c r="BR1908" s="305"/>
      <c r="BS1908" s="305"/>
      <c r="BT1908" s="305"/>
      <c r="BU1908" s="305"/>
      <c r="BV1908" s="305"/>
      <c r="BX1908" s="319"/>
    </row>
    <row r="1909" spans="1:76" s="303" customFormat="1" x14ac:dyDescent="0.25">
      <c r="A1909" s="275"/>
      <c r="B1909" s="275"/>
      <c r="C1909" s="275"/>
      <c r="D1909" s="275"/>
      <c r="E1909" s="275"/>
      <c r="F1909" s="275"/>
      <c r="V1909" s="304"/>
      <c r="W1909" s="304"/>
      <c r="AD1909" s="304"/>
      <c r="AE1909" s="304"/>
      <c r="AR1909" s="304"/>
      <c r="AS1909" s="304"/>
      <c r="AT1909" s="304"/>
      <c r="AU1909" s="304"/>
      <c r="AV1909" s="304"/>
      <c r="AW1909" s="304"/>
      <c r="AX1909" s="304"/>
      <c r="AY1909" s="304"/>
      <c r="AZ1909" s="304"/>
      <c r="BA1909" s="304"/>
      <c r="BB1909" s="304"/>
      <c r="BC1909" s="304"/>
      <c r="BK1909" s="305"/>
      <c r="BL1909" s="305"/>
      <c r="BM1909" s="305"/>
      <c r="BN1909" s="305"/>
      <c r="BO1909" s="305"/>
      <c r="BP1909" s="305"/>
      <c r="BQ1909" s="305"/>
      <c r="BR1909" s="305"/>
      <c r="BS1909" s="305"/>
      <c r="BT1909" s="305"/>
      <c r="BU1909" s="305"/>
      <c r="BV1909" s="305"/>
      <c r="BX1909" s="319"/>
    </row>
    <row r="1910" spans="1:76" s="303" customFormat="1" x14ac:dyDescent="0.25">
      <c r="A1910" s="275"/>
      <c r="B1910" s="275"/>
      <c r="C1910" s="275"/>
      <c r="D1910" s="275"/>
      <c r="E1910" s="275"/>
      <c r="F1910" s="275"/>
      <c r="V1910" s="304"/>
      <c r="W1910" s="304"/>
      <c r="AD1910" s="304"/>
      <c r="AE1910" s="304"/>
      <c r="AR1910" s="304"/>
      <c r="AS1910" s="304"/>
      <c r="AT1910" s="304"/>
      <c r="AU1910" s="304"/>
      <c r="AV1910" s="304"/>
      <c r="AW1910" s="304"/>
      <c r="AX1910" s="304"/>
      <c r="AY1910" s="304"/>
      <c r="AZ1910" s="304"/>
      <c r="BA1910" s="304"/>
      <c r="BB1910" s="304"/>
      <c r="BC1910" s="304"/>
      <c r="BK1910" s="305"/>
      <c r="BL1910" s="305"/>
      <c r="BM1910" s="305"/>
      <c r="BN1910" s="305"/>
      <c r="BO1910" s="305"/>
      <c r="BP1910" s="305"/>
      <c r="BQ1910" s="305"/>
      <c r="BR1910" s="305"/>
      <c r="BS1910" s="305"/>
      <c r="BT1910" s="305"/>
      <c r="BU1910" s="305"/>
      <c r="BV1910" s="305"/>
      <c r="BX1910" s="319"/>
    </row>
    <row r="1911" spans="1:76" s="303" customFormat="1" x14ac:dyDescent="0.25">
      <c r="A1911" s="275"/>
      <c r="B1911" s="275"/>
      <c r="C1911" s="275"/>
      <c r="D1911" s="275"/>
      <c r="E1911" s="275"/>
      <c r="F1911" s="275"/>
      <c r="V1911" s="304"/>
      <c r="W1911" s="304"/>
      <c r="AD1911" s="304"/>
      <c r="AE1911" s="304"/>
      <c r="AR1911" s="304"/>
      <c r="AS1911" s="304"/>
      <c r="AT1911" s="304"/>
      <c r="AU1911" s="304"/>
      <c r="AV1911" s="304"/>
      <c r="AW1911" s="304"/>
      <c r="AX1911" s="304"/>
      <c r="AY1911" s="304"/>
      <c r="AZ1911" s="304"/>
      <c r="BA1911" s="304"/>
      <c r="BB1911" s="304"/>
      <c r="BC1911" s="304"/>
      <c r="BK1911" s="305"/>
      <c r="BL1911" s="305"/>
      <c r="BM1911" s="305"/>
      <c r="BN1911" s="305"/>
      <c r="BO1911" s="305"/>
      <c r="BP1911" s="305"/>
      <c r="BQ1911" s="305"/>
      <c r="BR1911" s="305"/>
      <c r="BS1911" s="305"/>
      <c r="BT1911" s="305"/>
      <c r="BU1911" s="305"/>
      <c r="BV1911" s="305"/>
      <c r="BX1911" s="319"/>
    </row>
    <row r="1912" spans="1:76" s="303" customFormat="1" x14ac:dyDescent="0.25">
      <c r="A1912" s="275"/>
      <c r="B1912" s="275"/>
      <c r="C1912" s="275"/>
      <c r="D1912" s="275"/>
      <c r="E1912" s="275"/>
      <c r="F1912" s="275"/>
      <c r="V1912" s="304"/>
      <c r="W1912" s="304"/>
      <c r="AD1912" s="304"/>
      <c r="AE1912" s="304"/>
      <c r="AR1912" s="304"/>
      <c r="AS1912" s="304"/>
      <c r="AT1912" s="304"/>
      <c r="AU1912" s="304"/>
      <c r="AV1912" s="304"/>
      <c r="AW1912" s="304"/>
      <c r="AX1912" s="304"/>
      <c r="AY1912" s="304"/>
      <c r="AZ1912" s="304"/>
      <c r="BA1912" s="304"/>
      <c r="BB1912" s="304"/>
      <c r="BC1912" s="304"/>
      <c r="BK1912" s="305"/>
      <c r="BL1912" s="305"/>
      <c r="BM1912" s="305"/>
      <c r="BN1912" s="305"/>
      <c r="BO1912" s="305"/>
      <c r="BP1912" s="305"/>
      <c r="BQ1912" s="305"/>
      <c r="BR1912" s="305"/>
      <c r="BS1912" s="305"/>
      <c r="BT1912" s="305"/>
      <c r="BU1912" s="305"/>
      <c r="BV1912" s="305"/>
      <c r="BX1912" s="319"/>
    </row>
    <row r="1913" spans="1:76" s="303" customFormat="1" x14ac:dyDescent="0.25">
      <c r="A1913" s="275"/>
      <c r="B1913" s="275"/>
      <c r="C1913" s="275"/>
      <c r="D1913" s="275"/>
      <c r="E1913" s="275"/>
      <c r="F1913" s="275"/>
      <c r="V1913" s="304"/>
      <c r="W1913" s="304"/>
      <c r="AD1913" s="304"/>
      <c r="AE1913" s="304"/>
      <c r="AR1913" s="304"/>
      <c r="AS1913" s="304"/>
      <c r="AT1913" s="304"/>
      <c r="AU1913" s="304"/>
      <c r="AV1913" s="304"/>
      <c r="AW1913" s="304"/>
      <c r="AX1913" s="304"/>
      <c r="AY1913" s="304"/>
      <c r="AZ1913" s="304"/>
      <c r="BA1913" s="304"/>
      <c r="BB1913" s="304"/>
      <c r="BC1913" s="304"/>
      <c r="BK1913" s="305"/>
      <c r="BL1913" s="305"/>
      <c r="BM1913" s="305"/>
      <c r="BN1913" s="305"/>
      <c r="BO1913" s="305"/>
      <c r="BP1913" s="305"/>
      <c r="BQ1913" s="305"/>
      <c r="BR1913" s="305"/>
      <c r="BS1913" s="305"/>
      <c r="BT1913" s="305"/>
      <c r="BU1913" s="305"/>
      <c r="BV1913" s="305"/>
      <c r="BX1913" s="319"/>
    </row>
    <row r="1914" spans="1:76" s="303" customFormat="1" x14ac:dyDescent="0.25">
      <c r="A1914" s="275"/>
      <c r="B1914" s="275"/>
      <c r="C1914" s="275"/>
      <c r="D1914" s="275"/>
      <c r="E1914" s="275"/>
      <c r="F1914" s="275"/>
      <c r="V1914" s="304"/>
      <c r="W1914" s="304"/>
      <c r="AD1914" s="304"/>
      <c r="AE1914" s="304"/>
      <c r="AR1914" s="304"/>
      <c r="AS1914" s="304"/>
      <c r="AT1914" s="304"/>
      <c r="AU1914" s="304"/>
      <c r="AV1914" s="304"/>
      <c r="AW1914" s="304"/>
      <c r="AX1914" s="304"/>
      <c r="AY1914" s="304"/>
      <c r="AZ1914" s="304"/>
      <c r="BA1914" s="304"/>
      <c r="BB1914" s="304"/>
      <c r="BC1914" s="304"/>
      <c r="BK1914" s="305"/>
      <c r="BL1914" s="305"/>
      <c r="BM1914" s="305"/>
      <c r="BN1914" s="305"/>
      <c r="BO1914" s="305"/>
      <c r="BP1914" s="305"/>
      <c r="BQ1914" s="305"/>
      <c r="BR1914" s="305"/>
      <c r="BS1914" s="305"/>
      <c r="BT1914" s="305"/>
      <c r="BU1914" s="305"/>
      <c r="BV1914" s="305"/>
      <c r="BX1914" s="319"/>
    </row>
    <row r="1915" spans="1:76" s="303" customFormat="1" x14ac:dyDescent="0.25">
      <c r="A1915" s="275"/>
      <c r="B1915" s="275"/>
      <c r="C1915" s="275"/>
      <c r="D1915" s="275"/>
      <c r="E1915" s="275"/>
      <c r="F1915" s="275"/>
      <c r="V1915" s="304"/>
      <c r="W1915" s="304"/>
      <c r="AD1915" s="304"/>
      <c r="AE1915" s="304"/>
      <c r="AR1915" s="304"/>
      <c r="AS1915" s="304"/>
      <c r="AT1915" s="304"/>
      <c r="AU1915" s="304"/>
      <c r="AV1915" s="304"/>
      <c r="AW1915" s="304"/>
      <c r="AX1915" s="304"/>
      <c r="AY1915" s="304"/>
      <c r="AZ1915" s="304"/>
      <c r="BA1915" s="304"/>
      <c r="BB1915" s="304"/>
      <c r="BC1915" s="304"/>
      <c r="BK1915" s="305"/>
      <c r="BL1915" s="305"/>
      <c r="BM1915" s="305"/>
      <c r="BN1915" s="305"/>
      <c r="BO1915" s="305"/>
      <c r="BP1915" s="305"/>
      <c r="BQ1915" s="305"/>
      <c r="BR1915" s="305"/>
      <c r="BS1915" s="305"/>
      <c r="BT1915" s="305"/>
      <c r="BU1915" s="305"/>
      <c r="BV1915" s="305"/>
      <c r="BX1915" s="319"/>
    </row>
    <row r="1916" spans="1:76" s="303" customFormat="1" x14ac:dyDescent="0.25">
      <c r="A1916" s="275"/>
      <c r="B1916" s="275"/>
      <c r="C1916" s="275"/>
      <c r="D1916" s="275"/>
      <c r="E1916" s="275"/>
      <c r="F1916" s="275"/>
      <c r="V1916" s="304"/>
      <c r="W1916" s="304"/>
      <c r="AD1916" s="304"/>
      <c r="AE1916" s="304"/>
      <c r="AR1916" s="304"/>
      <c r="AS1916" s="304"/>
      <c r="AT1916" s="304"/>
      <c r="AU1916" s="304"/>
      <c r="AV1916" s="304"/>
      <c r="AW1916" s="304"/>
      <c r="AX1916" s="304"/>
      <c r="AY1916" s="304"/>
      <c r="AZ1916" s="304"/>
      <c r="BA1916" s="304"/>
      <c r="BB1916" s="304"/>
      <c r="BC1916" s="304"/>
      <c r="BK1916" s="305"/>
      <c r="BL1916" s="305"/>
      <c r="BM1916" s="305"/>
      <c r="BN1916" s="305"/>
      <c r="BO1916" s="305"/>
      <c r="BP1916" s="305"/>
      <c r="BQ1916" s="305"/>
      <c r="BR1916" s="305"/>
      <c r="BS1916" s="305"/>
      <c r="BT1916" s="305"/>
      <c r="BU1916" s="305"/>
      <c r="BV1916" s="305"/>
      <c r="BX1916" s="319"/>
    </row>
    <row r="1917" spans="1:76" s="303" customFormat="1" x14ac:dyDescent="0.25">
      <c r="A1917" s="275"/>
      <c r="B1917" s="275"/>
      <c r="C1917" s="275"/>
      <c r="D1917" s="275"/>
      <c r="E1917" s="275"/>
      <c r="F1917" s="275"/>
      <c r="V1917" s="304"/>
      <c r="W1917" s="304"/>
      <c r="AD1917" s="304"/>
      <c r="AE1917" s="304"/>
      <c r="AR1917" s="304"/>
      <c r="AS1917" s="304"/>
      <c r="AT1917" s="304"/>
      <c r="AU1917" s="304"/>
      <c r="AV1917" s="304"/>
      <c r="AW1917" s="304"/>
      <c r="AX1917" s="304"/>
      <c r="AY1917" s="304"/>
      <c r="AZ1917" s="304"/>
      <c r="BA1917" s="304"/>
      <c r="BB1917" s="304"/>
      <c r="BC1917" s="304"/>
      <c r="BK1917" s="305"/>
      <c r="BL1917" s="305"/>
      <c r="BM1917" s="305"/>
      <c r="BN1917" s="305"/>
      <c r="BO1917" s="305"/>
      <c r="BP1917" s="305"/>
      <c r="BQ1917" s="305"/>
      <c r="BR1917" s="305"/>
      <c r="BS1917" s="305"/>
      <c r="BT1917" s="305"/>
      <c r="BU1917" s="305"/>
      <c r="BV1917" s="305"/>
      <c r="BX1917" s="319"/>
    </row>
    <row r="1918" spans="1:76" s="303" customFormat="1" x14ac:dyDescent="0.25">
      <c r="A1918" s="275"/>
      <c r="B1918" s="275"/>
      <c r="C1918" s="275"/>
      <c r="D1918" s="275"/>
      <c r="E1918" s="275"/>
      <c r="F1918" s="275"/>
      <c r="V1918" s="304"/>
      <c r="W1918" s="304"/>
      <c r="AD1918" s="304"/>
      <c r="AE1918" s="304"/>
      <c r="AR1918" s="304"/>
      <c r="AS1918" s="304"/>
      <c r="AT1918" s="304"/>
      <c r="AU1918" s="304"/>
      <c r="AV1918" s="304"/>
      <c r="AW1918" s="304"/>
      <c r="AX1918" s="304"/>
      <c r="AY1918" s="304"/>
      <c r="AZ1918" s="304"/>
      <c r="BA1918" s="304"/>
      <c r="BB1918" s="304"/>
      <c r="BC1918" s="304"/>
      <c r="BK1918" s="305"/>
      <c r="BL1918" s="305"/>
      <c r="BM1918" s="305"/>
      <c r="BN1918" s="305"/>
      <c r="BO1918" s="305"/>
      <c r="BP1918" s="305"/>
      <c r="BQ1918" s="305"/>
      <c r="BR1918" s="305"/>
      <c r="BS1918" s="305"/>
      <c r="BT1918" s="305"/>
      <c r="BU1918" s="305"/>
      <c r="BV1918" s="305"/>
      <c r="BX1918" s="319"/>
    </row>
    <row r="1919" spans="1:76" s="303" customFormat="1" x14ac:dyDescent="0.25">
      <c r="A1919" s="275"/>
      <c r="B1919" s="275"/>
      <c r="C1919" s="275"/>
      <c r="D1919" s="275"/>
      <c r="E1919" s="275"/>
      <c r="F1919" s="275"/>
      <c r="V1919" s="304"/>
      <c r="W1919" s="304"/>
      <c r="AD1919" s="304"/>
      <c r="AE1919" s="304"/>
      <c r="AR1919" s="304"/>
      <c r="AS1919" s="304"/>
      <c r="AT1919" s="304"/>
      <c r="AU1919" s="304"/>
      <c r="AV1919" s="304"/>
      <c r="AW1919" s="304"/>
      <c r="AX1919" s="304"/>
      <c r="AY1919" s="304"/>
      <c r="AZ1919" s="304"/>
      <c r="BA1919" s="304"/>
      <c r="BB1919" s="304"/>
      <c r="BC1919" s="304"/>
      <c r="BK1919" s="305"/>
      <c r="BL1919" s="305"/>
      <c r="BM1919" s="305"/>
      <c r="BN1919" s="305"/>
      <c r="BO1919" s="305"/>
      <c r="BP1919" s="305"/>
      <c r="BQ1919" s="305"/>
      <c r="BR1919" s="305"/>
      <c r="BS1919" s="305"/>
      <c r="BT1919" s="305"/>
      <c r="BU1919" s="305"/>
      <c r="BV1919" s="305"/>
      <c r="BX1919" s="319"/>
    </row>
    <row r="1920" spans="1:76" s="303" customFormat="1" x14ac:dyDescent="0.25">
      <c r="A1920" s="275"/>
      <c r="B1920" s="275"/>
      <c r="C1920" s="275"/>
      <c r="D1920" s="275"/>
      <c r="E1920" s="275"/>
      <c r="F1920" s="275"/>
      <c r="V1920" s="304"/>
      <c r="W1920" s="304"/>
      <c r="AD1920" s="304"/>
      <c r="AE1920" s="304"/>
      <c r="AR1920" s="304"/>
      <c r="AS1920" s="304"/>
      <c r="AT1920" s="304"/>
      <c r="AU1920" s="304"/>
      <c r="AV1920" s="304"/>
      <c r="AW1920" s="304"/>
      <c r="AX1920" s="304"/>
      <c r="AY1920" s="304"/>
      <c r="AZ1920" s="304"/>
      <c r="BA1920" s="304"/>
      <c r="BB1920" s="304"/>
      <c r="BC1920" s="304"/>
      <c r="BK1920" s="305"/>
      <c r="BL1920" s="305"/>
      <c r="BM1920" s="305"/>
      <c r="BN1920" s="305"/>
      <c r="BO1920" s="305"/>
      <c r="BP1920" s="305"/>
      <c r="BQ1920" s="305"/>
      <c r="BR1920" s="305"/>
      <c r="BS1920" s="305"/>
      <c r="BT1920" s="305"/>
      <c r="BU1920" s="305"/>
      <c r="BV1920" s="305"/>
      <c r="BX1920" s="319"/>
    </row>
    <row r="1921" spans="1:76" s="303" customFormat="1" x14ac:dyDescent="0.25">
      <c r="A1921" s="275"/>
      <c r="B1921" s="275"/>
      <c r="C1921" s="275"/>
      <c r="D1921" s="275"/>
      <c r="E1921" s="275"/>
      <c r="F1921" s="275"/>
      <c r="V1921" s="304"/>
      <c r="W1921" s="304"/>
      <c r="AD1921" s="304"/>
      <c r="AE1921" s="304"/>
      <c r="AR1921" s="304"/>
      <c r="AS1921" s="304"/>
      <c r="AT1921" s="304"/>
      <c r="AU1921" s="304"/>
      <c r="AV1921" s="304"/>
      <c r="AW1921" s="304"/>
      <c r="AX1921" s="304"/>
      <c r="AY1921" s="304"/>
      <c r="AZ1921" s="304"/>
      <c r="BA1921" s="304"/>
      <c r="BB1921" s="304"/>
      <c r="BC1921" s="304"/>
      <c r="BK1921" s="305"/>
      <c r="BL1921" s="305"/>
      <c r="BM1921" s="305"/>
      <c r="BN1921" s="305"/>
      <c r="BO1921" s="305"/>
      <c r="BP1921" s="305"/>
      <c r="BQ1921" s="305"/>
      <c r="BR1921" s="305"/>
      <c r="BS1921" s="305"/>
      <c r="BT1921" s="305"/>
      <c r="BU1921" s="305"/>
      <c r="BV1921" s="305"/>
      <c r="BX1921" s="319"/>
    </row>
    <row r="1922" spans="1:76" s="303" customFormat="1" x14ac:dyDescent="0.25">
      <c r="A1922" s="275"/>
      <c r="B1922" s="275"/>
      <c r="C1922" s="275"/>
      <c r="D1922" s="275"/>
      <c r="E1922" s="275"/>
      <c r="F1922" s="275"/>
      <c r="V1922" s="304"/>
      <c r="W1922" s="304"/>
      <c r="AD1922" s="304"/>
      <c r="AE1922" s="304"/>
      <c r="AR1922" s="304"/>
      <c r="AS1922" s="304"/>
      <c r="AT1922" s="304"/>
      <c r="AU1922" s="304"/>
      <c r="AV1922" s="304"/>
      <c r="AW1922" s="304"/>
      <c r="AX1922" s="304"/>
      <c r="AY1922" s="304"/>
      <c r="AZ1922" s="304"/>
      <c r="BA1922" s="304"/>
      <c r="BB1922" s="304"/>
      <c r="BC1922" s="304"/>
      <c r="BK1922" s="305"/>
      <c r="BL1922" s="305"/>
      <c r="BM1922" s="305"/>
      <c r="BN1922" s="305"/>
      <c r="BO1922" s="305"/>
      <c r="BP1922" s="305"/>
      <c r="BQ1922" s="305"/>
      <c r="BR1922" s="305"/>
      <c r="BS1922" s="305"/>
      <c r="BT1922" s="305"/>
      <c r="BU1922" s="305"/>
      <c r="BV1922" s="305"/>
      <c r="BX1922" s="319"/>
    </row>
    <row r="1923" spans="1:76" s="303" customFormat="1" x14ac:dyDescent="0.25">
      <c r="A1923" s="275"/>
      <c r="B1923" s="275"/>
      <c r="C1923" s="275"/>
      <c r="D1923" s="275"/>
      <c r="E1923" s="275"/>
      <c r="F1923" s="275"/>
      <c r="V1923" s="304"/>
      <c r="W1923" s="304"/>
      <c r="AD1923" s="304"/>
      <c r="AE1923" s="304"/>
      <c r="AR1923" s="304"/>
      <c r="AS1923" s="304"/>
      <c r="AT1923" s="304"/>
      <c r="AU1923" s="304"/>
      <c r="AV1923" s="304"/>
      <c r="AW1923" s="304"/>
      <c r="AX1923" s="304"/>
      <c r="AY1923" s="304"/>
      <c r="AZ1923" s="304"/>
      <c r="BA1923" s="304"/>
      <c r="BB1923" s="304"/>
      <c r="BC1923" s="304"/>
      <c r="BK1923" s="305"/>
      <c r="BL1923" s="305"/>
      <c r="BM1923" s="305"/>
      <c r="BN1923" s="305"/>
      <c r="BO1923" s="305"/>
      <c r="BP1923" s="305"/>
      <c r="BQ1923" s="305"/>
      <c r="BR1923" s="305"/>
      <c r="BS1923" s="305"/>
      <c r="BT1923" s="305"/>
      <c r="BU1923" s="305"/>
      <c r="BV1923" s="305"/>
      <c r="BX1923" s="319"/>
    </row>
    <row r="1924" spans="1:76" s="303" customFormat="1" x14ac:dyDescent="0.25">
      <c r="A1924" s="275"/>
      <c r="B1924" s="275"/>
      <c r="C1924" s="275"/>
      <c r="D1924" s="275"/>
      <c r="E1924" s="275"/>
      <c r="F1924" s="275"/>
      <c r="V1924" s="304"/>
      <c r="W1924" s="304"/>
      <c r="AD1924" s="304"/>
      <c r="AE1924" s="304"/>
      <c r="AR1924" s="304"/>
      <c r="AS1924" s="304"/>
      <c r="AT1924" s="304"/>
      <c r="AU1924" s="304"/>
      <c r="AV1924" s="304"/>
      <c r="AW1924" s="304"/>
      <c r="AX1924" s="304"/>
      <c r="AY1924" s="304"/>
      <c r="AZ1924" s="304"/>
      <c r="BA1924" s="304"/>
      <c r="BB1924" s="304"/>
      <c r="BC1924" s="304"/>
      <c r="BK1924" s="305"/>
      <c r="BL1924" s="305"/>
      <c r="BM1924" s="305"/>
      <c r="BN1924" s="305"/>
      <c r="BO1924" s="305"/>
      <c r="BP1924" s="305"/>
      <c r="BQ1924" s="305"/>
      <c r="BR1924" s="305"/>
      <c r="BS1924" s="305"/>
      <c r="BT1924" s="305"/>
      <c r="BU1924" s="305"/>
      <c r="BV1924" s="305"/>
      <c r="BX1924" s="319"/>
    </row>
    <row r="1925" spans="1:76" s="303" customFormat="1" x14ac:dyDescent="0.25">
      <c r="A1925" s="275"/>
      <c r="B1925" s="275"/>
      <c r="C1925" s="275"/>
      <c r="D1925" s="275"/>
      <c r="E1925" s="275"/>
      <c r="F1925" s="275"/>
      <c r="V1925" s="304"/>
      <c r="W1925" s="304"/>
      <c r="AD1925" s="304"/>
      <c r="AE1925" s="304"/>
      <c r="AR1925" s="304"/>
      <c r="AS1925" s="304"/>
      <c r="AT1925" s="304"/>
      <c r="AU1925" s="304"/>
      <c r="AV1925" s="304"/>
      <c r="AW1925" s="304"/>
      <c r="AX1925" s="304"/>
      <c r="AY1925" s="304"/>
      <c r="AZ1925" s="304"/>
      <c r="BA1925" s="304"/>
      <c r="BB1925" s="304"/>
      <c r="BC1925" s="304"/>
      <c r="BK1925" s="305"/>
      <c r="BL1925" s="305"/>
      <c r="BM1925" s="305"/>
      <c r="BN1925" s="305"/>
      <c r="BO1925" s="305"/>
      <c r="BP1925" s="305"/>
      <c r="BQ1925" s="305"/>
      <c r="BR1925" s="305"/>
      <c r="BS1925" s="305"/>
      <c r="BT1925" s="305"/>
      <c r="BU1925" s="305"/>
      <c r="BV1925" s="305"/>
      <c r="BX1925" s="319"/>
    </row>
    <row r="1926" spans="1:76" s="303" customFormat="1" x14ac:dyDescent="0.25">
      <c r="A1926" s="275"/>
      <c r="B1926" s="275"/>
      <c r="C1926" s="275"/>
      <c r="D1926" s="275"/>
      <c r="E1926" s="275"/>
      <c r="F1926" s="275"/>
      <c r="V1926" s="304"/>
      <c r="W1926" s="304"/>
      <c r="AD1926" s="304"/>
      <c r="AE1926" s="304"/>
      <c r="AR1926" s="304"/>
      <c r="AS1926" s="304"/>
      <c r="AT1926" s="304"/>
      <c r="AU1926" s="304"/>
      <c r="AV1926" s="304"/>
      <c r="AW1926" s="304"/>
      <c r="AX1926" s="304"/>
      <c r="AY1926" s="304"/>
      <c r="AZ1926" s="304"/>
      <c r="BA1926" s="304"/>
      <c r="BB1926" s="304"/>
      <c r="BC1926" s="304"/>
      <c r="BK1926" s="305"/>
      <c r="BL1926" s="305"/>
      <c r="BM1926" s="305"/>
      <c r="BN1926" s="305"/>
      <c r="BO1926" s="305"/>
      <c r="BP1926" s="305"/>
      <c r="BQ1926" s="305"/>
      <c r="BR1926" s="305"/>
      <c r="BS1926" s="305"/>
      <c r="BT1926" s="305"/>
      <c r="BU1926" s="305"/>
      <c r="BV1926" s="305"/>
      <c r="BX1926" s="319"/>
    </row>
    <row r="1927" spans="1:76" s="303" customFormat="1" x14ac:dyDescent="0.25">
      <c r="A1927" s="275"/>
      <c r="B1927" s="275"/>
      <c r="C1927" s="275"/>
      <c r="D1927" s="275"/>
      <c r="E1927" s="275"/>
      <c r="F1927" s="275"/>
      <c r="V1927" s="304"/>
      <c r="W1927" s="304"/>
      <c r="AD1927" s="304"/>
      <c r="AE1927" s="304"/>
      <c r="AR1927" s="304"/>
      <c r="AS1927" s="304"/>
      <c r="AT1927" s="304"/>
      <c r="AU1927" s="304"/>
      <c r="AV1927" s="304"/>
      <c r="AW1927" s="304"/>
      <c r="AX1927" s="304"/>
      <c r="AY1927" s="304"/>
      <c r="AZ1927" s="304"/>
      <c r="BA1927" s="304"/>
      <c r="BB1927" s="304"/>
      <c r="BC1927" s="304"/>
      <c r="BK1927" s="305"/>
      <c r="BL1927" s="305"/>
      <c r="BM1927" s="305"/>
      <c r="BN1927" s="305"/>
      <c r="BO1927" s="305"/>
      <c r="BP1927" s="305"/>
      <c r="BQ1927" s="305"/>
      <c r="BR1927" s="305"/>
      <c r="BS1927" s="305"/>
      <c r="BT1927" s="305"/>
      <c r="BU1927" s="305"/>
      <c r="BV1927" s="305"/>
      <c r="BX1927" s="319"/>
    </row>
    <row r="1928" spans="1:76" s="303" customFormat="1" x14ac:dyDescent="0.25">
      <c r="A1928" s="275"/>
      <c r="B1928" s="275"/>
      <c r="C1928" s="275"/>
      <c r="D1928" s="275"/>
      <c r="E1928" s="275"/>
      <c r="F1928" s="275"/>
      <c r="V1928" s="304"/>
      <c r="W1928" s="304"/>
      <c r="AD1928" s="304"/>
      <c r="AE1928" s="304"/>
      <c r="AR1928" s="304"/>
      <c r="AS1928" s="304"/>
      <c r="AT1928" s="304"/>
      <c r="AU1928" s="304"/>
      <c r="AV1928" s="304"/>
      <c r="AW1928" s="304"/>
      <c r="AX1928" s="304"/>
      <c r="AY1928" s="304"/>
      <c r="AZ1928" s="304"/>
      <c r="BA1928" s="304"/>
      <c r="BB1928" s="304"/>
      <c r="BC1928" s="304"/>
      <c r="BK1928" s="305"/>
      <c r="BL1928" s="305"/>
      <c r="BM1928" s="305"/>
      <c r="BN1928" s="305"/>
      <c r="BO1928" s="305"/>
      <c r="BP1928" s="305"/>
      <c r="BQ1928" s="305"/>
      <c r="BR1928" s="305"/>
      <c r="BS1928" s="305"/>
      <c r="BT1928" s="305"/>
      <c r="BU1928" s="305"/>
      <c r="BV1928" s="305"/>
      <c r="BX1928" s="319"/>
    </row>
    <row r="1929" spans="1:76" s="303" customFormat="1" x14ac:dyDescent="0.25">
      <c r="A1929" s="275"/>
      <c r="B1929" s="275"/>
      <c r="C1929" s="275"/>
      <c r="D1929" s="275"/>
      <c r="E1929" s="275"/>
      <c r="F1929" s="275"/>
      <c r="V1929" s="304"/>
      <c r="W1929" s="304"/>
      <c r="AD1929" s="304"/>
      <c r="AE1929" s="304"/>
      <c r="AR1929" s="304"/>
      <c r="AS1929" s="304"/>
      <c r="AT1929" s="304"/>
      <c r="AU1929" s="304"/>
      <c r="AV1929" s="304"/>
      <c r="AW1929" s="304"/>
      <c r="AX1929" s="304"/>
      <c r="AY1929" s="304"/>
      <c r="AZ1929" s="304"/>
      <c r="BA1929" s="304"/>
      <c r="BB1929" s="304"/>
      <c r="BC1929" s="304"/>
      <c r="BK1929" s="305"/>
      <c r="BL1929" s="305"/>
      <c r="BM1929" s="305"/>
      <c r="BN1929" s="305"/>
      <c r="BO1929" s="305"/>
      <c r="BP1929" s="305"/>
      <c r="BQ1929" s="305"/>
      <c r="BR1929" s="305"/>
      <c r="BS1929" s="305"/>
      <c r="BT1929" s="305"/>
      <c r="BU1929" s="305"/>
      <c r="BV1929" s="305"/>
      <c r="BX1929" s="319"/>
    </row>
    <row r="1930" spans="1:76" s="303" customFormat="1" x14ac:dyDescent="0.25">
      <c r="A1930" s="275"/>
      <c r="B1930" s="275"/>
      <c r="C1930" s="275"/>
      <c r="D1930" s="275"/>
      <c r="E1930" s="275"/>
      <c r="F1930" s="275"/>
      <c r="V1930" s="304"/>
      <c r="W1930" s="304"/>
      <c r="AD1930" s="304"/>
      <c r="AE1930" s="304"/>
      <c r="AR1930" s="304"/>
      <c r="AS1930" s="304"/>
      <c r="AT1930" s="304"/>
      <c r="AU1930" s="304"/>
      <c r="AV1930" s="304"/>
      <c r="AW1930" s="304"/>
      <c r="AX1930" s="304"/>
      <c r="AY1930" s="304"/>
      <c r="AZ1930" s="304"/>
      <c r="BA1930" s="304"/>
      <c r="BB1930" s="304"/>
      <c r="BC1930" s="304"/>
      <c r="BK1930" s="305"/>
      <c r="BL1930" s="305"/>
      <c r="BM1930" s="305"/>
      <c r="BN1930" s="305"/>
      <c r="BO1930" s="305"/>
      <c r="BP1930" s="305"/>
      <c r="BQ1930" s="305"/>
      <c r="BR1930" s="305"/>
      <c r="BS1930" s="305"/>
      <c r="BT1930" s="305"/>
      <c r="BU1930" s="305"/>
      <c r="BV1930" s="305"/>
      <c r="BX1930" s="319"/>
    </row>
    <row r="1931" spans="1:76" s="303" customFormat="1" x14ac:dyDescent="0.25">
      <c r="A1931" s="275"/>
      <c r="B1931" s="275"/>
      <c r="C1931" s="275"/>
      <c r="D1931" s="275"/>
      <c r="E1931" s="275"/>
      <c r="F1931" s="275"/>
      <c r="V1931" s="304"/>
      <c r="W1931" s="304"/>
      <c r="AD1931" s="304"/>
      <c r="AE1931" s="304"/>
      <c r="AR1931" s="304"/>
      <c r="AS1931" s="304"/>
      <c r="AT1931" s="304"/>
      <c r="AU1931" s="304"/>
      <c r="AV1931" s="304"/>
      <c r="AW1931" s="304"/>
      <c r="AX1931" s="304"/>
      <c r="AY1931" s="304"/>
      <c r="AZ1931" s="304"/>
      <c r="BA1931" s="304"/>
      <c r="BB1931" s="304"/>
      <c r="BC1931" s="304"/>
      <c r="BK1931" s="305"/>
      <c r="BL1931" s="305"/>
      <c r="BM1931" s="305"/>
      <c r="BN1931" s="305"/>
      <c r="BO1931" s="305"/>
      <c r="BP1931" s="305"/>
      <c r="BQ1931" s="305"/>
      <c r="BR1931" s="305"/>
      <c r="BS1931" s="305"/>
      <c r="BT1931" s="305"/>
      <c r="BU1931" s="305"/>
      <c r="BV1931" s="305"/>
      <c r="BX1931" s="319"/>
    </row>
    <row r="1932" spans="1:76" s="303" customFormat="1" x14ac:dyDescent="0.25">
      <c r="A1932" s="275"/>
      <c r="B1932" s="275"/>
      <c r="C1932" s="275"/>
      <c r="D1932" s="275"/>
      <c r="E1932" s="275"/>
      <c r="F1932" s="275"/>
      <c r="V1932" s="304"/>
      <c r="W1932" s="304"/>
      <c r="AD1932" s="304"/>
      <c r="AE1932" s="304"/>
      <c r="AR1932" s="304"/>
      <c r="AS1932" s="304"/>
      <c r="AT1932" s="304"/>
      <c r="AU1932" s="304"/>
      <c r="AV1932" s="304"/>
      <c r="AW1932" s="304"/>
      <c r="AX1932" s="304"/>
      <c r="AY1932" s="304"/>
      <c r="AZ1932" s="304"/>
      <c r="BA1932" s="304"/>
      <c r="BB1932" s="304"/>
      <c r="BC1932" s="304"/>
      <c r="BK1932" s="305"/>
      <c r="BL1932" s="305"/>
      <c r="BM1932" s="305"/>
      <c r="BN1932" s="305"/>
      <c r="BO1932" s="305"/>
      <c r="BP1932" s="305"/>
      <c r="BQ1932" s="305"/>
      <c r="BR1932" s="305"/>
      <c r="BS1932" s="305"/>
      <c r="BT1932" s="305"/>
      <c r="BU1932" s="305"/>
      <c r="BV1932" s="305"/>
      <c r="BX1932" s="319"/>
    </row>
    <row r="1933" spans="1:76" s="303" customFormat="1" x14ac:dyDescent="0.25">
      <c r="A1933" s="275"/>
      <c r="B1933" s="275"/>
      <c r="C1933" s="275"/>
      <c r="D1933" s="275"/>
      <c r="E1933" s="275"/>
      <c r="F1933" s="275"/>
      <c r="V1933" s="304"/>
      <c r="W1933" s="304"/>
      <c r="AD1933" s="304"/>
      <c r="AE1933" s="304"/>
      <c r="AR1933" s="304"/>
      <c r="AS1933" s="304"/>
      <c r="AT1933" s="304"/>
      <c r="AU1933" s="304"/>
      <c r="AV1933" s="304"/>
      <c r="AW1933" s="304"/>
      <c r="AX1933" s="304"/>
      <c r="AY1933" s="304"/>
      <c r="AZ1933" s="304"/>
      <c r="BA1933" s="304"/>
      <c r="BB1933" s="304"/>
      <c r="BC1933" s="304"/>
      <c r="BK1933" s="305"/>
      <c r="BL1933" s="305"/>
      <c r="BM1933" s="305"/>
      <c r="BN1933" s="305"/>
      <c r="BO1933" s="305"/>
      <c r="BP1933" s="305"/>
      <c r="BQ1933" s="305"/>
      <c r="BR1933" s="305"/>
      <c r="BS1933" s="305"/>
      <c r="BT1933" s="305"/>
      <c r="BU1933" s="305"/>
      <c r="BV1933" s="305"/>
      <c r="BX1933" s="319"/>
    </row>
    <row r="1934" spans="1:76" s="303" customFormat="1" x14ac:dyDescent="0.25">
      <c r="A1934" s="275"/>
      <c r="B1934" s="275"/>
      <c r="C1934" s="275"/>
      <c r="D1934" s="275"/>
      <c r="E1934" s="275"/>
      <c r="F1934" s="275"/>
      <c r="V1934" s="304"/>
      <c r="W1934" s="304"/>
      <c r="AD1934" s="304"/>
      <c r="AE1934" s="304"/>
      <c r="AR1934" s="304"/>
      <c r="AS1934" s="304"/>
      <c r="AT1934" s="304"/>
      <c r="AU1934" s="304"/>
      <c r="AV1934" s="304"/>
      <c r="AW1934" s="304"/>
      <c r="AX1934" s="304"/>
      <c r="AY1934" s="304"/>
      <c r="AZ1934" s="304"/>
      <c r="BA1934" s="304"/>
      <c r="BB1934" s="304"/>
      <c r="BC1934" s="304"/>
      <c r="BK1934" s="305"/>
      <c r="BL1934" s="305"/>
      <c r="BM1934" s="305"/>
      <c r="BN1934" s="305"/>
      <c r="BO1934" s="305"/>
      <c r="BP1934" s="305"/>
      <c r="BQ1934" s="305"/>
      <c r="BR1934" s="305"/>
      <c r="BS1934" s="305"/>
      <c r="BT1934" s="305"/>
      <c r="BU1934" s="305"/>
      <c r="BV1934" s="305"/>
      <c r="BX1934" s="319"/>
    </row>
    <row r="1935" spans="1:76" s="303" customFormat="1" x14ac:dyDescent="0.25">
      <c r="A1935" s="275"/>
      <c r="B1935" s="275"/>
      <c r="C1935" s="275"/>
      <c r="D1935" s="275"/>
      <c r="E1935" s="275"/>
      <c r="F1935" s="275"/>
      <c r="V1935" s="304"/>
      <c r="W1935" s="304"/>
      <c r="AD1935" s="304"/>
      <c r="AE1935" s="304"/>
      <c r="AR1935" s="304"/>
      <c r="AS1935" s="304"/>
      <c r="AT1935" s="304"/>
      <c r="AU1935" s="304"/>
      <c r="AV1935" s="304"/>
      <c r="AW1935" s="304"/>
      <c r="AX1935" s="304"/>
      <c r="AY1935" s="304"/>
      <c r="AZ1935" s="304"/>
      <c r="BA1935" s="304"/>
      <c r="BB1935" s="304"/>
      <c r="BC1935" s="304"/>
      <c r="BK1935" s="305"/>
      <c r="BL1935" s="305"/>
      <c r="BM1935" s="305"/>
      <c r="BN1935" s="305"/>
      <c r="BO1935" s="305"/>
      <c r="BP1935" s="305"/>
      <c r="BQ1935" s="305"/>
      <c r="BR1935" s="305"/>
      <c r="BS1935" s="305"/>
      <c r="BT1935" s="305"/>
      <c r="BU1935" s="305"/>
      <c r="BV1935" s="305"/>
      <c r="BX1935" s="319"/>
    </row>
    <row r="1936" spans="1:76" s="303" customFormat="1" x14ac:dyDescent="0.25">
      <c r="A1936" s="275"/>
      <c r="B1936" s="275"/>
      <c r="C1936" s="275"/>
      <c r="D1936" s="275"/>
      <c r="E1936" s="275"/>
      <c r="F1936" s="275"/>
      <c r="V1936" s="304"/>
      <c r="W1936" s="304"/>
      <c r="AD1936" s="304"/>
      <c r="AE1936" s="304"/>
      <c r="AR1936" s="304"/>
      <c r="AS1936" s="304"/>
      <c r="AT1936" s="304"/>
      <c r="AU1936" s="304"/>
      <c r="AV1936" s="304"/>
      <c r="AW1936" s="304"/>
      <c r="AX1936" s="304"/>
      <c r="AY1936" s="304"/>
      <c r="AZ1936" s="304"/>
      <c r="BA1936" s="304"/>
      <c r="BB1936" s="304"/>
      <c r="BC1936" s="304"/>
      <c r="BK1936" s="305"/>
      <c r="BL1936" s="305"/>
      <c r="BM1936" s="305"/>
      <c r="BN1936" s="305"/>
      <c r="BO1936" s="305"/>
      <c r="BP1936" s="305"/>
      <c r="BQ1936" s="305"/>
      <c r="BR1936" s="305"/>
      <c r="BS1936" s="305"/>
      <c r="BT1936" s="305"/>
      <c r="BU1936" s="305"/>
      <c r="BV1936" s="305"/>
      <c r="BX1936" s="319"/>
    </row>
    <row r="1937" spans="1:76" s="303" customFormat="1" x14ac:dyDescent="0.25">
      <c r="A1937" s="275"/>
      <c r="B1937" s="275"/>
      <c r="C1937" s="275"/>
      <c r="D1937" s="275"/>
      <c r="E1937" s="275"/>
      <c r="F1937" s="275"/>
      <c r="V1937" s="304"/>
      <c r="W1937" s="304"/>
      <c r="AD1937" s="304"/>
      <c r="AE1937" s="304"/>
      <c r="AR1937" s="304"/>
      <c r="AS1937" s="304"/>
      <c r="AT1937" s="304"/>
      <c r="AU1937" s="304"/>
      <c r="AV1937" s="304"/>
      <c r="AW1937" s="304"/>
      <c r="AX1937" s="304"/>
      <c r="AY1937" s="304"/>
      <c r="AZ1937" s="304"/>
      <c r="BA1937" s="304"/>
      <c r="BB1937" s="304"/>
      <c r="BC1937" s="304"/>
      <c r="BK1937" s="305"/>
      <c r="BL1937" s="305"/>
      <c r="BM1937" s="305"/>
      <c r="BN1937" s="305"/>
      <c r="BO1937" s="305"/>
      <c r="BP1937" s="305"/>
      <c r="BQ1937" s="305"/>
      <c r="BR1937" s="305"/>
      <c r="BS1937" s="305"/>
      <c r="BT1937" s="305"/>
      <c r="BU1937" s="305"/>
      <c r="BV1937" s="305"/>
      <c r="BX1937" s="319"/>
    </row>
    <row r="1938" spans="1:76" s="303" customFormat="1" x14ac:dyDescent="0.25">
      <c r="A1938" s="275"/>
      <c r="B1938" s="275"/>
      <c r="C1938" s="275"/>
      <c r="D1938" s="275"/>
      <c r="E1938" s="275"/>
      <c r="F1938" s="275"/>
      <c r="V1938" s="304"/>
      <c r="W1938" s="304"/>
      <c r="AD1938" s="304"/>
      <c r="AE1938" s="304"/>
      <c r="AR1938" s="304"/>
      <c r="AS1938" s="304"/>
      <c r="AT1938" s="304"/>
      <c r="AU1938" s="304"/>
      <c r="AV1938" s="304"/>
      <c r="AW1938" s="304"/>
      <c r="AX1938" s="304"/>
      <c r="AY1938" s="304"/>
      <c r="AZ1938" s="304"/>
      <c r="BA1938" s="304"/>
      <c r="BB1938" s="304"/>
      <c r="BC1938" s="304"/>
      <c r="BK1938" s="305"/>
      <c r="BL1938" s="305"/>
      <c r="BM1938" s="305"/>
      <c r="BN1938" s="305"/>
      <c r="BO1938" s="305"/>
      <c r="BP1938" s="305"/>
      <c r="BQ1938" s="305"/>
      <c r="BR1938" s="305"/>
      <c r="BS1938" s="305"/>
      <c r="BT1938" s="305"/>
      <c r="BU1938" s="305"/>
      <c r="BV1938" s="305"/>
      <c r="BX1938" s="319"/>
    </row>
    <row r="1939" spans="1:76" s="303" customFormat="1" x14ac:dyDescent="0.25">
      <c r="A1939" s="275"/>
      <c r="B1939" s="275"/>
      <c r="C1939" s="275"/>
      <c r="D1939" s="275"/>
      <c r="E1939" s="275"/>
      <c r="F1939" s="275"/>
      <c r="V1939" s="304"/>
      <c r="W1939" s="304"/>
      <c r="AD1939" s="304"/>
      <c r="AE1939" s="304"/>
      <c r="AR1939" s="304"/>
      <c r="AS1939" s="304"/>
      <c r="AT1939" s="304"/>
      <c r="AU1939" s="304"/>
      <c r="AV1939" s="304"/>
      <c r="AW1939" s="304"/>
      <c r="AX1939" s="304"/>
      <c r="AY1939" s="304"/>
      <c r="AZ1939" s="304"/>
      <c r="BA1939" s="304"/>
      <c r="BB1939" s="304"/>
      <c r="BC1939" s="304"/>
      <c r="BK1939" s="305"/>
      <c r="BL1939" s="305"/>
      <c r="BM1939" s="305"/>
      <c r="BN1939" s="305"/>
      <c r="BO1939" s="305"/>
      <c r="BP1939" s="305"/>
      <c r="BQ1939" s="305"/>
      <c r="BR1939" s="305"/>
      <c r="BS1939" s="305"/>
      <c r="BT1939" s="305"/>
      <c r="BU1939" s="305"/>
      <c r="BV1939" s="305"/>
      <c r="BX1939" s="319"/>
    </row>
    <row r="1940" spans="1:76" s="303" customFormat="1" x14ac:dyDescent="0.25">
      <c r="A1940" s="275"/>
      <c r="B1940" s="275"/>
      <c r="C1940" s="275"/>
      <c r="D1940" s="275"/>
      <c r="E1940" s="275"/>
      <c r="F1940" s="275"/>
      <c r="V1940" s="304"/>
      <c r="W1940" s="304"/>
      <c r="AD1940" s="304"/>
      <c r="AE1940" s="304"/>
      <c r="AR1940" s="304"/>
      <c r="AS1940" s="304"/>
      <c r="AT1940" s="304"/>
      <c r="AU1940" s="304"/>
      <c r="AV1940" s="304"/>
      <c r="AW1940" s="304"/>
      <c r="AX1940" s="304"/>
      <c r="AY1940" s="304"/>
      <c r="AZ1940" s="304"/>
      <c r="BA1940" s="304"/>
      <c r="BB1940" s="304"/>
      <c r="BC1940" s="304"/>
      <c r="BK1940" s="305"/>
      <c r="BL1940" s="305"/>
      <c r="BM1940" s="305"/>
      <c r="BN1940" s="305"/>
      <c r="BO1940" s="305"/>
      <c r="BP1940" s="305"/>
      <c r="BQ1940" s="305"/>
      <c r="BR1940" s="305"/>
      <c r="BS1940" s="305"/>
      <c r="BT1940" s="305"/>
      <c r="BU1940" s="305"/>
      <c r="BV1940" s="305"/>
      <c r="BX1940" s="319"/>
    </row>
    <row r="1941" spans="1:76" s="303" customFormat="1" x14ac:dyDescent="0.25">
      <c r="A1941" s="275"/>
      <c r="B1941" s="275"/>
      <c r="C1941" s="275"/>
      <c r="D1941" s="275"/>
      <c r="E1941" s="275"/>
      <c r="F1941" s="275"/>
      <c r="V1941" s="304"/>
      <c r="W1941" s="304"/>
      <c r="AD1941" s="304"/>
      <c r="AE1941" s="304"/>
      <c r="AR1941" s="304"/>
      <c r="AS1941" s="304"/>
      <c r="AT1941" s="304"/>
      <c r="AU1941" s="304"/>
      <c r="AV1941" s="304"/>
      <c r="AW1941" s="304"/>
      <c r="AX1941" s="304"/>
      <c r="AY1941" s="304"/>
      <c r="AZ1941" s="304"/>
      <c r="BA1941" s="304"/>
      <c r="BB1941" s="304"/>
      <c r="BC1941" s="304"/>
      <c r="BK1941" s="305"/>
      <c r="BL1941" s="305"/>
      <c r="BM1941" s="305"/>
      <c r="BN1941" s="305"/>
      <c r="BO1941" s="305"/>
      <c r="BP1941" s="305"/>
      <c r="BQ1941" s="305"/>
      <c r="BR1941" s="305"/>
      <c r="BS1941" s="305"/>
      <c r="BT1941" s="305"/>
      <c r="BU1941" s="305"/>
      <c r="BV1941" s="305"/>
      <c r="BX1941" s="319"/>
    </row>
    <row r="1942" spans="1:76" s="303" customFormat="1" x14ac:dyDescent="0.25">
      <c r="A1942" s="275"/>
      <c r="B1942" s="275"/>
      <c r="C1942" s="275"/>
      <c r="D1942" s="275"/>
      <c r="E1942" s="275"/>
      <c r="F1942" s="275"/>
      <c r="V1942" s="304"/>
      <c r="W1942" s="304"/>
      <c r="AD1942" s="304"/>
      <c r="AE1942" s="304"/>
      <c r="AR1942" s="304"/>
      <c r="AS1942" s="304"/>
      <c r="AT1942" s="304"/>
      <c r="AU1942" s="304"/>
      <c r="AV1942" s="304"/>
      <c r="AW1942" s="304"/>
      <c r="AX1942" s="304"/>
      <c r="AY1942" s="304"/>
      <c r="AZ1942" s="304"/>
      <c r="BA1942" s="304"/>
      <c r="BB1942" s="304"/>
      <c r="BC1942" s="304"/>
      <c r="BK1942" s="305"/>
      <c r="BL1942" s="305"/>
      <c r="BM1942" s="305"/>
      <c r="BN1942" s="305"/>
      <c r="BO1942" s="305"/>
      <c r="BP1942" s="305"/>
      <c r="BQ1942" s="305"/>
      <c r="BR1942" s="305"/>
      <c r="BS1942" s="305"/>
      <c r="BT1942" s="305"/>
      <c r="BU1942" s="305"/>
      <c r="BV1942" s="305"/>
      <c r="BX1942" s="319"/>
    </row>
    <row r="1943" spans="1:76" s="303" customFormat="1" x14ac:dyDescent="0.25">
      <c r="A1943" s="275"/>
      <c r="B1943" s="275"/>
      <c r="C1943" s="275"/>
      <c r="D1943" s="275"/>
      <c r="E1943" s="275"/>
      <c r="F1943" s="275"/>
      <c r="V1943" s="304"/>
      <c r="W1943" s="304"/>
      <c r="AD1943" s="304"/>
      <c r="AE1943" s="304"/>
      <c r="AR1943" s="304"/>
      <c r="AS1943" s="304"/>
      <c r="AT1943" s="304"/>
      <c r="AU1943" s="304"/>
      <c r="AV1943" s="304"/>
      <c r="AW1943" s="304"/>
      <c r="AX1943" s="304"/>
      <c r="AY1943" s="304"/>
      <c r="AZ1943" s="304"/>
      <c r="BA1943" s="304"/>
      <c r="BB1943" s="304"/>
      <c r="BC1943" s="304"/>
      <c r="BK1943" s="305"/>
      <c r="BL1943" s="305"/>
      <c r="BM1943" s="305"/>
      <c r="BN1943" s="305"/>
      <c r="BO1943" s="305"/>
      <c r="BP1943" s="305"/>
      <c r="BQ1943" s="305"/>
      <c r="BR1943" s="305"/>
      <c r="BS1943" s="305"/>
      <c r="BT1943" s="305"/>
      <c r="BU1943" s="305"/>
      <c r="BV1943" s="305"/>
      <c r="BX1943" s="319"/>
    </row>
    <row r="1944" spans="1:76" s="303" customFormat="1" x14ac:dyDescent="0.25">
      <c r="A1944" s="275"/>
      <c r="B1944" s="275"/>
      <c r="C1944" s="275"/>
      <c r="D1944" s="275"/>
      <c r="E1944" s="275"/>
      <c r="F1944" s="275"/>
      <c r="V1944" s="304"/>
      <c r="W1944" s="304"/>
      <c r="AD1944" s="304"/>
      <c r="AE1944" s="304"/>
      <c r="AR1944" s="304"/>
      <c r="AS1944" s="304"/>
      <c r="AT1944" s="304"/>
      <c r="AU1944" s="304"/>
      <c r="AV1944" s="304"/>
      <c r="AW1944" s="304"/>
      <c r="AX1944" s="304"/>
      <c r="AY1944" s="304"/>
      <c r="AZ1944" s="304"/>
      <c r="BA1944" s="304"/>
      <c r="BB1944" s="304"/>
      <c r="BC1944" s="304"/>
      <c r="BK1944" s="305"/>
      <c r="BL1944" s="305"/>
      <c r="BM1944" s="305"/>
      <c r="BN1944" s="305"/>
      <c r="BO1944" s="305"/>
      <c r="BP1944" s="305"/>
      <c r="BQ1944" s="305"/>
      <c r="BR1944" s="305"/>
      <c r="BS1944" s="305"/>
      <c r="BT1944" s="305"/>
      <c r="BU1944" s="305"/>
      <c r="BV1944" s="305"/>
      <c r="BX1944" s="319"/>
    </row>
    <row r="1945" spans="1:76" s="303" customFormat="1" x14ac:dyDescent="0.25">
      <c r="A1945" s="275"/>
      <c r="B1945" s="275"/>
      <c r="C1945" s="275"/>
      <c r="D1945" s="275"/>
      <c r="E1945" s="275"/>
      <c r="F1945" s="275"/>
      <c r="V1945" s="304"/>
      <c r="W1945" s="304"/>
      <c r="AD1945" s="304"/>
      <c r="AE1945" s="304"/>
      <c r="AR1945" s="304"/>
      <c r="AS1945" s="304"/>
      <c r="AT1945" s="304"/>
      <c r="AU1945" s="304"/>
      <c r="AV1945" s="304"/>
      <c r="AW1945" s="304"/>
      <c r="AX1945" s="304"/>
      <c r="AY1945" s="304"/>
      <c r="AZ1945" s="304"/>
      <c r="BA1945" s="304"/>
      <c r="BB1945" s="304"/>
      <c r="BC1945" s="304"/>
      <c r="BK1945" s="305"/>
      <c r="BL1945" s="305"/>
      <c r="BM1945" s="305"/>
      <c r="BN1945" s="305"/>
      <c r="BO1945" s="305"/>
      <c r="BP1945" s="305"/>
      <c r="BQ1945" s="305"/>
      <c r="BR1945" s="305"/>
      <c r="BS1945" s="305"/>
      <c r="BT1945" s="305"/>
      <c r="BU1945" s="305"/>
      <c r="BV1945" s="305"/>
      <c r="BX1945" s="319"/>
    </row>
    <row r="1946" spans="1:76" s="303" customFormat="1" x14ac:dyDescent="0.25">
      <c r="A1946" s="275"/>
      <c r="B1946" s="275"/>
      <c r="C1946" s="275"/>
      <c r="D1946" s="275"/>
      <c r="E1946" s="275"/>
      <c r="F1946" s="275"/>
      <c r="V1946" s="304"/>
      <c r="W1946" s="304"/>
      <c r="AD1946" s="304"/>
      <c r="AE1946" s="304"/>
      <c r="AR1946" s="304"/>
      <c r="AS1946" s="304"/>
      <c r="AT1946" s="304"/>
      <c r="AU1946" s="304"/>
      <c r="AV1946" s="304"/>
      <c r="AW1946" s="304"/>
      <c r="AX1946" s="304"/>
      <c r="AY1946" s="304"/>
      <c r="AZ1946" s="304"/>
      <c r="BA1946" s="304"/>
      <c r="BB1946" s="304"/>
      <c r="BC1946" s="304"/>
      <c r="BK1946" s="305"/>
      <c r="BL1946" s="305"/>
      <c r="BM1946" s="305"/>
      <c r="BN1946" s="305"/>
      <c r="BO1946" s="305"/>
      <c r="BP1946" s="305"/>
      <c r="BQ1946" s="305"/>
      <c r="BR1946" s="305"/>
      <c r="BS1946" s="305"/>
      <c r="BT1946" s="305"/>
      <c r="BU1946" s="305"/>
      <c r="BV1946" s="305"/>
      <c r="BX1946" s="319"/>
    </row>
  </sheetData>
  <mergeCells count="35">
    <mergeCell ref="A197:E197"/>
    <mergeCell ref="A198:E198"/>
    <mergeCell ref="A199:E199"/>
    <mergeCell ref="A191:E191"/>
    <mergeCell ref="A192:E192"/>
    <mergeCell ref="A193:E193"/>
    <mergeCell ref="A194:E194"/>
    <mergeCell ref="A195:E195"/>
    <mergeCell ref="A196:E196"/>
    <mergeCell ref="A168:O168"/>
    <mergeCell ref="A10:O10"/>
    <mergeCell ref="A34:O34"/>
    <mergeCell ref="A39:O39"/>
    <mergeCell ref="A44:O44"/>
    <mergeCell ref="A49:O49"/>
    <mergeCell ref="A61:O61"/>
    <mergeCell ref="A74:O74"/>
    <mergeCell ref="A97:O97"/>
    <mergeCell ref="A109:O109"/>
    <mergeCell ref="A122:O122"/>
    <mergeCell ref="A145:O145"/>
    <mergeCell ref="N6:O7"/>
    <mergeCell ref="A7:A8"/>
    <mergeCell ref="B7:B8"/>
    <mergeCell ref="H7:I7"/>
    <mergeCell ref="J7:K7"/>
    <mergeCell ref="L7:M7"/>
    <mergeCell ref="D3:I3"/>
    <mergeCell ref="A6:B6"/>
    <mergeCell ref="C6:C8"/>
    <mergeCell ref="D6:D8"/>
    <mergeCell ref="E6:E8"/>
    <mergeCell ref="F6:F8"/>
    <mergeCell ref="G6:G8"/>
    <mergeCell ref="H6:M6"/>
  </mergeCells>
  <pageMargins left="0.31496062874794001" right="0.31496062874794001" top="0.78740155696868896" bottom="0.31496062874794001" header="0.19685038924217199" footer="0.19685038924217199"/>
  <pageSetup paperSize="9" fitToHeight="0" pageOrder="overThenDown" orientation="landscape"/>
  <headerFooter alignWithMargins="0">
    <oddFooter>&amp;RСтраница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FCD93A-C355-40F0-BCD4-D6A459E383CE}">
  <sheetPr>
    <pageSetUpPr fitToPage="1"/>
  </sheetPr>
  <dimension ref="A1:P233"/>
  <sheetViews>
    <sheetView zoomScale="80" zoomScaleNormal="80" workbookViewId="0">
      <pane ySplit="1" topLeftCell="A2" activePane="bottomLeft" state="frozen"/>
      <selection pane="bottomLeft" activeCell="L19" sqref="L19:O19"/>
    </sheetView>
  </sheetViews>
  <sheetFormatPr defaultRowHeight="15" x14ac:dyDescent="0.25"/>
  <cols>
    <col min="1" max="1" width="5.85546875" style="218" customWidth="1"/>
    <col min="2" max="2" width="17.42578125" style="218" customWidth="1"/>
    <col min="3" max="3" width="58.140625" style="235" customWidth="1"/>
    <col min="4" max="4" width="11.140625" style="217" customWidth="1"/>
    <col min="5" max="5" width="11" style="217" customWidth="1"/>
    <col min="6" max="6" width="13.140625" style="234" customWidth="1"/>
    <col min="7" max="7" width="11.140625" style="230" customWidth="1"/>
    <col min="8" max="8" width="10.7109375" style="217" customWidth="1"/>
    <col min="9" max="9" width="10.7109375" style="218" customWidth="1"/>
    <col min="10" max="10" width="9.42578125" style="218" customWidth="1"/>
    <col min="11" max="11" width="10.42578125" style="218" customWidth="1"/>
    <col min="12" max="12" width="10.85546875" style="218" customWidth="1"/>
    <col min="13" max="18" width="9.140625" style="218"/>
    <col min="19" max="19" width="34.42578125" style="218" customWidth="1"/>
    <col min="20" max="16384" width="9.140625" style="218"/>
  </cols>
  <sheetData>
    <row r="1" spans="1:16" s="224" customFormat="1" ht="56.25" x14ac:dyDescent="0.25">
      <c r="A1" s="112" t="s">
        <v>42</v>
      </c>
      <c r="B1" s="113" t="s">
        <v>43</v>
      </c>
      <c r="C1" s="113" t="s">
        <v>44</v>
      </c>
      <c r="D1" s="113" t="s">
        <v>45</v>
      </c>
      <c r="E1" s="113" t="s">
        <v>46</v>
      </c>
      <c r="F1" s="137" t="s">
        <v>49</v>
      </c>
      <c r="G1" s="223"/>
      <c r="N1" s="251" t="s">
        <v>545</v>
      </c>
      <c r="O1" s="251"/>
    </row>
    <row r="2" spans="1:16" x14ac:dyDescent="0.25">
      <c r="A2" s="118" t="s">
        <v>54</v>
      </c>
      <c r="B2" s="118"/>
      <c r="C2" s="240"/>
      <c r="D2" s="120"/>
      <c r="E2" s="120"/>
      <c r="F2" s="140"/>
      <c r="G2" s="219" t="s">
        <v>518</v>
      </c>
      <c r="H2" s="225" t="s">
        <v>519</v>
      </c>
      <c r="I2" s="225" t="s">
        <v>521</v>
      </c>
      <c r="J2" s="225" t="s">
        <v>538</v>
      </c>
      <c r="K2" s="225" t="s">
        <v>539</v>
      </c>
      <c r="L2" s="225" t="s">
        <v>542</v>
      </c>
      <c r="N2" s="225" t="s">
        <v>543</v>
      </c>
      <c r="O2" s="225" t="s">
        <v>544</v>
      </c>
    </row>
    <row r="3" spans="1:16" ht="22.5" x14ac:dyDescent="0.25">
      <c r="A3" s="123" t="s">
        <v>55</v>
      </c>
      <c r="B3" s="160" t="s">
        <v>56</v>
      </c>
      <c r="C3" s="221" t="s">
        <v>57</v>
      </c>
      <c r="D3" s="123" t="s">
        <v>58</v>
      </c>
      <c r="E3" s="161">
        <v>0.17549999999999999</v>
      </c>
      <c r="F3" s="162">
        <v>18806.66</v>
      </c>
      <c r="G3" s="226">
        <v>0</v>
      </c>
      <c r="H3" s="227">
        <v>0</v>
      </c>
      <c r="I3" s="227">
        <v>0</v>
      </c>
      <c r="J3" s="227">
        <v>0</v>
      </c>
      <c r="K3" s="227">
        <v>0</v>
      </c>
      <c r="L3" s="226">
        <f>SUM(G3:K3)</f>
        <v>0</v>
      </c>
      <c r="N3" s="227">
        <v>0</v>
      </c>
      <c r="O3" s="227">
        <v>0</v>
      </c>
    </row>
    <row r="4" spans="1:16" ht="22.5" x14ac:dyDescent="0.25">
      <c r="A4" s="123" t="s">
        <v>70</v>
      </c>
      <c r="B4" s="160" t="s">
        <v>71</v>
      </c>
      <c r="C4" s="221" t="s">
        <v>72</v>
      </c>
      <c r="D4" s="123" t="s">
        <v>73</v>
      </c>
      <c r="E4" s="161">
        <v>0.78</v>
      </c>
      <c r="F4" s="147">
        <v>207758.2</v>
      </c>
      <c r="G4" s="236">
        <f>37.5/1000</f>
        <v>3.7499999999999999E-2</v>
      </c>
      <c r="H4" s="236">
        <v>0</v>
      </c>
      <c r="I4" s="248">
        <f>37.95/1000</f>
        <v>3.7950000000000005E-2</v>
      </c>
      <c r="J4" s="248">
        <f>(6+2.92)/1000</f>
        <v>8.9199999999999991E-3</v>
      </c>
      <c r="K4" s="248">
        <f>5.25/1000</f>
        <v>5.2500000000000003E-3</v>
      </c>
      <c r="L4" s="212">
        <f t="shared" ref="L4:L26" si="0">SUM(G4:K4)</f>
        <v>8.9620000000000005E-2</v>
      </c>
      <c r="N4" s="248">
        <f>37.5/1000</f>
        <v>3.7499999999999999E-2</v>
      </c>
      <c r="O4" s="248">
        <f>37.5/1000</f>
        <v>3.7499999999999999E-2</v>
      </c>
      <c r="P4" s="218" t="s">
        <v>547</v>
      </c>
    </row>
    <row r="5" spans="1:16" ht="22.5" x14ac:dyDescent="0.25">
      <c r="A5" s="123" t="s">
        <v>75</v>
      </c>
      <c r="B5" s="117" t="s">
        <v>82</v>
      </c>
      <c r="C5" s="221" t="s">
        <v>83</v>
      </c>
      <c r="D5" s="123" t="s">
        <v>58</v>
      </c>
      <c r="E5" s="161">
        <v>4.5659999999999998</v>
      </c>
      <c r="F5" s="147">
        <v>90796.58</v>
      </c>
      <c r="G5" s="237">
        <f>29.98/100</f>
        <v>0.29980000000000001</v>
      </c>
      <c r="H5" s="236">
        <f>5.95/100</f>
        <v>5.9500000000000004E-2</v>
      </c>
      <c r="I5" s="236">
        <f>30.44/100</f>
        <v>0.3044</v>
      </c>
      <c r="J5" s="236">
        <f>6.59/100</f>
        <v>6.59E-2</v>
      </c>
      <c r="K5" s="236">
        <f>4.93/100</f>
        <v>4.9299999999999997E-2</v>
      </c>
      <c r="L5" s="238">
        <f t="shared" si="0"/>
        <v>0.77889999999999993</v>
      </c>
      <c r="N5" s="236">
        <f>31.06/100</f>
        <v>0.31059999999999999</v>
      </c>
      <c r="O5" s="236">
        <f>27.73/100</f>
        <v>0.27729999999999999</v>
      </c>
    </row>
    <row r="6" spans="1:16" ht="22.5" x14ac:dyDescent="0.25">
      <c r="A6" s="123" t="s">
        <v>88</v>
      </c>
      <c r="B6" s="160" t="s">
        <v>89</v>
      </c>
      <c r="C6" s="221" t="s">
        <v>90</v>
      </c>
      <c r="D6" s="123" t="s">
        <v>58</v>
      </c>
      <c r="E6" s="161">
        <v>2.08</v>
      </c>
      <c r="F6" s="162">
        <v>38470.42</v>
      </c>
      <c r="G6" s="238">
        <f>14.12/100</f>
        <v>0.14119999999999999</v>
      </c>
      <c r="H6" s="212">
        <f>2.48/100</f>
        <v>2.4799999999999999E-2</v>
      </c>
      <c r="I6" s="238">
        <f>13.06/100</f>
        <v>0.13059999999999999</v>
      </c>
      <c r="J6" s="249">
        <f>3/100</f>
        <v>0.03</v>
      </c>
      <c r="K6" s="238">
        <f>2.08/100</f>
        <v>2.0799999999999999E-2</v>
      </c>
      <c r="L6" s="238">
        <f t="shared" si="0"/>
        <v>0.34739999999999999</v>
      </c>
      <c r="N6" s="212">
        <f>14.55/100</f>
        <v>0.14550000000000002</v>
      </c>
      <c r="O6" s="238">
        <f>13.48/100</f>
        <v>0.1348</v>
      </c>
      <c r="P6" s="218" t="s">
        <v>548</v>
      </c>
    </row>
    <row r="7" spans="1:16" ht="22.5" x14ac:dyDescent="0.25">
      <c r="A7" s="123" t="s">
        <v>95</v>
      </c>
      <c r="B7" s="160" t="s">
        <v>96</v>
      </c>
      <c r="C7" s="221" t="s">
        <v>97</v>
      </c>
      <c r="D7" s="123" t="s">
        <v>58</v>
      </c>
      <c r="E7" s="161">
        <v>2.08</v>
      </c>
      <c r="F7" s="162">
        <v>316235.57</v>
      </c>
      <c r="G7" s="238">
        <f>14.12/100</f>
        <v>0.14119999999999999</v>
      </c>
      <c r="H7" s="238">
        <f>2.48/100</f>
        <v>2.4799999999999999E-2</v>
      </c>
      <c r="I7" s="238">
        <f>I6</f>
        <v>0.13059999999999999</v>
      </c>
      <c r="J7" s="249">
        <f>3/100</f>
        <v>0.03</v>
      </c>
      <c r="K7" s="238">
        <f>K6</f>
        <v>2.0799999999999999E-2</v>
      </c>
      <c r="L7" s="238">
        <f t="shared" si="0"/>
        <v>0.34739999999999999</v>
      </c>
      <c r="N7" s="238">
        <f>N6</f>
        <v>0.14550000000000002</v>
      </c>
      <c r="O7" s="238">
        <f>O6</f>
        <v>0.1348</v>
      </c>
    </row>
    <row r="8" spans="1:16" x14ac:dyDescent="0.25">
      <c r="A8" s="123" t="s">
        <v>103</v>
      </c>
      <c r="B8" s="160" t="s">
        <v>104</v>
      </c>
      <c r="C8" s="221" t="s">
        <v>105</v>
      </c>
      <c r="D8" s="123" t="s">
        <v>106</v>
      </c>
      <c r="E8" s="161">
        <v>262.08</v>
      </c>
      <c r="F8" s="162">
        <v>1628491.9</v>
      </c>
      <c r="G8" s="212">
        <f>1.26*100*G7</f>
        <v>17.7912</v>
      </c>
      <c r="H8" s="212">
        <f>1.26*100*H7</f>
        <v>3.1248</v>
      </c>
      <c r="I8" s="212">
        <f>1.26*100*I7</f>
        <v>16.4556</v>
      </c>
      <c r="J8" s="212">
        <f>1.26*100*J7</f>
        <v>3.78</v>
      </c>
      <c r="K8" s="212">
        <f>1.26*100*K7</f>
        <v>2.6208</v>
      </c>
      <c r="L8" s="212">
        <f t="shared" si="0"/>
        <v>43.772400000000005</v>
      </c>
      <c r="N8" s="212">
        <f>1.26*100*N7</f>
        <v>18.333000000000002</v>
      </c>
      <c r="O8" s="212">
        <f>1.26*100*O7</f>
        <v>16.9848</v>
      </c>
    </row>
    <row r="9" spans="1:16" ht="22.5" x14ac:dyDescent="0.25">
      <c r="A9" s="123" t="s">
        <v>109</v>
      </c>
      <c r="B9" s="160" t="s">
        <v>110</v>
      </c>
      <c r="C9" s="221" t="s">
        <v>111</v>
      </c>
      <c r="D9" s="123" t="s">
        <v>73</v>
      </c>
      <c r="E9" s="161">
        <v>0.4647</v>
      </c>
      <c r="F9" s="162">
        <v>7513342.6799999997</v>
      </c>
      <c r="G9" s="238">
        <f>37.5/1000</f>
        <v>3.7499999999999999E-2</v>
      </c>
      <c r="H9" s="238">
        <f>6.4/1000</f>
        <v>6.4000000000000003E-3</v>
      </c>
      <c r="I9" s="250">
        <f>37.95/1000</f>
        <v>3.7950000000000005E-2</v>
      </c>
      <c r="J9" s="250">
        <f>8.92/1000</f>
        <v>8.9199999999999991E-3</v>
      </c>
      <c r="K9" s="250">
        <f>5.25/1000</f>
        <v>5.2500000000000003E-3</v>
      </c>
      <c r="L9" s="238">
        <f t="shared" si="0"/>
        <v>9.6020000000000008E-2</v>
      </c>
      <c r="N9" s="238">
        <f>37.5/1000</f>
        <v>3.7499999999999999E-2</v>
      </c>
      <c r="O9" s="238">
        <f>37.5/1000</f>
        <v>3.7499999999999999E-2</v>
      </c>
    </row>
    <row r="10" spans="1:16" s="229" customFormat="1" ht="22.5" x14ac:dyDescent="0.25">
      <c r="A10" s="166" t="s">
        <v>112</v>
      </c>
      <c r="B10" s="167" t="s">
        <v>113</v>
      </c>
      <c r="C10" s="222" t="s">
        <v>114</v>
      </c>
      <c r="D10" s="166" t="s">
        <v>115</v>
      </c>
      <c r="E10" s="169">
        <v>-855</v>
      </c>
      <c r="F10" s="170">
        <v>-1527842.25</v>
      </c>
      <c r="G10" s="228" t="s">
        <v>540</v>
      </c>
      <c r="H10" s="228" t="s">
        <v>540</v>
      </c>
      <c r="I10" s="228" t="s">
        <v>540</v>
      </c>
      <c r="J10" s="228" t="s">
        <v>540</v>
      </c>
      <c r="K10" s="228" t="s">
        <v>540</v>
      </c>
      <c r="L10" s="228" t="s">
        <v>540</v>
      </c>
      <c r="N10" s="228" t="s">
        <v>540</v>
      </c>
      <c r="O10" s="228" t="s">
        <v>540</v>
      </c>
    </row>
    <row r="11" spans="1:16" s="229" customFormat="1" x14ac:dyDescent="0.25">
      <c r="A11" s="166" t="s">
        <v>116</v>
      </c>
      <c r="B11" s="167" t="s">
        <v>117</v>
      </c>
      <c r="C11" s="222" t="s">
        <v>118</v>
      </c>
      <c r="D11" s="166" t="s">
        <v>115</v>
      </c>
      <c r="E11" s="169">
        <v>-1710</v>
      </c>
      <c r="F11" s="170">
        <v>-708444.45</v>
      </c>
      <c r="G11" s="228" t="s">
        <v>540</v>
      </c>
      <c r="H11" s="228" t="s">
        <v>540</v>
      </c>
      <c r="I11" s="228" t="s">
        <v>540</v>
      </c>
      <c r="J11" s="228" t="s">
        <v>540</v>
      </c>
      <c r="K11" s="228" t="s">
        <v>540</v>
      </c>
      <c r="L11" s="228" t="s">
        <v>540</v>
      </c>
      <c r="N11" s="228" t="s">
        <v>540</v>
      </c>
      <c r="O11" s="228" t="s">
        <v>540</v>
      </c>
    </row>
    <row r="12" spans="1:16" ht="22.5" x14ac:dyDescent="0.25">
      <c r="A12" s="123" t="s">
        <v>119</v>
      </c>
      <c r="B12" s="160" t="s">
        <v>120</v>
      </c>
      <c r="C12" s="221" t="s">
        <v>121</v>
      </c>
      <c r="D12" s="123" t="s">
        <v>115</v>
      </c>
      <c r="E12" s="161">
        <v>855</v>
      </c>
      <c r="F12" s="162">
        <v>11682341.33</v>
      </c>
      <c r="G12" s="143">
        <v>69</v>
      </c>
      <c r="H12" s="132">
        <v>12</v>
      </c>
      <c r="I12" s="132">
        <v>61</v>
      </c>
      <c r="J12" s="132">
        <v>8</v>
      </c>
      <c r="K12" s="132">
        <v>11</v>
      </c>
      <c r="L12" s="213">
        <f t="shared" si="0"/>
        <v>161</v>
      </c>
      <c r="N12" s="132">
        <v>69</v>
      </c>
      <c r="O12" s="132">
        <v>69</v>
      </c>
    </row>
    <row r="13" spans="1:16" s="229" customFormat="1" ht="22.5" x14ac:dyDescent="0.25">
      <c r="A13" s="166" t="s">
        <v>124</v>
      </c>
      <c r="B13" s="167" t="s">
        <v>125</v>
      </c>
      <c r="C13" s="222" t="s">
        <v>126</v>
      </c>
      <c r="D13" s="166" t="s">
        <v>127</v>
      </c>
      <c r="E13" s="169">
        <v>-0.307</v>
      </c>
      <c r="F13" s="170">
        <v>-30401.62</v>
      </c>
      <c r="G13" s="228" t="s">
        <v>540</v>
      </c>
      <c r="H13" s="228" t="s">
        <v>540</v>
      </c>
      <c r="I13" s="228" t="s">
        <v>540</v>
      </c>
      <c r="J13" s="228" t="s">
        <v>540</v>
      </c>
      <c r="K13" s="228" t="s">
        <v>540</v>
      </c>
      <c r="L13" s="228" t="s">
        <v>540</v>
      </c>
      <c r="N13" s="228" t="s">
        <v>540</v>
      </c>
      <c r="O13" s="228" t="s">
        <v>540</v>
      </c>
    </row>
    <row r="14" spans="1:16" x14ac:dyDescent="0.25">
      <c r="A14" s="123" t="s">
        <v>128</v>
      </c>
      <c r="B14" s="160" t="s">
        <v>120</v>
      </c>
      <c r="C14" s="221" t="s">
        <v>129</v>
      </c>
      <c r="D14" s="123" t="s">
        <v>130</v>
      </c>
      <c r="E14" s="161">
        <v>0.307</v>
      </c>
      <c r="F14" s="162">
        <v>84801.18</v>
      </c>
      <c r="G14" s="239">
        <v>5.1999999999999998E-2</v>
      </c>
      <c r="H14" s="239">
        <v>1.2999999999999999E-2</v>
      </c>
      <c r="I14" s="239">
        <v>0.05</v>
      </c>
      <c r="J14" s="239">
        <v>1.2999999999999999E-2</v>
      </c>
      <c r="K14" s="239">
        <v>1.4E-2</v>
      </c>
      <c r="L14" s="239">
        <f t="shared" si="0"/>
        <v>0.14200000000000002</v>
      </c>
      <c r="N14" s="239">
        <v>5.7000000000000002E-2</v>
      </c>
      <c r="O14" s="239">
        <v>5.5E-2</v>
      </c>
    </row>
    <row r="15" spans="1:16" s="229" customFormat="1" x14ac:dyDescent="0.25">
      <c r="A15" s="166" t="s">
        <v>132</v>
      </c>
      <c r="B15" s="167" t="s">
        <v>133</v>
      </c>
      <c r="C15" s="222" t="s">
        <v>134</v>
      </c>
      <c r="D15" s="166" t="s">
        <v>115</v>
      </c>
      <c r="E15" s="169">
        <v>-149</v>
      </c>
      <c r="F15" s="170">
        <v>-205672.15</v>
      </c>
      <c r="G15" s="228" t="s">
        <v>540</v>
      </c>
      <c r="H15" s="228" t="s">
        <v>540</v>
      </c>
      <c r="I15" s="228" t="s">
        <v>540</v>
      </c>
      <c r="J15" s="228" t="s">
        <v>540</v>
      </c>
      <c r="K15" s="228" t="s">
        <v>540</v>
      </c>
      <c r="L15" s="228" t="s">
        <v>540</v>
      </c>
      <c r="N15" s="228" t="s">
        <v>540</v>
      </c>
      <c r="O15" s="228" t="s">
        <v>540</v>
      </c>
    </row>
    <row r="16" spans="1:16" x14ac:dyDescent="0.25">
      <c r="A16" s="123" t="s">
        <v>135</v>
      </c>
      <c r="B16" s="160" t="s">
        <v>120</v>
      </c>
      <c r="C16" s="221" t="s">
        <v>136</v>
      </c>
      <c r="D16" s="123" t="s">
        <v>130</v>
      </c>
      <c r="E16" s="161">
        <v>3.18</v>
      </c>
      <c r="F16" s="162">
        <v>1185471.18</v>
      </c>
      <c r="G16" s="239">
        <v>0.36</v>
      </c>
      <c r="H16" s="239">
        <v>0.12</v>
      </c>
      <c r="I16" s="239">
        <v>0.24</v>
      </c>
      <c r="J16" s="239">
        <v>0.12</v>
      </c>
      <c r="K16" s="239">
        <v>0.12</v>
      </c>
      <c r="L16" s="239">
        <f t="shared" si="0"/>
        <v>0.96</v>
      </c>
      <c r="N16" s="239">
        <v>0.24</v>
      </c>
      <c r="O16" s="239">
        <v>0.24</v>
      </c>
    </row>
    <row r="17" spans="1:16" s="229" customFormat="1" x14ac:dyDescent="0.25">
      <c r="A17" s="166" t="s">
        <v>138</v>
      </c>
      <c r="B17" s="167" t="s">
        <v>139</v>
      </c>
      <c r="C17" s="222" t="s">
        <v>140</v>
      </c>
      <c r="D17" s="166" t="s">
        <v>141</v>
      </c>
      <c r="E17" s="169">
        <v>-929.4</v>
      </c>
      <c r="F17" s="170">
        <v>-3100850.16</v>
      </c>
      <c r="G17" s="228" t="s">
        <v>540</v>
      </c>
      <c r="H17" s="228" t="s">
        <v>540</v>
      </c>
      <c r="I17" s="228" t="s">
        <v>540</v>
      </c>
      <c r="J17" s="228" t="s">
        <v>540</v>
      </c>
      <c r="K17" s="228" t="s">
        <v>540</v>
      </c>
      <c r="L17" s="228" t="s">
        <v>540</v>
      </c>
      <c r="N17" s="228" t="s">
        <v>540</v>
      </c>
      <c r="O17" s="228" t="s">
        <v>540</v>
      </c>
    </row>
    <row r="18" spans="1:16" x14ac:dyDescent="0.25">
      <c r="A18" s="123" t="s">
        <v>142</v>
      </c>
      <c r="B18" s="160" t="s">
        <v>120</v>
      </c>
      <c r="C18" s="221" t="s">
        <v>143</v>
      </c>
      <c r="D18" s="123" t="s">
        <v>130</v>
      </c>
      <c r="E18" s="161">
        <v>60.75</v>
      </c>
      <c r="F18" s="162">
        <v>10553895.23</v>
      </c>
      <c r="G18" s="239">
        <f>64.88*37.5*2/1000</f>
        <v>4.8659999999999997</v>
      </c>
      <c r="H18" s="239">
        <f>64.88*6.4*2/1000</f>
        <v>0.83046399999999998</v>
      </c>
      <c r="I18" s="239">
        <f>64.88*37.95*2/1000</f>
        <v>4.9243920000000001</v>
      </c>
      <c r="J18" s="239">
        <f>64.88*8.92*2/1000</f>
        <v>1.1574591999999999</v>
      </c>
      <c r="K18" s="239">
        <f>64.88*5.25*2/1000</f>
        <v>0.68123999999999996</v>
      </c>
      <c r="L18" s="239">
        <f t="shared" si="0"/>
        <v>12.4595552</v>
      </c>
      <c r="N18" s="239">
        <f>64.88*75/1000</f>
        <v>4.8659999999999997</v>
      </c>
      <c r="O18" s="239">
        <f>64.88*75/1000</f>
        <v>4.8659999999999997</v>
      </c>
    </row>
    <row r="19" spans="1:16" x14ac:dyDescent="0.25">
      <c r="A19" s="123" t="s">
        <v>145</v>
      </c>
      <c r="B19" s="160" t="s">
        <v>120</v>
      </c>
      <c r="C19" s="221" t="s">
        <v>146</v>
      </c>
      <c r="D19" s="123" t="s">
        <v>147</v>
      </c>
      <c r="E19" s="161">
        <v>16</v>
      </c>
      <c r="F19" s="162">
        <v>262341.27</v>
      </c>
      <c r="G19" s="208">
        <v>2</v>
      </c>
      <c r="H19" s="208">
        <v>0</v>
      </c>
      <c r="I19" s="208">
        <v>4</v>
      </c>
      <c r="J19" s="208">
        <v>0</v>
      </c>
      <c r="K19" s="208">
        <v>0</v>
      </c>
      <c r="L19" s="213">
        <f t="shared" si="0"/>
        <v>6</v>
      </c>
      <c r="N19" s="208">
        <v>4</v>
      </c>
      <c r="O19" s="208">
        <v>4</v>
      </c>
    </row>
    <row r="20" spans="1:16" ht="22.5" x14ac:dyDescent="0.25">
      <c r="A20" s="252" t="s">
        <v>149</v>
      </c>
      <c r="B20" s="253" t="s">
        <v>150</v>
      </c>
      <c r="C20" s="254" t="s">
        <v>151</v>
      </c>
      <c r="D20" s="252" t="s">
        <v>152</v>
      </c>
      <c r="E20" s="242">
        <v>6.84</v>
      </c>
      <c r="F20" s="255">
        <v>2675.92</v>
      </c>
      <c r="G20" s="244">
        <f>0.18*2</f>
        <v>0.36</v>
      </c>
      <c r="H20" s="245">
        <f>E20/38*6</f>
        <v>1.08</v>
      </c>
      <c r="I20" s="245">
        <f>E20/38*4</f>
        <v>0.72</v>
      </c>
      <c r="J20" s="245">
        <f>E20/38*7</f>
        <v>1.26</v>
      </c>
      <c r="K20" s="244">
        <f>E20/38*6</f>
        <v>1.08</v>
      </c>
      <c r="L20" s="244">
        <f t="shared" si="0"/>
        <v>4.5</v>
      </c>
      <c r="N20" s="245">
        <f>E20/38*3</f>
        <v>0.54</v>
      </c>
      <c r="O20" s="245">
        <f>E20/38*3</f>
        <v>0.54</v>
      </c>
      <c r="P20" s="218" t="s">
        <v>546</v>
      </c>
    </row>
    <row r="21" spans="1:16" ht="22.5" x14ac:dyDescent="0.25">
      <c r="A21" s="123" t="s">
        <v>157</v>
      </c>
      <c r="B21" s="160" t="s">
        <v>158</v>
      </c>
      <c r="C21" s="221" t="s">
        <v>159</v>
      </c>
      <c r="D21" s="123" t="s">
        <v>160</v>
      </c>
      <c r="E21" s="161">
        <v>0.2051</v>
      </c>
      <c r="F21" s="162">
        <v>534393.89</v>
      </c>
      <c r="G21" s="214">
        <f>15.35/1000</f>
        <v>1.5349999999999999E-2</v>
      </c>
      <c r="H21" s="132">
        <f>2.71/1000</f>
        <v>2.7100000000000002E-3</v>
      </c>
      <c r="I21" s="132">
        <f>14.62/1000</f>
        <v>1.4619999999999999E-2</v>
      </c>
      <c r="J21" s="250">
        <f>4.24/1000</f>
        <v>4.2399999999999998E-3</v>
      </c>
      <c r="K21" s="132">
        <f>2.14/1000</f>
        <v>2.14E-3</v>
      </c>
      <c r="L21" s="214">
        <f t="shared" si="0"/>
        <v>3.9060000000000004E-2</v>
      </c>
      <c r="N21" s="250">
        <f>16.13/1000</f>
        <v>1.6129999999999999E-2</v>
      </c>
      <c r="O21" s="250">
        <f>14.21/1000</f>
        <v>1.421E-2</v>
      </c>
    </row>
    <row r="22" spans="1:16" x14ac:dyDescent="0.25">
      <c r="A22" s="117" t="s">
        <v>161</v>
      </c>
      <c r="B22" s="117"/>
      <c r="C22" s="221"/>
      <c r="D22" s="123"/>
      <c r="E22" s="123"/>
      <c r="F22" s="147"/>
      <c r="G22" s="226"/>
      <c r="H22" s="227"/>
      <c r="I22" s="227"/>
      <c r="J22" s="227"/>
      <c r="K22" s="227"/>
      <c r="L22" s="226"/>
      <c r="N22" s="227"/>
      <c r="O22" s="227"/>
    </row>
    <row r="23" spans="1:16" ht="33.75" x14ac:dyDescent="0.25">
      <c r="A23" s="123" t="s">
        <v>162</v>
      </c>
      <c r="B23" s="160" t="s">
        <v>163</v>
      </c>
      <c r="C23" s="221" t="s">
        <v>164</v>
      </c>
      <c r="D23" s="123" t="s">
        <v>165</v>
      </c>
      <c r="E23" s="161">
        <v>829.75</v>
      </c>
      <c r="F23" s="162">
        <v>42756.02</v>
      </c>
      <c r="G23" s="143">
        <f>(G3+G5)*1.75*100</f>
        <v>52.465000000000003</v>
      </c>
      <c r="H23" s="143">
        <f>(H3+H5)*1.75*100</f>
        <v>10.412500000000001</v>
      </c>
      <c r="I23" s="143">
        <f>(I3+I5)*1.75*100</f>
        <v>53.269999999999996</v>
      </c>
      <c r="J23" s="207">
        <f>(J3+J5)*1.75*100</f>
        <v>11.532499999999999</v>
      </c>
      <c r="K23" s="207">
        <f>(K3+K5)*1.75*100</f>
        <v>8.6274999999999995</v>
      </c>
      <c r="L23" s="215">
        <f t="shared" si="0"/>
        <v>136.3075</v>
      </c>
      <c r="N23" s="207">
        <f>(N3+N5)*1.75*100</f>
        <v>54.354999999999997</v>
      </c>
      <c r="O23" s="207">
        <f>(O3+O5)*1.75*100</f>
        <v>48.527500000000003</v>
      </c>
    </row>
    <row r="24" spans="1:16" ht="33.75" x14ac:dyDescent="0.25">
      <c r="A24" s="252" t="s">
        <v>166</v>
      </c>
      <c r="B24" s="253" t="s">
        <v>167</v>
      </c>
      <c r="C24" s="254" t="s">
        <v>168</v>
      </c>
      <c r="D24" s="252" t="s">
        <v>165</v>
      </c>
      <c r="E24" s="242">
        <v>86.37</v>
      </c>
      <c r="F24" s="255">
        <v>11384.09</v>
      </c>
      <c r="G24" s="244">
        <v>3.89</v>
      </c>
      <c r="H24" s="245">
        <v>0</v>
      </c>
      <c r="I24" s="245">
        <v>3.93</v>
      </c>
      <c r="J24" s="246">
        <v>0.93</v>
      </c>
      <c r="K24" s="246">
        <v>0.54</v>
      </c>
      <c r="L24" s="247">
        <f t="shared" si="0"/>
        <v>9.2899999999999991</v>
      </c>
      <c r="N24" s="246">
        <f>4.07+0.03</f>
        <v>4.1000000000000005</v>
      </c>
      <c r="O24" s="246">
        <f>3.89+0.17+0.01</f>
        <v>4.07</v>
      </c>
      <c r="P24" s="218" t="s">
        <v>546</v>
      </c>
    </row>
    <row r="25" spans="1:16" ht="22.5" x14ac:dyDescent="0.25">
      <c r="A25" s="252" t="s">
        <v>169</v>
      </c>
      <c r="B25" s="253" t="s">
        <v>170</v>
      </c>
      <c r="C25" s="254" t="s">
        <v>171</v>
      </c>
      <c r="D25" s="252" t="s">
        <v>165</v>
      </c>
      <c r="E25" s="242">
        <v>133.68</v>
      </c>
      <c r="F25" s="255">
        <v>22849.25</v>
      </c>
      <c r="G25" s="256">
        <v>2.8</v>
      </c>
      <c r="H25" s="246">
        <v>0</v>
      </c>
      <c r="I25" s="246">
        <v>2.48</v>
      </c>
      <c r="J25" s="246">
        <v>1.2</v>
      </c>
      <c r="K25" s="246">
        <v>0.56000000000000005</v>
      </c>
      <c r="L25" s="247">
        <f t="shared" si="0"/>
        <v>7.0399999999999991</v>
      </c>
      <c r="N25" s="246">
        <v>4.4800000000000004</v>
      </c>
      <c r="O25" s="246">
        <v>5.04</v>
      </c>
      <c r="P25" s="218" t="s">
        <v>546</v>
      </c>
    </row>
    <row r="26" spans="1:16" ht="33.75" x14ac:dyDescent="0.25">
      <c r="A26" s="123" t="s">
        <v>172</v>
      </c>
      <c r="B26" s="160" t="s">
        <v>173</v>
      </c>
      <c r="C26" s="221" t="s">
        <v>174</v>
      </c>
      <c r="D26" s="123" t="s">
        <v>165</v>
      </c>
      <c r="E26" s="161">
        <v>1049.8</v>
      </c>
      <c r="F26" s="162">
        <v>65727.17</v>
      </c>
      <c r="G26" s="215">
        <f>G23</f>
        <v>52.465000000000003</v>
      </c>
      <c r="H26" s="215">
        <f t="shared" ref="H26:K26" si="1">H23</f>
        <v>10.412500000000001</v>
      </c>
      <c r="I26" s="215">
        <f t="shared" si="1"/>
        <v>53.269999999999996</v>
      </c>
      <c r="J26" s="215">
        <f t="shared" si="1"/>
        <v>11.532499999999999</v>
      </c>
      <c r="K26" s="215">
        <f t="shared" si="1"/>
        <v>8.6274999999999995</v>
      </c>
      <c r="L26" s="215">
        <f t="shared" si="0"/>
        <v>136.3075</v>
      </c>
      <c r="N26" s="215">
        <f t="shared" ref="N26:O26" si="2">N23</f>
        <v>54.354999999999997</v>
      </c>
      <c r="O26" s="215">
        <f t="shared" si="2"/>
        <v>48.527500000000003</v>
      </c>
    </row>
    <row r="27" spans="1:16" hidden="1" x14ac:dyDescent="0.25">
      <c r="A27" s="114" t="s">
        <v>206</v>
      </c>
      <c r="B27" s="114"/>
      <c r="C27" s="220"/>
      <c r="D27" s="120"/>
      <c r="E27" s="120"/>
      <c r="F27" s="140"/>
    </row>
    <row r="28" spans="1:16" ht="22.5" hidden="1" x14ac:dyDescent="0.25">
      <c r="A28" s="123" t="s">
        <v>207</v>
      </c>
      <c r="B28" s="160" t="s">
        <v>208</v>
      </c>
      <c r="C28" s="221" t="s">
        <v>209</v>
      </c>
      <c r="D28" s="123" t="s">
        <v>210</v>
      </c>
      <c r="E28" s="161">
        <v>1</v>
      </c>
      <c r="F28" s="162">
        <v>44914.41</v>
      </c>
    </row>
    <row r="29" spans="1:16" ht="22.5" hidden="1" x14ac:dyDescent="0.25">
      <c r="A29" s="123" t="s">
        <v>211</v>
      </c>
      <c r="B29" s="160" t="s">
        <v>167</v>
      </c>
      <c r="C29" s="221" t="s">
        <v>212</v>
      </c>
      <c r="D29" s="123" t="s">
        <v>165</v>
      </c>
      <c r="E29" s="161">
        <v>8.6199999999999992</v>
      </c>
      <c r="F29" s="162">
        <v>1136.1500000000001</v>
      </c>
    </row>
    <row r="30" spans="1:16" ht="22.5" hidden="1" x14ac:dyDescent="0.25">
      <c r="A30" s="123" t="s">
        <v>213</v>
      </c>
      <c r="B30" s="160" t="s">
        <v>170</v>
      </c>
      <c r="C30" s="221" t="s">
        <v>214</v>
      </c>
      <c r="D30" s="123" t="s">
        <v>165</v>
      </c>
      <c r="E30" s="161">
        <v>5.04</v>
      </c>
      <c r="F30" s="162">
        <v>861.54</v>
      </c>
    </row>
    <row r="31" spans="1:16" ht="33.75" hidden="1" x14ac:dyDescent="0.25">
      <c r="A31" s="123" t="s">
        <v>215</v>
      </c>
      <c r="B31" s="160" t="s">
        <v>173</v>
      </c>
      <c r="C31" s="221" t="s">
        <v>174</v>
      </c>
      <c r="D31" s="123" t="s">
        <v>165</v>
      </c>
      <c r="E31" s="161">
        <v>13.66</v>
      </c>
      <c r="F31" s="162">
        <v>855.28</v>
      </c>
    </row>
    <row r="32" spans="1:16" hidden="1" x14ac:dyDescent="0.25">
      <c r="A32" s="114" t="s">
        <v>220</v>
      </c>
      <c r="B32" s="114"/>
      <c r="C32" s="220"/>
      <c r="D32" s="120"/>
      <c r="E32" s="120"/>
      <c r="F32" s="140"/>
    </row>
    <row r="33" spans="1:8" ht="22.5" hidden="1" x14ac:dyDescent="0.25">
      <c r="A33" s="123" t="s">
        <v>221</v>
      </c>
      <c r="B33" s="160" t="s">
        <v>208</v>
      </c>
      <c r="C33" s="221" t="s">
        <v>209</v>
      </c>
      <c r="D33" s="123" t="s">
        <v>210</v>
      </c>
      <c r="E33" s="161">
        <v>1</v>
      </c>
      <c r="F33" s="162">
        <v>44914.41</v>
      </c>
    </row>
    <row r="34" spans="1:8" ht="22.5" hidden="1" x14ac:dyDescent="0.25">
      <c r="A34" s="123" t="s">
        <v>222</v>
      </c>
      <c r="B34" s="160" t="s">
        <v>167</v>
      </c>
      <c r="C34" s="221" t="s">
        <v>212</v>
      </c>
      <c r="D34" s="123" t="s">
        <v>165</v>
      </c>
      <c r="E34" s="161">
        <v>8.6199999999999992</v>
      </c>
      <c r="F34" s="162">
        <v>1136.1500000000001</v>
      </c>
    </row>
    <row r="35" spans="1:8" ht="22.5" hidden="1" x14ac:dyDescent="0.25">
      <c r="A35" s="123" t="s">
        <v>223</v>
      </c>
      <c r="B35" s="160" t="s">
        <v>170</v>
      </c>
      <c r="C35" s="221" t="s">
        <v>214</v>
      </c>
      <c r="D35" s="123" t="s">
        <v>165</v>
      </c>
      <c r="E35" s="161">
        <v>5.04</v>
      </c>
      <c r="F35" s="162">
        <v>861.54</v>
      </c>
    </row>
    <row r="36" spans="1:8" ht="33.75" hidden="1" x14ac:dyDescent="0.25">
      <c r="A36" s="123" t="s">
        <v>224</v>
      </c>
      <c r="B36" s="160" t="s">
        <v>173</v>
      </c>
      <c r="C36" s="221" t="s">
        <v>174</v>
      </c>
      <c r="D36" s="123" t="s">
        <v>165</v>
      </c>
      <c r="E36" s="161">
        <v>13.66</v>
      </c>
      <c r="F36" s="162">
        <v>855.28</v>
      </c>
    </row>
    <row r="37" spans="1:8" hidden="1" x14ac:dyDescent="0.25">
      <c r="A37" s="114" t="s">
        <v>227</v>
      </c>
      <c r="B37" s="114"/>
      <c r="C37" s="220"/>
      <c r="D37" s="120"/>
      <c r="E37" s="120"/>
      <c r="F37" s="140"/>
    </row>
    <row r="38" spans="1:8" ht="22.5" hidden="1" x14ac:dyDescent="0.25">
      <c r="A38" s="123" t="s">
        <v>228</v>
      </c>
      <c r="B38" s="160" t="s">
        <v>208</v>
      </c>
      <c r="C38" s="221" t="s">
        <v>209</v>
      </c>
      <c r="D38" s="123" t="s">
        <v>210</v>
      </c>
      <c r="E38" s="161">
        <v>1</v>
      </c>
      <c r="F38" s="162">
        <v>44914.41</v>
      </c>
    </row>
    <row r="39" spans="1:8" ht="22.5" hidden="1" x14ac:dyDescent="0.25">
      <c r="A39" s="123" t="s">
        <v>229</v>
      </c>
      <c r="B39" s="160" t="s">
        <v>167</v>
      </c>
      <c r="C39" s="221" t="s">
        <v>212</v>
      </c>
      <c r="D39" s="123" t="s">
        <v>165</v>
      </c>
      <c r="E39" s="161">
        <v>11.71</v>
      </c>
      <c r="F39" s="162">
        <v>1543.51</v>
      </c>
    </row>
    <row r="40" spans="1:8" ht="22.5" hidden="1" x14ac:dyDescent="0.25">
      <c r="A40" s="123" t="s">
        <v>230</v>
      </c>
      <c r="B40" s="160" t="s">
        <v>170</v>
      </c>
      <c r="C40" s="221" t="s">
        <v>214</v>
      </c>
      <c r="D40" s="123" t="s">
        <v>165</v>
      </c>
      <c r="E40" s="161">
        <v>5.04</v>
      </c>
      <c r="F40" s="162">
        <v>861.54</v>
      </c>
    </row>
    <row r="41" spans="1:8" ht="33.75" hidden="1" x14ac:dyDescent="0.25">
      <c r="A41" s="123" t="s">
        <v>231</v>
      </c>
      <c r="B41" s="160" t="s">
        <v>173</v>
      </c>
      <c r="C41" s="221" t="s">
        <v>174</v>
      </c>
      <c r="D41" s="123" t="s">
        <v>165</v>
      </c>
      <c r="E41" s="161">
        <v>16.75</v>
      </c>
      <c r="F41" s="162">
        <v>1048.79</v>
      </c>
    </row>
    <row r="42" spans="1:8" x14ac:dyDescent="0.25">
      <c r="A42" s="118" t="s">
        <v>234</v>
      </c>
      <c r="B42" s="118"/>
      <c r="C42" s="240"/>
      <c r="D42" s="120"/>
      <c r="E42" s="120"/>
      <c r="F42" s="140"/>
      <c r="G42" s="219" t="s">
        <v>541</v>
      </c>
      <c r="H42" s="218"/>
    </row>
    <row r="43" spans="1:8" ht="22.5" x14ac:dyDescent="0.25">
      <c r="A43" s="123" t="s">
        <v>235</v>
      </c>
      <c r="B43" s="160" t="s">
        <v>208</v>
      </c>
      <c r="C43" s="241" t="s">
        <v>209</v>
      </c>
      <c r="D43" s="123" t="s">
        <v>210</v>
      </c>
      <c r="E43" s="161">
        <v>1</v>
      </c>
      <c r="F43" s="162">
        <v>44914.41</v>
      </c>
      <c r="G43" s="213">
        <v>1</v>
      </c>
      <c r="H43" s="218"/>
    </row>
    <row r="44" spans="1:8" ht="22.5" x14ac:dyDescent="0.25">
      <c r="A44" s="123" t="s">
        <v>236</v>
      </c>
      <c r="B44" s="160" t="s">
        <v>82</v>
      </c>
      <c r="C44" s="221" t="s">
        <v>83</v>
      </c>
      <c r="D44" s="123" t="s">
        <v>58</v>
      </c>
      <c r="E44" s="161">
        <v>0.34</v>
      </c>
      <c r="F44" s="162">
        <v>6761.04</v>
      </c>
      <c r="G44" s="215">
        <f>20.1/100</f>
        <v>0.20100000000000001</v>
      </c>
      <c r="H44" s="218"/>
    </row>
    <row r="45" spans="1:8" ht="22.5" x14ac:dyDescent="0.25">
      <c r="A45" s="123" t="s">
        <v>237</v>
      </c>
      <c r="B45" s="160" t="s">
        <v>89</v>
      </c>
      <c r="C45" s="221" t="s">
        <v>90</v>
      </c>
      <c r="D45" s="123" t="s">
        <v>58</v>
      </c>
      <c r="E45" s="161">
        <v>0.15540000000000001</v>
      </c>
      <c r="F45" s="162">
        <v>2874.51</v>
      </c>
      <c r="G45" s="212">
        <f>10.09/100</f>
        <v>0.1009</v>
      </c>
      <c r="H45" s="218"/>
    </row>
    <row r="46" spans="1:8" ht="22.5" x14ac:dyDescent="0.25">
      <c r="A46" s="123" t="s">
        <v>238</v>
      </c>
      <c r="B46" s="160" t="s">
        <v>96</v>
      </c>
      <c r="C46" s="221" t="s">
        <v>97</v>
      </c>
      <c r="D46" s="123" t="s">
        <v>58</v>
      </c>
      <c r="E46" s="161">
        <v>0.155</v>
      </c>
      <c r="F46" s="162">
        <v>23565.74</v>
      </c>
      <c r="G46" s="212">
        <f>G45</f>
        <v>0.1009</v>
      </c>
      <c r="H46" s="218"/>
    </row>
    <row r="47" spans="1:8" x14ac:dyDescent="0.25">
      <c r="A47" s="123" t="s">
        <v>239</v>
      </c>
      <c r="B47" s="160" t="s">
        <v>104</v>
      </c>
      <c r="C47" s="221" t="s">
        <v>105</v>
      </c>
      <c r="D47" s="123" t="s">
        <v>106</v>
      </c>
      <c r="E47" s="161">
        <v>19.53</v>
      </c>
      <c r="F47" s="162">
        <v>121353.95</v>
      </c>
      <c r="G47" s="212">
        <f>1.26*100*G46</f>
        <v>12.7134</v>
      </c>
      <c r="H47" s="218"/>
    </row>
    <row r="48" spans="1:8" ht="33.75" x14ac:dyDescent="0.25">
      <c r="A48" s="123" t="s">
        <v>240</v>
      </c>
      <c r="B48" s="160" t="s">
        <v>241</v>
      </c>
      <c r="C48" s="221" t="s">
        <v>242</v>
      </c>
      <c r="D48" s="123" t="s">
        <v>210</v>
      </c>
      <c r="E48" s="161">
        <v>1</v>
      </c>
      <c r="F48" s="162">
        <v>207003.6</v>
      </c>
      <c r="G48" s="164">
        <v>1</v>
      </c>
      <c r="H48" s="218"/>
    </row>
    <row r="49" spans="1:8" x14ac:dyDescent="0.25">
      <c r="A49" s="123" t="s">
        <v>243</v>
      </c>
      <c r="B49" s="160" t="s">
        <v>244</v>
      </c>
      <c r="C49" s="221" t="s">
        <v>245</v>
      </c>
      <c r="D49" s="123" t="s">
        <v>246</v>
      </c>
      <c r="E49" s="161">
        <v>1</v>
      </c>
      <c r="F49" s="162">
        <v>1667776.02</v>
      </c>
      <c r="G49" s="164">
        <v>1</v>
      </c>
      <c r="H49" s="218"/>
    </row>
    <row r="50" spans="1:8" ht="22.5" x14ac:dyDescent="0.25">
      <c r="A50" s="123" t="s">
        <v>248</v>
      </c>
      <c r="B50" s="160" t="s">
        <v>249</v>
      </c>
      <c r="C50" s="221" t="s">
        <v>250</v>
      </c>
      <c r="D50" s="123" t="s">
        <v>246</v>
      </c>
      <c r="E50" s="161">
        <v>1</v>
      </c>
      <c r="F50" s="162">
        <v>3596141.97</v>
      </c>
      <c r="G50" s="164">
        <v>1</v>
      </c>
      <c r="H50" s="218"/>
    </row>
    <row r="51" spans="1:8" ht="33.75" x14ac:dyDescent="0.25">
      <c r="A51" s="123" t="s">
        <v>252</v>
      </c>
      <c r="B51" s="160" t="s">
        <v>253</v>
      </c>
      <c r="C51" s="221" t="s">
        <v>254</v>
      </c>
      <c r="D51" s="123" t="s">
        <v>115</v>
      </c>
      <c r="E51" s="161">
        <v>1</v>
      </c>
      <c r="F51" s="162">
        <v>42192.34</v>
      </c>
      <c r="G51" s="164">
        <v>1</v>
      </c>
      <c r="H51" s="218"/>
    </row>
    <row r="52" spans="1:8" s="231" customFormat="1" x14ac:dyDescent="0.25">
      <c r="A52" s="257" t="s">
        <v>259</v>
      </c>
      <c r="B52" s="258" t="s">
        <v>260</v>
      </c>
      <c r="C52" s="241" t="s">
        <v>261</v>
      </c>
      <c r="D52" s="257" t="s">
        <v>115</v>
      </c>
      <c r="E52" s="259">
        <v>-2</v>
      </c>
      <c r="F52" s="260">
        <v>-5066.7299999999996</v>
      </c>
      <c r="G52" s="261">
        <v>-2</v>
      </c>
      <c r="H52" s="218"/>
    </row>
    <row r="53" spans="1:8" x14ac:dyDescent="0.25">
      <c r="A53" s="123" t="s">
        <v>262</v>
      </c>
      <c r="B53" s="160" t="s">
        <v>263</v>
      </c>
      <c r="C53" s="221" t="s">
        <v>264</v>
      </c>
      <c r="D53" s="123" t="s">
        <v>115</v>
      </c>
      <c r="E53" s="161">
        <v>2</v>
      </c>
      <c r="F53" s="162">
        <v>87727.09</v>
      </c>
      <c r="G53" s="164">
        <v>2</v>
      </c>
      <c r="H53" s="218"/>
    </row>
    <row r="54" spans="1:8" ht="22.5" x14ac:dyDescent="0.25">
      <c r="A54" s="123" t="s">
        <v>266</v>
      </c>
      <c r="B54" s="160" t="s">
        <v>267</v>
      </c>
      <c r="C54" s="221" t="s">
        <v>268</v>
      </c>
      <c r="D54" s="123" t="s">
        <v>115</v>
      </c>
      <c r="E54" s="161">
        <v>1</v>
      </c>
      <c r="F54" s="162">
        <v>156781.35</v>
      </c>
      <c r="G54" s="164">
        <v>1</v>
      </c>
      <c r="H54" s="218"/>
    </row>
    <row r="55" spans="1:8" x14ac:dyDescent="0.25">
      <c r="A55" s="123" t="s">
        <v>270</v>
      </c>
      <c r="B55" s="160" t="s">
        <v>120</v>
      </c>
      <c r="C55" s="221" t="s">
        <v>271</v>
      </c>
      <c r="D55" s="123" t="s">
        <v>115</v>
      </c>
      <c r="E55" s="161">
        <v>1</v>
      </c>
      <c r="F55" s="162">
        <v>4178.1000000000004</v>
      </c>
      <c r="G55" s="164">
        <v>1</v>
      </c>
      <c r="H55" s="218"/>
    </row>
    <row r="56" spans="1:8" ht="22.5" x14ac:dyDescent="0.25">
      <c r="A56" s="252" t="s">
        <v>273</v>
      </c>
      <c r="B56" s="253" t="s">
        <v>274</v>
      </c>
      <c r="C56" s="254" t="s">
        <v>275</v>
      </c>
      <c r="D56" s="252" t="s">
        <v>276</v>
      </c>
      <c r="E56" s="242">
        <v>0.06</v>
      </c>
      <c r="F56" s="255">
        <v>15658.24</v>
      </c>
      <c r="G56" s="242">
        <v>0</v>
      </c>
      <c r="H56" s="218" t="s">
        <v>546</v>
      </c>
    </row>
    <row r="57" spans="1:8" s="231" customFormat="1" x14ac:dyDescent="0.25">
      <c r="A57" s="262" t="s">
        <v>281</v>
      </c>
      <c r="B57" s="263" t="s">
        <v>282</v>
      </c>
      <c r="C57" s="264" t="s">
        <v>283</v>
      </c>
      <c r="D57" s="262" t="s">
        <v>127</v>
      </c>
      <c r="E57" s="243">
        <v>-2.9000000000000001E-2</v>
      </c>
      <c r="F57" s="265">
        <v>-2679.86</v>
      </c>
      <c r="G57" s="243">
        <v>0</v>
      </c>
      <c r="H57" s="218" t="s">
        <v>546</v>
      </c>
    </row>
    <row r="58" spans="1:8" x14ac:dyDescent="0.25">
      <c r="A58" s="252" t="s">
        <v>284</v>
      </c>
      <c r="B58" s="253" t="s">
        <v>120</v>
      </c>
      <c r="C58" s="254" t="s">
        <v>285</v>
      </c>
      <c r="D58" s="252" t="s">
        <v>130</v>
      </c>
      <c r="E58" s="242">
        <v>0.36</v>
      </c>
      <c r="F58" s="255">
        <v>134204.32</v>
      </c>
      <c r="G58" s="243">
        <v>0</v>
      </c>
      <c r="H58" s="218" t="s">
        <v>546</v>
      </c>
    </row>
    <row r="59" spans="1:8" x14ac:dyDescent="0.25">
      <c r="A59" s="252" t="s">
        <v>286</v>
      </c>
      <c r="B59" s="253" t="s">
        <v>120</v>
      </c>
      <c r="C59" s="254" t="s">
        <v>129</v>
      </c>
      <c r="D59" s="252" t="s">
        <v>130</v>
      </c>
      <c r="E59" s="242">
        <v>2.9000000000000001E-2</v>
      </c>
      <c r="F59" s="255">
        <v>8010.5</v>
      </c>
      <c r="G59" s="243">
        <v>0</v>
      </c>
      <c r="H59" s="218" t="s">
        <v>546</v>
      </c>
    </row>
    <row r="60" spans="1:8" ht="22.5" x14ac:dyDescent="0.25">
      <c r="A60" s="123" t="s">
        <v>287</v>
      </c>
      <c r="B60" s="160" t="s">
        <v>288</v>
      </c>
      <c r="C60" s="221" t="s">
        <v>289</v>
      </c>
      <c r="D60" s="123" t="s">
        <v>160</v>
      </c>
      <c r="E60" s="161">
        <v>1.333E-2</v>
      </c>
      <c r="F60" s="162">
        <v>34759.839999999997</v>
      </c>
      <c r="G60" s="214">
        <f>E60</f>
        <v>1.333E-2</v>
      </c>
      <c r="H60" s="218"/>
    </row>
    <row r="61" spans="1:8" x14ac:dyDescent="0.25">
      <c r="A61" s="117" t="s">
        <v>161</v>
      </c>
      <c r="B61" s="117"/>
      <c r="C61" s="221"/>
      <c r="D61" s="123"/>
      <c r="E61" s="123"/>
      <c r="F61" s="147"/>
      <c r="G61" s="226"/>
      <c r="H61" s="218"/>
    </row>
    <row r="62" spans="1:8" ht="33.75" x14ac:dyDescent="0.25">
      <c r="A62" s="123" t="s">
        <v>290</v>
      </c>
      <c r="B62" s="160" t="s">
        <v>163</v>
      </c>
      <c r="C62" s="221" t="s">
        <v>164</v>
      </c>
      <c r="D62" s="123" t="s">
        <v>165</v>
      </c>
      <c r="E62" s="161">
        <v>59.55</v>
      </c>
      <c r="F62" s="162">
        <v>3068.48</v>
      </c>
      <c r="G62" s="143">
        <f>G44*1.75*100</f>
        <v>35.174999999999997</v>
      </c>
      <c r="H62" s="218"/>
    </row>
    <row r="63" spans="1:8" ht="33.75" x14ac:dyDescent="0.25">
      <c r="A63" s="123" t="s">
        <v>291</v>
      </c>
      <c r="B63" s="160" t="s">
        <v>167</v>
      </c>
      <c r="C63" s="221" t="s">
        <v>292</v>
      </c>
      <c r="D63" s="123" t="s">
        <v>165</v>
      </c>
      <c r="E63" s="161">
        <v>9.9</v>
      </c>
      <c r="F63" s="162">
        <v>1304.8699999999999</v>
      </c>
      <c r="G63" s="143">
        <v>8.85</v>
      </c>
      <c r="H63" s="218"/>
    </row>
    <row r="64" spans="1:8" ht="22.5" x14ac:dyDescent="0.25">
      <c r="A64" s="123" t="s">
        <v>293</v>
      </c>
      <c r="B64" s="160" t="s">
        <v>170</v>
      </c>
      <c r="C64" s="221" t="s">
        <v>294</v>
      </c>
      <c r="D64" s="123" t="s">
        <v>165</v>
      </c>
      <c r="E64" s="161">
        <v>5</v>
      </c>
      <c r="F64" s="162">
        <v>854.62</v>
      </c>
      <c r="G64" s="143">
        <f>1.6+3.4</f>
        <v>5</v>
      </c>
      <c r="H64" s="218"/>
    </row>
    <row r="65" spans="1:8" ht="33.75" x14ac:dyDescent="0.25">
      <c r="A65" s="123" t="s">
        <v>295</v>
      </c>
      <c r="B65" s="160" t="s">
        <v>173</v>
      </c>
      <c r="C65" s="221" t="s">
        <v>174</v>
      </c>
      <c r="D65" s="123" t="s">
        <v>165</v>
      </c>
      <c r="E65" s="161">
        <v>74.45</v>
      </c>
      <c r="F65" s="162">
        <v>4661.3</v>
      </c>
      <c r="G65" s="143">
        <f>G62+G63+G64</f>
        <v>49.024999999999999</v>
      </c>
      <c r="H65" s="218"/>
    </row>
    <row r="66" spans="1:8" x14ac:dyDescent="0.25">
      <c r="A66" s="118" t="s">
        <v>307</v>
      </c>
      <c r="B66" s="118"/>
      <c r="C66" s="240"/>
      <c r="D66" s="120"/>
      <c r="E66" s="120"/>
      <c r="F66" s="140"/>
      <c r="G66" s="216" t="s">
        <v>541</v>
      </c>
    </row>
    <row r="67" spans="1:8" ht="22.5" x14ac:dyDescent="0.25">
      <c r="A67" s="123" t="s">
        <v>308</v>
      </c>
      <c r="B67" s="160" t="s">
        <v>208</v>
      </c>
      <c r="C67" s="221" t="s">
        <v>209</v>
      </c>
      <c r="D67" s="123" t="s">
        <v>210</v>
      </c>
      <c r="E67" s="161">
        <v>1</v>
      </c>
      <c r="F67" s="162">
        <v>44914.41</v>
      </c>
      <c r="G67" s="164">
        <v>1</v>
      </c>
    </row>
    <row r="68" spans="1:8" ht="22.5" x14ac:dyDescent="0.25">
      <c r="A68" s="123" t="s">
        <v>309</v>
      </c>
      <c r="B68" s="160" t="s">
        <v>82</v>
      </c>
      <c r="C68" s="221" t="s">
        <v>83</v>
      </c>
      <c r="D68" s="123" t="s">
        <v>58</v>
      </c>
      <c r="E68" s="161">
        <v>0.28999999999999998</v>
      </c>
      <c r="F68" s="162">
        <v>5766.65</v>
      </c>
      <c r="G68" s="212">
        <f>21.71/100</f>
        <v>0.21710000000000002</v>
      </c>
    </row>
    <row r="69" spans="1:8" ht="22.5" x14ac:dyDescent="0.25">
      <c r="A69" s="123" t="s">
        <v>310</v>
      </c>
      <c r="B69" s="160" t="s">
        <v>89</v>
      </c>
      <c r="C69" s="221" t="s">
        <v>90</v>
      </c>
      <c r="D69" s="123" t="s">
        <v>58</v>
      </c>
      <c r="E69" s="161">
        <v>0.1361</v>
      </c>
      <c r="F69" s="162">
        <v>2517.83</v>
      </c>
      <c r="G69" s="212">
        <f>10.4/100</f>
        <v>0.10400000000000001</v>
      </c>
    </row>
    <row r="70" spans="1:8" ht="22.5" x14ac:dyDescent="0.25">
      <c r="A70" s="123" t="s">
        <v>311</v>
      </c>
      <c r="B70" s="160" t="s">
        <v>96</v>
      </c>
      <c r="C70" s="221" t="s">
        <v>97</v>
      </c>
      <c r="D70" s="123" t="s">
        <v>58</v>
      </c>
      <c r="E70" s="161">
        <v>0.13600000000000001</v>
      </c>
      <c r="F70" s="162">
        <v>20676.61</v>
      </c>
      <c r="G70" s="212">
        <f>10.4/100</f>
        <v>0.10400000000000001</v>
      </c>
    </row>
    <row r="71" spans="1:8" x14ac:dyDescent="0.25">
      <c r="A71" s="123" t="s">
        <v>312</v>
      </c>
      <c r="B71" s="160" t="s">
        <v>104</v>
      </c>
      <c r="C71" s="221" t="s">
        <v>105</v>
      </c>
      <c r="D71" s="123" t="s">
        <v>106</v>
      </c>
      <c r="E71" s="161">
        <v>17.14</v>
      </c>
      <c r="F71" s="162">
        <v>106503.17</v>
      </c>
      <c r="G71" s="143">
        <f>1.26*G70*100</f>
        <v>13.104000000000001</v>
      </c>
    </row>
    <row r="72" spans="1:8" ht="33.75" x14ac:dyDescent="0.25">
      <c r="A72" s="123" t="s">
        <v>313</v>
      </c>
      <c r="B72" s="160" t="s">
        <v>241</v>
      </c>
      <c r="C72" s="221" t="s">
        <v>242</v>
      </c>
      <c r="D72" s="123" t="s">
        <v>210</v>
      </c>
      <c r="E72" s="161">
        <v>1</v>
      </c>
      <c r="F72" s="162">
        <v>207003.6</v>
      </c>
      <c r="G72" s="164">
        <v>1</v>
      </c>
    </row>
    <row r="73" spans="1:8" x14ac:dyDescent="0.25">
      <c r="A73" s="123" t="s">
        <v>314</v>
      </c>
      <c r="B73" s="160" t="s">
        <v>244</v>
      </c>
      <c r="C73" s="221" t="s">
        <v>245</v>
      </c>
      <c r="D73" s="123" t="s">
        <v>246</v>
      </c>
      <c r="E73" s="161">
        <v>1</v>
      </c>
      <c r="F73" s="162">
        <v>1667776.02</v>
      </c>
      <c r="G73" s="164">
        <v>1</v>
      </c>
    </row>
    <row r="74" spans="1:8" ht="22.5" x14ac:dyDescent="0.25">
      <c r="A74" s="123" t="s">
        <v>315</v>
      </c>
      <c r="B74" s="160" t="s">
        <v>249</v>
      </c>
      <c r="C74" s="221" t="s">
        <v>250</v>
      </c>
      <c r="D74" s="123" t="s">
        <v>246</v>
      </c>
      <c r="E74" s="161">
        <v>1</v>
      </c>
      <c r="F74" s="162">
        <v>3596141.97</v>
      </c>
      <c r="G74" s="164">
        <v>1</v>
      </c>
    </row>
    <row r="75" spans="1:8" ht="33.75" x14ac:dyDescent="0.25">
      <c r="A75" s="123" t="s">
        <v>316</v>
      </c>
      <c r="B75" s="160" t="s">
        <v>253</v>
      </c>
      <c r="C75" s="221" t="s">
        <v>254</v>
      </c>
      <c r="D75" s="123" t="s">
        <v>115</v>
      </c>
      <c r="E75" s="161">
        <v>1</v>
      </c>
      <c r="F75" s="162">
        <v>42192.34</v>
      </c>
      <c r="G75" s="164">
        <v>1</v>
      </c>
    </row>
    <row r="76" spans="1:8" s="229" customFormat="1" x14ac:dyDescent="0.25">
      <c r="A76" s="257" t="s">
        <v>317</v>
      </c>
      <c r="B76" s="258" t="s">
        <v>260</v>
      </c>
      <c r="C76" s="241" t="s">
        <v>261</v>
      </c>
      <c r="D76" s="257" t="s">
        <v>115</v>
      </c>
      <c r="E76" s="259">
        <v>-2</v>
      </c>
      <c r="F76" s="260">
        <v>-5066.7299999999996</v>
      </c>
      <c r="G76" s="261">
        <v>-2</v>
      </c>
      <c r="H76" s="232"/>
    </row>
    <row r="77" spans="1:8" x14ac:dyDescent="0.25">
      <c r="A77" s="123" t="s">
        <v>318</v>
      </c>
      <c r="B77" s="160" t="s">
        <v>263</v>
      </c>
      <c r="C77" s="221" t="s">
        <v>264</v>
      </c>
      <c r="D77" s="123" t="s">
        <v>115</v>
      </c>
      <c r="E77" s="161">
        <v>2</v>
      </c>
      <c r="F77" s="162">
        <v>87727.09</v>
      </c>
      <c r="G77" s="164">
        <v>2</v>
      </c>
    </row>
    <row r="78" spans="1:8" ht="22.5" x14ac:dyDescent="0.25">
      <c r="A78" s="123" t="s">
        <v>319</v>
      </c>
      <c r="B78" s="160" t="s">
        <v>267</v>
      </c>
      <c r="C78" s="221" t="s">
        <v>268</v>
      </c>
      <c r="D78" s="123" t="s">
        <v>115</v>
      </c>
      <c r="E78" s="161">
        <v>1</v>
      </c>
      <c r="F78" s="162">
        <v>156781.35</v>
      </c>
      <c r="G78" s="164">
        <v>1</v>
      </c>
    </row>
    <row r="79" spans="1:8" x14ac:dyDescent="0.25">
      <c r="A79" s="123" t="s">
        <v>320</v>
      </c>
      <c r="B79" s="160" t="s">
        <v>120</v>
      </c>
      <c r="C79" s="221" t="s">
        <v>271</v>
      </c>
      <c r="D79" s="123" t="s">
        <v>115</v>
      </c>
      <c r="E79" s="161">
        <v>1</v>
      </c>
      <c r="F79" s="162">
        <v>4178.1000000000004</v>
      </c>
      <c r="G79" s="164">
        <v>1</v>
      </c>
    </row>
    <row r="80" spans="1:8" ht="22.5" x14ac:dyDescent="0.25">
      <c r="A80" s="262" t="s">
        <v>321</v>
      </c>
      <c r="B80" s="263" t="s">
        <v>274</v>
      </c>
      <c r="C80" s="264" t="s">
        <v>275</v>
      </c>
      <c r="D80" s="262" t="s">
        <v>276</v>
      </c>
      <c r="E80" s="243">
        <v>0.06</v>
      </c>
      <c r="F80" s="265">
        <v>15658.24</v>
      </c>
      <c r="G80" s="243">
        <v>0</v>
      </c>
      <c r="H80" s="218" t="s">
        <v>546</v>
      </c>
    </row>
    <row r="81" spans="1:8" s="229" customFormat="1" x14ac:dyDescent="0.25">
      <c r="A81" s="262" t="s">
        <v>322</v>
      </c>
      <c r="B81" s="263" t="s">
        <v>282</v>
      </c>
      <c r="C81" s="264" t="s">
        <v>283</v>
      </c>
      <c r="D81" s="262" t="s">
        <v>127</v>
      </c>
      <c r="E81" s="243">
        <v>-2.9000000000000001E-2</v>
      </c>
      <c r="F81" s="265">
        <v>-2679.86</v>
      </c>
      <c r="G81" s="243">
        <v>0</v>
      </c>
      <c r="H81" s="218" t="s">
        <v>546</v>
      </c>
    </row>
    <row r="82" spans="1:8" x14ac:dyDescent="0.25">
      <c r="A82" s="262" t="s">
        <v>323</v>
      </c>
      <c r="B82" s="263" t="s">
        <v>120</v>
      </c>
      <c r="C82" s="264" t="s">
        <v>285</v>
      </c>
      <c r="D82" s="262" t="s">
        <v>130</v>
      </c>
      <c r="E82" s="243">
        <v>0.36</v>
      </c>
      <c r="F82" s="265">
        <v>134204.32</v>
      </c>
      <c r="G82" s="243">
        <v>0</v>
      </c>
      <c r="H82" s="218" t="s">
        <v>546</v>
      </c>
    </row>
    <row r="83" spans="1:8" x14ac:dyDescent="0.25">
      <c r="A83" s="262" t="s">
        <v>324</v>
      </c>
      <c r="B83" s="263" t="s">
        <v>120</v>
      </c>
      <c r="C83" s="264" t="s">
        <v>129</v>
      </c>
      <c r="D83" s="262" t="s">
        <v>130</v>
      </c>
      <c r="E83" s="243">
        <v>2.9000000000000001E-2</v>
      </c>
      <c r="F83" s="265">
        <v>8010.5</v>
      </c>
      <c r="G83" s="243">
        <v>0</v>
      </c>
      <c r="H83" s="218" t="s">
        <v>546</v>
      </c>
    </row>
    <row r="84" spans="1:8" ht="22.5" x14ac:dyDescent="0.25">
      <c r="A84" s="123" t="s">
        <v>325</v>
      </c>
      <c r="B84" s="160" t="s">
        <v>288</v>
      </c>
      <c r="C84" s="221" t="s">
        <v>289</v>
      </c>
      <c r="D84" s="123" t="s">
        <v>160</v>
      </c>
      <c r="E84" s="161">
        <v>1.3299999999999999E-2</v>
      </c>
      <c r="F84" s="162">
        <v>34682.379999999997</v>
      </c>
      <c r="G84" s="212">
        <f>E84</f>
        <v>1.3299999999999999E-2</v>
      </c>
    </row>
    <row r="85" spans="1:8" x14ac:dyDescent="0.25">
      <c r="A85" s="117" t="s">
        <v>161</v>
      </c>
      <c r="B85" s="117"/>
      <c r="C85" s="221"/>
      <c r="D85" s="123"/>
      <c r="E85" s="123"/>
      <c r="F85" s="147"/>
      <c r="G85" s="226"/>
    </row>
    <row r="86" spans="1:8" ht="33.75" x14ac:dyDescent="0.25">
      <c r="A86" s="123" t="s">
        <v>326</v>
      </c>
      <c r="B86" s="160" t="s">
        <v>163</v>
      </c>
      <c r="C86" s="221" t="s">
        <v>164</v>
      </c>
      <c r="D86" s="123" t="s">
        <v>165</v>
      </c>
      <c r="E86" s="161">
        <v>50.7</v>
      </c>
      <c r="F86" s="162">
        <v>2612.5700000000002</v>
      </c>
      <c r="G86" s="143">
        <f>G68*1.75*100</f>
        <v>37.9925</v>
      </c>
    </row>
    <row r="87" spans="1:8" ht="33.75" x14ac:dyDescent="0.25">
      <c r="A87" s="123" t="s">
        <v>327</v>
      </c>
      <c r="B87" s="160" t="s">
        <v>167</v>
      </c>
      <c r="C87" s="221" t="s">
        <v>292</v>
      </c>
      <c r="D87" s="123" t="s">
        <v>165</v>
      </c>
      <c r="E87" s="161">
        <v>9.9</v>
      </c>
      <c r="F87" s="162">
        <v>1304.8699999999999</v>
      </c>
      <c r="G87" s="143">
        <v>8.84</v>
      </c>
    </row>
    <row r="88" spans="1:8" ht="22.5" x14ac:dyDescent="0.25">
      <c r="A88" s="123" t="s">
        <v>328</v>
      </c>
      <c r="B88" s="160" t="s">
        <v>170</v>
      </c>
      <c r="C88" s="221" t="s">
        <v>294</v>
      </c>
      <c r="D88" s="123" t="s">
        <v>165</v>
      </c>
      <c r="E88" s="161">
        <v>5</v>
      </c>
      <c r="F88" s="162">
        <v>854.62</v>
      </c>
      <c r="G88" s="143">
        <f>1.7+3.1</f>
        <v>4.8</v>
      </c>
    </row>
    <row r="89" spans="1:8" ht="33.75" x14ac:dyDescent="0.25">
      <c r="A89" s="123" t="s">
        <v>329</v>
      </c>
      <c r="B89" s="160" t="s">
        <v>173</v>
      </c>
      <c r="C89" s="221" t="s">
        <v>174</v>
      </c>
      <c r="D89" s="123" t="s">
        <v>165</v>
      </c>
      <c r="E89" s="161">
        <v>65.599999999999994</v>
      </c>
      <c r="F89" s="162">
        <v>4107.2299999999996</v>
      </c>
      <c r="G89" s="143">
        <f>G86+G87+G88</f>
        <v>51.632499999999993</v>
      </c>
    </row>
    <row r="90" spans="1:8" hidden="1" x14ac:dyDescent="0.25">
      <c r="A90" s="114" t="s">
        <v>334</v>
      </c>
      <c r="B90" s="114"/>
      <c r="C90" s="220"/>
      <c r="D90" s="120"/>
      <c r="E90" s="120"/>
      <c r="F90" s="140"/>
    </row>
    <row r="91" spans="1:8" ht="22.5" hidden="1" x14ac:dyDescent="0.25">
      <c r="A91" s="123" t="s">
        <v>335</v>
      </c>
      <c r="B91" s="160" t="s">
        <v>208</v>
      </c>
      <c r="C91" s="221" t="s">
        <v>209</v>
      </c>
      <c r="D91" s="123" t="s">
        <v>210</v>
      </c>
      <c r="E91" s="161">
        <v>1</v>
      </c>
      <c r="F91" s="162">
        <v>44914.41</v>
      </c>
    </row>
    <row r="92" spans="1:8" ht="22.5" hidden="1" x14ac:dyDescent="0.25">
      <c r="A92" s="123" t="s">
        <v>336</v>
      </c>
      <c r="B92" s="160" t="s">
        <v>82</v>
      </c>
      <c r="C92" s="221" t="s">
        <v>83</v>
      </c>
      <c r="D92" s="123" t="s">
        <v>58</v>
      </c>
      <c r="E92" s="161">
        <v>0.25800000000000001</v>
      </c>
      <c r="F92" s="162">
        <v>5130.6099999999997</v>
      </c>
    </row>
    <row r="93" spans="1:8" ht="22.5" hidden="1" x14ac:dyDescent="0.25">
      <c r="A93" s="123" t="s">
        <v>337</v>
      </c>
      <c r="B93" s="160" t="s">
        <v>89</v>
      </c>
      <c r="C93" s="221" t="s">
        <v>90</v>
      </c>
      <c r="D93" s="123" t="s">
        <v>58</v>
      </c>
      <c r="E93" s="161">
        <v>0.1237</v>
      </c>
      <c r="F93" s="162">
        <v>2287.64</v>
      </c>
    </row>
    <row r="94" spans="1:8" ht="22.5" hidden="1" x14ac:dyDescent="0.25">
      <c r="A94" s="123" t="s">
        <v>338</v>
      </c>
      <c r="B94" s="160" t="s">
        <v>96</v>
      </c>
      <c r="C94" s="221" t="s">
        <v>97</v>
      </c>
      <c r="D94" s="123" t="s">
        <v>58</v>
      </c>
      <c r="E94" s="161">
        <v>0.124</v>
      </c>
      <c r="F94" s="162">
        <v>18852.34</v>
      </c>
    </row>
    <row r="95" spans="1:8" hidden="1" x14ac:dyDescent="0.25">
      <c r="A95" s="123" t="s">
        <v>339</v>
      </c>
      <c r="B95" s="160" t="s">
        <v>104</v>
      </c>
      <c r="C95" s="221" t="s">
        <v>105</v>
      </c>
      <c r="D95" s="123" t="s">
        <v>106</v>
      </c>
      <c r="E95" s="161">
        <v>15.62</v>
      </c>
      <c r="F95" s="162">
        <v>97058.27</v>
      </c>
    </row>
    <row r="96" spans="1:8" ht="33.75" hidden="1" x14ac:dyDescent="0.25">
      <c r="A96" s="123" t="s">
        <v>340</v>
      </c>
      <c r="B96" s="160" t="s">
        <v>241</v>
      </c>
      <c r="C96" s="221" t="s">
        <v>242</v>
      </c>
      <c r="D96" s="123" t="s">
        <v>210</v>
      </c>
      <c r="E96" s="161">
        <v>1</v>
      </c>
      <c r="F96" s="162">
        <v>207003.6</v>
      </c>
    </row>
    <row r="97" spans="1:8" hidden="1" x14ac:dyDescent="0.25">
      <c r="A97" s="123" t="s">
        <v>341</v>
      </c>
      <c r="B97" s="160" t="s">
        <v>244</v>
      </c>
      <c r="C97" s="221" t="s">
        <v>245</v>
      </c>
      <c r="D97" s="123" t="s">
        <v>246</v>
      </c>
      <c r="E97" s="161">
        <v>1</v>
      </c>
      <c r="F97" s="162">
        <v>1667776.02</v>
      </c>
    </row>
    <row r="98" spans="1:8" ht="22.5" hidden="1" x14ac:dyDescent="0.25">
      <c r="A98" s="123" t="s">
        <v>342</v>
      </c>
      <c r="B98" s="160" t="s">
        <v>249</v>
      </c>
      <c r="C98" s="221" t="s">
        <v>250</v>
      </c>
      <c r="D98" s="123" t="s">
        <v>246</v>
      </c>
      <c r="E98" s="161">
        <v>1</v>
      </c>
      <c r="F98" s="162">
        <v>3596141.97</v>
      </c>
    </row>
    <row r="99" spans="1:8" ht="33.75" hidden="1" x14ac:dyDescent="0.25">
      <c r="A99" s="123" t="s">
        <v>343</v>
      </c>
      <c r="B99" s="160" t="s">
        <v>253</v>
      </c>
      <c r="C99" s="221" t="s">
        <v>254</v>
      </c>
      <c r="D99" s="123" t="s">
        <v>115</v>
      </c>
      <c r="E99" s="161">
        <v>1</v>
      </c>
      <c r="F99" s="162">
        <v>42192.34</v>
      </c>
    </row>
    <row r="100" spans="1:8" s="229" customFormat="1" hidden="1" x14ac:dyDescent="0.25">
      <c r="A100" s="166" t="s">
        <v>344</v>
      </c>
      <c r="B100" s="167" t="s">
        <v>260</v>
      </c>
      <c r="C100" s="222" t="s">
        <v>261</v>
      </c>
      <c r="D100" s="166" t="s">
        <v>115</v>
      </c>
      <c r="E100" s="169">
        <v>-2</v>
      </c>
      <c r="F100" s="170">
        <v>-5066.7299999999996</v>
      </c>
      <c r="G100" s="233"/>
      <c r="H100" s="232"/>
    </row>
    <row r="101" spans="1:8" hidden="1" x14ac:dyDescent="0.25">
      <c r="A101" s="123" t="s">
        <v>345</v>
      </c>
      <c r="B101" s="160" t="s">
        <v>263</v>
      </c>
      <c r="C101" s="221" t="s">
        <v>264</v>
      </c>
      <c r="D101" s="123" t="s">
        <v>115</v>
      </c>
      <c r="E101" s="161">
        <v>2</v>
      </c>
      <c r="F101" s="162">
        <v>87727.09</v>
      </c>
    </row>
    <row r="102" spans="1:8" ht="22.5" hidden="1" x14ac:dyDescent="0.25">
      <c r="A102" s="123" t="s">
        <v>346</v>
      </c>
      <c r="B102" s="160" t="s">
        <v>267</v>
      </c>
      <c r="C102" s="221" t="s">
        <v>268</v>
      </c>
      <c r="D102" s="123" t="s">
        <v>115</v>
      </c>
      <c r="E102" s="161">
        <v>1</v>
      </c>
      <c r="F102" s="162">
        <v>156781.35</v>
      </c>
    </row>
    <row r="103" spans="1:8" hidden="1" x14ac:dyDescent="0.25">
      <c r="A103" s="123" t="s">
        <v>347</v>
      </c>
      <c r="B103" s="160" t="s">
        <v>120</v>
      </c>
      <c r="C103" s="221" t="s">
        <v>271</v>
      </c>
      <c r="D103" s="123" t="s">
        <v>115</v>
      </c>
      <c r="E103" s="161">
        <v>1</v>
      </c>
      <c r="F103" s="162">
        <v>4178.1000000000004</v>
      </c>
    </row>
    <row r="104" spans="1:8" ht="22.5" hidden="1" x14ac:dyDescent="0.25">
      <c r="A104" s="123" t="s">
        <v>348</v>
      </c>
      <c r="B104" s="160" t="s">
        <v>274</v>
      </c>
      <c r="C104" s="221" t="s">
        <v>275</v>
      </c>
      <c r="D104" s="123" t="s">
        <v>276</v>
      </c>
      <c r="E104" s="161">
        <v>0.06</v>
      </c>
      <c r="F104" s="162">
        <v>15658.24</v>
      </c>
    </row>
    <row r="105" spans="1:8" s="229" customFormat="1" hidden="1" x14ac:dyDescent="0.25">
      <c r="A105" s="166" t="s">
        <v>349</v>
      </c>
      <c r="B105" s="167" t="s">
        <v>282</v>
      </c>
      <c r="C105" s="222" t="s">
        <v>283</v>
      </c>
      <c r="D105" s="166" t="s">
        <v>127</v>
      </c>
      <c r="E105" s="169">
        <v>-2.9000000000000001E-2</v>
      </c>
      <c r="F105" s="170">
        <v>-2679.86</v>
      </c>
      <c r="G105" s="233"/>
      <c r="H105" s="232"/>
    </row>
    <row r="106" spans="1:8" hidden="1" x14ac:dyDescent="0.25">
      <c r="A106" s="123" t="s">
        <v>350</v>
      </c>
      <c r="B106" s="160" t="s">
        <v>120</v>
      </c>
      <c r="C106" s="221" t="s">
        <v>285</v>
      </c>
      <c r="D106" s="123" t="s">
        <v>130</v>
      </c>
      <c r="E106" s="161">
        <v>0.36</v>
      </c>
      <c r="F106" s="162">
        <v>134204.32</v>
      </c>
    </row>
    <row r="107" spans="1:8" hidden="1" x14ac:dyDescent="0.25">
      <c r="A107" s="123" t="s">
        <v>351</v>
      </c>
      <c r="B107" s="160" t="s">
        <v>120</v>
      </c>
      <c r="C107" s="221" t="s">
        <v>129</v>
      </c>
      <c r="D107" s="123" t="s">
        <v>130</v>
      </c>
      <c r="E107" s="161">
        <v>2.9000000000000001E-2</v>
      </c>
      <c r="F107" s="162">
        <v>8010.5</v>
      </c>
    </row>
    <row r="108" spans="1:8" ht="22.5" hidden="1" x14ac:dyDescent="0.25">
      <c r="A108" s="123" t="s">
        <v>352</v>
      </c>
      <c r="B108" s="160" t="s">
        <v>288</v>
      </c>
      <c r="C108" s="221" t="s">
        <v>289</v>
      </c>
      <c r="D108" s="123" t="s">
        <v>160</v>
      </c>
      <c r="E108" s="161">
        <v>1.3299999999999999E-2</v>
      </c>
      <c r="F108" s="162">
        <v>34682.379999999997</v>
      </c>
    </row>
    <row r="109" spans="1:8" hidden="1" x14ac:dyDescent="0.25">
      <c r="A109" s="117" t="s">
        <v>161</v>
      </c>
      <c r="B109" s="117"/>
      <c r="C109" s="221"/>
      <c r="D109" s="123"/>
      <c r="E109" s="123"/>
      <c r="F109" s="147"/>
    </row>
    <row r="110" spans="1:8" ht="33.75" hidden="1" x14ac:dyDescent="0.25">
      <c r="A110" s="123" t="s">
        <v>353</v>
      </c>
      <c r="B110" s="160" t="s">
        <v>163</v>
      </c>
      <c r="C110" s="221" t="s">
        <v>164</v>
      </c>
      <c r="D110" s="123" t="s">
        <v>165</v>
      </c>
      <c r="E110" s="161">
        <v>45.2</v>
      </c>
      <c r="F110" s="162">
        <v>2329.16</v>
      </c>
    </row>
    <row r="111" spans="1:8" ht="33.75" hidden="1" x14ac:dyDescent="0.25">
      <c r="A111" s="123" t="s">
        <v>354</v>
      </c>
      <c r="B111" s="160" t="s">
        <v>167</v>
      </c>
      <c r="C111" s="221" t="s">
        <v>292</v>
      </c>
      <c r="D111" s="123" t="s">
        <v>165</v>
      </c>
      <c r="E111" s="161">
        <v>9.9</v>
      </c>
      <c r="F111" s="162">
        <v>1304.8699999999999</v>
      </c>
    </row>
    <row r="112" spans="1:8" ht="22.5" hidden="1" x14ac:dyDescent="0.25">
      <c r="A112" s="123" t="s">
        <v>355</v>
      </c>
      <c r="B112" s="160" t="s">
        <v>170</v>
      </c>
      <c r="C112" s="221" t="s">
        <v>294</v>
      </c>
      <c r="D112" s="123" t="s">
        <v>165</v>
      </c>
      <c r="E112" s="161">
        <v>5</v>
      </c>
      <c r="F112" s="162">
        <v>854.62</v>
      </c>
    </row>
    <row r="113" spans="1:8" ht="33.75" hidden="1" x14ac:dyDescent="0.25">
      <c r="A113" s="123" t="s">
        <v>356</v>
      </c>
      <c r="B113" s="160" t="s">
        <v>173</v>
      </c>
      <c r="C113" s="221" t="s">
        <v>174</v>
      </c>
      <c r="D113" s="123" t="s">
        <v>165</v>
      </c>
      <c r="E113" s="161">
        <v>60.1</v>
      </c>
      <c r="F113" s="162">
        <v>3762.88</v>
      </c>
    </row>
    <row r="114" spans="1:8" x14ac:dyDescent="0.25">
      <c r="A114" s="118" t="s">
        <v>361</v>
      </c>
      <c r="B114" s="118"/>
      <c r="C114" s="240"/>
      <c r="D114" s="120"/>
      <c r="E114" s="120"/>
      <c r="F114" s="140"/>
      <c r="G114" s="216" t="s">
        <v>541</v>
      </c>
    </row>
    <row r="115" spans="1:8" ht="22.5" x14ac:dyDescent="0.25">
      <c r="A115" s="123" t="s">
        <v>362</v>
      </c>
      <c r="B115" s="160" t="s">
        <v>208</v>
      </c>
      <c r="C115" s="221" t="s">
        <v>209</v>
      </c>
      <c r="D115" s="123" t="s">
        <v>210</v>
      </c>
      <c r="E115" s="161">
        <v>1</v>
      </c>
      <c r="F115" s="162">
        <v>44914.41</v>
      </c>
      <c r="G115" s="164">
        <v>1</v>
      </c>
    </row>
    <row r="116" spans="1:8" ht="22.5" x14ac:dyDescent="0.25">
      <c r="A116" s="123" t="s">
        <v>363</v>
      </c>
      <c r="B116" s="160" t="s">
        <v>82</v>
      </c>
      <c r="C116" s="221" t="s">
        <v>83</v>
      </c>
      <c r="D116" s="123" t="s">
        <v>58</v>
      </c>
      <c r="E116" s="161">
        <v>0.218</v>
      </c>
      <c r="F116" s="162">
        <v>4334.57</v>
      </c>
      <c r="G116" s="215">
        <f>20.8/100</f>
        <v>0.20800000000000002</v>
      </c>
    </row>
    <row r="117" spans="1:8" ht="22.5" x14ac:dyDescent="0.25">
      <c r="A117" s="123" t="s">
        <v>364</v>
      </c>
      <c r="B117" s="160" t="s">
        <v>89</v>
      </c>
      <c r="C117" s="221" t="s">
        <v>90</v>
      </c>
      <c r="D117" s="123" t="s">
        <v>58</v>
      </c>
      <c r="E117" s="161">
        <v>0.1082</v>
      </c>
      <c r="F117" s="162">
        <v>2000.54</v>
      </c>
      <c r="G117" s="238">
        <f>10.36/100</f>
        <v>0.1036</v>
      </c>
    </row>
    <row r="118" spans="1:8" ht="22.5" x14ac:dyDescent="0.25">
      <c r="A118" s="123" t="s">
        <v>365</v>
      </c>
      <c r="B118" s="160" t="s">
        <v>96</v>
      </c>
      <c r="C118" s="221" t="s">
        <v>97</v>
      </c>
      <c r="D118" s="123" t="s">
        <v>58</v>
      </c>
      <c r="E118" s="161">
        <v>0.108</v>
      </c>
      <c r="F118" s="162">
        <v>16420.39</v>
      </c>
      <c r="G118" s="238">
        <f>G117</f>
        <v>0.1036</v>
      </c>
    </row>
    <row r="119" spans="1:8" x14ac:dyDescent="0.25">
      <c r="A119" s="123" t="s">
        <v>366</v>
      </c>
      <c r="B119" s="160" t="s">
        <v>104</v>
      </c>
      <c r="C119" s="221" t="s">
        <v>105</v>
      </c>
      <c r="D119" s="123" t="s">
        <v>106</v>
      </c>
      <c r="E119" s="161">
        <v>15.62</v>
      </c>
      <c r="F119" s="162">
        <v>97058.27</v>
      </c>
      <c r="G119" s="143">
        <f>G118*1.26*100</f>
        <v>13.053599999999999</v>
      </c>
    </row>
    <row r="120" spans="1:8" ht="33.75" x14ac:dyDescent="0.25">
      <c r="A120" s="123" t="s">
        <v>367</v>
      </c>
      <c r="B120" s="160" t="s">
        <v>241</v>
      </c>
      <c r="C120" s="221" t="s">
        <v>242</v>
      </c>
      <c r="D120" s="123" t="s">
        <v>210</v>
      </c>
      <c r="E120" s="161">
        <v>1</v>
      </c>
      <c r="F120" s="162">
        <v>207003.6</v>
      </c>
      <c r="G120" s="164">
        <v>1</v>
      </c>
    </row>
    <row r="121" spans="1:8" x14ac:dyDescent="0.25">
      <c r="A121" s="123" t="s">
        <v>368</v>
      </c>
      <c r="B121" s="160" t="s">
        <v>244</v>
      </c>
      <c r="C121" s="221" t="s">
        <v>245</v>
      </c>
      <c r="D121" s="123" t="s">
        <v>246</v>
      </c>
      <c r="E121" s="161">
        <v>1</v>
      </c>
      <c r="F121" s="162">
        <v>1667776.02</v>
      </c>
      <c r="G121" s="164">
        <v>1</v>
      </c>
    </row>
    <row r="122" spans="1:8" ht="22.5" x14ac:dyDescent="0.25">
      <c r="A122" s="123" t="s">
        <v>369</v>
      </c>
      <c r="B122" s="160" t="s">
        <v>249</v>
      </c>
      <c r="C122" s="221" t="s">
        <v>250</v>
      </c>
      <c r="D122" s="123" t="s">
        <v>246</v>
      </c>
      <c r="E122" s="161">
        <v>1</v>
      </c>
      <c r="F122" s="162">
        <v>3596141.97</v>
      </c>
      <c r="G122" s="164">
        <v>1</v>
      </c>
    </row>
    <row r="123" spans="1:8" ht="33.75" x14ac:dyDescent="0.25">
      <c r="A123" s="123" t="s">
        <v>370</v>
      </c>
      <c r="B123" s="160" t="s">
        <v>253</v>
      </c>
      <c r="C123" s="221" t="s">
        <v>254</v>
      </c>
      <c r="D123" s="123" t="s">
        <v>115</v>
      </c>
      <c r="E123" s="161">
        <v>1</v>
      </c>
      <c r="F123" s="162">
        <v>42192.34</v>
      </c>
      <c r="G123" s="164">
        <v>1</v>
      </c>
    </row>
    <row r="124" spans="1:8" s="229" customFormat="1" x14ac:dyDescent="0.25">
      <c r="A124" s="257" t="s">
        <v>371</v>
      </c>
      <c r="B124" s="258" t="s">
        <v>260</v>
      </c>
      <c r="C124" s="241" t="s">
        <v>261</v>
      </c>
      <c r="D124" s="257" t="s">
        <v>115</v>
      </c>
      <c r="E124" s="259">
        <v>-2</v>
      </c>
      <c r="F124" s="260">
        <v>-5066.7299999999996</v>
      </c>
      <c r="G124" s="261">
        <v>-2</v>
      </c>
      <c r="H124" s="232"/>
    </row>
    <row r="125" spans="1:8" x14ac:dyDescent="0.25">
      <c r="A125" s="123" t="s">
        <v>372</v>
      </c>
      <c r="B125" s="160" t="s">
        <v>263</v>
      </c>
      <c r="C125" s="221" t="s">
        <v>264</v>
      </c>
      <c r="D125" s="123" t="s">
        <v>115</v>
      </c>
      <c r="E125" s="161">
        <v>2</v>
      </c>
      <c r="F125" s="162">
        <v>87727.09</v>
      </c>
      <c r="G125" s="164">
        <v>2</v>
      </c>
    </row>
    <row r="126" spans="1:8" ht="22.5" x14ac:dyDescent="0.25">
      <c r="A126" s="123" t="s">
        <v>373</v>
      </c>
      <c r="B126" s="160" t="s">
        <v>267</v>
      </c>
      <c r="C126" s="221" t="s">
        <v>268</v>
      </c>
      <c r="D126" s="123" t="s">
        <v>115</v>
      </c>
      <c r="E126" s="161">
        <v>1</v>
      </c>
      <c r="F126" s="162">
        <v>156781.35</v>
      </c>
      <c r="G126" s="164">
        <v>1</v>
      </c>
    </row>
    <row r="127" spans="1:8" x14ac:dyDescent="0.25">
      <c r="A127" s="123" t="s">
        <v>374</v>
      </c>
      <c r="B127" s="160" t="s">
        <v>120</v>
      </c>
      <c r="C127" s="221" t="s">
        <v>271</v>
      </c>
      <c r="D127" s="123" t="s">
        <v>115</v>
      </c>
      <c r="E127" s="161">
        <v>1</v>
      </c>
      <c r="F127" s="162">
        <v>4178.1000000000004</v>
      </c>
      <c r="G127" s="164">
        <v>1</v>
      </c>
    </row>
    <row r="128" spans="1:8" ht="22.5" x14ac:dyDescent="0.25">
      <c r="A128" s="262" t="s">
        <v>375</v>
      </c>
      <c r="B128" s="263" t="s">
        <v>274</v>
      </c>
      <c r="C128" s="264" t="s">
        <v>275</v>
      </c>
      <c r="D128" s="262" t="s">
        <v>276</v>
      </c>
      <c r="E128" s="243">
        <v>0.06</v>
      </c>
      <c r="F128" s="265">
        <v>15658.24</v>
      </c>
      <c r="G128" s="243">
        <v>0</v>
      </c>
      <c r="H128" s="218" t="s">
        <v>546</v>
      </c>
    </row>
    <row r="129" spans="1:8" s="229" customFormat="1" x14ac:dyDescent="0.25">
      <c r="A129" s="262" t="s">
        <v>376</v>
      </c>
      <c r="B129" s="263" t="s">
        <v>282</v>
      </c>
      <c r="C129" s="264" t="s">
        <v>283</v>
      </c>
      <c r="D129" s="262" t="s">
        <v>127</v>
      </c>
      <c r="E129" s="243">
        <v>-2.9000000000000001E-2</v>
      </c>
      <c r="F129" s="265">
        <v>-2679.86</v>
      </c>
      <c r="G129" s="243">
        <v>0</v>
      </c>
      <c r="H129" s="218" t="s">
        <v>546</v>
      </c>
    </row>
    <row r="130" spans="1:8" x14ac:dyDescent="0.25">
      <c r="A130" s="262" t="s">
        <v>377</v>
      </c>
      <c r="B130" s="263" t="s">
        <v>120</v>
      </c>
      <c r="C130" s="264" t="s">
        <v>285</v>
      </c>
      <c r="D130" s="262" t="s">
        <v>130</v>
      </c>
      <c r="E130" s="243">
        <v>0.36</v>
      </c>
      <c r="F130" s="265">
        <v>134204.32</v>
      </c>
      <c r="G130" s="243">
        <v>0</v>
      </c>
      <c r="H130" s="218" t="s">
        <v>546</v>
      </c>
    </row>
    <row r="131" spans="1:8" x14ac:dyDescent="0.25">
      <c r="A131" s="262" t="s">
        <v>378</v>
      </c>
      <c r="B131" s="263" t="s">
        <v>120</v>
      </c>
      <c r="C131" s="264" t="s">
        <v>129</v>
      </c>
      <c r="D131" s="262" t="s">
        <v>130</v>
      </c>
      <c r="E131" s="243">
        <v>2.9000000000000001E-2</v>
      </c>
      <c r="F131" s="265">
        <v>8010.5</v>
      </c>
      <c r="G131" s="243">
        <v>0</v>
      </c>
      <c r="H131" s="218" t="s">
        <v>546</v>
      </c>
    </row>
    <row r="132" spans="1:8" ht="22.5" x14ac:dyDescent="0.25">
      <c r="A132" s="123" t="s">
        <v>379</v>
      </c>
      <c r="B132" s="160" t="s">
        <v>288</v>
      </c>
      <c r="C132" s="221" t="s">
        <v>289</v>
      </c>
      <c r="D132" s="123" t="s">
        <v>160</v>
      </c>
      <c r="E132" s="161">
        <v>1.3299999999999999E-2</v>
      </c>
      <c r="F132" s="162">
        <v>34682.379999999997</v>
      </c>
      <c r="G132" s="212">
        <f>E132</f>
        <v>1.3299999999999999E-2</v>
      </c>
    </row>
    <row r="133" spans="1:8" x14ac:dyDescent="0.25">
      <c r="A133" s="117" t="s">
        <v>161</v>
      </c>
      <c r="B133" s="117"/>
      <c r="C133" s="221"/>
      <c r="D133" s="123"/>
      <c r="E133" s="123"/>
      <c r="F133" s="147"/>
      <c r="G133" s="226"/>
    </row>
    <row r="134" spans="1:8" ht="33.75" x14ac:dyDescent="0.25">
      <c r="A134" s="123" t="s">
        <v>380</v>
      </c>
      <c r="B134" s="160" t="s">
        <v>163</v>
      </c>
      <c r="C134" s="221" t="s">
        <v>164</v>
      </c>
      <c r="D134" s="123" t="s">
        <v>165</v>
      </c>
      <c r="E134" s="161">
        <v>38.1</v>
      </c>
      <c r="F134" s="162">
        <v>1963.28</v>
      </c>
      <c r="G134" s="143">
        <f>G116*1.75*100</f>
        <v>36.400000000000006</v>
      </c>
    </row>
    <row r="135" spans="1:8" ht="33.75" x14ac:dyDescent="0.25">
      <c r="A135" s="123" t="s">
        <v>381</v>
      </c>
      <c r="B135" s="160" t="s">
        <v>167</v>
      </c>
      <c r="C135" s="221" t="s">
        <v>292</v>
      </c>
      <c r="D135" s="123" t="s">
        <v>165</v>
      </c>
      <c r="E135" s="161">
        <v>9.9</v>
      </c>
      <c r="F135" s="162">
        <v>1304.8699999999999</v>
      </c>
      <c r="G135" s="143">
        <v>8.85</v>
      </c>
    </row>
    <row r="136" spans="1:8" ht="22.5" x14ac:dyDescent="0.25">
      <c r="A136" s="123" t="s">
        <v>382</v>
      </c>
      <c r="B136" s="160" t="s">
        <v>170</v>
      </c>
      <c r="C136" s="221" t="s">
        <v>294</v>
      </c>
      <c r="D136" s="123" t="s">
        <v>165</v>
      </c>
      <c r="E136" s="161">
        <v>5</v>
      </c>
      <c r="F136" s="162">
        <v>854.62</v>
      </c>
      <c r="G136" s="143">
        <v>5</v>
      </c>
    </row>
    <row r="137" spans="1:8" ht="33.75" x14ac:dyDescent="0.25">
      <c r="A137" s="123" t="s">
        <v>383</v>
      </c>
      <c r="B137" s="160" t="s">
        <v>173</v>
      </c>
      <c r="C137" s="221" t="s">
        <v>174</v>
      </c>
      <c r="D137" s="123" t="s">
        <v>165</v>
      </c>
      <c r="E137" s="161">
        <v>53</v>
      </c>
      <c r="F137" s="162">
        <v>3318.29</v>
      </c>
      <c r="G137" s="143">
        <f>G134+G135+G136</f>
        <v>50.250000000000007</v>
      </c>
    </row>
    <row r="138" spans="1:8" x14ac:dyDescent="0.25">
      <c r="A138" s="118" t="s">
        <v>388</v>
      </c>
      <c r="B138" s="118"/>
      <c r="C138" s="240"/>
      <c r="D138" s="120"/>
      <c r="E138" s="120"/>
      <c r="F138" s="140"/>
      <c r="G138" s="219" t="s">
        <v>525</v>
      </c>
      <c r="H138" s="218"/>
    </row>
    <row r="139" spans="1:8" ht="22.5" x14ac:dyDescent="0.25">
      <c r="A139" s="123" t="s">
        <v>389</v>
      </c>
      <c r="B139" s="160" t="s">
        <v>208</v>
      </c>
      <c r="C139" s="221" t="s">
        <v>209</v>
      </c>
      <c r="D139" s="123" t="s">
        <v>210</v>
      </c>
      <c r="E139" s="161">
        <v>1</v>
      </c>
      <c r="F139" s="162">
        <v>44914.41</v>
      </c>
      <c r="G139" s="164">
        <v>1</v>
      </c>
      <c r="H139" s="218"/>
    </row>
    <row r="140" spans="1:8" ht="22.5" x14ac:dyDescent="0.25">
      <c r="A140" s="123" t="s">
        <v>390</v>
      </c>
      <c r="B140" s="160" t="s">
        <v>82</v>
      </c>
      <c r="C140" s="221" t="s">
        <v>83</v>
      </c>
      <c r="D140" s="123" t="s">
        <v>58</v>
      </c>
      <c r="E140" s="161">
        <v>0.29899999999999999</v>
      </c>
      <c r="F140" s="162">
        <v>5945.15</v>
      </c>
      <c r="G140" s="212">
        <f>22.45/100</f>
        <v>0.22450000000000001</v>
      </c>
      <c r="H140" s="218"/>
    </row>
    <row r="141" spans="1:8" ht="22.5" x14ac:dyDescent="0.25">
      <c r="A141" s="123" t="s">
        <v>391</v>
      </c>
      <c r="B141" s="160" t="s">
        <v>89</v>
      </c>
      <c r="C141" s="221" t="s">
        <v>90</v>
      </c>
      <c r="D141" s="123" t="s">
        <v>58</v>
      </c>
      <c r="E141" s="161">
        <v>0.13950000000000001</v>
      </c>
      <c r="F141" s="162">
        <v>2580.31</v>
      </c>
      <c r="G141" s="212">
        <f>10.37/100</f>
        <v>0.10369999999999999</v>
      </c>
      <c r="H141" s="218"/>
    </row>
    <row r="142" spans="1:8" ht="22.5" x14ac:dyDescent="0.25">
      <c r="A142" s="123" t="s">
        <v>392</v>
      </c>
      <c r="B142" s="160" t="s">
        <v>96</v>
      </c>
      <c r="C142" s="221" t="s">
        <v>97</v>
      </c>
      <c r="D142" s="123" t="s">
        <v>58</v>
      </c>
      <c r="E142" s="161">
        <v>0.14000000000000001</v>
      </c>
      <c r="F142" s="162">
        <v>21284.21</v>
      </c>
      <c r="G142" s="212">
        <f>G141</f>
        <v>0.10369999999999999</v>
      </c>
      <c r="H142" s="218"/>
    </row>
    <row r="143" spans="1:8" x14ac:dyDescent="0.25">
      <c r="A143" s="123" t="s">
        <v>393</v>
      </c>
      <c r="B143" s="160" t="s">
        <v>104</v>
      </c>
      <c r="C143" s="221" t="s">
        <v>105</v>
      </c>
      <c r="D143" s="123" t="s">
        <v>106</v>
      </c>
      <c r="E143" s="161">
        <v>17.64</v>
      </c>
      <c r="F143" s="162">
        <v>109610.05</v>
      </c>
      <c r="G143" s="215">
        <f>1.26*G142*100</f>
        <v>13.066199999999997</v>
      </c>
      <c r="H143" s="218"/>
    </row>
    <row r="144" spans="1:8" ht="33.75" x14ac:dyDescent="0.25">
      <c r="A144" s="123" t="s">
        <v>394</v>
      </c>
      <c r="B144" s="160" t="s">
        <v>241</v>
      </c>
      <c r="C144" s="221" t="s">
        <v>242</v>
      </c>
      <c r="D144" s="123" t="s">
        <v>210</v>
      </c>
      <c r="E144" s="161">
        <v>1</v>
      </c>
      <c r="F144" s="162">
        <v>207003.6</v>
      </c>
      <c r="G144" s="164">
        <v>1</v>
      </c>
      <c r="H144" s="218"/>
    </row>
    <row r="145" spans="1:8" x14ac:dyDescent="0.25">
      <c r="A145" s="123" t="s">
        <v>395</v>
      </c>
      <c r="B145" s="160" t="s">
        <v>244</v>
      </c>
      <c r="C145" s="221" t="s">
        <v>245</v>
      </c>
      <c r="D145" s="123" t="s">
        <v>246</v>
      </c>
      <c r="E145" s="161">
        <v>1</v>
      </c>
      <c r="F145" s="162">
        <v>1667776.02</v>
      </c>
      <c r="G145" s="164">
        <v>1</v>
      </c>
      <c r="H145" s="218"/>
    </row>
    <row r="146" spans="1:8" ht="22.5" x14ac:dyDescent="0.25">
      <c r="A146" s="123" t="s">
        <v>396</v>
      </c>
      <c r="B146" s="160" t="s">
        <v>249</v>
      </c>
      <c r="C146" s="221" t="s">
        <v>250</v>
      </c>
      <c r="D146" s="123" t="s">
        <v>246</v>
      </c>
      <c r="E146" s="161">
        <v>1</v>
      </c>
      <c r="F146" s="162">
        <v>3596141.97</v>
      </c>
      <c r="G146" s="164">
        <v>1</v>
      </c>
      <c r="H146" s="218"/>
    </row>
    <row r="147" spans="1:8" ht="33.75" x14ac:dyDescent="0.25">
      <c r="A147" s="123" t="s">
        <v>397</v>
      </c>
      <c r="B147" s="160" t="s">
        <v>253</v>
      </c>
      <c r="C147" s="221" t="s">
        <v>254</v>
      </c>
      <c r="D147" s="123" t="s">
        <v>115</v>
      </c>
      <c r="E147" s="161">
        <v>1</v>
      </c>
      <c r="F147" s="162">
        <v>42192.34</v>
      </c>
      <c r="G147" s="164">
        <v>1</v>
      </c>
      <c r="H147" s="218"/>
    </row>
    <row r="148" spans="1:8" s="229" customFormat="1" x14ac:dyDescent="0.25">
      <c r="A148" s="257" t="s">
        <v>398</v>
      </c>
      <c r="B148" s="258" t="s">
        <v>260</v>
      </c>
      <c r="C148" s="241" t="s">
        <v>261</v>
      </c>
      <c r="D148" s="257" t="s">
        <v>115</v>
      </c>
      <c r="E148" s="259">
        <v>-2</v>
      </c>
      <c r="F148" s="260">
        <v>-5066.7299999999996</v>
      </c>
      <c r="G148" s="261">
        <v>-2</v>
      </c>
    </row>
    <row r="149" spans="1:8" x14ac:dyDescent="0.25">
      <c r="A149" s="123" t="s">
        <v>399</v>
      </c>
      <c r="B149" s="160" t="s">
        <v>263</v>
      </c>
      <c r="C149" s="221" t="s">
        <v>264</v>
      </c>
      <c r="D149" s="123" t="s">
        <v>115</v>
      </c>
      <c r="E149" s="161">
        <v>2</v>
      </c>
      <c r="F149" s="162">
        <v>87727.09</v>
      </c>
      <c r="G149" s="164">
        <v>2</v>
      </c>
      <c r="H149" s="218"/>
    </row>
    <row r="150" spans="1:8" ht="22.5" x14ac:dyDescent="0.25">
      <c r="A150" s="123" t="s">
        <v>400</v>
      </c>
      <c r="B150" s="160" t="s">
        <v>267</v>
      </c>
      <c r="C150" s="221" t="s">
        <v>268</v>
      </c>
      <c r="D150" s="123" t="s">
        <v>115</v>
      </c>
      <c r="E150" s="161">
        <v>1</v>
      </c>
      <c r="F150" s="162">
        <v>156781.35</v>
      </c>
      <c r="G150" s="164">
        <v>1</v>
      </c>
      <c r="H150" s="234"/>
    </row>
    <row r="151" spans="1:8" x14ac:dyDescent="0.25">
      <c r="A151" s="123" t="s">
        <v>401</v>
      </c>
      <c r="B151" s="160" t="s">
        <v>120</v>
      </c>
      <c r="C151" s="221" t="s">
        <v>271</v>
      </c>
      <c r="D151" s="123" t="s">
        <v>115</v>
      </c>
      <c r="E151" s="161">
        <v>1</v>
      </c>
      <c r="F151" s="162">
        <v>4178.1000000000004</v>
      </c>
      <c r="G151" s="164">
        <v>1</v>
      </c>
      <c r="H151" s="234"/>
    </row>
    <row r="152" spans="1:8" ht="22.5" x14ac:dyDescent="0.25">
      <c r="A152" s="262" t="s">
        <v>402</v>
      </c>
      <c r="B152" s="263" t="s">
        <v>274</v>
      </c>
      <c r="C152" s="264" t="s">
        <v>275</v>
      </c>
      <c r="D152" s="262" t="s">
        <v>276</v>
      </c>
      <c r="E152" s="243">
        <v>0.06</v>
      </c>
      <c r="F152" s="265">
        <v>15658.24</v>
      </c>
      <c r="G152" s="243">
        <v>0</v>
      </c>
      <c r="H152" s="218" t="s">
        <v>546</v>
      </c>
    </row>
    <row r="153" spans="1:8" s="229" customFormat="1" x14ac:dyDescent="0.25">
      <c r="A153" s="262" t="s">
        <v>403</v>
      </c>
      <c r="B153" s="263" t="s">
        <v>282</v>
      </c>
      <c r="C153" s="264" t="s">
        <v>283</v>
      </c>
      <c r="D153" s="262" t="s">
        <v>127</v>
      </c>
      <c r="E153" s="243">
        <v>-2.9000000000000001E-2</v>
      </c>
      <c r="F153" s="265">
        <v>-2679.86</v>
      </c>
      <c r="G153" s="243">
        <v>0</v>
      </c>
      <c r="H153" s="218" t="s">
        <v>546</v>
      </c>
    </row>
    <row r="154" spans="1:8" x14ac:dyDescent="0.25">
      <c r="A154" s="262" t="s">
        <v>404</v>
      </c>
      <c r="B154" s="263" t="s">
        <v>120</v>
      </c>
      <c r="C154" s="264" t="s">
        <v>285</v>
      </c>
      <c r="D154" s="262" t="s">
        <v>130</v>
      </c>
      <c r="E154" s="243">
        <v>0.36</v>
      </c>
      <c r="F154" s="265">
        <v>134204.32</v>
      </c>
      <c r="G154" s="243">
        <v>0</v>
      </c>
      <c r="H154" s="218" t="s">
        <v>546</v>
      </c>
    </row>
    <row r="155" spans="1:8" x14ac:dyDescent="0.25">
      <c r="A155" s="262" t="s">
        <v>405</v>
      </c>
      <c r="B155" s="263" t="s">
        <v>120</v>
      </c>
      <c r="C155" s="264" t="s">
        <v>129</v>
      </c>
      <c r="D155" s="262" t="s">
        <v>130</v>
      </c>
      <c r="E155" s="243">
        <v>2.9000000000000001E-2</v>
      </c>
      <c r="F155" s="265">
        <v>8010.5</v>
      </c>
      <c r="G155" s="243">
        <v>0</v>
      </c>
      <c r="H155" s="218" t="s">
        <v>546</v>
      </c>
    </row>
    <row r="156" spans="1:8" ht="22.5" x14ac:dyDescent="0.25">
      <c r="A156" s="123" t="s">
        <v>406</v>
      </c>
      <c r="B156" s="160" t="s">
        <v>288</v>
      </c>
      <c r="C156" s="221" t="s">
        <v>289</v>
      </c>
      <c r="D156" s="123" t="s">
        <v>160</v>
      </c>
      <c r="E156" s="161">
        <v>1.3299999999999999E-2</v>
      </c>
      <c r="F156" s="162">
        <v>34682.379999999997</v>
      </c>
      <c r="G156" s="212">
        <f>E156</f>
        <v>1.3299999999999999E-2</v>
      </c>
      <c r="H156" s="234"/>
    </row>
    <row r="157" spans="1:8" x14ac:dyDescent="0.25">
      <c r="A157" s="117" t="s">
        <v>161</v>
      </c>
      <c r="B157" s="117"/>
      <c r="C157" s="221"/>
      <c r="D157" s="123"/>
      <c r="E157" s="123"/>
      <c r="F157" s="147"/>
      <c r="G157" s="226"/>
      <c r="H157" s="234"/>
    </row>
    <row r="158" spans="1:8" ht="33.75" x14ac:dyDescent="0.25">
      <c r="A158" s="123" t="s">
        <v>407</v>
      </c>
      <c r="B158" s="160" t="s">
        <v>163</v>
      </c>
      <c r="C158" s="221" t="s">
        <v>164</v>
      </c>
      <c r="D158" s="123" t="s">
        <v>165</v>
      </c>
      <c r="E158" s="161">
        <v>52.3</v>
      </c>
      <c r="F158" s="162">
        <v>2694.89</v>
      </c>
      <c r="G158" s="143">
        <f>G140*100*1.75</f>
        <v>39.287500000000001</v>
      </c>
      <c r="H158" s="234"/>
    </row>
    <row r="159" spans="1:8" ht="33.75" x14ac:dyDescent="0.25">
      <c r="A159" s="123" t="s">
        <v>408</v>
      </c>
      <c r="B159" s="160" t="s">
        <v>167</v>
      </c>
      <c r="C159" s="221" t="s">
        <v>292</v>
      </c>
      <c r="D159" s="123" t="s">
        <v>165</v>
      </c>
      <c r="E159" s="161">
        <v>9.9</v>
      </c>
      <c r="F159" s="162">
        <v>1304.8699999999999</v>
      </c>
      <c r="G159" s="143">
        <v>7.56</v>
      </c>
      <c r="H159" s="234"/>
    </row>
    <row r="160" spans="1:8" ht="22.5" x14ac:dyDescent="0.25">
      <c r="A160" s="123" t="s">
        <v>409</v>
      </c>
      <c r="B160" s="160" t="s">
        <v>170</v>
      </c>
      <c r="C160" s="221" t="s">
        <v>294</v>
      </c>
      <c r="D160" s="123" t="s">
        <v>165</v>
      </c>
      <c r="E160" s="161">
        <v>5</v>
      </c>
      <c r="F160" s="162">
        <v>854.62</v>
      </c>
      <c r="G160" s="143">
        <f>1.6+2.64</f>
        <v>4.24</v>
      </c>
      <c r="H160" s="234"/>
    </row>
    <row r="161" spans="1:8" ht="33.75" x14ac:dyDescent="0.25">
      <c r="A161" s="123" t="s">
        <v>410</v>
      </c>
      <c r="B161" s="160" t="s">
        <v>173</v>
      </c>
      <c r="C161" s="221" t="s">
        <v>174</v>
      </c>
      <c r="D161" s="123" t="s">
        <v>165</v>
      </c>
      <c r="E161" s="161">
        <v>67.2</v>
      </c>
      <c r="F161" s="162">
        <v>4207.3100000000004</v>
      </c>
      <c r="G161" s="143">
        <f>G160+G159+G158</f>
        <v>51.087500000000006</v>
      </c>
      <c r="H161" s="218"/>
    </row>
    <row r="162" spans="1:8" hidden="1" x14ac:dyDescent="0.25">
      <c r="A162" s="114" t="s">
        <v>415</v>
      </c>
      <c r="B162" s="114"/>
      <c r="C162" s="220"/>
      <c r="D162" s="120"/>
      <c r="E162" s="120"/>
      <c r="F162" s="140"/>
    </row>
    <row r="163" spans="1:8" ht="22.5" hidden="1" x14ac:dyDescent="0.25">
      <c r="A163" s="123" t="s">
        <v>416</v>
      </c>
      <c r="B163" s="160" t="s">
        <v>208</v>
      </c>
      <c r="C163" s="221" t="s">
        <v>209</v>
      </c>
      <c r="D163" s="123" t="s">
        <v>210</v>
      </c>
      <c r="E163" s="161">
        <v>1</v>
      </c>
      <c r="F163" s="162">
        <v>44914.41</v>
      </c>
    </row>
    <row r="164" spans="1:8" ht="22.5" hidden="1" x14ac:dyDescent="0.25">
      <c r="A164" s="123" t="s">
        <v>417</v>
      </c>
      <c r="B164" s="160" t="s">
        <v>82</v>
      </c>
      <c r="C164" s="221" t="s">
        <v>83</v>
      </c>
      <c r="D164" s="123" t="s">
        <v>58</v>
      </c>
      <c r="E164" s="161">
        <v>0.23699999999999999</v>
      </c>
      <c r="F164" s="162">
        <v>4712.08</v>
      </c>
    </row>
    <row r="165" spans="1:8" ht="22.5" hidden="1" x14ac:dyDescent="0.25">
      <c r="A165" s="123" t="s">
        <v>418</v>
      </c>
      <c r="B165" s="160" t="s">
        <v>89</v>
      </c>
      <c r="C165" s="221" t="s">
        <v>90</v>
      </c>
      <c r="D165" s="123" t="s">
        <v>58</v>
      </c>
      <c r="E165" s="161">
        <v>0.11559999999999999</v>
      </c>
      <c r="F165" s="162">
        <v>2138.88</v>
      </c>
    </row>
    <row r="166" spans="1:8" ht="22.5" hidden="1" x14ac:dyDescent="0.25">
      <c r="A166" s="123" t="s">
        <v>419</v>
      </c>
      <c r="B166" s="160" t="s">
        <v>96</v>
      </c>
      <c r="C166" s="221" t="s">
        <v>97</v>
      </c>
      <c r="D166" s="123" t="s">
        <v>58</v>
      </c>
      <c r="E166" s="161">
        <v>0.11600000000000001</v>
      </c>
      <c r="F166" s="162">
        <v>17635.43</v>
      </c>
    </row>
    <row r="167" spans="1:8" hidden="1" x14ac:dyDescent="0.25">
      <c r="A167" s="123" t="s">
        <v>420</v>
      </c>
      <c r="B167" s="160" t="s">
        <v>104</v>
      </c>
      <c r="C167" s="221" t="s">
        <v>105</v>
      </c>
      <c r="D167" s="123" t="s">
        <v>106</v>
      </c>
      <c r="E167" s="161">
        <v>14.62</v>
      </c>
      <c r="F167" s="162">
        <v>90844.61</v>
      </c>
    </row>
    <row r="168" spans="1:8" ht="33.75" hidden="1" x14ac:dyDescent="0.25">
      <c r="A168" s="123" t="s">
        <v>421</v>
      </c>
      <c r="B168" s="160" t="s">
        <v>241</v>
      </c>
      <c r="C168" s="221" t="s">
        <v>242</v>
      </c>
      <c r="D168" s="123" t="s">
        <v>210</v>
      </c>
      <c r="E168" s="161">
        <v>1</v>
      </c>
      <c r="F168" s="162">
        <v>207003.6</v>
      </c>
    </row>
    <row r="169" spans="1:8" hidden="1" x14ac:dyDescent="0.25">
      <c r="A169" s="123" t="s">
        <v>422</v>
      </c>
      <c r="B169" s="160" t="s">
        <v>244</v>
      </c>
      <c r="C169" s="221" t="s">
        <v>245</v>
      </c>
      <c r="D169" s="123" t="s">
        <v>246</v>
      </c>
      <c r="E169" s="161">
        <v>1</v>
      </c>
      <c r="F169" s="162">
        <v>1667776.02</v>
      </c>
    </row>
    <row r="170" spans="1:8" ht="22.5" hidden="1" x14ac:dyDescent="0.25">
      <c r="A170" s="123" t="s">
        <v>423</v>
      </c>
      <c r="B170" s="160" t="s">
        <v>249</v>
      </c>
      <c r="C170" s="221" t="s">
        <v>250</v>
      </c>
      <c r="D170" s="123" t="s">
        <v>246</v>
      </c>
      <c r="E170" s="161">
        <v>1</v>
      </c>
      <c r="F170" s="162">
        <v>3596141.97</v>
      </c>
    </row>
    <row r="171" spans="1:8" ht="33.75" hidden="1" x14ac:dyDescent="0.25">
      <c r="A171" s="123" t="s">
        <v>424</v>
      </c>
      <c r="B171" s="160" t="s">
        <v>253</v>
      </c>
      <c r="C171" s="221" t="s">
        <v>254</v>
      </c>
      <c r="D171" s="123" t="s">
        <v>115</v>
      </c>
      <c r="E171" s="161">
        <v>1</v>
      </c>
      <c r="F171" s="162">
        <v>42192.34</v>
      </c>
    </row>
    <row r="172" spans="1:8" s="229" customFormat="1" hidden="1" x14ac:dyDescent="0.25">
      <c r="A172" s="166" t="s">
        <v>425</v>
      </c>
      <c r="B172" s="167" t="s">
        <v>260</v>
      </c>
      <c r="C172" s="222" t="s">
        <v>261</v>
      </c>
      <c r="D172" s="166" t="s">
        <v>115</v>
      </c>
      <c r="E172" s="169">
        <v>-2</v>
      </c>
      <c r="F172" s="170">
        <v>-5066.7299999999996</v>
      </c>
      <c r="G172" s="233"/>
      <c r="H172" s="232"/>
    </row>
    <row r="173" spans="1:8" hidden="1" x14ac:dyDescent="0.25">
      <c r="A173" s="123" t="s">
        <v>426</v>
      </c>
      <c r="B173" s="160" t="s">
        <v>263</v>
      </c>
      <c r="C173" s="221" t="s">
        <v>264</v>
      </c>
      <c r="D173" s="123" t="s">
        <v>115</v>
      </c>
      <c r="E173" s="161">
        <v>2</v>
      </c>
      <c r="F173" s="162">
        <v>87727.09</v>
      </c>
    </row>
    <row r="174" spans="1:8" ht="22.5" hidden="1" x14ac:dyDescent="0.25">
      <c r="A174" s="123" t="s">
        <v>427</v>
      </c>
      <c r="B174" s="160" t="s">
        <v>267</v>
      </c>
      <c r="C174" s="221" t="s">
        <v>268</v>
      </c>
      <c r="D174" s="123" t="s">
        <v>115</v>
      </c>
      <c r="E174" s="161">
        <v>1</v>
      </c>
      <c r="F174" s="162">
        <v>156781.35</v>
      </c>
    </row>
    <row r="175" spans="1:8" hidden="1" x14ac:dyDescent="0.25">
      <c r="A175" s="123" t="s">
        <v>428</v>
      </c>
      <c r="B175" s="160" t="s">
        <v>120</v>
      </c>
      <c r="C175" s="221" t="s">
        <v>271</v>
      </c>
      <c r="D175" s="123" t="s">
        <v>115</v>
      </c>
      <c r="E175" s="161">
        <v>1</v>
      </c>
      <c r="F175" s="162">
        <v>4178.1000000000004</v>
      </c>
    </row>
    <row r="176" spans="1:8" ht="22.5" hidden="1" x14ac:dyDescent="0.25">
      <c r="A176" s="123" t="s">
        <v>429</v>
      </c>
      <c r="B176" s="160" t="s">
        <v>274</v>
      </c>
      <c r="C176" s="221" t="s">
        <v>275</v>
      </c>
      <c r="D176" s="123" t="s">
        <v>276</v>
      </c>
      <c r="E176" s="161">
        <v>0.06</v>
      </c>
      <c r="F176" s="162">
        <v>15658.24</v>
      </c>
    </row>
    <row r="177" spans="1:8" s="229" customFormat="1" hidden="1" x14ac:dyDescent="0.25">
      <c r="A177" s="166" t="s">
        <v>430</v>
      </c>
      <c r="B177" s="167" t="s">
        <v>282</v>
      </c>
      <c r="C177" s="222" t="s">
        <v>283</v>
      </c>
      <c r="D177" s="166" t="s">
        <v>127</v>
      </c>
      <c r="E177" s="169">
        <v>-2.9000000000000001E-2</v>
      </c>
      <c r="F177" s="170">
        <v>-2679.86</v>
      </c>
      <c r="G177" s="233"/>
      <c r="H177" s="232"/>
    </row>
    <row r="178" spans="1:8" hidden="1" x14ac:dyDescent="0.25">
      <c r="A178" s="123" t="s">
        <v>431</v>
      </c>
      <c r="B178" s="160" t="s">
        <v>120</v>
      </c>
      <c r="C178" s="221" t="s">
        <v>285</v>
      </c>
      <c r="D178" s="123" t="s">
        <v>130</v>
      </c>
      <c r="E178" s="161">
        <v>0.36</v>
      </c>
      <c r="F178" s="162">
        <v>134204.32</v>
      </c>
    </row>
    <row r="179" spans="1:8" hidden="1" x14ac:dyDescent="0.25">
      <c r="A179" s="123" t="s">
        <v>432</v>
      </c>
      <c r="B179" s="160" t="s">
        <v>120</v>
      </c>
      <c r="C179" s="221" t="s">
        <v>129</v>
      </c>
      <c r="D179" s="123" t="s">
        <v>130</v>
      </c>
      <c r="E179" s="161">
        <v>2.9000000000000001E-2</v>
      </c>
      <c r="F179" s="162">
        <v>8010.5</v>
      </c>
    </row>
    <row r="180" spans="1:8" ht="22.5" hidden="1" x14ac:dyDescent="0.25">
      <c r="A180" s="123" t="s">
        <v>433</v>
      </c>
      <c r="B180" s="160" t="s">
        <v>288</v>
      </c>
      <c r="C180" s="221" t="s">
        <v>289</v>
      </c>
      <c r="D180" s="123" t="s">
        <v>160</v>
      </c>
      <c r="E180" s="161">
        <v>1.3299999999999999E-2</v>
      </c>
      <c r="F180" s="162">
        <v>34682.379999999997</v>
      </c>
    </row>
    <row r="181" spans="1:8" hidden="1" x14ac:dyDescent="0.25">
      <c r="A181" s="117" t="s">
        <v>161</v>
      </c>
      <c r="B181" s="117"/>
      <c r="C181" s="221"/>
      <c r="D181" s="123"/>
      <c r="E181" s="123"/>
      <c r="F181" s="147"/>
    </row>
    <row r="182" spans="1:8" ht="33.75" hidden="1" x14ac:dyDescent="0.25">
      <c r="A182" s="123" t="s">
        <v>434</v>
      </c>
      <c r="B182" s="160" t="s">
        <v>163</v>
      </c>
      <c r="C182" s="221" t="s">
        <v>164</v>
      </c>
      <c r="D182" s="123" t="s">
        <v>165</v>
      </c>
      <c r="E182" s="161">
        <v>41.5</v>
      </c>
      <c r="F182" s="162">
        <v>2138.4499999999998</v>
      </c>
    </row>
    <row r="183" spans="1:8" ht="33.75" hidden="1" x14ac:dyDescent="0.25">
      <c r="A183" s="123" t="s">
        <v>435</v>
      </c>
      <c r="B183" s="160" t="s">
        <v>167</v>
      </c>
      <c r="C183" s="221" t="s">
        <v>292</v>
      </c>
      <c r="D183" s="123" t="s">
        <v>165</v>
      </c>
      <c r="E183" s="161">
        <v>9.9</v>
      </c>
      <c r="F183" s="162">
        <v>1304.8699999999999</v>
      </c>
    </row>
    <row r="184" spans="1:8" ht="22.5" hidden="1" x14ac:dyDescent="0.25">
      <c r="A184" s="123" t="s">
        <v>436</v>
      </c>
      <c r="B184" s="160" t="s">
        <v>170</v>
      </c>
      <c r="C184" s="221" t="s">
        <v>294</v>
      </c>
      <c r="D184" s="123" t="s">
        <v>165</v>
      </c>
      <c r="E184" s="161">
        <v>5</v>
      </c>
      <c r="F184" s="162">
        <v>854.62</v>
      </c>
    </row>
    <row r="185" spans="1:8" ht="33.75" hidden="1" x14ac:dyDescent="0.25">
      <c r="A185" s="123" t="s">
        <v>437</v>
      </c>
      <c r="B185" s="160" t="s">
        <v>173</v>
      </c>
      <c r="C185" s="221" t="s">
        <v>174</v>
      </c>
      <c r="D185" s="123" t="s">
        <v>165</v>
      </c>
      <c r="E185" s="161">
        <v>56.4</v>
      </c>
      <c r="F185" s="162">
        <v>3531.09</v>
      </c>
    </row>
    <row r="186" spans="1:8" hidden="1" x14ac:dyDescent="0.25">
      <c r="A186" s="114" t="s">
        <v>442</v>
      </c>
      <c r="B186" s="114"/>
      <c r="C186" s="220"/>
      <c r="D186" s="120"/>
      <c r="E186" s="120"/>
      <c r="F186" s="140"/>
    </row>
    <row r="187" spans="1:8" ht="22.5" hidden="1" x14ac:dyDescent="0.25">
      <c r="A187" s="123" t="s">
        <v>443</v>
      </c>
      <c r="B187" s="160" t="s">
        <v>208</v>
      </c>
      <c r="C187" s="221" t="s">
        <v>209</v>
      </c>
      <c r="D187" s="123" t="s">
        <v>210</v>
      </c>
      <c r="E187" s="161">
        <v>1</v>
      </c>
      <c r="F187" s="162">
        <v>44914.41</v>
      </c>
    </row>
    <row r="188" spans="1:8" ht="22.5" hidden="1" x14ac:dyDescent="0.25">
      <c r="A188" s="123" t="s">
        <v>444</v>
      </c>
      <c r="B188" s="160" t="s">
        <v>82</v>
      </c>
      <c r="C188" s="221" t="s">
        <v>83</v>
      </c>
      <c r="D188" s="123" t="s">
        <v>58</v>
      </c>
      <c r="E188" s="161">
        <v>0.23599999999999999</v>
      </c>
      <c r="F188" s="162">
        <v>4693.04</v>
      </c>
    </row>
    <row r="189" spans="1:8" ht="22.5" hidden="1" x14ac:dyDescent="0.25">
      <c r="A189" s="123" t="s">
        <v>445</v>
      </c>
      <c r="B189" s="160" t="s">
        <v>89</v>
      </c>
      <c r="C189" s="221" t="s">
        <v>90</v>
      </c>
      <c r="D189" s="123" t="s">
        <v>58</v>
      </c>
      <c r="E189" s="161">
        <v>0.1152</v>
      </c>
      <c r="F189" s="162">
        <v>2130.6</v>
      </c>
    </row>
    <row r="190" spans="1:8" ht="22.5" hidden="1" x14ac:dyDescent="0.25">
      <c r="A190" s="123" t="s">
        <v>446</v>
      </c>
      <c r="B190" s="160" t="s">
        <v>96</v>
      </c>
      <c r="C190" s="221" t="s">
        <v>97</v>
      </c>
      <c r="D190" s="123" t="s">
        <v>58</v>
      </c>
      <c r="E190" s="161">
        <v>0.115</v>
      </c>
      <c r="F190" s="162">
        <v>17483.62</v>
      </c>
    </row>
    <row r="191" spans="1:8" hidden="1" x14ac:dyDescent="0.25">
      <c r="A191" s="123" t="s">
        <v>447</v>
      </c>
      <c r="B191" s="160" t="s">
        <v>104</v>
      </c>
      <c r="C191" s="221" t="s">
        <v>105</v>
      </c>
      <c r="D191" s="123" t="s">
        <v>106</v>
      </c>
      <c r="E191" s="161">
        <v>14.49</v>
      </c>
      <c r="F191" s="162">
        <v>90036.82</v>
      </c>
    </row>
    <row r="192" spans="1:8" ht="33.75" hidden="1" x14ac:dyDescent="0.25">
      <c r="A192" s="123" t="s">
        <v>448</v>
      </c>
      <c r="B192" s="160" t="s">
        <v>241</v>
      </c>
      <c r="C192" s="221" t="s">
        <v>242</v>
      </c>
      <c r="D192" s="123" t="s">
        <v>210</v>
      </c>
      <c r="E192" s="161">
        <v>1</v>
      </c>
      <c r="F192" s="162">
        <v>207003.6</v>
      </c>
    </row>
    <row r="193" spans="1:8" hidden="1" x14ac:dyDescent="0.25">
      <c r="A193" s="123" t="s">
        <v>449</v>
      </c>
      <c r="B193" s="160" t="s">
        <v>244</v>
      </c>
      <c r="C193" s="221" t="s">
        <v>245</v>
      </c>
      <c r="D193" s="123" t="s">
        <v>246</v>
      </c>
      <c r="E193" s="161">
        <v>1</v>
      </c>
      <c r="F193" s="162">
        <v>1667776.02</v>
      </c>
    </row>
    <row r="194" spans="1:8" ht="22.5" hidden="1" x14ac:dyDescent="0.25">
      <c r="A194" s="123" t="s">
        <v>450</v>
      </c>
      <c r="B194" s="160" t="s">
        <v>249</v>
      </c>
      <c r="C194" s="221" t="s">
        <v>451</v>
      </c>
      <c r="D194" s="123" t="s">
        <v>246</v>
      </c>
      <c r="E194" s="161">
        <v>1</v>
      </c>
      <c r="F194" s="162">
        <v>3596141.97</v>
      </c>
    </row>
    <row r="195" spans="1:8" ht="33.75" hidden="1" x14ac:dyDescent="0.25">
      <c r="A195" s="123" t="s">
        <v>452</v>
      </c>
      <c r="B195" s="160" t="s">
        <v>253</v>
      </c>
      <c r="C195" s="221" t="s">
        <v>254</v>
      </c>
      <c r="D195" s="123" t="s">
        <v>115</v>
      </c>
      <c r="E195" s="161">
        <v>1</v>
      </c>
      <c r="F195" s="162">
        <v>42192.34</v>
      </c>
    </row>
    <row r="196" spans="1:8" s="229" customFormat="1" hidden="1" x14ac:dyDescent="0.25">
      <c r="A196" s="166" t="s">
        <v>453</v>
      </c>
      <c r="B196" s="167" t="s">
        <v>260</v>
      </c>
      <c r="C196" s="222" t="s">
        <v>261</v>
      </c>
      <c r="D196" s="166" t="s">
        <v>115</v>
      </c>
      <c r="E196" s="169">
        <v>-2</v>
      </c>
      <c r="F196" s="170">
        <v>-5066.7299999999996</v>
      </c>
      <c r="G196" s="233"/>
      <c r="H196" s="232"/>
    </row>
    <row r="197" spans="1:8" hidden="1" x14ac:dyDescent="0.25">
      <c r="A197" s="123" t="s">
        <v>454</v>
      </c>
      <c r="B197" s="160" t="s">
        <v>263</v>
      </c>
      <c r="C197" s="221" t="s">
        <v>264</v>
      </c>
      <c r="D197" s="123" t="s">
        <v>115</v>
      </c>
      <c r="E197" s="161">
        <v>2</v>
      </c>
      <c r="F197" s="162">
        <v>87727.09</v>
      </c>
    </row>
    <row r="198" spans="1:8" ht="22.5" hidden="1" x14ac:dyDescent="0.25">
      <c r="A198" s="123" t="s">
        <v>455</v>
      </c>
      <c r="B198" s="160" t="s">
        <v>267</v>
      </c>
      <c r="C198" s="221" t="s">
        <v>268</v>
      </c>
      <c r="D198" s="123" t="s">
        <v>115</v>
      </c>
      <c r="E198" s="161">
        <v>1</v>
      </c>
      <c r="F198" s="162">
        <v>156781.35</v>
      </c>
    </row>
    <row r="199" spans="1:8" hidden="1" x14ac:dyDescent="0.25">
      <c r="A199" s="123" t="s">
        <v>456</v>
      </c>
      <c r="B199" s="160" t="s">
        <v>120</v>
      </c>
      <c r="C199" s="221" t="s">
        <v>271</v>
      </c>
      <c r="D199" s="123" t="s">
        <v>115</v>
      </c>
      <c r="E199" s="161">
        <v>1</v>
      </c>
      <c r="F199" s="162">
        <v>4178.1000000000004</v>
      </c>
    </row>
    <row r="200" spans="1:8" ht="22.5" hidden="1" x14ac:dyDescent="0.25">
      <c r="A200" s="123" t="s">
        <v>457</v>
      </c>
      <c r="B200" s="160" t="s">
        <v>274</v>
      </c>
      <c r="C200" s="221" t="s">
        <v>275</v>
      </c>
      <c r="D200" s="123" t="s">
        <v>276</v>
      </c>
      <c r="E200" s="161">
        <v>0.06</v>
      </c>
      <c r="F200" s="162">
        <v>15638.67</v>
      </c>
    </row>
    <row r="201" spans="1:8" s="229" customFormat="1" hidden="1" x14ac:dyDescent="0.25">
      <c r="A201" s="166" t="s">
        <v>458</v>
      </c>
      <c r="B201" s="167" t="s">
        <v>282</v>
      </c>
      <c r="C201" s="222" t="s">
        <v>283</v>
      </c>
      <c r="D201" s="166" t="s">
        <v>127</v>
      </c>
      <c r="E201" s="169">
        <v>-2.9000000000000001E-2</v>
      </c>
      <c r="F201" s="170">
        <v>-2679.86</v>
      </c>
      <c r="G201" s="233"/>
      <c r="H201" s="232"/>
    </row>
    <row r="202" spans="1:8" hidden="1" x14ac:dyDescent="0.25">
      <c r="A202" s="123" t="s">
        <v>459</v>
      </c>
      <c r="B202" s="160" t="s">
        <v>120</v>
      </c>
      <c r="C202" s="221" t="s">
        <v>285</v>
      </c>
      <c r="D202" s="123" t="s">
        <v>130</v>
      </c>
      <c r="E202" s="161">
        <v>0.36</v>
      </c>
      <c r="F202" s="162">
        <v>134204.32</v>
      </c>
    </row>
    <row r="203" spans="1:8" hidden="1" x14ac:dyDescent="0.25">
      <c r="A203" s="123" t="s">
        <v>460</v>
      </c>
      <c r="B203" s="160" t="s">
        <v>120</v>
      </c>
      <c r="C203" s="221" t="s">
        <v>129</v>
      </c>
      <c r="D203" s="123" t="s">
        <v>130</v>
      </c>
      <c r="E203" s="161">
        <v>2.9000000000000001E-2</v>
      </c>
      <c r="F203" s="162">
        <v>8010.5</v>
      </c>
    </row>
    <row r="204" spans="1:8" ht="22.5" hidden="1" x14ac:dyDescent="0.25">
      <c r="A204" s="123" t="s">
        <v>461</v>
      </c>
      <c r="B204" s="160" t="s">
        <v>288</v>
      </c>
      <c r="C204" s="221" t="s">
        <v>289</v>
      </c>
      <c r="D204" s="123" t="s">
        <v>160</v>
      </c>
      <c r="E204" s="161">
        <v>1.3299999999999999E-2</v>
      </c>
      <c r="F204" s="162">
        <v>34682.379999999997</v>
      </c>
    </row>
    <row r="205" spans="1:8" hidden="1" x14ac:dyDescent="0.25">
      <c r="A205" s="117" t="s">
        <v>161</v>
      </c>
      <c r="B205" s="117"/>
      <c r="C205" s="221"/>
      <c r="D205" s="123"/>
      <c r="E205" s="123"/>
      <c r="F205" s="147"/>
    </row>
    <row r="206" spans="1:8" ht="33.75" hidden="1" x14ac:dyDescent="0.25">
      <c r="A206" s="123" t="s">
        <v>462</v>
      </c>
      <c r="B206" s="160" t="s">
        <v>163</v>
      </c>
      <c r="C206" s="221" t="s">
        <v>164</v>
      </c>
      <c r="D206" s="123" t="s">
        <v>165</v>
      </c>
      <c r="E206" s="161">
        <v>41.3</v>
      </c>
      <c r="F206" s="162">
        <v>2128.08</v>
      </c>
    </row>
    <row r="207" spans="1:8" ht="33.75" hidden="1" x14ac:dyDescent="0.25">
      <c r="A207" s="123" t="s">
        <v>463</v>
      </c>
      <c r="B207" s="160" t="s">
        <v>167</v>
      </c>
      <c r="C207" s="221" t="s">
        <v>292</v>
      </c>
      <c r="D207" s="123" t="s">
        <v>165</v>
      </c>
      <c r="E207" s="161">
        <v>12.1</v>
      </c>
      <c r="F207" s="162">
        <v>1594.88</v>
      </c>
    </row>
    <row r="208" spans="1:8" ht="22.5" hidden="1" x14ac:dyDescent="0.25">
      <c r="A208" s="123" t="s">
        <v>464</v>
      </c>
      <c r="B208" s="160" t="s">
        <v>170</v>
      </c>
      <c r="C208" s="221" t="s">
        <v>294</v>
      </c>
      <c r="D208" s="123" t="s">
        <v>165</v>
      </c>
      <c r="E208" s="161">
        <v>5</v>
      </c>
      <c r="F208" s="162">
        <v>854.62</v>
      </c>
    </row>
    <row r="209" spans="1:8" ht="33.75" hidden="1" x14ac:dyDescent="0.25">
      <c r="A209" s="123" t="s">
        <v>465</v>
      </c>
      <c r="B209" s="160" t="s">
        <v>173</v>
      </c>
      <c r="C209" s="221" t="s">
        <v>174</v>
      </c>
      <c r="D209" s="123" t="s">
        <v>165</v>
      </c>
      <c r="E209" s="161">
        <v>58.4</v>
      </c>
      <c r="F209" s="162">
        <v>3656.31</v>
      </c>
    </row>
    <row r="210" spans="1:8" hidden="1" x14ac:dyDescent="0.25">
      <c r="A210" s="114" t="s">
        <v>470</v>
      </c>
      <c r="B210" s="114"/>
      <c r="C210" s="220"/>
      <c r="D210" s="120"/>
      <c r="E210" s="120"/>
      <c r="F210" s="140"/>
    </row>
    <row r="211" spans="1:8" ht="22.5" hidden="1" x14ac:dyDescent="0.25">
      <c r="A211" s="123" t="s">
        <v>471</v>
      </c>
      <c r="B211" s="160" t="s">
        <v>208</v>
      </c>
      <c r="C211" s="221" t="s">
        <v>209</v>
      </c>
      <c r="D211" s="123" t="s">
        <v>210</v>
      </c>
      <c r="E211" s="161">
        <v>1</v>
      </c>
      <c r="F211" s="162">
        <v>44914.41</v>
      </c>
    </row>
    <row r="212" spans="1:8" ht="22.5" hidden="1" x14ac:dyDescent="0.25">
      <c r="A212" s="123" t="s">
        <v>472</v>
      </c>
      <c r="B212" s="160" t="s">
        <v>82</v>
      </c>
      <c r="C212" s="221" t="s">
        <v>83</v>
      </c>
      <c r="D212" s="123" t="s">
        <v>58</v>
      </c>
      <c r="E212" s="161">
        <v>0.28399999999999997</v>
      </c>
      <c r="F212" s="162">
        <v>5647.38</v>
      </c>
    </row>
    <row r="213" spans="1:8" ht="22.5" hidden="1" x14ac:dyDescent="0.25">
      <c r="A213" s="123" t="s">
        <v>473</v>
      </c>
      <c r="B213" s="160" t="s">
        <v>89</v>
      </c>
      <c r="C213" s="221" t="s">
        <v>90</v>
      </c>
      <c r="D213" s="123" t="s">
        <v>58</v>
      </c>
      <c r="E213" s="161">
        <v>0.1336</v>
      </c>
      <c r="F213" s="162">
        <v>2471.04</v>
      </c>
    </row>
    <row r="214" spans="1:8" ht="22.5" hidden="1" x14ac:dyDescent="0.25">
      <c r="A214" s="123" t="s">
        <v>474</v>
      </c>
      <c r="B214" s="160" t="s">
        <v>96</v>
      </c>
      <c r="C214" s="221" t="s">
        <v>97</v>
      </c>
      <c r="D214" s="123" t="s">
        <v>58</v>
      </c>
      <c r="E214" s="161">
        <v>0.13400000000000001</v>
      </c>
      <c r="F214" s="162">
        <v>20372.580000000002</v>
      </c>
    </row>
    <row r="215" spans="1:8" hidden="1" x14ac:dyDescent="0.25">
      <c r="A215" s="123" t="s">
        <v>475</v>
      </c>
      <c r="B215" s="160" t="s">
        <v>104</v>
      </c>
      <c r="C215" s="221" t="s">
        <v>105</v>
      </c>
      <c r="D215" s="123" t="s">
        <v>106</v>
      </c>
      <c r="E215" s="161">
        <v>14.49</v>
      </c>
      <c r="F215" s="162">
        <v>90036.82</v>
      </c>
    </row>
    <row r="216" spans="1:8" ht="33.75" hidden="1" x14ac:dyDescent="0.25">
      <c r="A216" s="123" t="s">
        <v>476</v>
      </c>
      <c r="B216" s="160" t="s">
        <v>241</v>
      </c>
      <c r="C216" s="221" t="s">
        <v>242</v>
      </c>
      <c r="D216" s="123" t="s">
        <v>210</v>
      </c>
      <c r="E216" s="161">
        <v>1</v>
      </c>
      <c r="F216" s="162">
        <v>207003.6</v>
      </c>
    </row>
    <row r="217" spans="1:8" hidden="1" x14ac:dyDescent="0.25">
      <c r="A217" s="123" t="s">
        <v>477</v>
      </c>
      <c r="B217" s="160" t="s">
        <v>244</v>
      </c>
      <c r="C217" s="221" t="s">
        <v>245</v>
      </c>
      <c r="D217" s="123" t="s">
        <v>246</v>
      </c>
      <c r="E217" s="161">
        <v>1</v>
      </c>
      <c r="F217" s="162">
        <v>1667776.02</v>
      </c>
    </row>
    <row r="218" spans="1:8" ht="22.5" hidden="1" x14ac:dyDescent="0.25">
      <c r="A218" s="123" t="s">
        <v>478</v>
      </c>
      <c r="B218" s="160" t="s">
        <v>249</v>
      </c>
      <c r="C218" s="221" t="s">
        <v>250</v>
      </c>
      <c r="D218" s="123" t="s">
        <v>246</v>
      </c>
      <c r="E218" s="161">
        <v>1</v>
      </c>
      <c r="F218" s="162">
        <v>3596141.97</v>
      </c>
    </row>
    <row r="219" spans="1:8" ht="33.75" hidden="1" x14ac:dyDescent="0.25">
      <c r="A219" s="123" t="s">
        <v>479</v>
      </c>
      <c r="B219" s="160" t="s">
        <v>253</v>
      </c>
      <c r="C219" s="221" t="s">
        <v>254</v>
      </c>
      <c r="D219" s="123" t="s">
        <v>115</v>
      </c>
      <c r="E219" s="161">
        <v>1</v>
      </c>
      <c r="F219" s="162">
        <v>42192.34</v>
      </c>
    </row>
    <row r="220" spans="1:8" s="229" customFormat="1" hidden="1" x14ac:dyDescent="0.25">
      <c r="A220" s="166" t="s">
        <v>480</v>
      </c>
      <c r="B220" s="167" t="s">
        <v>260</v>
      </c>
      <c r="C220" s="222" t="s">
        <v>261</v>
      </c>
      <c r="D220" s="166" t="s">
        <v>115</v>
      </c>
      <c r="E220" s="169">
        <v>-2</v>
      </c>
      <c r="F220" s="170">
        <v>-5066.7299999999996</v>
      </c>
      <c r="G220" s="233"/>
      <c r="H220" s="232"/>
    </row>
    <row r="221" spans="1:8" hidden="1" x14ac:dyDescent="0.25">
      <c r="A221" s="123" t="s">
        <v>481</v>
      </c>
      <c r="B221" s="160" t="s">
        <v>263</v>
      </c>
      <c r="C221" s="221" t="s">
        <v>264</v>
      </c>
      <c r="D221" s="123" t="s">
        <v>115</v>
      </c>
      <c r="E221" s="161">
        <v>2</v>
      </c>
      <c r="F221" s="162">
        <v>87727.09</v>
      </c>
    </row>
    <row r="222" spans="1:8" ht="22.5" hidden="1" x14ac:dyDescent="0.25">
      <c r="A222" s="123" t="s">
        <v>482</v>
      </c>
      <c r="B222" s="160" t="s">
        <v>267</v>
      </c>
      <c r="C222" s="221" t="s">
        <v>268</v>
      </c>
      <c r="D222" s="123" t="s">
        <v>115</v>
      </c>
      <c r="E222" s="161">
        <v>1</v>
      </c>
      <c r="F222" s="162">
        <v>156781.35</v>
      </c>
    </row>
    <row r="223" spans="1:8" hidden="1" x14ac:dyDescent="0.25">
      <c r="A223" s="123" t="s">
        <v>483</v>
      </c>
      <c r="B223" s="160" t="s">
        <v>120</v>
      </c>
      <c r="C223" s="221" t="s">
        <v>271</v>
      </c>
      <c r="D223" s="123" t="s">
        <v>115</v>
      </c>
      <c r="E223" s="161">
        <v>1</v>
      </c>
      <c r="F223" s="162">
        <v>4178.1000000000004</v>
      </c>
    </row>
    <row r="224" spans="1:8" ht="22.5" hidden="1" x14ac:dyDescent="0.25">
      <c r="A224" s="123" t="s">
        <v>484</v>
      </c>
      <c r="B224" s="160" t="s">
        <v>274</v>
      </c>
      <c r="C224" s="221" t="s">
        <v>275</v>
      </c>
      <c r="D224" s="123" t="s">
        <v>276</v>
      </c>
      <c r="E224" s="161">
        <v>0.06</v>
      </c>
      <c r="F224" s="162">
        <v>15625.8</v>
      </c>
    </row>
    <row r="225" spans="1:8" s="229" customFormat="1" hidden="1" x14ac:dyDescent="0.25">
      <c r="A225" s="166" t="s">
        <v>485</v>
      </c>
      <c r="B225" s="167" t="s">
        <v>282</v>
      </c>
      <c r="C225" s="222" t="s">
        <v>283</v>
      </c>
      <c r="D225" s="166" t="s">
        <v>127</v>
      </c>
      <c r="E225" s="169">
        <v>-2.9000000000000001E-2</v>
      </c>
      <c r="F225" s="170">
        <v>-2679.76</v>
      </c>
      <c r="G225" s="233"/>
      <c r="H225" s="232"/>
    </row>
    <row r="226" spans="1:8" hidden="1" x14ac:dyDescent="0.25">
      <c r="A226" s="123" t="s">
        <v>486</v>
      </c>
      <c r="B226" s="160" t="s">
        <v>120</v>
      </c>
      <c r="C226" s="221" t="s">
        <v>285</v>
      </c>
      <c r="D226" s="123" t="s">
        <v>130</v>
      </c>
      <c r="E226" s="161">
        <v>0.36</v>
      </c>
      <c r="F226" s="162">
        <v>134204.32</v>
      </c>
    </row>
    <row r="227" spans="1:8" hidden="1" x14ac:dyDescent="0.25">
      <c r="A227" s="123" t="s">
        <v>487</v>
      </c>
      <c r="B227" s="160" t="s">
        <v>120</v>
      </c>
      <c r="C227" s="221" t="s">
        <v>129</v>
      </c>
      <c r="D227" s="123" t="s">
        <v>130</v>
      </c>
      <c r="E227" s="161">
        <v>2.9000000000000001E-2</v>
      </c>
      <c r="F227" s="162">
        <v>8010.5</v>
      </c>
    </row>
    <row r="228" spans="1:8" ht="22.5" hidden="1" x14ac:dyDescent="0.25">
      <c r="A228" s="123" t="s">
        <v>488</v>
      </c>
      <c r="B228" s="160" t="s">
        <v>288</v>
      </c>
      <c r="C228" s="221" t="s">
        <v>289</v>
      </c>
      <c r="D228" s="123" t="s">
        <v>160</v>
      </c>
      <c r="E228" s="161">
        <v>1.3299999999999999E-2</v>
      </c>
      <c r="F228" s="162">
        <v>34682.379999999997</v>
      </c>
    </row>
    <row r="229" spans="1:8" hidden="1" x14ac:dyDescent="0.25">
      <c r="A229" s="117" t="s">
        <v>161</v>
      </c>
      <c r="B229" s="117"/>
      <c r="C229" s="221"/>
      <c r="D229" s="123"/>
      <c r="E229" s="123"/>
      <c r="F229" s="147"/>
    </row>
    <row r="230" spans="1:8" ht="33.75" hidden="1" x14ac:dyDescent="0.25">
      <c r="A230" s="123" t="s">
        <v>489</v>
      </c>
      <c r="B230" s="160" t="s">
        <v>163</v>
      </c>
      <c r="C230" s="221" t="s">
        <v>164</v>
      </c>
      <c r="D230" s="123" t="s">
        <v>165</v>
      </c>
      <c r="E230" s="161">
        <v>49.6</v>
      </c>
      <c r="F230" s="162">
        <v>2555.86</v>
      </c>
    </row>
    <row r="231" spans="1:8" ht="33.75" hidden="1" x14ac:dyDescent="0.25">
      <c r="A231" s="123" t="s">
        <v>490</v>
      </c>
      <c r="B231" s="160" t="s">
        <v>167</v>
      </c>
      <c r="C231" s="221" t="s">
        <v>292</v>
      </c>
      <c r="D231" s="123" t="s">
        <v>165</v>
      </c>
      <c r="E231" s="161">
        <v>9.9</v>
      </c>
      <c r="F231" s="162">
        <v>1304.8699999999999</v>
      </c>
    </row>
    <row r="232" spans="1:8" ht="22.5" hidden="1" x14ac:dyDescent="0.25">
      <c r="A232" s="123" t="s">
        <v>491</v>
      </c>
      <c r="B232" s="160" t="s">
        <v>170</v>
      </c>
      <c r="C232" s="221" t="s">
        <v>294</v>
      </c>
      <c r="D232" s="123" t="s">
        <v>165</v>
      </c>
      <c r="E232" s="161">
        <v>5</v>
      </c>
      <c r="F232" s="162">
        <v>854.62</v>
      </c>
    </row>
    <row r="233" spans="1:8" ht="33.75" hidden="1" x14ac:dyDescent="0.25">
      <c r="A233" s="123" t="s">
        <v>492</v>
      </c>
      <c r="B233" s="160" t="s">
        <v>173</v>
      </c>
      <c r="C233" s="221" t="s">
        <v>174</v>
      </c>
      <c r="D233" s="123" t="s">
        <v>165</v>
      </c>
      <c r="E233" s="161">
        <v>64.5</v>
      </c>
      <c r="F233" s="162">
        <v>4038.29</v>
      </c>
    </row>
  </sheetData>
  <autoFilter ref="A1:F264" xr:uid="{21A1B89F-6F52-42EE-9333-AC52AAC0DB1B}"/>
  <pageMargins left="0.7" right="0.7" top="0.75" bottom="0.75" header="0.3" footer="0.3"/>
  <pageSetup paperSize="9" scale="56" fitToHeight="0" orientation="landscape" r:id="rId1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842ACF-284C-4613-BE2A-ADB1F6025943}">
  <sheetPr>
    <pageSetUpPr fitToPage="1"/>
  </sheetPr>
  <dimension ref="A1:AK246"/>
  <sheetViews>
    <sheetView zoomScale="130" zoomScaleNormal="130" workbookViewId="0">
      <pane ySplit="1" topLeftCell="A200" activePane="bottomLeft" state="frozen"/>
      <selection pane="bottomLeft" activeCell="A210" sqref="A210:XFD234"/>
    </sheetView>
  </sheetViews>
  <sheetFormatPr defaultRowHeight="15" x14ac:dyDescent="0.25"/>
  <cols>
    <col min="1" max="1" width="10.28515625" style="128" customWidth="1"/>
    <col min="2" max="2" width="17.42578125" style="128" customWidth="1"/>
    <col min="3" max="3" width="58.140625" style="128" customWidth="1"/>
    <col min="4" max="4" width="18" style="131" customWidth="1"/>
    <col min="5" max="5" width="15.5703125" style="131" customWidth="1"/>
    <col min="6" max="6" width="15.42578125" style="185" customWidth="1"/>
    <col min="7" max="7" width="17.28515625" style="141" customWidth="1"/>
    <col min="8" max="8" width="23.140625" style="131" customWidth="1"/>
    <col min="9" max="10" width="15.28515625" style="128" customWidth="1"/>
    <col min="11" max="11" width="33.5703125" style="128" customWidth="1"/>
    <col min="12" max="12" width="19.5703125" style="128" customWidth="1"/>
    <col min="13" max="32" width="9.140625" style="128"/>
    <col min="33" max="33" width="34.42578125" style="128" customWidth="1"/>
    <col min="34" max="16384" width="9.140625" style="128"/>
  </cols>
  <sheetData>
    <row r="1" spans="1:12" s="126" customFormat="1" ht="45" x14ac:dyDescent="0.25">
      <c r="A1" s="112" t="s">
        <v>42</v>
      </c>
      <c r="B1" s="113" t="s">
        <v>43</v>
      </c>
      <c r="C1" s="113" t="s">
        <v>44</v>
      </c>
      <c r="D1" s="113" t="s">
        <v>45</v>
      </c>
      <c r="E1" s="113" t="s">
        <v>46</v>
      </c>
      <c r="F1" s="137" t="s">
        <v>49</v>
      </c>
      <c r="G1" s="138"/>
    </row>
    <row r="2" spans="1:12" s="130" customFormat="1" x14ac:dyDescent="0.25">
      <c r="A2" s="115" t="s">
        <v>54</v>
      </c>
      <c r="B2" s="115"/>
      <c r="C2" s="115"/>
      <c r="D2" s="121"/>
      <c r="E2" s="121"/>
      <c r="F2" s="142"/>
      <c r="G2" s="194" t="s">
        <v>518</v>
      </c>
      <c r="H2" s="187" t="s">
        <v>519</v>
      </c>
      <c r="I2" s="187" t="s">
        <v>521</v>
      </c>
      <c r="J2" s="187" t="s">
        <v>537</v>
      </c>
    </row>
    <row r="3" spans="1:12" s="130" customFormat="1" x14ac:dyDescent="0.25">
      <c r="A3" s="122" t="s">
        <v>55</v>
      </c>
      <c r="B3" s="163" t="s">
        <v>56</v>
      </c>
      <c r="C3" s="116" t="s">
        <v>57</v>
      </c>
      <c r="D3" s="122" t="s">
        <v>58</v>
      </c>
      <c r="E3" s="164">
        <v>0.17549999999999999</v>
      </c>
      <c r="F3" s="165">
        <v>18806.66</v>
      </c>
      <c r="G3" s="143">
        <v>0</v>
      </c>
      <c r="H3" s="132">
        <v>0</v>
      </c>
      <c r="I3" s="132">
        <v>0</v>
      </c>
      <c r="J3" s="143">
        <f>F3/E3*(G3+H3+I3)</f>
        <v>0</v>
      </c>
      <c r="K3" s="130">
        <f>75*12.5</f>
        <v>937.5</v>
      </c>
      <c r="L3" s="198">
        <f>K3*65</f>
        <v>60937.5</v>
      </c>
    </row>
    <row r="4" spans="1:12" s="130" customFormat="1" x14ac:dyDescent="0.25">
      <c r="A4" s="122" t="s">
        <v>70</v>
      </c>
      <c r="B4" s="163" t="s">
        <v>71</v>
      </c>
      <c r="C4" s="116" t="s">
        <v>72</v>
      </c>
      <c r="D4" s="122" t="s">
        <v>73</v>
      </c>
      <c r="E4" s="164">
        <v>0.78</v>
      </c>
      <c r="F4" s="145">
        <v>207758.2</v>
      </c>
      <c r="G4" s="207">
        <f>37.5/1000</f>
        <v>3.7499999999999999E-2</v>
      </c>
      <c r="H4" s="208">
        <f>6.4/1000</f>
        <v>6.4000000000000003E-3</v>
      </c>
      <c r="I4" s="207">
        <f>37.95/1000</f>
        <v>3.7950000000000005E-2</v>
      </c>
      <c r="J4" s="143">
        <f t="shared" ref="J4:J26" si="0">F4/E4*(G4+H4+I4)</f>
        <v>21801.29316666667</v>
      </c>
      <c r="K4" s="127" t="s">
        <v>527</v>
      </c>
      <c r="L4" s="198"/>
    </row>
    <row r="5" spans="1:12" s="130" customFormat="1" x14ac:dyDescent="0.25">
      <c r="A5" s="122" t="s">
        <v>75</v>
      </c>
      <c r="B5" s="116" t="s">
        <v>82</v>
      </c>
      <c r="C5" s="116" t="s">
        <v>83</v>
      </c>
      <c r="D5" s="122" t="s">
        <v>58</v>
      </c>
      <c r="E5" s="164">
        <v>4.5659999999999998</v>
      </c>
      <c r="F5" s="145">
        <v>90796.58</v>
      </c>
      <c r="G5" s="207">
        <f>29.98/100</f>
        <v>0.29980000000000001</v>
      </c>
      <c r="H5" s="208">
        <f>5.95/100</f>
        <v>5.9500000000000004E-2</v>
      </c>
      <c r="I5" s="208">
        <f>30.44/100</f>
        <v>0.3044</v>
      </c>
      <c r="J5" s="143">
        <f t="shared" si="0"/>
        <v>13197.917246167322</v>
      </c>
      <c r="L5" s="198"/>
    </row>
    <row r="6" spans="1:12" s="130" customFormat="1" x14ac:dyDescent="0.25">
      <c r="A6" s="122" t="s">
        <v>88</v>
      </c>
      <c r="B6" s="163" t="s">
        <v>89</v>
      </c>
      <c r="C6" s="116" t="s">
        <v>90</v>
      </c>
      <c r="D6" s="122" t="s">
        <v>58</v>
      </c>
      <c r="E6" s="164">
        <v>2.08</v>
      </c>
      <c r="F6" s="165">
        <v>38470.42</v>
      </c>
      <c r="G6" s="143">
        <f>14.12/100</f>
        <v>0.14119999999999999</v>
      </c>
      <c r="H6" s="132">
        <f>2.48/100</f>
        <v>2.4799999999999999E-2</v>
      </c>
      <c r="I6" s="132">
        <f>13.06/100</f>
        <v>0.13059999999999999</v>
      </c>
      <c r="J6" s="143">
        <f t="shared" si="0"/>
        <v>5485.7339288461535</v>
      </c>
      <c r="L6" s="198"/>
    </row>
    <row r="7" spans="1:12" s="130" customFormat="1" x14ac:dyDescent="0.25">
      <c r="A7" s="122" t="s">
        <v>95</v>
      </c>
      <c r="B7" s="163" t="s">
        <v>96</v>
      </c>
      <c r="C7" s="116" t="s">
        <v>97</v>
      </c>
      <c r="D7" s="122" t="s">
        <v>58</v>
      </c>
      <c r="E7" s="164">
        <v>2.08</v>
      </c>
      <c r="F7" s="165">
        <v>316235.57</v>
      </c>
      <c r="G7" s="143">
        <f>14.12/100</f>
        <v>0.14119999999999999</v>
      </c>
      <c r="H7" s="132">
        <f>2.48/100</f>
        <v>2.4799999999999999E-2</v>
      </c>
      <c r="I7" s="132">
        <f>I6</f>
        <v>0.13059999999999999</v>
      </c>
      <c r="J7" s="143">
        <f t="shared" si="0"/>
        <v>45093.975991346146</v>
      </c>
      <c r="L7" s="198"/>
    </row>
    <row r="8" spans="1:12" s="130" customFormat="1" x14ac:dyDescent="0.25">
      <c r="A8" s="122" t="s">
        <v>103</v>
      </c>
      <c r="B8" s="163" t="s">
        <v>104</v>
      </c>
      <c r="C8" s="116" t="s">
        <v>105</v>
      </c>
      <c r="D8" s="122" t="s">
        <v>106</v>
      </c>
      <c r="E8" s="164">
        <v>262.08</v>
      </c>
      <c r="F8" s="165">
        <v>1628491.9</v>
      </c>
      <c r="G8" s="132">
        <f>1.26*100*G7</f>
        <v>17.7912</v>
      </c>
      <c r="H8" s="132">
        <f>1.26*100*H7</f>
        <v>3.1248</v>
      </c>
      <c r="I8" s="132">
        <f>1.26*100*I7</f>
        <v>16.4556</v>
      </c>
      <c r="J8" s="143">
        <f t="shared" si="0"/>
        <v>232216.68150961542</v>
      </c>
      <c r="L8" s="198"/>
    </row>
    <row r="9" spans="1:12" s="130" customFormat="1" x14ac:dyDescent="0.25">
      <c r="A9" s="122" t="s">
        <v>109</v>
      </c>
      <c r="B9" s="163" t="s">
        <v>110</v>
      </c>
      <c r="C9" s="116" t="s">
        <v>111</v>
      </c>
      <c r="D9" s="122" t="s">
        <v>73</v>
      </c>
      <c r="E9" s="164">
        <v>0.4647</v>
      </c>
      <c r="F9" s="165">
        <v>7513342.6799999997</v>
      </c>
      <c r="G9" s="143">
        <f>37.5/1000</f>
        <v>3.7499999999999999E-2</v>
      </c>
      <c r="H9" s="132">
        <f>6.4/1000</f>
        <v>6.4000000000000003E-3</v>
      </c>
      <c r="I9" s="132">
        <f>37.95/1000</f>
        <v>3.7950000000000005E-2</v>
      </c>
      <c r="J9" s="143">
        <f t="shared" si="0"/>
        <v>1323363.6719561007</v>
      </c>
      <c r="L9" s="198"/>
    </row>
    <row r="10" spans="1:12" s="181" customFormat="1" x14ac:dyDescent="0.25">
      <c r="A10" s="153" t="s">
        <v>112</v>
      </c>
      <c r="B10" s="154" t="s">
        <v>113</v>
      </c>
      <c r="C10" s="155" t="s">
        <v>114</v>
      </c>
      <c r="D10" s="153" t="s">
        <v>115</v>
      </c>
      <c r="E10" s="156">
        <v>-855</v>
      </c>
      <c r="F10" s="157">
        <v>-1527842.25</v>
      </c>
      <c r="G10" s="144">
        <v>-69</v>
      </c>
      <c r="H10" s="134">
        <v>-12</v>
      </c>
      <c r="I10" s="134">
        <v>-61</v>
      </c>
      <c r="J10" s="143">
        <f t="shared" si="0"/>
        <v>-253746.9</v>
      </c>
      <c r="L10" s="198"/>
    </row>
    <row r="11" spans="1:12" s="181" customFormat="1" x14ac:dyDescent="0.25">
      <c r="A11" s="153" t="s">
        <v>116</v>
      </c>
      <c r="B11" s="154" t="s">
        <v>117</v>
      </c>
      <c r="C11" s="155" t="s">
        <v>118</v>
      </c>
      <c r="D11" s="153" t="s">
        <v>115</v>
      </c>
      <c r="E11" s="156">
        <v>-1710</v>
      </c>
      <c r="F11" s="157">
        <v>-708444.45</v>
      </c>
      <c r="G11" s="144">
        <f>G10*2</f>
        <v>-138</v>
      </c>
      <c r="H11" s="134">
        <v>-24</v>
      </c>
      <c r="I11" s="134">
        <f>I10*2</f>
        <v>-122</v>
      </c>
      <c r="J11" s="143">
        <f t="shared" si="0"/>
        <v>-117659.77999999998</v>
      </c>
      <c r="L11" s="198"/>
    </row>
    <row r="12" spans="1:12" s="130" customFormat="1" x14ac:dyDescent="0.25">
      <c r="A12" s="122" t="s">
        <v>119</v>
      </c>
      <c r="B12" s="163" t="s">
        <v>120</v>
      </c>
      <c r="C12" s="116" t="s">
        <v>121</v>
      </c>
      <c r="D12" s="122" t="s">
        <v>115</v>
      </c>
      <c r="E12" s="164">
        <v>855</v>
      </c>
      <c r="F12" s="165">
        <v>11682341.33</v>
      </c>
      <c r="G12" s="143">
        <v>69</v>
      </c>
      <c r="H12" s="132">
        <v>12</v>
      </c>
      <c r="I12" s="132">
        <v>61</v>
      </c>
      <c r="J12" s="143">
        <f t="shared" si="0"/>
        <v>1940225.1097777777</v>
      </c>
      <c r="L12" s="198"/>
    </row>
    <row r="13" spans="1:12" s="181" customFormat="1" x14ac:dyDescent="0.25">
      <c r="A13" s="153" t="s">
        <v>124</v>
      </c>
      <c r="B13" s="154" t="s">
        <v>125</v>
      </c>
      <c r="C13" s="155" t="s">
        <v>126</v>
      </c>
      <c r="D13" s="153" t="s">
        <v>127</v>
      </c>
      <c r="E13" s="156">
        <v>-0.307</v>
      </c>
      <c r="F13" s="157">
        <v>-30401.62</v>
      </c>
      <c r="G13" s="134">
        <f>-1*G14</f>
        <v>-3.5679999999999996E-2</v>
      </c>
      <c r="H13" s="134">
        <f>-1*H14</f>
        <v>-8.9199999999999991E-3</v>
      </c>
      <c r="I13" s="134">
        <f>-1*I14</f>
        <v>-1.7839999999999998E-2</v>
      </c>
      <c r="J13" s="139">
        <f>F13</f>
        <v>-30401.62</v>
      </c>
      <c r="K13" s="159"/>
      <c r="L13" s="198"/>
    </row>
    <row r="14" spans="1:12" s="130" customFormat="1" x14ac:dyDescent="0.25">
      <c r="A14" s="125" t="s">
        <v>128</v>
      </c>
      <c r="B14" s="172" t="s">
        <v>120</v>
      </c>
      <c r="C14" s="119" t="s">
        <v>129</v>
      </c>
      <c r="D14" s="125" t="s">
        <v>130</v>
      </c>
      <c r="E14" s="173">
        <v>0.307</v>
      </c>
      <c r="F14" s="174">
        <v>84801.18</v>
      </c>
      <c r="G14" s="209">
        <f>1.115/1000*32</f>
        <v>3.5679999999999996E-2</v>
      </c>
      <c r="H14" s="209">
        <f>1.115/1000*8</f>
        <v>8.9199999999999991E-3</v>
      </c>
      <c r="I14" s="209">
        <f>1.115/1000*16</f>
        <v>1.7839999999999998E-2</v>
      </c>
      <c r="J14" s="143">
        <f t="shared" si="0"/>
        <v>17247.510355700324</v>
      </c>
      <c r="L14" s="198"/>
    </row>
    <row r="15" spans="1:12" s="181" customFormat="1" x14ac:dyDescent="0.25">
      <c r="A15" s="153" t="s">
        <v>132</v>
      </c>
      <c r="B15" s="154" t="s">
        <v>133</v>
      </c>
      <c r="C15" s="155" t="s">
        <v>134</v>
      </c>
      <c r="D15" s="153" t="s">
        <v>115</v>
      </c>
      <c r="E15" s="156">
        <v>-149</v>
      </c>
      <c r="F15" s="157">
        <v>-205672.15</v>
      </c>
      <c r="G15" s="144">
        <v>-8</v>
      </c>
      <c r="H15" s="134">
        <v>-4</v>
      </c>
      <c r="I15" s="134">
        <v>-8</v>
      </c>
      <c r="J15" s="143">
        <f t="shared" si="0"/>
        <v>-27607</v>
      </c>
      <c r="L15" s="198"/>
    </row>
    <row r="16" spans="1:12" s="130" customFormat="1" x14ac:dyDescent="0.25">
      <c r="A16" s="125" t="s">
        <v>135</v>
      </c>
      <c r="B16" s="172" t="s">
        <v>120</v>
      </c>
      <c r="C16" s="119" t="s">
        <v>136</v>
      </c>
      <c r="D16" s="125" t="s">
        <v>130</v>
      </c>
      <c r="E16" s="173">
        <v>3.18</v>
      </c>
      <c r="F16" s="174">
        <v>1185471.18</v>
      </c>
      <c r="G16" s="209">
        <f>E16/106*8</f>
        <v>0.24000000000000002</v>
      </c>
      <c r="H16" s="186">
        <v>0</v>
      </c>
      <c r="I16" s="186">
        <v>0</v>
      </c>
      <c r="J16" s="143">
        <f t="shared" si="0"/>
        <v>89469.523018867912</v>
      </c>
      <c r="L16" s="198"/>
    </row>
    <row r="17" spans="1:15" s="181" customFormat="1" x14ac:dyDescent="0.25">
      <c r="A17" s="153" t="s">
        <v>138</v>
      </c>
      <c r="B17" s="154" t="s">
        <v>139</v>
      </c>
      <c r="C17" s="155" t="s">
        <v>140</v>
      </c>
      <c r="D17" s="153" t="s">
        <v>141</v>
      </c>
      <c r="E17" s="156">
        <v>-929.4</v>
      </c>
      <c r="F17" s="157">
        <v>-3100850.16</v>
      </c>
      <c r="G17" s="144">
        <f>-1*37.5*2</f>
        <v>-75</v>
      </c>
      <c r="H17" s="134">
        <v>-12.8</v>
      </c>
      <c r="I17" s="134">
        <v>-37.950000000000003</v>
      </c>
      <c r="J17" s="143">
        <f t="shared" si="0"/>
        <v>-419552.3</v>
      </c>
      <c r="L17" s="198"/>
    </row>
    <row r="18" spans="1:15" s="130" customFormat="1" x14ac:dyDescent="0.25">
      <c r="A18" s="122" t="s">
        <v>142</v>
      </c>
      <c r="B18" s="163" t="s">
        <v>120</v>
      </c>
      <c r="C18" s="116" t="s">
        <v>143</v>
      </c>
      <c r="D18" s="122" t="s">
        <v>130</v>
      </c>
      <c r="E18" s="164">
        <v>60.75</v>
      </c>
      <c r="F18" s="165">
        <v>10553895.23</v>
      </c>
      <c r="G18" s="143">
        <f>64.88*37.5*2/1000</f>
        <v>4.8659999999999997</v>
      </c>
      <c r="H18" s="132">
        <f>64.88*6.4*2/1000</f>
        <v>0.83046399999999998</v>
      </c>
      <c r="I18" s="132">
        <f>64.88*37.95/1000</f>
        <v>2.4621960000000001</v>
      </c>
      <c r="J18" s="143">
        <f t="shared" si="0"/>
        <v>1417376.8371554206</v>
      </c>
      <c r="K18" s="130">
        <f>60.75/(12.5*75)*1000</f>
        <v>64.8</v>
      </c>
      <c r="L18" s="198">
        <f>81.85*2*K18/1000</f>
        <v>10.607759999999999</v>
      </c>
    </row>
    <row r="19" spans="1:15" s="130" customFormat="1" x14ac:dyDescent="0.25">
      <c r="A19" s="125" t="s">
        <v>145</v>
      </c>
      <c r="B19" s="172" t="s">
        <v>120</v>
      </c>
      <c r="C19" s="119" t="s">
        <v>146</v>
      </c>
      <c r="D19" s="125" t="s">
        <v>147</v>
      </c>
      <c r="E19" s="173">
        <v>16</v>
      </c>
      <c r="F19" s="174">
        <v>262341.27</v>
      </c>
      <c r="G19" s="210">
        <v>4</v>
      </c>
      <c r="H19" s="211">
        <v>2</v>
      </c>
      <c r="I19" s="211">
        <v>4</v>
      </c>
      <c r="J19" s="143">
        <f t="shared" si="0"/>
        <v>163963.29375000001</v>
      </c>
      <c r="K19" s="203" t="s">
        <v>528</v>
      </c>
      <c r="L19" s="198"/>
    </row>
    <row r="20" spans="1:15" s="130" customFormat="1" x14ac:dyDescent="0.25">
      <c r="A20" s="122" t="s">
        <v>149</v>
      </c>
      <c r="B20" s="163" t="s">
        <v>150</v>
      </c>
      <c r="C20" s="116" t="s">
        <v>151</v>
      </c>
      <c r="D20" s="122" t="s">
        <v>152</v>
      </c>
      <c r="E20" s="164">
        <v>6.84</v>
      </c>
      <c r="F20" s="165">
        <v>2675.92</v>
      </c>
      <c r="G20" s="143">
        <f>E20/38*2</f>
        <v>0.36</v>
      </c>
      <c r="H20" s="132">
        <f>E20/38*6</f>
        <v>1.08</v>
      </c>
      <c r="I20" s="132">
        <f>E20/38*4</f>
        <v>0.72</v>
      </c>
      <c r="J20" s="143">
        <f t="shared" si="0"/>
        <v>845.02736842105276</v>
      </c>
      <c r="L20" s="198"/>
    </row>
    <row r="21" spans="1:15" s="130" customFormat="1" x14ac:dyDescent="0.25">
      <c r="A21" s="122" t="s">
        <v>157</v>
      </c>
      <c r="B21" s="163" t="s">
        <v>158</v>
      </c>
      <c r="C21" s="116" t="s">
        <v>159</v>
      </c>
      <c r="D21" s="122" t="s">
        <v>160</v>
      </c>
      <c r="E21" s="164">
        <v>0.2051</v>
      </c>
      <c r="F21" s="165">
        <v>534393.89</v>
      </c>
      <c r="G21" s="143">
        <f>15.35/1000</f>
        <v>1.5349999999999999E-2</v>
      </c>
      <c r="H21" s="132">
        <f>2.71/1000</f>
        <v>2.7100000000000002E-3</v>
      </c>
      <c r="I21" s="132">
        <f>14.62/1000</f>
        <v>1.4619999999999999E-2</v>
      </c>
      <c r="J21" s="143">
        <f t="shared" si="0"/>
        <v>85148.67052754754</v>
      </c>
      <c r="L21" s="198"/>
    </row>
    <row r="22" spans="1:15" s="130" customFormat="1" x14ac:dyDescent="0.25">
      <c r="A22" s="116" t="s">
        <v>161</v>
      </c>
      <c r="B22" s="116"/>
      <c r="C22" s="116"/>
      <c r="D22" s="122"/>
      <c r="E22" s="122"/>
      <c r="F22" s="145"/>
      <c r="G22" s="143"/>
      <c r="H22" s="132"/>
      <c r="I22" s="132"/>
      <c r="J22" s="143"/>
      <c r="L22" s="198"/>
    </row>
    <row r="23" spans="1:15" s="130" customFormat="1" x14ac:dyDescent="0.25">
      <c r="A23" s="122" t="s">
        <v>162</v>
      </c>
      <c r="B23" s="163" t="s">
        <v>163</v>
      </c>
      <c r="C23" s="116" t="s">
        <v>164</v>
      </c>
      <c r="D23" s="122" t="s">
        <v>165</v>
      </c>
      <c r="E23" s="164">
        <v>829.75</v>
      </c>
      <c r="F23" s="165">
        <v>42756.02</v>
      </c>
      <c r="G23" s="143">
        <f>(G3+G5)*1.75*100</f>
        <v>52.465000000000003</v>
      </c>
      <c r="H23" s="143">
        <f>(H3+H5)*1.75*100</f>
        <v>10.412500000000001</v>
      </c>
      <c r="I23" s="143">
        <f>(I3+I5)*1.75*100</f>
        <v>53.269999999999996</v>
      </c>
      <c r="J23" s="143">
        <f t="shared" si="0"/>
        <v>5984.9410460379631</v>
      </c>
      <c r="L23" s="198"/>
    </row>
    <row r="24" spans="1:15" s="130" customFormat="1" x14ac:dyDescent="0.25">
      <c r="A24" s="122" t="s">
        <v>166</v>
      </c>
      <c r="B24" s="163" t="s">
        <v>167</v>
      </c>
      <c r="C24" s="116" t="s">
        <v>168</v>
      </c>
      <c r="D24" s="122" t="s">
        <v>165</v>
      </c>
      <c r="E24" s="164">
        <v>86.37</v>
      </c>
      <c r="F24" s="165">
        <v>11384.09</v>
      </c>
      <c r="G24" s="143">
        <v>3.89</v>
      </c>
      <c r="H24" s="132">
        <v>1.05</v>
      </c>
      <c r="I24" s="132">
        <v>3.93</v>
      </c>
      <c r="J24" s="143">
        <f t="shared" si="0"/>
        <v>1169.1198135926827</v>
      </c>
      <c r="L24" s="198"/>
    </row>
    <row r="25" spans="1:15" s="130" customFormat="1" x14ac:dyDescent="0.25">
      <c r="A25" s="122" t="s">
        <v>169</v>
      </c>
      <c r="B25" s="163" t="s">
        <v>170</v>
      </c>
      <c r="C25" s="116" t="s">
        <v>171</v>
      </c>
      <c r="D25" s="122" t="s">
        <v>165</v>
      </c>
      <c r="E25" s="164">
        <v>133.68</v>
      </c>
      <c r="F25" s="165">
        <v>22849.25</v>
      </c>
      <c r="G25" s="144">
        <v>2.8</v>
      </c>
      <c r="H25" s="134">
        <f>H4</f>
        <v>6.4000000000000003E-3</v>
      </c>
      <c r="I25" s="134">
        <v>2.48</v>
      </c>
      <c r="J25" s="143">
        <f t="shared" si="0"/>
        <v>903.57776181926999</v>
      </c>
      <c r="K25" s="127" t="s">
        <v>529</v>
      </c>
      <c r="L25" s="198"/>
    </row>
    <row r="26" spans="1:15" s="130" customFormat="1" x14ac:dyDescent="0.25">
      <c r="A26" s="122" t="s">
        <v>172</v>
      </c>
      <c r="B26" s="163" t="s">
        <v>173</v>
      </c>
      <c r="C26" s="116" t="s">
        <v>174</v>
      </c>
      <c r="D26" s="122" t="s">
        <v>165</v>
      </c>
      <c r="E26" s="164">
        <v>1049.8</v>
      </c>
      <c r="F26" s="165">
        <v>65727.17</v>
      </c>
      <c r="G26" s="143">
        <f>G23+G24+G25</f>
        <v>59.155000000000001</v>
      </c>
      <c r="H26" s="143">
        <f>H23+H24+H25</f>
        <v>11.468900000000001</v>
      </c>
      <c r="I26" s="143">
        <f>I23+I24+I25</f>
        <v>59.679999999999993</v>
      </c>
      <c r="J26" s="143">
        <f t="shared" si="0"/>
        <v>8158.2268879434178</v>
      </c>
      <c r="L26" s="198"/>
    </row>
    <row r="27" spans="1:15" x14ac:dyDescent="0.25">
      <c r="A27" s="114" t="s">
        <v>206</v>
      </c>
      <c r="B27" s="114"/>
      <c r="C27" s="114"/>
      <c r="D27" s="120"/>
      <c r="E27" s="120"/>
      <c r="F27" s="140"/>
      <c r="J27" s="199">
        <f>SUM(J3:J26)</f>
        <v>4522683.5112618711</v>
      </c>
    </row>
    <row r="28" spans="1:15" x14ac:dyDescent="0.25">
      <c r="A28" s="123" t="s">
        <v>207</v>
      </c>
      <c r="B28" s="160" t="s">
        <v>208</v>
      </c>
      <c r="C28" s="117" t="s">
        <v>209</v>
      </c>
      <c r="D28" s="123" t="s">
        <v>210</v>
      </c>
      <c r="E28" s="161">
        <v>1</v>
      </c>
      <c r="F28" s="162">
        <v>44914.41</v>
      </c>
      <c r="I28" s="190" t="s">
        <v>524</v>
      </c>
      <c r="J28" s="191">
        <f>(G9+H9+I9)*1000</f>
        <v>81.850000000000009</v>
      </c>
    </row>
    <row r="29" spans="1:15" x14ac:dyDescent="0.25">
      <c r="A29" s="123" t="s">
        <v>211</v>
      </c>
      <c r="B29" s="160" t="s">
        <v>167</v>
      </c>
      <c r="C29" s="117" t="s">
        <v>212</v>
      </c>
      <c r="D29" s="123" t="s">
        <v>165</v>
      </c>
      <c r="E29" s="161">
        <v>8.6199999999999992</v>
      </c>
      <c r="F29" s="162">
        <v>1136.1500000000001</v>
      </c>
      <c r="I29" s="190" t="s">
        <v>523</v>
      </c>
      <c r="J29" s="191">
        <f>J27/J28</f>
        <v>55255.75456642481</v>
      </c>
      <c r="O29" s="128">
        <f>5.65*2</f>
        <v>11.3</v>
      </c>
    </row>
    <row r="30" spans="1:15" x14ac:dyDescent="0.25">
      <c r="A30" s="123" t="s">
        <v>213</v>
      </c>
      <c r="B30" s="160" t="s">
        <v>170</v>
      </c>
      <c r="C30" s="117" t="s">
        <v>214</v>
      </c>
      <c r="D30" s="123" t="s">
        <v>165</v>
      </c>
      <c r="E30" s="161">
        <v>5.04</v>
      </c>
      <c r="F30" s="162">
        <v>861.54</v>
      </c>
      <c r="I30" s="171"/>
      <c r="J30" s="171"/>
    </row>
    <row r="31" spans="1:15" x14ac:dyDescent="0.25">
      <c r="A31" s="123" t="s">
        <v>215</v>
      </c>
      <c r="B31" s="160" t="s">
        <v>173</v>
      </c>
      <c r="C31" s="117" t="s">
        <v>174</v>
      </c>
      <c r="D31" s="123" t="s">
        <v>165</v>
      </c>
      <c r="E31" s="161">
        <v>13.66</v>
      </c>
      <c r="F31" s="162">
        <v>855.28</v>
      </c>
      <c r="L31" s="128">
        <f>75+12.95+50+12.8</f>
        <v>150.75</v>
      </c>
    </row>
    <row r="32" spans="1:15" x14ac:dyDescent="0.25">
      <c r="A32" s="114" t="s">
        <v>220</v>
      </c>
      <c r="B32" s="114"/>
      <c r="C32" s="114"/>
      <c r="D32" s="120"/>
      <c r="E32" s="120"/>
      <c r="F32" s="140"/>
      <c r="H32" s="131">
        <f>E16/106</f>
        <v>3.0000000000000002E-2</v>
      </c>
      <c r="K32" s="128">
        <f>1.115*56</f>
        <v>62.44</v>
      </c>
      <c r="L32" s="128">
        <f>L31/2</f>
        <v>75.375</v>
      </c>
    </row>
    <row r="33" spans="1:16" x14ac:dyDescent="0.25">
      <c r="A33" s="123" t="s">
        <v>221</v>
      </c>
      <c r="B33" s="160" t="s">
        <v>208</v>
      </c>
      <c r="C33" s="117" t="s">
        <v>209</v>
      </c>
      <c r="D33" s="123" t="s">
        <v>210</v>
      </c>
      <c r="E33" s="161">
        <v>1</v>
      </c>
      <c r="F33" s="162">
        <v>44914.41</v>
      </c>
      <c r="J33" s="185">
        <f>G17+H17+I17</f>
        <v>-125.75</v>
      </c>
      <c r="L33" s="128">
        <f>7.3*2</f>
        <v>14.6</v>
      </c>
      <c r="P33" s="128">
        <f>E3/E5</f>
        <v>3.8436268068331142E-2</v>
      </c>
    </row>
    <row r="34" spans="1:16" x14ac:dyDescent="0.25">
      <c r="A34" s="123" t="s">
        <v>222</v>
      </c>
      <c r="B34" s="160" t="s">
        <v>167</v>
      </c>
      <c r="C34" s="117" t="s">
        <v>212</v>
      </c>
      <c r="D34" s="123" t="s">
        <v>165</v>
      </c>
      <c r="E34" s="161">
        <v>8.6199999999999992</v>
      </c>
      <c r="F34" s="162">
        <v>1136.1500000000001</v>
      </c>
      <c r="J34" s="128">
        <f>J33/2</f>
        <v>-62.875</v>
      </c>
    </row>
    <row r="35" spans="1:16" x14ac:dyDescent="0.25">
      <c r="A35" s="123" t="s">
        <v>223</v>
      </c>
      <c r="B35" s="160" t="s">
        <v>170</v>
      </c>
      <c r="C35" s="117" t="s">
        <v>214</v>
      </c>
      <c r="D35" s="123" t="s">
        <v>165</v>
      </c>
      <c r="E35" s="161">
        <v>5.04</v>
      </c>
      <c r="F35" s="162">
        <v>861.54</v>
      </c>
    </row>
    <row r="36" spans="1:16" x14ac:dyDescent="0.25">
      <c r="A36" s="123" t="s">
        <v>224</v>
      </c>
      <c r="B36" s="160" t="s">
        <v>173</v>
      </c>
      <c r="C36" s="117" t="s">
        <v>174</v>
      </c>
      <c r="D36" s="123" t="s">
        <v>165</v>
      </c>
      <c r="E36" s="161">
        <v>13.66</v>
      </c>
      <c r="F36" s="162">
        <v>855.28</v>
      </c>
      <c r="K36" s="128">
        <f>37.5*2</f>
        <v>75</v>
      </c>
    </row>
    <row r="37" spans="1:16" x14ac:dyDescent="0.25">
      <c r="A37" s="114" t="s">
        <v>227</v>
      </c>
      <c r="B37" s="114"/>
      <c r="C37" s="114"/>
      <c r="D37" s="120"/>
      <c r="E37" s="120"/>
      <c r="F37" s="140"/>
      <c r="K37" s="128">
        <f>5.65+7.3</f>
        <v>12.95</v>
      </c>
    </row>
    <row r="38" spans="1:16" x14ac:dyDescent="0.25">
      <c r="A38" s="123" t="s">
        <v>228</v>
      </c>
      <c r="B38" s="160" t="s">
        <v>208</v>
      </c>
      <c r="C38" s="117" t="s">
        <v>209</v>
      </c>
      <c r="D38" s="123" t="s">
        <v>210</v>
      </c>
      <c r="E38" s="161">
        <v>1</v>
      </c>
      <c r="F38" s="162">
        <v>44914.41</v>
      </c>
    </row>
    <row r="39" spans="1:16" x14ac:dyDescent="0.25">
      <c r="A39" s="123" t="s">
        <v>229</v>
      </c>
      <c r="B39" s="160" t="s">
        <v>167</v>
      </c>
      <c r="C39" s="117" t="s">
        <v>212</v>
      </c>
      <c r="D39" s="123" t="s">
        <v>165</v>
      </c>
      <c r="E39" s="161">
        <v>11.71</v>
      </c>
      <c r="F39" s="162">
        <v>1543.51</v>
      </c>
    </row>
    <row r="40" spans="1:16" x14ac:dyDescent="0.25">
      <c r="A40" s="123" t="s">
        <v>230</v>
      </c>
      <c r="B40" s="160" t="s">
        <v>170</v>
      </c>
      <c r="C40" s="117" t="s">
        <v>214</v>
      </c>
      <c r="D40" s="123" t="s">
        <v>165</v>
      </c>
      <c r="E40" s="161">
        <v>5.04</v>
      </c>
      <c r="F40" s="162">
        <v>861.54</v>
      </c>
    </row>
    <row r="41" spans="1:16" x14ac:dyDescent="0.25">
      <c r="A41" s="123" t="s">
        <v>231</v>
      </c>
      <c r="B41" s="160" t="s">
        <v>173</v>
      </c>
      <c r="C41" s="117" t="s">
        <v>174</v>
      </c>
      <c r="D41" s="123" t="s">
        <v>165</v>
      </c>
      <c r="E41" s="161">
        <v>16.75</v>
      </c>
      <c r="F41" s="162">
        <v>1048.79</v>
      </c>
    </row>
    <row r="42" spans="1:16" s="130" customFormat="1" x14ac:dyDescent="0.25">
      <c r="A42" s="115" t="s">
        <v>234</v>
      </c>
      <c r="B42" s="115"/>
      <c r="C42" s="115"/>
      <c r="D42" s="121"/>
      <c r="E42" s="121"/>
      <c r="F42" s="142"/>
      <c r="G42" s="194" t="s">
        <v>525</v>
      </c>
      <c r="H42" s="187" t="s">
        <v>537</v>
      </c>
    </row>
    <row r="43" spans="1:16" s="130" customFormat="1" x14ac:dyDescent="0.25">
      <c r="A43" s="122" t="s">
        <v>235</v>
      </c>
      <c r="B43" s="163" t="s">
        <v>208</v>
      </c>
      <c r="C43" s="116" t="s">
        <v>209</v>
      </c>
      <c r="D43" s="122" t="s">
        <v>210</v>
      </c>
      <c r="E43" s="164">
        <v>1</v>
      </c>
      <c r="F43" s="165">
        <v>44914.41</v>
      </c>
      <c r="G43" s="143">
        <v>1</v>
      </c>
      <c r="H43" s="143">
        <f>F43/E43*G43</f>
        <v>44914.41</v>
      </c>
    </row>
    <row r="44" spans="1:16" s="130" customFormat="1" x14ac:dyDescent="0.25">
      <c r="A44" s="122" t="s">
        <v>236</v>
      </c>
      <c r="B44" s="163" t="s">
        <v>82</v>
      </c>
      <c r="C44" s="116" t="s">
        <v>83</v>
      </c>
      <c r="D44" s="122" t="s">
        <v>58</v>
      </c>
      <c r="E44" s="164">
        <v>0.34</v>
      </c>
      <c r="F44" s="165">
        <v>6761.04</v>
      </c>
      <c r="G44" s="143">
        <f>20.1/100</f>
        <v>0.20100000000000001</v>
      </c>
      <c r="H44" s="143">
        <f t="shared" ref="H44:H65" si="1">F44/E44*G44</f>
        <v>3996.9677647058825</v>
      </c>
    </row>
    <row r="45" spans="1:16" s="130" customFormat="1" x14ac:dyDescent="0.25">
      <c r="A45" s="122" t="s">
        <v>237</v>
      </c>
      <c r="B45" s="163" t="s">
        <v>89</v>
      </c>
      <c r="C45" s="116" t="s">
        <v>90</v>
      </c>
      <c r="D45" s="122" t="s">
        <v>58</v>
      </c>
      <c r="E45" s="164">
        <v>0.15540000000000001</v>
      </c>
      <c r="F45" s="165">
        <v>2874.51</v>
      </c>
      <c r="G45" s="143">
        <f>10.09/100</f>
        <v>0.1009</v>
      </c>
      <c r="H45" s="143">
        <f t="shared" si="1"/>
        <v>1866.3967760617761</v>
      </c>
    </row>
    <row r="46" spans="1:16" s="130" customFormat="1" x14ac:dyDescent="0.25">
      <c r="A46" s="122" t="s">
        <v>238</v>
      </c>
      <c r="B46" s="163" t="s">
        <v>96</v>
      </c>
      <c r="C46" s="116" t="s">
        <v>97</v>
      </c>
      <c r="D46" s="122" t="s">
        <v>58</v>
      </c>
      <c r="E46" s="164">
        <v>0.155</v>
      </c>
      <c r="F46" s="165">
        <v>23565.74</v>
      </c>
      <c r="G46" s="143">
        <f>G45</f>
        <v>0.1009</v>
      </c>
      <c r="H46" s="143">
        <f t="shared" si="1"/>
        <v>15340.536554838711</v>
      </c>
    </row>
    <row r="47" spans="1:16" s="130" customFormat="1" x14ac:dyDescent="0.25">
      <c r="A47" s="122" t="s">
        <v>239</v>
      </c>
      <c r="B47" s="163" t="s">
        <v>104</v>
      </c>
      <c r="C47" s="116" t="s">
        <v>105</v>
      </c>
      <c r="D47" s="122" t="s">
        <v>106</v>
      </c>
      <c r="E47" s="164">
        <v>19.53</v>
      </c>
      <c r="F47" s="165">
        <v>121353.95</v>
      </c>
      <c r="G47" s="143">
        <f>1.26*100*G46</f>
        <v>12.7134</v>
      </c>
      <c r="H47" s="143">
        <f t="shared" si="1"/>
        <v>78997.506806451609</v>
      </c>
    </row>
    <row r="48" spans="1:16" s="130" customFormat="1" x14ac:dyDescent="0.25">
      <c r="A48" s="122" t="s">
        <v>240</v>
      </c>
      <c r="B48" s="163" t="s">
        <v>241</v>
      </c>
      <c r="C48" s="116" t="s">
        <v>242</v>
      </c>
      <c r="D48" s="122" t="s">
        <v>210</v>
      </c>
      <c r="E48" s="164">
        <v>1</v>
      </c>
      <c r="F48" s="165">
        <v>207003.6</v>
      </c>
      <c r="G48" s="143">
        <v>1</v>
      </c>
      <c r="H48" s="143">
        <f t="shared" si="1"/>
        <v>207003.6</v>
      </c>
    </row>
    <row r="49" spans="1:37" s="130" customFormat="1" x14ac:dyDescent="0.25">
      <c r="A49" s="122" t="s">
        <v>243</v>
      </c>
      <c r="B49" s="163" t="s">
        <v>244</v>
      </c>
      <c r="C49" s="116" t="s">
        <v>245</v>
      </c>
      <c r="D49" s="122" t="s">
        <v>246</v>
      </c>
      <c r="E49" s="164">
        <v>1</v>
      </c>
      <c r="F49" s="165">
        <v>1667776.02</v>
      </c>
      <c r="G49" s="143">
        <v>1</v>
      </c>
      <c r="H49" s="143">
        <f t="shared" si="1"/>
        <v>1667776.02</v>
      </c>
    </row>
    <row r="50" spans="1:37" s="130" customFormat="1" x14ac:dyDescent="0.25">
      <c r="A50" s="122" t="s">
        <v>248</v>
      </c>
      <c r="B50" s="163" t="s">
        <v>249</v>
      </c>
      <c r="C50" s="116" t="s">
        <v>250</v>
      </c>
      <c r="D50" s="122" t="s">
        <v>246</v>
      </c>
      <c r="E50" s="164">
        <v>1</v>
      </c>
      <c r="F50" s="165">
        <v>3596141.97</v>
      </c>
      <c r="G50" s="143">
        <v>1</v>
      </c>
      <c r="H50" s="143">
        <f t="shared" si="1"/>
        <v>3596141.97</v>
      </c>
    </row>
    <row r="51" spans="1:37" s="130" customFormat="1" x14ac:dyDescent="0.25">
      <c r="A51" s="122" t="s">
        <v>252</v>
      </c>
      <c r="B51" s="163" t="s">
        <v>253</v>
      </c>
      <c r="C51" s="116" t="s">
        <v>254</v>
      </c>
      <c r="D51" s="122" t="s">
        <v>115</v>
      </c>
      <c r="E51" s="164">
        <v>1</v>
      </c>
      <c r="F51" s="165">
        <v>42192.34</v>
      </c>
      <c r="G51" s="143">
        <v>1</v>
      </c>
      <c r="H51" s="143">
        <f t="shared" si="1"/>
        <v>42192.34</v>
      </c>
    </row>
    <row r="52" spans="1:37" s="158" customFormat="1" x14ac:dyDescent="0.25">
      <c r="A52" s="153" t="s">
        <v>259</v>
      </c>
      <c r="B52" s="154" t="s">
        <v>260</v>
      </c>
      <c r="C52" s="155" t="s">
        <v>261</v>
      </c>
      <c r="D52" s="153" t="s">
        <v>115</v>
      </c>
      <c r="E52" s="156">
        <v>-2</v>
      </c>
      <c r="F52" s="157">
        <v>-5066.7299999999996</v>
      </c>
      <c r="G52" s="152">
        <f>E52</f>
        <v>-2</v>
      </c>
      <c r="H52" s="152">
        <f t="shared" si="1"/>
        <v>-5066.7299999999996</v>
      </c>
    </row>
    <row r="53" spans="1:37" s="130" customFormat="1" x14ac:dyDescent="0.25">
      <c r="A53" s="122" t="s">
        <v>262</v>
      </c>
      <c r="B53" s="163" t="s">
        <v>263</v>
      </c>
      <c r="C53" s="116" t="s">
        <v>264</v>
      </c>
      <c r="D53" s="122" t="s">
        <v>115</v>
      </c>
      <c r="E53" s="164">
        <v>2</v>
      </c>
      <c r="F53" s="165">
        <v>87727.09</v>
      </c>
      <c r="G53" s="143">
        <v>2</v>
      </c>
      <c r="H53" s="143">
        <f t="shared" si="1"/>
        <v>87727.09</v>
      </c>
    </row>
    <row r="54" spans="1:37" s="130" customFormat="1" x14ac:dyDescent="0.25">
      <c r="A54" s="122" t="s">
        <v>266</v>
      </c>
      <c r="B54" s="163" t="s">
        <v>267</v>
      </c>
      <c r="C54" s="116" t="s">
        <v>268</v>
      </c>
      <c r="D54" s="122" t="s">
        <v>115</v>
      </c>
      <c r="E54" s="164">
        <v>1</v>
      </c>
      <c r="F54" s="165">
        <v>156781.35</v>
      </c>
      <c r="G54" s="143">
        <v>1</v>
      </c>
      <c r="H54" s="143">
        <f t="shared" si="1"/>
        <v>156781.35</v>
      </c>
    </row>
    <row r="55" spans="1:37" s="130" customFormat="1" x14ac:dyDescent="0.25">
      <c r="A55" s="122" t="s">
        <v>270</v>
      </c>
      <c r="B55" s="163" t="s">
        <v>120</v>
      </c>
      <c r="C55" s="116" t="s">
        <v>271</v>
      </c>
      <c r="D55" s="122" t="s">
        <v>115</v>
      </c>
      <c r="E55" s="164">
        <v>1</v>
      </c>
      <c r="F55" s="165">
        <v>4178.1000000000004</v>
      </c>
      <c r="G55" s="143">
        <v>1</v>
      </c>
      <c r="H55" s="143">
        <f t="shared" si="1"/>
        <v>4178.1000000000004</v>
      </c>
    </row>
    <row r="56" spans="1:37" s="130" customFormat="1" x14ac:dyDescent="0.25">
      <c r="A56" s="122" t="s">
        <v>273</v>
      </c>
      <c r="B56" s="163" t="s">
        <v>274</v>
      </c>
      <c r="C56" s="116" t="s">
        <v>275</v>
      </c>
      <c r="D56" s="122" t="s">
        <v>276</v>
      </c>
      <c r="E56" s="164">
        <v>0.06</v>
      </c>
      <c r="F56" s="165">
        <v>15658.24</v>
      </c>
      <c r="G56" s="143">
        <v>0.06</v>
      </c>
      <c r="H56" s="143">
        <f t="shared" si="1"/>
        <v>15658.24</v>
      </c>
    </row>
    <row r="57" spans="1:37" s="158" customFormat="1" x14ac:dyDescent="0.25">
      <c r="A57" s="153" t="s">
        <v>281</v>
      </c>
      <c r="B57" s="154" t="s">
        <v>282</v>
      </c>
      <c r="C57" s="155" t="s">
        <v>283</v>
      </c>
      <c r="D57" s="153" t="s">
        <v>127</v>
      </c>
      <c r="E57" s="156">
        <v>-2.9000000000000001E-2</v>
      </c>
      <c r="F57" s="157">
        <v>-2679.86</v>
      </c>
      <c r="G57" s="152">
        <f>E57</f>
        <v>-2.9000000000000001E-2</v>
      </c>
      <c r="H57" s="152">
        <f t="shared" si="1"/>
        <v>-2679.86</v>
      </c>
    </row>
    <row r="58" spans="1:37" s="130" customFormat="1" x14ac:dyDescent="0.25">
      <c r="A58" s="122" t="s">
        <v>284</v>
      </c>
      <c r="B58" s="163" t="s">
        <v>120</v>
      </c>
      <c r="C58" s="116" t="s">
        <v>285</v>
      </c>
      <c r="D58" s="122" t="s">
        <v>130</v>
      </c>
      <c r="E58" s="164">
        <v>0.36</v>
      </c>
      <c r="F58" s="165">
        <v>134204.32</v>
      </c>
      <c r="G58" s="143">
        <f>E58</f>
        <v>0.36</v>
      </c>
      <c r="H58" s="143">
        <f t="shared" si="1"/>
        <v>134204.32</v>
      </c>
    </row>
    <row r="59" spans="1:37" s="130" customFormat="1" x14ac:dyDescent="0.25">
      <c r="A59" s="122" t="s">
        <v>286</v>
      </c>
      <c r="B59" s="163" t="s">
        <v>120</v>
      </c>
      <c r="C59" s="116" t="s">
        <v>129</v>
      </c>
      <c r="D59" s="122" t="s">
        <v>130</v>
      </c>
      <c r="E59" s="164">
        <v>2.9000000000000001E-2</v>
      </c>
      <c r="F59" s="165">
        <v>8010.5</v>
      </c>
      <c r="G59" s="143">
        <f>E59</f>
        <v>2.9000000000000001E-2</v>
      </c>
      <c r="H59" s="143">
        <f t="shared" si="1"/>
        <v>8010.5000000000009</v>
      </c>
    </row>
    <row r="60" spans="1:37" s="130" customFormat="1" x14ac:dyDescent="0.25">
      <c r="A60" s="122" t="s">
        <v>287</v>
      </c>
      <c r="B60" s="163" t="s">
        <v>288</v>
      </c>
      <c r="C60" s="116" t="s">
        <v>289</v>
      </c>
      <c r="D60" s="122" t="s">
        <v>160</v>
      </c>
      <c r="E60" s="164">
        <v>1.333E-2</v>
      </c>
      <c r="F60" s="165">
        <v>34759.839999999997</v>
      </c>
      <c r="G60" s="143">
        <f>E60</f>
        <v>1.333E-2</v>
      </c>
      <c r="H60" s="143">
        <f t="shared" si="1"/>
        <v>34759.839999999997</v>
      </c>
      <c r="I60" s="130" t="s">
        <v>520</v>
      </c>
    </row>
    <row r="61" spans="1:37" s="130" customFormat="1" x14ac:dyDescent="0.25">
      <c r="A61" s="116" t="s">
        <v>161</v>
      </c>
      <c r="B61" s="116"/>
      <c r="C61" s="116"/>
      <c r="D61" s="122"/>
      <c r="E61" s="122"/>
      <c r="F61" s="145"/>
      <c r="G61" s="143"/>
      <c r="H61" s="143"/>
    </row>
    <row r="62" spans="1:37" s="130" customFormat="1" x14ac:dyDescent="0.25">
      <c r="A62" s="122" t="s">
        <v>290</v>
      </c>
      <c r="B62" s="163" t="s">
        <v>163</v>
      </c>
      <c r="C62" s="116" t="s">
        <v>164</v>
      </c>
      <c r="D62" s="122" t="s">
        <v>165</v>
      </c>
      <c r="E62" s="164">
        <v>59.55</v>
      </c>
      <c r="F62" s="165">
        <v>3068.48</v>
      </c>
      <c r="G62" s="143">
        <f>G44*1.75*100</f>
        <v>35.174999999999997</v>
      </c>
      <c r="H62" s="143">
        <f t="shared" si="1"/>
        <v>1812.4900755667506</v>
      </c>
    </row>
    <row r="63" spans="1:37" s="130" customFormat="1" x14ac:dyDescent="0.25">
      <c r="A63" s="122" t="s">
        <v>291</v>
      </c>
      <c r="B63" s="163" t="s">
        <v>167</v>
      </c>
      <c r="C63" s="116" t="s">
        <v>292</v>
      </c>
      <c r="D63" s="122" t="s">
        <v>165</v>
      </c>
      <c r="E63" s="164">
        <v>9.9</v>
      </c>
      <c r="F63" s="165">
        <v>1304.8699999999999</v>
      </c>
      <c r="G63" s="143">
        <v>8.85</v>
      </c>
      <c r="H63" s="143">
        <f t="shared" si="1"/>
        <v>1166.4746969696969</v>
      </c>
      <c r="AK63" s="130">
        <f>75+12.95</f>
        <v>87.95</v>
      </c>
    </row>
    <row r="64" spans="1:37" s="130" customFormat="1" x14ac:dyDescent="0.25">
      <c r="A64" s="122" t="s">
        <v>293</v>
      </c>
      <c r="B64" s="163" t="s">
        <v>170</v>
      </c>
      <c r="C64" s="116" t="s">
        <v>294</v>
      </c>
      <c r="D64" s="122" t="s">
        <v>165</v>
      </c>
      <c r="E64" s="164">
        <v>5</v>
      </c>
      <c r="F64" s="165">
        <v>854.62</v>
      </c>
      <c r="G64" s="143">
        <f>1.6+3.4</f>
        <v>5</v>
      </c>
      <c r="H64" s="143">
        <f t="shared" si="1"/>
        <v>854.62</v>
      </c>
    </row>
    <row r="65" spans="1:8" s="130" customFormat="1" x14ac:dyDescent="0.25">
      <c r="A65" s="122" t="s">
        <v>295</v>
      </c>
      <c r="B65" s="163" t="s">
        <v>173</v>
      </c>
      <c r="C65" s="116" t="s">
        <v>174</v>
      </c>
      <c r="D65" s="122" t="s">
        <v>165</v>
      </c>
      <c r="E65" s="164">
        <v>74.45</v>
      </c>
      <c r="F65" s="165">
        <v>4661.3</v>
      </c>
      <c r="G65" s="143">
        <f>G62+G63+G64</f>
        <v>49.024999999999999</v>
      </c>
      <c r="H65" s="143">
        <f t="shared" si="1"/>
        <v>3069.4457018132975</v>
      </c>
    </row>
    <row r="66" spans="1:8" s="129" customFormat="1" x14ac:dyDescent="0.25">
      <c r="A66" s="118" t="s">
        <v>307</v>
      </c>
      <c r="B66" s="118"/>
      <c r="C66" s="118"/>
      <c r="D66" s="124"/>
      <c r="E66" s="124"/>
      <c r="F66" s="148"/>
      <c r="G66" s="149"/>
      <c r="H66" s="143">
        <f>SUM(H43:H65)</f>
        <v>6098705.6283764066</v>
      </c>
    </row>
    <row r="67" spans="1:8" s="129" customFormat="1" x14ac:dyDescent="0.25">
      <c r="A67" s="125" t="s">
        <v>308</v>
      </c>
      <c r="B67" s="172" t="s">
        <v>208</v>
      </c>
      <c r="C67" s="119" t="s">
        <v>209</v>
      </c>
      <c r="D67" s="125" t="s">
        <v>210</v>
      </c>
      <c r="E67" s="173">
        <v>1</v>
      </c>
      <c r="F67" s="174">
        <v>44914.41</v>
      </c>
      <c r="G67" s="149"/>
      <c r="H67" s="133"/>
    </row>
    <row r="68" spans="1:8" s="129" customFormat="1" x14ac:dyDescent="0.25">
      <c r="A68" s="125" t="s">
        <v>309</v>
      </c>
      <c r="B68" s="172" t="s">
        <v>82</v>
      </c>
      <c r="C68" s="119" t="s">
        <v>83</v>
      </c>
      <c r="D68" s="125" t="s">
        <v>58</v>
      </c>
      <c r="E68" s="173">
        <v>0.28999999999999998</v>
      </c>
      <c r="F68" s="174">
        <v>5766.65</v>
      </c>
      <c r="G68" s="149"/>
      <c r="H68" s="133"/>
    </row>
    <row r="69" spans="1:8" s="129" customFormat="1" x14ac:dyDescent="0.25">
      <c r="A69" s="125" t="s">
        <v>310</v>
      </c>
      <c r="B69" s="172" t="s">
        <v>89</v>
      </c>
      <c r="C69" s="119" t="s">
        <v>90</v>
      </c>
      <c r="D69" s="125" t="s">
        <v>58</v>
      </c>
      <c r="E69" s="173">
        <v>0.1361</v>
      </c>
      <c r="F69" s="174">
        <v>2517.83</v>
      </c>
      <c r="G69" s="149"/>
      <c r="H69" s="133"/>
    </row>
    <row r="70" spans="1:8" s="129" customFormat="1" x14ac:dyDescent="0.25">
      <c r="A70" s="125" t="s">
        <v>311</v>
      </c>
      <c r="B70" s="172" t="s">
        <v>96</v>
      </c>
      <c r="C70" s="119" t="s">
        <v>97</v>
      </c>
      <c r="D70" s="125" t="s">
        <v>58</v>
      </c>
      <c r="E70" s="173">
        <v>0.13600000000000001</v>
      </c>
      <c r="F70" s="174">
        <v>20676.61</v>
      </c>
      <c r="G70" s="149"/>
      <c r="H70" s="133"/>
    </row>
    <row r="71" spans="1:8" s="129" customFormat="1" x14ac:dyDescent="0.25">
      <c r="A71" s="125" t="s">
        <v>312</v>
      </c>
      <c r="B71" s="172" t="s">
        <v>104</v>
      </c>
      <c r="C71" s="119" t="s">
        <v>105</v>
      </c>
      <c r="D71" s="125" t="s">
        <v>106</v>
      </c>
      <c r="E71" s="173">
        <v>17.14</v>
      </c>
      <c r="F71" s="174">
        <v>106503.17</v>
      </c>
      <c r="G71" s="149"/>
      <c r="H71" s="133"/>
    </row>
    <row r="72" spans="1:8" s="129" customFormat="1" x14ac:dyDescent="0.25">
      <c r="A72" s="125" t="s">
        <v>313</v>
      </c>
      <c r="B72" s="172" t="s">
        <v>241</v>
      </c>
      <c r="C72" s="119" t="s">
        <v>242</v>
      </c>
      <c r="D72" s="125" t="s">
        <v>210</v>
      </c>
      <c r="E72" s="173">
        <v>1</v>
      </c>
      <c r="F72" s="174">
        <v>207003.6</v>
      </c>
      <c r="G72" s="149"/>
      <c r="H72" s="133"/>
    </row>
    <row r="73" spans="1:8" s="129" customFormat="1" x14ac:dyDescent="0.25">
      <c r="A73" s="125" t="s">
        <v>314</v>
      </c>
      <c r="B73" s="172" t="s">
        <v>244</v>
      </c>
      <c r="C73" s="119" t="s">
        <v>245</v>
      </c>
      <c r="D73" s="125" t="s">
        <v>246</v>
      </c>
      <c r="E73" s="173">
        <v>1</v>
      </c>
      <c r="F73" s="174">
        <v>1667776.02</v>
      </c>
      <c r="G73" s="149"/>
      <c r="H73" s="133"/>
    </row>
    <row r="74" spans="1:8" s="129" customFormat="1" x14ac:dyDescent="0.25">
      <c r="A74" s="125" t="s">
        <v>315</v>
      </c>
      <c r="B74" s="172" t="s">
        <v>249</v>
      </c>
      <c r="C74" s="119" t="s">
        <v>250</v>
      </c>
      <c r="D74" s="125" t="s">
        <v>246</v>
      </c>
      <c r="E74" s="173">
        <v>1</v>
      </c>
      <c r="F74" s="174">
        <v>3596141.97</v>
      </c>
      <c r="G74" s="149"/>
      <c r="H74" s="133"/>
    </row>
    <row r="75" spans="1:8" s="129" customFormat="1" x14ac:dyDescent="0.25">
      <c r="A75" s="125" t="s">
        <v>316</v>
      </c>
      <c r="B75" s="172" t="s">
        <v>253</v>
      </c>
      <c r="C75" s="119" t="s">
        <v>254</v>
      </c>
      <c r="D75" s="125" t="s">
        <v>115</v>
      </c>
      <c r="E75" s="173">
        <v>1</v>
      </c>
      <c r="F75" s="174">
        <v>42192.34</v>
      </c>
      <c r="G75" s="149"/>
      <c r="H75" s="133"/>
    </row>
    <row r="76" spans="1:8" s="180" customFormat="1" x14ac:dyDescent="0.25">
      <c r="A76" s="175" t="s">
        <v>317</v>
      </c>
      <c r="B76" s="176" t="s">
        <v>260</v>
      </c>
      <c r="C76" s="177" t="s">
        <v>261</v>
      </c>
      <c r="D76" s="175" t="s">
        <v>115</v>
      </c>
      <c r="E76" s="178">
        <v>-2</v>
      </c>
      <c r="F76" s="179">
        <v>-5066.7299999999996</v>
      </c>
      <c r="G76" s="150"/>
      <c r="H76" s="136"/>
    </row>
    <row r="77" spans="1:8" s="129" customFormat="1" x14ac:dyDescent="0.25">
      <c r="A77" s="125" t="s">
        <v>318</v>
      </c>
      <c r="B77" s="172" t="s">
        <v>263</v>
      </c>
      <c r="C77" s="119" t="s">
        <v>264</v>
      </c>
      <c r="D77" s="125" t="s">
        <v>115</v>
      </c>
      <c r="E77" s="173">
        <v>2</v>
      </c>
      <c r="F77" s="174">
        <v>87727.09</v>
      </c>
      <c r="G77" s="149"/>
      <c r="H77" s="133"/>
    </row>
    <row r="78" spans="1:8" s="129" customFormat="1" x14ac:dyDescent="0.25">
      <c r="A78" s="125" t="s">
        <v>319</v>
      </c>
      <c r="B78" s="172" t="s">
        <v>267</v>
      </c>
      <c r="C78" s="119" t="s">
        <v>268</v>
      </c>
      <c r="D78" s="125" t="s">
        <v>115</v>
      </c>
      <c r="E78" s="173">
        <v>1</v>
      </c>
      <c r="F78" s="174">
        <v>156781.35</v>
      </c>
      <c r="G78" s="149"/>
      <c r="H78" s="133"/>
    </row>
    <row r="79" spans="1:8" s="129" customFormat="1" x14ac:dyDescent="0.25">
      <c r="A79" s="125" t="s">
        <v>320</v>
      </c>
      <c r="B79" s="172" t="s">
        <v>120</v>
      </c>
      <c r="C79" s="119" t="s">
        <v>271</v>
      </c>
      <c r="D79" s="125" t="s">
        <v>115</v>
      </c>
      <c r="E79" s="173">
        <v>1</v>
      </c>
      <c r="F79" s="174">
        <v>4178.1000000000004</v>
      </c>
      <c r="G79" s="149"/>
      <c r="H79" s="133"/>
    </row>
    <row r="80" spans="1:8" s="129" customFormat="1" x14ac:dyDescent="0.25">
      <c r="A80" s="125" t="s">
        <v>321</v>
      </c>
      <c r="B80" s="172" t="s">
        <v>274</v>
      </c>
      <c r="C80" s="119" t="s">
        <v>275</v>
      </c>
      <c r="D80" s="125" t="s">
        <v>276</v>
      </c>
      <c r="E80" s="173">
        <v>0.06</v>
      </c>
      <c r="F80" s="174">
        <v>15658.24</v>
      </c>
      <c r="G80" s="149"/>
      <c r="H80" s="133"/>
    </row>
    <row r="81" spans="1:8" s="180" customFormat="1" x14ac:dyDescent="0.25">
      <c r="A81" s="175" t="s">
        <v>322</v>
      </c>
      <c r="B81" s="176" t="s">
        <v>282</v>
      </c>
      <c r="C81" s="177" t="s">
        <v>283</v>
      </c>
      <c r="D81" s="175" t="s">
        <v>127</v>
      </c>
      <c r="E81" s="178">
        <v>-2.9000000000000001E-2</v>
      </c>
      <c r="F81" s="179">
        <v>-2679.86</v>
      </c>
      <c r="G81" s="150"/>
      <c r="H81" s="136"/>
    </row>
    <row r="82" spans="1:8" s="129" customFormat="1" x14ac:dyDescent="0.25">
      <c r="A82" s="125" t="s">
        <v>323</v>
      </c>
      <c r="B82" s="172" t="s">
        <v>120</v>
      </c>
      <c r="C82" s="119" t="s">
        <v>285</v>
      </c>
      <c r="D82" s="125" t="s">
        <v>130</v>
      </c>
      <c r="E82" s="173">
        <v>0.36</v>
      </c>
      <c r="F82" s="174">
        <v>134204.32</v>
      </c>
      <c r="G82" s="149"/>
      <c r="H82" s="133"/>
    </row>
    <row r="83" spans="1:8" s="129" customFormat="1" x14ac:dyDescent="0.25">
      <c r="A83" s="125" t="s">
        <v>324</v>
      </c>
      <c r="B83" s="172" t="s">
        <v>120</v>
      </c>
      <c r="C83" s="119" t="s">
        <v>129</v>
      </c>
      <c r="D83" s="125" t="s">
        <v>130</v>
      </c>
      <c r="E83" s="173">
        <v>2.9000000000000001E-2</v>
      </c>
      <c r="F83" s="174">
        <v>8010.5</v>
      </c>
      <c r="G83" s="149"/>
      <c r="H83" s="133"/>
    </row>
    <row r="84" spans="1:8" s="129" customFormat="1" x14ac:dyDescent="0.25">
      <c r="A84" s="125" t="s">
        <v>325</v>
      </c>
      <c r="B84" s="172" t="s">
        <v>288</v>
      </c>
      <c r="C84" s="119" t="s">
        <v>289</v>
      </c>
      <c r="D84" s="125" t="s">
        <v>160</v>
      </c>
      <c r="E84" s="173">
        <v>1.3299999999999999E-2</v>
      </c>
      <c r="F84" s="174">
        <v>34682.379999999997</v>
      </c>
      <c r="G84" s="149"/>
      <c r="H84" s="133"/>
    </row>
    <row r="85" spans="1:8" s="129" customFormat="1" x14ac:dyDescent="0.25">
      <c r="A85" s="119" t="s">
        <v>161</v>
      </c>
      <c r="B85" s="119"/>
      <c r="C85" s="119"/>
      <c r="D85" s="125"/>
      <c r="E85" s="125"/>
      <c r="F85" s="151"/>
      <c r="G85" s="149"/>
      <c r="H85" s="133"/>
    </row>
    <row r="86" spans="1:8" s="129" customFormat="1" x14ac:dyDescent="0.25">
      <c r="A86" s="125" t="s">
        <v>326</v>
      </c>
      <c r="B86" s="172" t="s">
        <v>163</v>
      </c>
      <c r="C86" s="119" t="s">
        <v>164</v>
      </c>
      <c r="D86" s="125" t="s">
        <v>165</v>
      </c>
      <c r="E86" s="173">
        <v>50.7</v>
      </c>
      <c r="F86" s="174">
        <v>2612.5700000000002</v>
      </c>
      <c r="G86" s="149"/>
      <c r="H86" s="133"/>
    </row>
    <row r="87" spans="1:8" s="129" customFormat="1" x14ac:dyDescent="0.25">
      <c r="A87" s="125" t="s">
        <v>327</v>
      </c>
      <c r="B87" s="172" t="s">
        <v>167</v>
      </c>
      <c r="C87" s="119" t="s">
        <v>292</v>
      </c>
      <c r="D87" s="125" t="s">
        <v>165</v>
      </c>
      <c r="E87" s="173">
        <v>9.9</v>
      </c>
      <c r="F87" s="174">
        <v>1304.8699999999999</v>
      </c>
      <c r="G87" s="149"/>
      <c r="H87" s="133"/>
    </row>
    <row r="88" spans="1:8" s="129" customFormat="1" x14ac:dyDescent="0.25">
      <c r="A88" s="125" t="s">
        <v>328</v>
      </c>
      <c r="B88" s="172" t="s">
        <v>170</v>
      </c>
      <c r="C88" s="119" t="s">
        <v>294</v>
      </c>
      <c r="D88" s="125" t="s">
        <v>165</v>
      </c>
      <c r="E88" s="173">
        <v>5</v>
      </c>
      <c r="F88" s="174">
        <v>854.62</v>
      </c>
      <c r="G88" s="149"/>
      <c r="H88" s="133"/>
    </row>
    <row r="89" spans="1:8" s="129" customFormat="1" x14ac:dyDescent="0.25">
      <c r="A89" s="125" t="s">
        <v>329</v>
      </c>
      <c r="B89" s="172" t="s">
        <v>173</v>
      </c>
      <c r="C89" s="119" t="s">
        <v>174</v>
      </c>
      <c r="D89" s="125" t="s">
        <v>165</v>
      </c>
      <c r="E89" s="173">
        <v>65.599999999999994</v>
      </c>
      <c r="F89" s="174">
        <v>4107.2299999999996</v>
      </c>
      <c r="G89" s="149"/>
      <c r="H89" s="133"/>
    </row>
    <row r="90" spans="1:8" x14ac:dyDescent="0.25">
      <c r="A90" s="114" t="s">
        <v>334</v>
      </c>
      <c r="B90" s="114"/>
      <c r="C90" s="114"/>
      <c r="D90" s="120"/>
      <c r="E90" s="120"/>
      <c r="F90" s="140"/>
    </row>
    <row r="91" spans="1:8" x14ac:dyDescent="0.25">
      <c r="A91" s="123" t="s">
        <v>335</v>
      </c>
      <c r="B91" s="160" t="s">
        <v>208</v>
      </c>
      <c r="C91" s="117" t="s">
        <v>209</v>
      </c>
      <c r="D91" s="123" t="s">
        <v>210</v>
      </c>
      <c r="E91" s="161">
        <v>1</v>
      </c>
      <c r="F91" s="162">
        <v>44914.41</v>
      </c>
    </row>
    <row r="92" spans="1:8" x14ac:dyDescent="0.25">
      <c r="A92" s="123" t="s">
        <v>336</v>
      </c>
      <c r="B92" s="160" t="s">
        <v>82</v>
      </c>
      <c r="C92" s="117" t="s">
        <v>83</v>
      </c>
      <c r="D92" s="123" t="s">
        <v>58</v>
      </c>
      <c r="E92" s="161">
        <v>0.25800000000000001</v>
      </c>
      <c r="F92" s="162">
        <v>5130.6099999999997</v>
      </c>
    </row>
    <row r="93" spans="1:8" x14ac:dyDescent="0.25">
      <c r="A93" s="123" t="s">
        <v>337</v>
      </c>
      <c r="B93" s="160" t="s">
        <v>89</v>
      </c>
      <c r="C93" s="117" t="s">
        <v>90</v>
      </c>
      <c r="D93" s="123" t="s">
        <v>58</v>
      </c>
      <c r="E93" s="161">
        <v>0.1237</v>
      </c>
      <c r="F93" s="162">
        <v>2287.64</v>
      </c>
    </row>
    <row r="94" spans="1:8" x14ac:dyDescent="0.25">
      <c r="A94" s="123" t="s">
        <v>338</v>
      </c>
      <c r="B94" s="160" t="s">
        <v>96</v>
      </c>
      <c r="C94" s="117" t="s">
        <v>97</v>
      </c>
      <c r="D94" s="123" t="s">
        <v>58</v>
      </c>
      <c r="E94" s="161">
        <v>0.124</v>
      </c>
      <c r="F94" s="162">
        <v>18852.34</v>
      </c>
    </row>
    <row r="95" spans="1:8" x14ac:dyDescent="0.25">
      <c r="A95" s="123" t="s">
        <v>339</v>
      </c>
      <c r="B95" s="160" t="s">
        <v>104</v>
      </c>
      <c r="C95" s="117" t="s">
        <v>105</v>
      </c>
      <c r="D95" s="123" t="s">
        <v>106</v>
      </c>
      <c r="E95" s="161">
        <v>15.62</v>
      </c>
      <c r="F95" s="162">
        <v>97058.27</v>
      </c>
    </row>
    <row r="96" spans="1:8" x14ac:dyDescent="0.25">
      <c r="A96" s="123" t="s">
        <v>340</v>
      </c>
      <c r="B96" s="160" t="s">
        <v>241</v>
      </c>
      <c r="C96" s="117" t="s">
        <v>242</v>
      </c>
      <c r="D96" s="123" t="s">
        <v>210</v>
      </c>
      <c r="E96" s="161">
        <v>1</v>
      </c>
      <c r="F96" s="162">
        <v>207003.6</v>
      </c>
    </row>
    <row r="97" spans="1:8" x14ac:dyDescent="0.25">
      <c r="A97" s="123" t="s">
        <v>341</v>
      </c>
      <c r="B97" s="160" t="s">
        <v>244</v>
      </c>
      <c r="C97" s="117" t="s">
        <v>245</v>
      </c>
      <c r="D97" s="123" t="s">
        <v>246</v>
      </c>
      <c r="E97" s="161">
        <v>1</v>
      </c>
      <c r="F97" s="162">
        <v>1667776.02</v>
      </c>
    </row>
    <row r="98" spans="1:8" x14ac:dyDescent="0.25">
      <c r="A98" s="123" t="s">
        <v>342</v>
      </c>
      <c r="B98" s="160" t="s">
        <v>249</v>
      </c>
      <c r="C98" s="117" t="s">
        <v>250</v>
      </c>
      <c r="D98" s="123" t="s">
        <v>246</v>
      </c>
      <c r="E98" s="161">
        <v>1</v>
      </c>
      <c r="F98" s="162">
        <v>3596141.97</v>
      </c>
    </row>
    <row r="99" spans="1:8" x14ac:dyDescent="0.25">
      <c r="A99" s="123" t="s">
        <v>343</v>
      </c>
      <c r="B99" s="160" t="s">
        <v>253</v>
      </c>
      <c r="C99" s="117" t="s">
        <v>254</v>
      </c>
      <c r="D99" s="123" t="s">
        <v>115</v>
      </c>
      <c r="E99" s="161">
        <v>1</v>
      </c>
      <c r="F99" s="162">
        <v>42192.34</v>
      </c>
    </row>
    <row r="100" spans="1:8" s="171" customFormat="1" x14ac:dyDescent="0.25">
      <c r="A100" s="166" t="s">
        <v>344</v>
      </c>
      <c r="B100" s="167" t="s">
        <v>260</v>
      </c>
      <c r="C100" s="168" t="s">
        <v>261</v>
      </c>
      <c r="D100" s="166" t="s">
        <v>115</v>
      </c>
      <c r="E100" s="169">
        <v>-2</v>
      </c>
      <c r="F100" s="170">
        <v>-5066.7299999999996</v>
      </c>
      <c r="G100" s="146"/>
      <c r="H100" s="135"/>
    </row>
    <row r="101" spans="1:8" x14ac:dyDescent="0.25">
      <c r="A101" s="123" t="s">
        <v>345</v>
      </c>
      <c r="B101" s="160" t="s">
        <v>263</v>
      </c>
      <c r="C101" s="117" t="s">
        <v>264</v>
      </c>
      <c r="D101" s="123" t="s">
        <v>115</v>
      </c>
      <c r="E101" s="161">
        <v>2</v>
      </c>
      <c r="F101" s="162">
        <v>87727.09</v>
      </c>
    </row>
    <row r="102" spans="1:8" x14ac:dyDescent="0.25">
      <c r="A102" s="123" t="s">
        <v>346</v>
      </c>
      <c r="B102" s="160" t="s">
        <v>267</v>
      </c>
      <c r="C102" s="117" t="s">
        <v>268</v>
      </c>
      <c r="D102" s="123" t="s">
        <v>115</v>
      </c>
      <c r="E102" s="161">
        <v>1</v>
      </c>
      <c r="F102" s="162">
        <v>156781.35</v>
      </c>
    </row>
    <row r="103" spans="1:8" x14ac:dyDescent="0.25">
      <c r="A103" s="123" t="s">
        <v>347</v>
      </c>
      <c r="B103" s="160" t="s">
        <v>120</v>
      </c>
      <c r="C103" s="117" t="s">
        <v>271</v>
      </c>
      <c r="D103" s="123" t="s">
        <v>115</v>
      </c>
      <c r="E103" s="161">
        <v>1</v>
      </c>
      <c r="F103" s="162">
        <v>4178.1000000000004</v>
      </c>
    </row>
    <row r="104" spans="1:8" x14ac:dyDescent="0.25">
      <c r="A104" s="123" t="s">
        <v>348</v>
      </c>
      <c r="B104" s="160" t="s">
        <v>274</v>
      </c>
      <c r="C104" s="117" t="s">
        <v>275</v>
      </c>
      <c r="D104" s="123" t="s">
        <v>276</v>
      </c>
      <c r="E104" s="161">
        <v>0.06</v>
      </c>
      <c r="F104" s="162">
        <v>15658.24</v>
      </c>
    </row>
    <row r="105" spans="1:8" s="171" customFormat="1" x14ac:dyDescent="0.25">
      <c r="A105" s="166" t="s">
        <v>349</v>
      </c>
      <c r="B105" s="167" t="s">
        <v>282</v>
      </c>
      <c r="C105" s="168" t="s">
        <v>283</v>
      </c>
      <c r="D105" s="166" t="s">
        <v>127</v>
      </c>
      <c r="E105" s="169">
        <v>-2.9000000000000001E-2</v>
      </c>
      <c r="F105" s="170">
        <v>-2679.86</v>
      </c>
      <c r="G105" s="146"/>
      <c r="H105" s="135"/>
    </row>
    <row r="106" spans="1:8" x14ac:dyDescent="0.25">
      <c r="A106" s="123" t="s">
        <v>350</v>
      </c>
      <c r="B106" s="160" t="s">
        <v>120</v>
      </c>
      <c r="C106" s="117" t="s">
        <v>285</v>
      </c>
      <c r="D106" s="123" t="s">
        <v>130</v>
      </c>
      <c r="E106" s="161">
        <v>0.36</v>
      </c>
      <c r="F106" s="162">
        <v>134204.32</v>
      </c>
    </row>
    <row r="107" spans="1:8" x14ac:dyDescent="0.25">
      <c r="A107" s="123" t="s">
        <v>351</v>
      </c>
      <c r="B107" s="160" t="s">
        <v>120</v>
      </c>
      <c r="C107" s="117" t="s">
        <v>129</v>
      </c>
      <c r="D107" s="123" t="s">
        <v>130</v>
      </c>
      <c r="E107" s="161">
        <v>2.9000000000000001E-2</v>
      </c>
      <c r="F107" s="162">
        <v>8010.5</v>
      </c>
    </row>
    <row r="108" spans="1:8" x14ac:dyDescent="0.25">
      <c r="A108" s="123" t="s">
        <v>352</v>
      </c>
      <c r="B108" s="160" t="s">
        <v>288</v>
      </c>
      <c r="C108" s="117" t="s">
        <v>289</v>
      </c>
      <c r="D108" s="123" t="s">
        <v>160</v>
      </c>
      <c r="E108" s="161">
        <v>1.3299999999999999E-2</v>
      </c>
      <c r="F108" s="162">
        <v>34682.379999999997</v>
      </c>
    </row>
    <row r="109" spans="1:8" x14ac:dyDescent="0.25">
      <c r="A109" s="117" t="s">
        <v>161</v>
      </c>
      <c r="B109" s="117"/>
      <c r="C109" s="117"/>
      <c r="D109" s="123"/>
      <c r="E109" s="123"/>
      <c r="F109" s="147"/>
    </row>
    <row r="110" spans="1:8" x14ac:dyDescent="0.25">
      <c r="A110" s="123" t="s">
        <v>353</v>
      </c>
      <c r="B110" s="160" t="s">
        <v>163</v>
      </c>
      <c r="C110" s="117" t="s">
        <v>164</v>
      </c>
      <c r="D110" s="123" t="s">
        <v>165</v>
      </c>
      <c r="E110" s="161">
        <v>45.2</v>
      </c>
      <c r="F110" s="162">
        <v>2329.16</v>
      </c>
    </row>
    <row r="111" spans="1:8" x14ac:dyDescent="0.25">
      <c r="A111" s="123" t="s">
        <v>354</v>
      </c>
      <c r="B111" s="160" t="s">
        <v>167</v>
      </c>
      <c r="C111" s="117" t="s">
        <v>292</v>
      </c>
      <c r="D111" s="123" t="s">
        <v>165</v>
      </c>
      <c r="E111" s="161">
        <v>9.9</v>
      </c>
      <c r="F111" s="162">
        <v>1304.8699999999999</v>
      </c>
    </row>
    <row r="112" spans="1:8" x14ac:dyDescent="0.25">
      <c r="A112" s="123" t="s">
        <v>355</v>
      </c>
      <c r="B112" s="160" t="s">
        <v>170</v>
      </c>
      <c r="C112" s="117" t="s">
        <v>294</v>
      </c>
      <c r="D112" s="123" t="s">
        <v>165</v>
      </c>
      <c r="E112" s="161">
        <v>5</v>
      </c>
      <c r="F112" s="162">
        <v>854.62</v>
      </c>
    </row>
    <row r="113" spans="1:33" x14ac:dyDescent="0.25">
      <c r="A113" s="123" t="s">
        <v>356</v>
      </c>
      <c r="B113" s="160" t="s">
        <v>173</v>
      </c>
      <c r="C113" s="117" t="s">
        <v>174</v>
      </c>
      <c r="D113" s="123" t="s">
        <v>165</v>
      </c>
      <c r="E113" s="161">
        <v>60.1</v>
      </c>
      <c r="F113" s="162">
        <v>3762.88</v>
      </c>
    </row>
    <row r="114" spans="1:33" s="129" customFormat="1" x14ac:dyDescent="0.25">
      <c r="A114" s="118" t="s">
        <v>361</v>
      </c>
      <c r="B114" s="118"/>
      <c r="C114" s="118"/>
      <c r="D114" s="124"/>
      <c r="E114" s="124"/>
      <c r="F114" s="148"/>
      <c r="G114" s="149"/>
      <c r="H114" s="133"/>
    </row>
    <row r="115" spans="1:33" s="129" customFormat="1" x14ac:dyDescent="0.25">
      <c r="A115" s="125" t="s">
        <v>362</v>
      </c>
      <c r="B115" s="172" t="s">
        <v>208</v>
      </c>
      <c r="C115" s="119" t="s">
        <v>209</v>
      </c>
      <c r="D115" s="125" t="s">
        <v>210</v>
      </c>
      <c r="E115" s="173">
        <v>1</v>
      </c>
      <c r="F115" s="174">
        <v>44914.41</v>
      </c>
      <c r="G115" s="149"/>
      <c r="H115" s="133"/>
    </row>
    <row r="116" spans="1:33" s="129" customFormat="1" x14ac:dyDescent="0.25">
      <c r="A116" s="125" t="s">
        <v>363</v>
      </c>
      <c r="B116" s="172" t="s">
        <v>82</v>
      </c>
      <c r="C116" s="119" t="s">
        <v>83</v>
      </c>
      <c r="D116" s="125" t="s">
        <v>58</v>
      </c>
      <c r="E116" s="173">
        <v>0.218</v>
      </c>
      <c r="F116" s="174">
        <v>4334.57</v>
      </c>
      <c r="G116" s="149"/>
      <c r="H116" s="133"/>
      <c r="AG116" s="129">
        <f>75+14.6+11.3+50+12.8</f>
        <v>163.69999999999999</v>
      </c>
    </row>
    <row r="117" spans="1:33" s="129" customFormat="1" x14ac:dyDescent="0.25">
      <c r="A117" s="125" t="s">
        <v>364</v>
      </c>
      <c r="B117" s="172" t="s">
        <v>89</v>
      </c>
      <c r="C117" s="119" t="s">
        <v>90</v>
      </c>
      <c r="D117" s="125" t="s">
        <v>58</v>
      </c>
      <c r="E117" s="173">
        <v>0.1082</v>
      </c>
      <c r="F117" s="174">
        <v>2000.54</v>
      </c>
      <c r="G117" s="149"/>
      <c r="H117" s="133"/>
      <c r="AG117" s="129">
        <f>AG116/2</f>
        <v>81.849999999999994</v>
      </c>
    </row>
    <row r="118" spans="1:33" s="129" customFormat="1" x14ac:dyDescent="0.25">
      <c r="A118" s="125" t="s">
        <v>365</v>
      </c>
      <c r="B118" s="172" t="s">
        <v>96</v>
      </c>
      <c r="C118" s="119" t="s">
        <v>97</v>
      </c>
      <c r="D118" s="125" t="s">
        <v>58</v>
      </c>
      <c r="E118" s="173">
        <v>0.108</v>
      </c>
      <c r="F118" s="174">
        <v>16420.39</v>
      </c>
      <c r="G118" s="149"/>
      <c r="H118" s="133"/>
    </row>
    <row r="119" spans="1:33" s="129" customFormat="1" x14ac:dyDescent="0.25">
      <c r="A119" s="125" t="s">
        <v>366</v>
      </c>
      <c r="B119" s="172" t="s">
        <v>104</v>
      </c>
      <c r="C119" s="119" t="s">
        <v>105</v>
      </c>
      <c r="D119" s="125" t="s">
        <v>106</v>
      </c>
      <c r="E119" s="173">
        <v>15.62</v>
      </c>
      <c r="F119" s="174">
        <v>97058.27</v>
      </c>
      <c r="G119" s="149"/>
      <c r="H119" s="133"/>
    </row>
    <row r="120" spans="1:33" s="129" customFormat="1" x14ac:dyDescent="0.25">
      <c r="A120" s="125" t="s">
        <v>367</v>
      </c>
      <c r="B120" s="172" t="s">
        <v>241</v>
      </c>
      <c r="C120" s="119" t="s">
        <v>242</v>
      </c>
      <c r="D120" s="125" t="s">
        <v>210</v>
      </c>
      <c r="E120" s="173">
        <v>1</v>
      </c>
      <c r="F120" s="174">
        <v>207003.6</v>
      </c>
      <c r="G120" s="149"/>
      <c r="H120" s="133"/>
    </row>
    <row r="121" spans="1:33" s="129" customFormat="1" x14ac:dyDescent="0.25">
      <c r="A121" s="125" t="s">
        <v>368</v>
      </c>
      <c r="B121" s="172" t="s">
        <v>244</v>
      </c>
      <c r="C121" s="119" t="s">
        <v>245</v>
      </c>
      <c r="D121" s="125" t="s">
        <v>246</v>
      </c>
      <c r="E121" s="173">
        <v>1</v>
      </c>
      <c r="F121" s="174">
        <v>1667776.02</v>
      </c>
      <c r="G121" s="149"/>
      <c r="H121" s="133"/>
    </row>
    <row r="122" spans="1:33" s="129" customFormat="1" x14ac:dyDescent="0.25">
      <c r="A122" s="125" t="s">
        <v>369</v>
      </c>
      <c r="B122" s="172" t="s">
        <v>249</v>
      </c>
      <c r="C122" s="119" t="s">
        <v>250</v>
      </c>
      <c r="D122" s="125" t="s">
        <v>246</v>
      </c>
      <c r="E122" s="173">
        <v>1</v>
      </c>
      <c r="F122" s="174">
        <v>3596141.97</v>
      </c>
      <c r="G122" s="149"/>
      <c r="H122" s="133"/>
    </row>
    <row r="123" spans="1:33" s="129" customFormat="1" x14ac:dyDescent="0.25">
      <c r="A123" s="125" t="s">
        <v>370</v>
      </c>
      <c r="B123" s="172" t="s">
        <v>253</v>
      </c>
      <c r="C123" s="119" t="s">
        <v>254</v>
      </c>
      <c r="D123" s="125" t="s">
        <v>115</v>
      </c>
      <c r="E123" s="173">
        <v>1</v>
      </c>
      <c r="F123" s="174">
        <v>42192.34</v>
      </c>
      <c r="G123" s="149"/>
      <c r="H123" s="133"/>
    </row>
    <row r="124" spans="1:33" s="180" customFormat="1" x14ac:dyDescent="0.25">
      <c r="A124" s="175" t="s">
        <v>371</v>
      </c>
      <c r="B124" s="176" t="s">
        <v>260</v>
      </c>
      <c r="C124" s="177" t="s">
        <v>261</v>
      </c>
      <c r="D124" s="175" t="s">
        <v>115</v>
      </c>
      <c r="E124" s="178">
        <v>-2</v>
      </c>
      <c r="F124" s="179">
        <v>-5066.7299999999996</v>
      </c>
      <c r="G124" s="150"/>
      <c r="H124" s="136"/>
    </row>
    <row r="125" spans="1:33" s="129" customFormat="1" x14ac:dyDescent="0.25">
      <c r="A125" s="125" t="s">
        <v>372</v>
      </c>
      <c r="B125" s="172" t="s">
        <v>263</v>
      </c>
      <c r="C125" s="119" t="s">
        <v>264</v>
      </c>
      <c r="D125" s="125" t="s">
        <v>115</v>
      </c>
      <c r="E125" s="173">
        <v>2</v>
      </c>
      <c r="F125" s="174">
        <v>87727.09</v>
      </c>
      <c r="G125" s="149"/>
      <c r="H125" s="133"/>
    </row>
    <row r="126" spans="1:33" s="129" customFormat="1" x14ac:dyDescent="0.25">
      <c r="A126" s="125" t="s">
        <v>373</v>
      </c>
      <c r="B126" s="172" t="s">
        <v>267</v>
      </c>
      <c r="C126" s="119" t="s">
        <v>268</v>
      </c>
      <c r="D126" s="125" t="s">
        <v>115</v>
      </c>
      <c r="E126" s="173">
        <v>1</v>
      </c>
      <c r="F126" s="174">
        <v>156781.35</v>
      </c>
      <c r="G126" s="149"/>
      <c r="H126" s="133"/>
    </row>
    <row r="127" spans="1:33" s="129" customFormat="1" x14ac:dyDescent="0.25">
      <c r="A127" s="125" t="s">
        <v>374</v>
      </c>
      <c r="B127" s="172" t="s">
        <v>120</v>
      </c>
      <c r="C127" s="119" t="s">
        <v>271</v>
      </c>
      <c r="D127" s="125" t="s">
        <v>115</v>
      </c>
      <c r="E127" s="173">
        <v>1</v>
      </c>
      <c r="F127" s="174">
        <v>4178.1000000000004</v>
      </c>
      <c r="G127" s="149"/>
      <c r="H127" s="133"/>
    </row>
    <row r="128" spans="1:33" s="129" customFormat="1" x14ac:dyDescent="0.25">
      <c r="A128" s="125" t="s">
        <v>375</v>
      </c>
      <c r="B128" s="172" t="s">
        <v>274</v>
      </c>
      <c r="C128" s="119" t="s">
        <v>275</v>
      </c>
      <c r="D128" s="125" t="s">
        <v>276</v>
      </c>
      <c r="E128" s="173">
        <v>0.06</v>
      </c>
      <c r="F128" s="174">
        <v>15658.24</v>
      </c>
      <c r="G128" s="149"/>
      <c r="H128" s="133"/>
    </row>
    <row r="129" spans="1:8" s="180" customFormat="1" x14ac:dyDescent="0.25">
      <c r="A129" s="175" t="s">
        <v>376</v>
      </c>
      <c r="B129" s="176" t="s">
        <v>282</v>
      </c>
      <c r="C129" s="177" t="s">
        <v>283</v>
      </c>
      <c r="D129" s="175" t="s">
        <v>127</v>
      </c>
      <c r="E129" s="178">
        <v>-2.9000000000000001E-2</v>
      </c>
      <c r="F129" s="179">
        <v>-2679.86</v>
      </c>
      <c r="G129" s="150"/>
      <c r="H129" s="136"/>
    </row>
    <row r="130" spans="1:8" s="129" customFormat="1" x14ac:dyDescent="0.25">
      <c r="A130" s="125" t="s">
        <v>377</v>
      </c>
      <c r="B130" s="172" t="s">
        <v>120</v>
      </c>
      <c r="C130" s="119" t="s">
        <v>285</v>
      </c>
      <c r="D130" s="125" t="s">
        <v>130</v>
      </c>
      <c r="E130" s="173">
        <v>0.36</v>
      </c>
      <c r="F130" s="174">
        <v>134204.32</v>
      </c>
      <c r="G130" s="149"/>
      <c r="H130" s="133"/>
    </row>
    <row r="131" spans="1:8" s="129" customFormat="1" x14ac:dyDescent="0.25">
      <c r="A131" s="125" t="s">
        <v>378</v>
      </c>
      <c r="B131" s="172" t="s">
        <v>120</v>
      </c>
      <c r="C131" s="119" t="s">
        <v>129</v>
      </c>
      <c r="D131" s="125" t="s">
        <v>130</v>
      </c>
      <c r="E131" s="173">
        <v>2.9000000000000001E-2</v>
      </c>
      <c r="F131" s="174">
        <v>8010.5</v>
      </c>
      <c r="G131" s="149"/>
      <c r="H131" s="133"/>
    </row>
    <row r="132" spans="1:8" s="129" customFormat="1" x14ac:dyDescent="0.25">
      <c r="A132" s="125" t="s">
        <v>379</v>
      </c>
      <c r="B132" s="172" t="s">
        <v>288</v>
      </c>
      <c r="C132" s="119" t="s">
        <v>289</v>
      </c>
      <c r="D132" s="125" t="s">
        <v>160</v>
      </c>
      <c r="E132" s="173">
        <v>1.3299999999999999E-2</v>
      </c>
      <c r="F132" s="174">
        <v>34682.379999999997</v>
      </c>
      <c r="G132" s="149"/>
      <c r="H132" s="133"/>
    </row>
    <row r="133" spans="1:8" s="129" customFormat="1" x14ac:dyDescent="0.25">
      <c r="A133" s="119" t="s">
        <v>161</v>
      </c>
      <c r="B133" s="119"/>
      <c r="C133" s="119"/>
      <c r="D133" s="125"/>
      <c r="E133" s="125"/>
      <c r="F133" s="151"/>
      <c r="G133" s="149"/>
      <c r="H133" s="133"/>
    </row>
    <row r="134" spans="1:8" s="129" customFormat="1" x14ac:dyDescent="0.25">
      <c r="A134" s="125" t="s">
        <v>380</v>
      </c>
      <c r="B134" s="172" t="s">
        <v>163</v>
      </c>
      <c r="C134" s="119" t="s">
        <v>164</v>
      </c>
      <c r="D134" s="125" t="s">
        <v>165</v>
      </c>
      <c r="E134" s="173">
        <v>38.1</v>
      </c>
      <c r="F134" s="174">
        <v>1963.28</v>
      </c>
      <c r="G134" s="149"/>
      <c r="H134" s="133"/>
    </row>
    <row r="135" spans="1:8" s="129" customFormat="1" x14ac:dyDescent="0.25">
      <c r="A135" s="125" t="s">
        <v>381</v>
      </c>
      <c r="B135" s="172" t="s">
        <v>167</v>
      </c>
      <c r="C135" s="119" t="s">
        <v>292</v>
      </c>
      <c r="D135" s="125" t="s">
        <v>165</v>
      </c>
      <c r="E135" s="173">
        <v>9.9</v>
      </c>
      <c r="F135" s="174">
        <v>1304.8699999999999</v>
      </c>
      <c r="G135" s="149"/>
      <c r="H135" s="133"/>
    </row>
    <row r="136" spans="1:8" s="129" customFormat="1" x14ac:dyDescent="0.25">
      <c r="A136" s="125" t="s">
        <v>382</v>
      </c>
      <c r="B136" s="172" t="s">
        <v>170</v>
      </c>
      <c r="C136" s="119" t="s">
        <v>294</v>
      </c>
      <c r="D136" s="125" t="s">
        <v>165</v>
      </c>
      <c r="E136" s="173">
        <v>5</v>
      </c>
      <c r="F136" s="174">
        <v>854.62</v>
      </c>
      <c r="G136" s="149"/>
      <c r="H136" s="133"/>
    </row>
    <row r="137" spans="1:8" s="129" customFormat="1" x14ac:dyDescent="0.25">
      <c r="A137" s="125" t="s">
        <v>383</v>
      </c>
      <c r="B137" s="172" t="s">
        <v>173</v>
      </c>
      <c r="C137" s="119" t="s">
        <v>174</v>
      </c>
      <c r="D137" s="125" t="s">
        <v>165</v>
      </c>
      <c r="E137" s="173">
        <v>53</v>
      </c>
      <c r="F137" s="174">
        <v>3318.29</v>
      </c>
      <c r="G137" s="149"/>
      <c r="H137" s="133"/>
    </row>
    <row r="138" spans="1:8" s="130" customFormat="1" x14ac:dyDescent="0.25">
      <c r="A138" s="115" t="s">
        <v>388</v>
      </c>
      <c r="B138" s="115"/>
      <c r="C138" s="115"/>
      <c r="D138" s="121"/>
      <c r="E138" s="121"/>
      <c r="F138" s="142"/>
      <c r="G138" s="194" t="s">
        <v>525</v>
      </c>
      <c r="H138" s="187" t="s">
        <v>537</v>
      </c>
    </row>
    <row r="139" spans="1:8" s="130" customFormat="1" x14ac:dyDescent="0.25">
      <c r="A139" s="122" t="s">
        <v>389</v>
      </c>
      <c r="B139" s="163" t="s">
        <v>208</v>
      </c>
      <c r="C139" s="116" t="s">
        <v>209</v>
      </c>
      <c r="D139" s="122" t="s">
        <v>210</v>
      </c>
      <c r="E139" s="164">
        <v>1</v>
      </c>
      <c r="F139" s="165">
        <v>44914.41</v>
      </c>
      <c r="G139" s="143">
        <v>1</v>
      </c>
      <c r="H139" s="143">
        <f>F139/E139*G139</f>
        <v>44914.41</v>
      </c>
    </row>
    <row r="140" spans="1:8" s="130" customFormat="1" x14ac:dyDescent="0.25">
      <c r="A140" s="122" t="s">
        <v>390</v>
      </c>
      <c r="B140" s="163" t="s">
        <v>82</v>
      </c>
      <c r="C140" s="116" t="s">
        <v>83</v>
      </c>
      <c r="D140" s="122" t="s">
        <v>58</v>
      </c>
      <c r="E140" s="164">
        <v>0.29899999999999999</v>
      </c>
      <c r="F140" s="165">
        <v>5945.15</v>
      </c>
      <c r="G140" s="143">
        <f>22.49/100</f>
        <v>0.22489999999999999</v>
      </c>
      <c r="H140" s="143">
        <f t="shared" ref="H140:H156" si="2">F140/E140*G140</f>
        <v>4471.7867391304344</v>
      </c>
    </row>
    <row r="141" spans="1:8" s="130" customFormat="1" x14ac:dyDescent="0.25">
      <c r="A141" s="122" t="s">
        <v>391</v>
      </c>
      <c r="B141" s="163" t="s">
        <v>89</v>
      </c>
      <c r="C141" s="116" t="s">
        <v>90</v>
      </c>
      <c r="D141" s="122" t="s">
        <v>58</v>
      </c>
      <c r="E141" s="164">
        <v>0.13950000000000001</v>
      </c>
      <c r="F141" s="165">
        <v>2580.31</v>
      </c>
      <c r="G141" s="143">
        <f>10.37/100</f>
        <v>0.10369999999999999</v>
      </c>
      <c r="H141" s="143">
        <f t="shared" si="2"/>
        <v>1918.1229175627236</v>
      </c>
    </row>
    <row r="142" spans="1:8" s="130" customFormat="1" x14ac:dyDescent="0.25">
      <c r="A142" s="122" t="s">
        <v>392</v>
      </c>
      <c r="B142" s="163" t="s">
        <v>96</v>
      </c>
      <c r="C142" s="116" t="s">
        <v>97</v>
      </c>
      <c r="D142" s="122" t="s">
        <v>58</v>
      </c>
      <c r="E142" s="164">
        <v>0.14000000000000001</v>
      </c>
      <c r="F142" s="165">
        <v>21284.21</v>
      </c>
      <c r="G142" s="143">
        <f>G141</f>
        <v>0.10369999999999999</v>
      </c>
      <c r="H142" s="143">
        <f t="shared" si="2"/>
        <v>15765.518407142854</v>
      </c>
    </row>
    <row r="143" spans="1:8" s="130" customFormat="1" x14ac:dyDescent="0.25">
      <c r="A143" s="122" t="s">
        <v>393</v>
      </c>
      <c r="B143" s="163" t="s">
        <v>104</v>
      </c>
      <c r="C143" s="116" t="s">
        <v>105</v>
      </c>
      <c r="D143" s="122" t="s">
        <v>106</v>
      </c>
      <c r="E143" s="164">
        <v>17.64</v>
      </c>
      <c r="F143" s="165">
        <v>109610.05</v>
      </c>
      <c r="G143" s="143">
        <f>1.26*G142*100</f>
        <v>13.066199999999997</v>
      </c>
      <c r="H143" s="143">
        <f t="shared" si="2"/>
        <v>81189.729892857125</v>
      </c>
    </row>
    <row r="144" spans="1:8" s="130" customFormat="1" x14ac:dyDescent="0.25">
      <c r="A144" s="122" t="s">
        <v>394</v>
      </c>
      <c r="B144" s="163" t="s">
        <v>241</v>
      </c>
      <c r="C144" s="116" t="s">
        <v>242</v>
      </c>
      <c r="D144" s="122" t="s">
        <v>210</v>
      </c>
      <c r="E144" s="164">
        <v>1</v>
      </c>
      <c r="F144" s="165">
        <v>207003.6</v>
      </c>
      <c r="G144" s="143">
        <v>1</v>
      </c>
      <c r="H144" s="143">
        <f t="shared" si="2"/>
        <v>207003.6</v>
      </c>
    </row>
    <row r="145" spans="1:8" s="130" customFormat="1" x14ac:dyDescent="0.25">
      <c r="A145" s="122" t="s">
        <v>395</v>
      </c>
      <c r="B145" s="163" t="s">
        <v>244</v>
      </c>
      <c r="C145" s="116" t="s">
        <v>245</v>
      </c>
      <c r="D145" s="122" t="s">
        <v>246</v>
      </c>
      <c r="E145" s="164">
        <v>1</v>
      </c>
      <c r="F145" s="165">
        <v>1667776.02</v>
      </c>
      <c r="G145" s="143">
        <v>1</v>
      </c>
      <c r="H145" s="143">
        <f t="shared" si="2"/>
        <v>1667776.02</v>
      </c>
    </row>
    <row r="146" spans="1:8" s="130" customFormat="1" x14ac:dyDescent="0.25">
      <c r="A146" s="122" t="s">
        <v>396</v>
      </c>
      <c r="B146" s="163" t="s">
        <v>249</v>
      </c>
      <c r="C146" s="116" t="s">
        <v>250</v>
      </c>
      <c r="D146" s="122" t="s">
        <v>246</v>
      </c>
      <c r="E146" s="164">
        <v>1</v>
      </c>
      <c r="F146" s="165">
        <v>3596141.97</v>
      </c>
      <c r="G146" s="143">
        <v>1</v>
      </c>
      <c r="H146" s="143">
        <f t="shared" si="2"/>
        <v>3596141.97</v>
      </c>
    </row>
    <row r="147" spans="1:8" s="130" customFormat="1" x14ac:dyDescent="0.25">
      <c r="A147" s="122" t="s">
        <v>397</v>
      </c>
      <c r="B147" s="163" t="s">
        <v>253</v>
      </c>
      <c r="C147" s="116" t="s">
        <v>254</v>
      </c>
      <c r="D147" s="122" t="s">
        <v>115</v>
      </c>
      <c r="E147" s="164">
        <v>1</v>
      </c>
      <c r="F147" s="165">
        <v>42192.34</v>
      </c>
      <c r="G147" s="143">
        <v>1</v>
      </c>
      <c r="H147" s="143">
        <f t="shared" si="2"/>
        <v>42192.34</v>
      </c>
    </row>
    <row r="148" spans="1:8" s="181" customFormat="1" x14ac:dyDescent="0.25">
      <c r="A148" s="153" t="s">
        <v>398</v>
      </c>
      <c r="B148" s="154" t="s">
        <v>260</v>
      </c>
      <c r="C148" s="155" t="s">
        <v>261</v>
      </c>
      <c r="D148" s="153" t="s">
        <v>115</v>
      </c>
      <c r="E148" s="156">
        <v>-2</v>
      </c>
      <c r="F148" s="157">
        <v>-5066.7299999999996</v>
      </c>
      <c r="G148" s="152">
        <f>E148</f>
        <v>-2</v>
      </c>
      <c r="H148" s="152">
        <f t="shared" si="2"/>
        <v>-5066.7299999999996</v>
      </c>
    </row>
    <row r="149" spans="1:8" s="130" customFormat="1" x14ac:dyDescent="0.25">
      <c r="A149" s="122" t="s">
        <v>399</v>
      </c>
      <c r="B149" s="163" t="s">
        <v>263</v>
      </c>
      <c r="C149" s="116" t="s">
        <v>264</v>
      </c>
      <c r="D149" s="122" t="s">
        <v>115</v>
      </c>
      <c r="E149" s="164">
        <v>2</v>
      </c>
      <c r="F149" s="165">
        <v>87727.09</v>
      </c>
      <c r="G149" s="143">
        <v>2</v>
      </c>
      <c r="H149" s="143">
        <f t="shared" si="2"/>
        <v>87727.09</v>
      </c>
    </row>
    <row r="150" spans="1:8" s="130" customFormat="1" x14ac:dyDescent="0.25">
      <c r="A150" s="122" t="s">
        <v>400</v>
      </c>
      <c r="B150" s="163" t="s">
        <v>267</v>
      </c>
      <c r="C150" s="116" t="s">
        <v>268</v>
      </c>
      <c r="D150" s="122" t="s">
        <v>115</v>
      </c>
      <c r="E150" s="164">
        <v>1</v>
      </c>
      <c r="F150" s="165">
        <v>156781.35</v>
      </c>
      <c r="G150" s="143">
        <v>1</v>
      </c>
      <c r="H150" s="143">
        <f t="shared" si="2"/>
        <v>156781.35</v>
      </c>
    </row>
    <row r="151" spans="1:8" s="130" customFormat="1" x14ac:dyDescent="0.25">
      <c r="A151" s="122" t="s">
        <v>401</v>
      </c>
      <c r="B151" s="163" t="s">
        <v>120</v>
      </c>
      <c r="C151" s="116" t="s">
        <v>271</v>
      </c>
      <c r="D151" s="122" t="s">
        <v>115</v>
      </c>
      <c r="E151" s="164">
        <v>1</v>
      </c>
      <c r="F151" s="165">
        <v>4178.1000000000004</v>
      </c>
      <c r="G151" s="143">
        <v>1</v>
      </c>
      <c r="H151" s="143">
        <f t="shared" si="2"/>
        <v>4178.1000000000004</v>
      </c>
    </row>
    <row r="152" spans="1:8" s="130" customFormat="1" x14ac:dyDescent="0.25">
      <c r="A152" s="122" t="s">
        <v>402</v>
      </c>
      <c r="B152" s="163" t="s">
        <v>274</v>
      </c>
      <c r="C152" s="116" t="s">
        <v>275</v>
      </c>
      <c r="D152" s="122" t="s">
        <v>276</v>
      </c>
      <c r="E152" s="164">
        <v>0.06</v>
      </c>
      <c r="F152" s="165">
        <v>15658.24</v>
      </c>
      <c r="G152" s="143">
        <f>E152</f>
        <v>0.06</v>
      </c>
      <c r="H152" s="143">
        <f t="shared" si="2"/>
        <v>15658.24</v>
      </c>
    </row>
    <row r="153" spans="1:8" s="181" customFormat="1" x14ac:dyDescent="0.25">
      <c r="A153" s="153" t="s">
        <v>403</v>
      </c>
      <c r="B153" s="154" t="s">
        <v>282</v>
      </c>
      <c r="C153" s="155" t="s">
        <v>283</v>
      </c>
      <c r="D153" s="153" t="s">
        <v>127</v>
      </c>
      <c r="E153" s="156">
        <v>-2.9000000000000001E-2</v>
      </c>
      <c r="F153" s="157">
        <v>-2679.86</v>
      </c>
      <c r="G153" s="152">
        <f>E153</f>
        <v>-2.9000000000000001E-2</v>
      </c>
      <c r="H153" s="152">
        <f t="shared" si="2"/>
        <v>-2679.86</v>
      </c>
    </row>
    <row r="154" spans="1:8" s="130" customFormat="1" x14ac:dyDescent="0.25">
      <c r="A154" s="122" t="s">
        <v>404</v>
      </c>
      <c r="B154" s="163" t="s">
        <v>120</v>
      </c>
      <c r="C154" s="116" t="s">
        <v>285</v>
      </c>
      <c r="D154" s="122" t="s">
        <v>130</v>
      </c>
      <c r="E154" s="164">
        <v>0.36</v>
      </c>
      <c r="F154" s="165">
        <v>134204.32</v>
      </c>
      <c r="G154" s="143">
        <f>E154</f>
        <v>0.36</v>
      </c>
      <c r="H154" s="143">
        <f t="shared" si="2"/>
        <v>134204.32</v>
      </c>
    </row>
    <row r="155" spans="1:8" s="130" customFormat="1" x14ac:dyDescent="0.25">
      <c r="A155" s="122" t="s">
        <v>405</v>
      </c>
      <c r="B155" s="163" t="s">
        <v>120</v>
      </c>
      <c r="C155" s="116" t="s">
        <v>129</v>
      </c>
      <c r="D155" s="122" t="s">
        <v>130</v>
      </c>
      <c r="E155" s="164">
        <v>2.9000000000000001E-2</v>
      </c>
      <c r="F155" s="165">
        <v>8010.5</v>
      </c>
      <c r="G155" s="143">
        <f>E155</f>
        <v>2.9000000000000001E-2</v>
      </c>
      <c r="H155" s="143">
        <f t="shared" si="2"/>
        <v>8010.5000000000009</v>
      </c>
    </row>
    <row r="156" spans="1:8" s="130" customFormat="1" x14ac:dyDescent="0.25">
      <c r="A156" s="122" t="s">
        <v>406</v>
      </c>
      <c r="B156" s="163" t="s">
        <v>288</v>
      </c>
      <c r="C156" s="116" t="s">
        <v>289</v>
      </c>
      <c r="D156" s="122" t="s">
        <v>160</v>
      </c>
      <c r="E156" s="164">
        <v>1.3299999999999999E-2</v>
      </c>
      <c r="F156" s="165">
        <v>34682.379999999997</v>
      </c>
      <c r="G156" s="143">
        <f>14.26/1000</f>
        <v>1.426E-2</v>
      </c>
      <c r="H156" s="143">
        <f t="shared" si="2"/>
        <v>37185.76983458647</v>
      </c>
    </row>
    <row r="157" spans="1:8" s="130" customFormat="1" x14ac:dyDescent="0.25">
      <c r="A157" s="116" t="s">
        <v>161</v>
      </c>
      <c r="B157" s="116"/>
      <c r="C157" s="116"/>
      <c r="D157" s="122"/>
      <c r="E157" s="122"/>
      <c r="F157" s="145"/>
      <c r="G157" s="143"/>
      <c r="H157" s="143"/>
    </row>
    <row r="158" spans="1:8" s="130" customFormat="1" x14ac:dyDescent="0.25">
      <c r="A158" s="122" t="s">
        <v>407</v>
      </c>
      <c r="B158" s="163" t="s">
        <v>163</v>
      </c>
      <c r="C158" s="116" t="s">
        <v>164</v>
      </c>
      <c r="D158" s="122" t="s">
        <v>165</v>
      </c>
      <c r="E158" s="164">
        <v>52.3</v>
      </c>
      <c r="F158" s="165">
        <v>2694.89</v>
      </c>
      <c r="G158" s="143">
        <f>G140*100*1.75</f>
        <v>39.357499999999995</v>
      </c>
      <c r="H158" s="143">
        <f t="shared" ref="H158:H161" si="3">F158/E158*G158</f>
        <v>2027.994898183556</v>
      </c>
    </row>
    <row r="159" spans="1:8" s="130" customFormat="1" x14ac:dyDescent="0.25">
      <c r="A159" s="122" t="s">
        <v>408</v>
      </c>
      <c r="B159" s="163" t="s">
        <v>167</v>
      </c>
      <c r="C159" s="116" t="s">
        <v>292</v>
      </c>
      <c r="D159" s="122" t="s">
        <v>165</v>
      </c>
      <c r="E159" s="164">
        <v>9.9</v>
      </c>
      <c r="F159" s="165">
        <v>1304.8699999999999</v>
      </c>
      <c r="G159" s="143">
        <v>7.56</v>
      </c>
      <c r="H159" s="143">
        <f t="shared" si="3"/>
        <v>996.4461818181818</v>
      </c>
    </row>
    <row r="160" spans="1:8" s="130" customFormat="1" x14ac:dyDescent="0.25">
      <c r="A160" s="122" t="s">
        <v>409</v>
      </c>
      <c r="B160" s="163" t="s">
        <v>170</v>
      </c>
      <c r="C160" s="116" t="s">
        <v>294</v>
      </c>
      <c r="D160" s="122" t="s">
        <v>165</v>
      </c>
      <c r="E160" s="164">
        <v>5</v>
      </c>
      <c r="F160" s="165">
        <v>854.62</v>
      </c>
      <c r="G160" s="143">
        <f>1.6+2.64</f>
        <v>4.24</v>
      </c>
      <c r="H160" s="143">
        <f t="shared" si="3"/>
        <v>724.71776000000011</v>
      </c>
    </row>
    <row r="161" spans="1:8" s="130" customFormat="1" x14ac:dyDescent="0.25">
      <c r="A161" s="122" t="s">
        <v>410</v>
      </c>
      <c r="B161" s="163" t="s">
        <v>173</v>
      </c>
      <c r="C161" s="116" t="s">
        <v>174</v>
      </c>
      <c r="D161" s="122" t="s">
        <v>165</v>
      </c>
      <c r="E161" s="164">
        <v>67.2</v>
      </c>
      <c r="F161" s="165">
        <v>4207.3100000000004</v>
      </c>
      <c r="G161" s="143">
        <f>G160+G159+G158</f>
        <v>51.157499999999999</v>
      </c>
      <c r="H161" s="143">
        <f t="shared" si="3"/>
        <v>3202.9086506696431</v>
      </c>
    </row>
    <row r="162" spans="1:8" x14ac:dyDescent="0.25">
      <c r="A162" s="114" t="s">
        <v>415</v>
      </c>
      <c r="B162" s="114"/>
      <c r="C162" s="114"/>
      <c r="D162" s="120"/>
      <c r="E162" s="120"/>
      <c r="F162" s="140"/>
      <c r="H162" s="143">
        <f>SUM(H139:H161)</f>
        <v>6104324.3452819493</v>
      </c>
    </row>
    <row r="163" spans="1:8" x14ac:dyDescent="0.25">
      <c r="A163" s="123" t="s">
        <v>416</v>
      </c>
      <c r="B163" s="160" t="s">
        <v>208</v>
      </c>
      <c r="C163" s="117" t="s">
        <v>209</v>
      </c>
      <c r="D163" s="123" t="s">
        <v>210</v>
      </c>
      <c r="E163" s="161">
        <v>1</v>
      </c>
      <c r="F163" s="162">
        <v>44914.41</v>
      </c>
    </row>
    <row r="164" spans="1:8" x14ac:dyDescent="0.25">
      <c r="A164" s="123" t="s">
        <v>417</v>
      </c>
      <c r="B164" s="160" t="s">
        <v>82</v>
      </c>
      <c r="C164" s="117" t="s">
        <v>83</v>
      </c>
      <c r="D164" s="123" t="s">
        <v>58</v>
      </c>
      <c r="E164" s="161">
        <v>0.23699999999999999</v>
      </c>
      <c r="F164" s="162">
        <v>4712.08</v>
      </c>
    </row>
    <row r="165" spans="1:8" x14ac:dyDescent="0.25">
      <c r="A165" s="123" t="s">
        <v>418</v>
      </c>
      <c r="B165" s="160" t="s">
        <v>89</v>
      </c>
      <c r="C165" s="117" t="s">
        <v>90</v>
      </c>
      <c r="D165" s="123" t="s">
        <v>58</v>
      </c>
      <c r="E165" s="161">
        <v>0.11559999999999999</v>
      </c>
      <c r="F165" s="162">
        <v>2138.88</v>
      </c>
    </row>
    <row r="166" spans="1:8" x14ac:dyDescent="0.25">
      <c r="A166" s="123" t="s">
        <v>419</v>
      </c>
      <c r="B166" s="160" t="s">
        <v>96</v>
      </c>
      <c r="C166" s="117" t="s">
        <v>97</v>
      </c>
      <c r="D166" s="123" t="s">
        <v>58</v>
      </c>
      <c r="E166" s="161">
        <v>0.11600000000000001</v>
      </c>
      <c r="F166" s="162">
        <v>17635.43</v>
      </c>
    </row>
    <row r="167" spans="1:8" x14ac:dyDescent="0.25">
      <c r="A167" s="123" t="s">
        <v>420</v>
      </c>
      <c r="B167" s="160" t="s">
        <v>104</v>
      </c>
      <c r="C167" s="117" t="s">
        <v>105</v>
      </c>
      <c r="D167" s="123" t="s">
        <v>106</v>
      </c>
      <c r="E167" s="161">
        <v>14.62</v>
      </c>
      <c r="F167" s="162">
        <v>90844.61</v>
      </c>
    </row>
    <row r="168" spans="1:8" x14ac:dyDescent="0.25">
      <c r="A168" s="123" t="s">
        <v>421</v>
      </c>
      <c r="B168" s="160" t="s">
        <v>241</v>
      </c>
      <c r="C168" s="117" t="s">
        <v>242</v>
      </c>
      <c r="D168" s="123" t="s">
        <v>210</v>
      </c>
      <c r="E168" s="161">
        <v>1</v>
      </c>
      <c r="F168" s="162">
        <v>207003.6</v>
      </c>
    </row>
    <row r="169" spans="1:8" x14ac:dyDescent="0.25">
      <c r="A169" s="123" t="s">
        <v>422</v>
      </c>
      <c r="B169" s="160" t="s">
        <v>244</v>
      </c>
      <c r="C169" s="117" t="s">
        <v>245</v>
      </c>
      <c r="D169" s="123" t="s">
        <v>246</v>
      </c>
      <c r="E169" s="161">
        <v>1</v>
      </c>
      <c r="F169" s="162">
        <v>1667776.02</v>
      </c>
    </row>
    <row r="170" spans="1:8" x14ac:dyDescent="0.25">
      <c r="A170" s="123" t="s">
        <v>423</v>
      </c>
      <c r="B170" s="160" t="s">
        <v>249</v>
      </c>
      <c r="C170" s="117" t="s">
        <v>250</v>
      </c>
      <c r="D170" s="123" t="s">
        <v>246</v>
      </c>
      <c r="E170" s="161">
        <v>1</v>
      </c>
      <c r="F170" s="162">
        <v>3596141.97</v>
      </c>
    </row>
    <row r="171" spans="1:8" x14ac:dyDescent="0.25">
      <c r="A171" s="123" t="s">
        <v>424</v>
      </c>
      <c r="B171" s="160" t="s">
        <v>253</v>
      </c>
      <c r="C171" s="117" t="s">
        <v>254</v>
      </c>
      <c r="D171" s="123" t="s">
        <v>115</v>
      </c>
      <c r="E171" s="161">
        <v>1</v>
      </c>
      <c r="F171" s="162">
        <v>42192.34</v>
      </c>
    </row>
    <row r="172" spans="1:8" s="171" customFormat="1" x14ac:dyDescent="0.25">
      <c r="A172" s="166" t="s">
        <v>425</v>
      </c>
      <c r="B172" s="167" t="s">
        <v>260</v>
      </c>
      <c r="C172" s="168" t="s">
        <v>261</v>
      </c>
      <c r="D172" s="166" t="s">
        <v>115</v>
      </c>
      <c r="E172" s="169">
        <v>-2</v>
      </c>
      <c r="F172" s="170">
        <v>-5066.7299999999996</v>
      </c>
      <c r="G172" s="146"/>
      <c r="H172" s="135"/>
    </row>
    <row r="173" spans="1:8" x14ac:dyDescent="0.25">
      <c r="A173" s="123" t="s">
        <v>426</v>
      </c>
      <c r="B173" s="160" t="s">
        <v>263</v>
      </c>
      <c r="C173" s="117" t="s">
        <v>264</v>
      </c>
      <c r="D173" s="123" t="s">
        <v>115</v>
      </c>
      <c r="E173" s="161">
        <v>2</v>
      </c>
      <c r="F173" s="162">
        <v>87727.09</v>
      </c>
    </row>
    <row r="174" spans="1:8" x14ac:dyDescent="0.25">
      <c r="A174" s="123" t="s">
        <v>427</v>
      </c>
      <c r="B174" s="160" t="s">
        <v>267</v>
      </c>
      <c r="C174" s="117" t="s">
        <v>268</v>
      </c>
      <c r="D174" s="123" t="s">
        <v>115</v>
      </c>
      <c r="E174" s="161">
        <v>1</v>
      </c>
      <c r="F174" s="162">
        <v>156781.35</v>
      </c>
    </row>
    <row r="175" spans="1:8" x14ac:dyDescent="0.25">
      <c r="A175" s="123" t="s">
        <v>428</v>
      </c>
      <c r="B175" s="160" t="s">
        <v>120</v>
      </c>
      <c r="C175" s="117" t="s">
        <v>271</v>
      </c>
      <c r="D175" s="123" t="s">
        <v>115</v>
      </c>
      <c r="E175" s="161">
        <v>1</v>
      </c>
      <c r="F175" s="162">
        <v>4178.1000000000004</v>
      </c>
    </row>
    <row r="176" spans="1:8" x14ac:dyDescent="0.25">
      <c r="A176" s="123" t="s">
        <v>429</v>
      </c>
      <c r="B176" s="160" t="s">
        <v>274</v>
      </c>
      <c r="C176" s="117" t="s">
        <v>275</v>
      </c>
      <c r="D176" s="123" t="s">
        <v>276</v>
      </c>
      <c r="E176" s="161">
        <v>0.06</v>
      </c>
      <c r="F176" s="162">
        <v>15658.24</v>
      </c>
    </row>
    <row r="177" spans="1:8" s="171" customFormat="1" x14ac:dyDescent="0.25">
      <c r="A177" s="166" t="s">
        <v>430</v>
      </c>
      <c r="B177" s="167" t="s">
        <v>282</v>
      </c>
      <c r="C177" s="168" t="s">
        <v>283</v>
      </c>
      <c r="D177" s="166" t="s">
        <v>127</v>
      </c>
      <c r="E177" s="169">
        <v>-2.9000000000000001E-2</v>
      </c>
      <c r="F177" s="170">
        <v>-2679.86</v>
      </c>
      <c r="G177" s="146"/>
      <c r="H177" s="135"/>
    </row>
    <row r="178" spans="1:8" x14ac:dyDescent="0.25">
      <c r="A178" s="123" t="s">
        <v>431</v>
      </c>
      <c r="B178" s="160" t="s">
        <v>120</v>
      </c>
      <c r="C178" s="117" t="s">
        <v>285</v>
      </c>
      <c r="D178" s="123" t="s">
        <v>130</v>
      </c>
      <c r="E178" s="161">
        <v>0.36</v>
      </c>
      <c r="F178" s="162">
        <v>134204.32</v>
      </c>
    </row>
    <row r="179" spans="1:8" x14ac:dyDescent="0.25">
      <c r="A179" s="123" t="s">
        <v>432</v>
      </c>
      <c r="B179" s="160" t="s">
        <v>120</v>
      </c>
      <c r="C179" s="117" t="s">
        <v>129</v>
      </c>
      <c r="D179" s="123" t="s">
        <v>130</v>
      </c>
      <c r="E179" s="161">
        <v>2.9000000000000001E-2</v>
      </c>
      <c r="F179" s="162">
        <v>8010.5</v>
      </c>
    </row>
    <row r="180" spans="1:8" x14ac:dyDescent="0.25">
      <c r="A180" s="123" t="s">
        <v>433</v>
      </c>
      <c r="B180" s="160" t="s">
        <v>288</v>
      </c>
      <c r="C180" s="117" t="s">
        <v>289</v>
      </c>
      <c r="D180" s="123" t="s">
        <v>160</v>
      </c>
      <c r="E180" s="161">
        <v>1.3299999999999999E-2</v>
      </c>
      <c r="F180" s="162">
        <v>34682.379999999997</v>
      </c>
    </row>
    <row r="181" spans="1:8" x14ac:dyDescent="0.25">
      <c r="A181" s="117" t="s">
        <v>161</v>
      </c>
      <c r="B181" s="117"/>
      <c r="C181" s="117"/>
      <c r="D181" s="123"/>
      <c r="E181" s="123"/>
      <c r="F181" s="147"/>
    </row>
    <row r="182" spans="1:8" x14ac:dyDescent="0.25">
      <c r="A182" s="123" t="s">
        <v>434</v>
      </c>
      <c r="B182" s="160" t="s">
        <v>163</v>
      </c>
      <c r="C182" s="117" t="s">
        <v>164</v>
      </c>
      <c r="D182" s="123" t="s">
        <v>165</v>
      </c>
      <c r="E182" s="161">
        <v>41.5</v>
      </c>
      <c r="F182" s="162">
        <v>2138.4499999999998</v>
      </c>
    </row>
    <row r="183" spans="1:8" x14ac:dyDescent="0.25">
      <c r="A183" s="123" t="s">
        <v>435</v>
      </c>
      <c r="B183" s="160" t="s">
        <v>167</v>
      </c>
      <c r="C183" s="117" t="s">
        <v>292</v>
      </c>
      <c r="D183" s="123" t="s">
        <v>165</v>
      </c>
      <c r="E183" s="161">
        <v>9.9</v>
      </c>
      <c r="F183" s="162">
        <v>1304.8699999999999</v>
      </c>
    </row>
    <row r="184" spans="1:8" x14ac:dyDescent="0.25">
      <c r="A184" s="123" t="s">
        <v>436</v>
      </c>
      <c r="B184" s="160" t="s">
        <v>170</v>
      </c>
      <c r="C184" s="117" t="s">
        <v>294</v>
      </c>
      <c r="D184" s="123" t="s">
        <v>165</v>
      </c>
      <c r="E184" s="161">
        <v>5</v>
      </c>
      <c r="F184" s="162">
        <v>854.62</v>
      </c>
    </row>
    <row r="185" spans="1:8" x14ac:dyDescent="0.25">
      <c r="A185" s="123" t="s">
        <v>437</v>
      </c>
      <c r="B185" s="160" t="s">
        <v>173</v>
      </c>
      <c r="C185" s="117" t="s">
        <v>174</v>
      </c>
      <c r="D185" s="123" t="s">
        <v>165</v>
      </c>
      <c r="E185" s="161">
        <v>56.4</v>
      </c>
      <c r="F185" s="162">
        <v>3531.09</v>
      </c>
    </row>
    <row r="186" spans="1:8" x14ac:dyDescent="0.25">
      <c r="A186" s="114" t="s">
        <v>442</v>
      </c>
      <c r="B186" s="114"/>
      <c r="C186" s="114"/>
      <c r="D186" s="120"/>
      <c r="E186" s="120"/>
      <c r="F186" s="140"/>
    </row>
    <row r="187" spans="1:8" x14ac:dyDescent="0.25">
      <c r="A187" s="123" t="s">
        <v>443</v>
      </c>
      <c r="B187" s="160" t="s">
        <v>208</v>
      </c>
      <c r="C187" s="117" t="s">
        <v>209</v>
      </c>
      <c r="D187" s="123" t="s">
        <v>210</v>
      </c>
      <c r="E187" s="161">
        <v>1</v>
      </c>
      <c r="F187" s="162">
        <v>44914.41</v>
      </c>
    </row>
    <row r="188" spans="1:8" x14ac:dyDescent="0.25">
      <c r="A188" s="123" t="s">
        <v>444</v>
      </c>
      <c r="B188" s="160" t="s">
        <v>82</v>
      </c>
      <c r="C188" s="117" t="s">
        <v>83</v>
      </c>
      <c r="D188" s="123" t="s">
        <v>58</v>
      </c>
      <c r="E188" s="161">
        <v>0.23599999999999999</v>
      </c>
      <c r="F188" s="162">
        <v>4693.04</v>
      </c>
    </row>
    <row r="189" spans="1:8" x14ac:dyDescent="0.25">
      <c r="A189" s="123" t="s">
        <v>445</v>
      </c>
      <c r="B189" s="160" t="s">
        <v>89</v>
      </c>
      <c r="C189" s="117" t="s">
        <v>90</v>
      </c>
      <c r="D189" s="123" t="s">
        <v>58</v>
      </c>
      <c r="E189" s="161">
        <v>0.1152</v>
      </c>
      <c r="F189" s="162">
        <v>2130.6</v>
      </c>
    </row>
    <row r="190" spans="1:8" x14ac:dyDescent="0.25">
      <c r="A190" s="123" t="s">
        <v>446</v>
      </c>
      <c r="B190" s="160" t="s">
        <v>96</v>
      </c>
      <c r="C190" s="117" t="s">
        <v>97</v>
      </c>
      <c r="D190" s="123" t="s">
        <v>58</v>
      </c>
      <c r="E190" s="161">
        <v>0.115</v>
      </c>
      <c r="F190" s="162">
        <v>17483.62</v>
      </c>
    </row>
    <row r="191" spans="1:8" x14ac:dyDescent="0.25">
      <c r="A191" s="123" t="s">
        <v>447</v>
      </c>
      <c r="B191" s="160" t="s">
        <v>104</v>
      </c>
      <c r="C191" s="117" t="s">
        <v>105</v>
      </c>
      <c r="D191" s="123" t="s">
        <v>106</v>
      </c>
      <c r="E191" s="161">
        <v>14.49</v>
      </c>
      <c r="F191" s="162">
        <v>90036.82</v>
      </c>
    </row>
    <row r="192" spans="1:8" x14ac:dyDescent="0.25">
      <c r="A192" s="123" t="s">
        <v>448</v>
      </c>
      <c r="B192" s="160" t="s">
        <v>241</v>
      </c>
      <c r="C192" s="117" t="s">
        <v>242</v>
      </c>
      <c r="D192" s="123" t="s">
        <v>210</v>
      </c>
      <c r="E192" s="161">
        <v>1</v>
      </c>
      <c r="F192" s="162">
        <v>207003.6</v>
      </c>
    </row>
    <row r="193" spans="1:8" x14ac:dyDescent="0.25">
      <c r="A193" s="123" t="s">
        <v>449</v>
      </c>
      <c r="B193" s="160" t="s">
        <v>244</v>
      </c>
      <c r="C193" s="117" t="s">
        <v>245</v>
      </c>
      <c r="D193" s="123" t="s">
        <v>246</v>
      </c>
      <c r="E193" s="161">
        <v>1</v>
      </c>
      <c r="F193" s="162">
        <v>1667776.02</v>
      </c>
    </row>
    <row r="194" spans="1:8" x14ac:dyDescent="0.25">
      <c r="A194" s="123" t="s">
        <v>450</v>
      </c>
      <c r="B194" s="160" t="s">
        <v>249</v>
      </c>
      <c r="C194" s="117" t="s">
        <v>451</v>
      </c>
      <c r="D194" s="123" t="s">
        <v>246</v>
      </c>
      <c r="E194" s="161">
        <v>1</v>
      </c>
      <c r="F194" s="162">
        <v>3596141.97</v>
      </c>
    </row>
    <row r="195" spans="1:8" x14ac:dyDescent="0.25">
      <c r="A195" s="123" t="s">
        <v>452</v>
      </c>
      <c r="B195" s="160" t="s">
        <v>253</v>
      </c>
      <c r="C195" s="117" t="s">
        <v>254</v>
      </c>
      <c r="D195" s="123" t="s">
        <v>115</v>
      </c>
      <c r="E195" s="161">
        <v>1</v>
      </c>
      <c r="F195" s="162">
        <v>42192.34</v>
      </c>
    </row>
    <row r="196" spans="1:8" s="171" customFormat="1" x14ac:dyDescent="0.25">
      <c r="A196" s="166" t="s">
        <v>453</v>
      </c>
      <c r="B196" s="167" t="s">
        <v>260</v>
      </c>
      <c r="C196" s="168" t="s">
        <v>261</v>
      </c>
      <c r="D196" s="166" t="s">
        <v>115</v>
      </c>
      <c r="E196" s="169">
        <v>-2</v>
      </c>
      <c r="F196" s="170">
        <v>-5066.7299999999996</v>
      </c>
      <c r="G196" s="146"/>
      <c r="H196" s="135"/>
    </row>
    <row r="197" spans="1:8" x14ac:dyDescent="0.25">
      <c r="A197" s="123" t="s">
        <v>454</v>
      </c>
      <c r="B197" s="160" t="s">
        <v>263</v>
      </c>
      <c r="C197" s="117" t="s">
        <v>264</v>
      </c>
      <c r="D197" s="123" t="s">
        <v>115</v>
      </c>
      <c r="E197" s="161">
        <v>2</v>
      </c>
      <c r="F197" s="162">
        <v>87727.09</v>
      </c>
    </row>
    <row r="198" spans="1:8" x14ac:dyDescent="0.25">
      <c r="A198" s="123" t="s">
        <v>455</v>
      </c>
      <c r="B198" s="160" t="s">
        <v>267</v>
      </c>
      <c r="C198" s="117" t="s">
        <v>268</v>
      </c>
      <c r="D198" s="123" t="s">
        <v>115</v>
      </c>
      <c r="E198" s="161">
        <v>1</v>
      </c>
      <c r="F198" s="162">
        <v>156781.35</v>
      </c>
    </row>
    <row r="199" spans="1:8" x14ac:dyDescent="0.25">
      <c r="A199" s="123" t="s">
        <v>456</v>
      </c>
      <c r="B199" s="160" t="s">
        <v>120</v>
      </c>
      <c r="C199" s="117" t="s">
        <v>271</v>
      </c>
      <c r="D199" s="123" t="s">
        <v>115</v>
      </c>
      <c r="E199" s="161">
        <v>1</v>
      </c>
      <c r="F199" s="162">
        <v>4178.1000000000004</v>
      </c>
    </row>
    <row r="200" spans="1:8" x14ac:dyDescent="0.25">
      <c r="A200" s="123" t="s">
        <v>457</v>
      </c>
      <c r="B200" s="160" t="s">
        <v>274</v>
      </c>
      <c r="C200" s="117" t="s">
        <v>275</v>
      </c>
      <c r="D200" s="123" t="s">
        <v>276</v>
      </c>
      <c r="E200" s="161">
        <v>0.06</v>
      </c>
      <c r="F200" s="162">
        <v>15638.67</v>
      </c>
    </row>
    <row r="201" spans="1:8" s="171" customFormat="1" x14ac:dyDescent="0.25">
      <c r="A201" s="166" t="s">
        <v>458</v>
      </c>
      <c r="B201" s="167" t="s">
        <v>282</v>
      </c>
      <c r="C201" s="168" t="s">
        <v>283</v>
      </c>
      <c r="D201" s="166" t="s">
        <v>127</v>
      </c>
      <c r="E201" s="169">
        <v>-2.9000000000000001E-2</v>
      </c>
      <c r="F201" s="170">
        <v>-2679.86</v>
      </c>
      <c r="G201" s="146"/>
      <c r="H201" s="135"/>
    </row>
    <row r="202" spans="1:8" x14ac:dyDescent="0.25">
      <c r="A202" s="123" t="s">
        <v>459</v>
      </c>
      <c r="B202" s="160" t="s">
        <v>120</v>
      </c>
      <c r="C202" s="117" t="s">
        <v>285</v>
      </c>
      <c r="D202" s="123" t="s">
        <v>130</v>
      </c>
      <c r="E202" s="161">
        <v>0.36</v>
      </c>
      <c r="F202" s="162">
        <v>134204.32</v>
      </c>
      <c r="G202" s="141">
        <f>12/E202</f>
        <v>33.333333333333336</v>
      </c>
      <c r="H202" s="131">
        <f>E202*1000/12</f>
        <v>30</v>
      </c>
    </row>
    <row r="203" spans="1:8" x14ac:dyDescent="0.25">
      <c r="A203" s="123" t="s">
        <v>460</v>
      </c>
      <c r="B203" s="160" t="s">
        <v>120</v>
      </c>
      <c r="C203" s="117" t="s">
        <v>129</v>
      </c>
      <c r="D203" s="123" t="s">
        <v>130</v>
      </c>
      <c r="E203" s="161">
        <v>2.9000000000000001E-2</v>
      </c>
      <c r="F203" s="162">
        <v>8010.5</v>
      </c>
    </row>
    <row r="204" spans="1:8" x14ac:dyDescent="0.25">
      <c r="A204" s="123" t="s">
        <v>461</v>
      </c>
      <c r="B204" s="160" t="s">
        <v>288</v>
      </c>
      <c r="C204" s="117" t="s">
        <v>289</v>
      </c>
      <c r="D204" s="123" t="s">
        <v>160</v>
      </c>
      <c r="E204" s="161">
        <v>1.3299999999999999E-2</v>
      </c>
      <c r="F204" s="162">
        <v>34682.379999999997</v>
      </c>
    </row>
    <row r="205" spans="1:8" x14ac:dyDescent="0.25">
      <c r="A205" s="117" t="s">
        <v>161</v>
      </c>
      <c r="B205" s="117"/>
      <c r="C205" s="117"/>
      <c r="D205" s="123"/>
      <c r="E205" s="123"/>
      <c r="F205" s="147"/>
    </row>
    <row r="206" spans="1:8" x14ac:dyDescent="0.25">
      <c r="A206" s="123" t="s">
        <v>462</v>
      </c>
      <c r="B206" s="160" t="s">
        <v>163</v>
      </c>
      <c r="C206" s="117" t="s">
        <v>164</v>
      </c>
      <c r="D206" s="123" t="s">
        <v>165</v>
      </c>
      <c r="E206" s="161">
        <v>41.3</v>
      </c>
      <c r="F206" s="162">
        <v>2128.08</v>
      </c>
    </row>
    <row r="207" spans="1:8" x14ac:dyDescent="0.25">
      <c r="A207" s="123" t="s">
        <v>463</v>
      </c>
      <c r="B207" s="160" t="s">
        <v>167</v>
      </c>
      <c r="C207" s="117" t="s">
        <v>292</v>
      </c>
      <c r="D207" s="123" t="s">
        <v>165</v>
      </c>
      <c r="E207" s="161">
        <v>12.1</v>
      </c>
      <c r="F207" s="162">
        <v>1594.88</v>
      </c>
    </row>
    <row r="208" spans="1:8" x14ac:dyDescent="0.25">
      <c r="A208" s="123" t="s">
        <v>464</v>
      </c>
      <c r="B208" s="160" t="s">
        <v>170</v>
      </c>
      <c r="C208" s="117" t="s">
        <v>294</v>
      </c>
      <c r="D208" s="123" t="s">
        <v>165</v>
      </c>
      <c r="E208" s="161">
        <v>5</v>
      </c>
      <c r="F208" s="162">
        <v>854.62</v>
      </c>
    </row>
    <row r="209" spans="1:8" x14ac:dyDescent="0.25">
      <c r="A209" s="123" t="s">
        <v>465</v>
      </c>
      <c r="B209" s="160" t="s">
        <v>173</v>
      </c>
      <c r="C209" s="117" t="s">
        <v>174</v>
      </c>
      <c r="D209" s="123" t="s">
        <v>165</v>
      </c>
      <c r="E209" s="161">
        <v>58.4</v>
      </c>
      <c r="F209" s="162">
        <v>3656.31</v>
      </c>
    </row>
    <row r="210" spans="1:8" x14ac:dyDescent="0.25">
      <c r="A210" s="114" t="s">
        <v>470</v>
      </c>
      <c r="B210" s="114"/>
      <c r="C210" s="114"/>
      <c r="D210" s="120"/>
      <c r="E210" s="120"/>
      <c r="F210" s="140"/>
    </row>
    <row r="211" spans="1:8" x14ac:dyDescent="0.25">
      <c r="A211" s="123" t="s">
        <v>471</v>
      </c>
      <c r="B211" s="160" t="s">
        <v>208</v>
      </c>
      <c r="C211" s="117" t="s">
        <v>209</v>
      </c>
      <c r="D211" s="123" t="s">
        <v>210</v>
      </c>
      <c r="E211" s="161">
        <v>1</v>
      </c>
      <c r="F211" s="162">
        <v>44914.41</v>
      </c>
    </row>
    <row r="212" spans="1:8" x14ac:dyDescent="0.25">
      <c r="A212" s="123" t="s">
        <v>472</v>
      </c>
      <c r="B212" s="160" t="s">
        <v>82</v>
      </c>
      <c r="C212" s="117" t="s">
        <v>83</v>
      </c>
      <c r="D212" s="123" t="s">
        <v>58</v>
      </c>
      <c r="E212" s="161">
        <v>0.28399999999999997</v>
      </c>
      <c r="F212" s="162">
        <v>5647.38</v>
      </c>
    </row>
    <row r="213" spans="1:8" x14ac:dyDescent="0.25">
      <c r="A213" s="123" t="s">
        <v>473</v>
      </c>
      <c r="B213" s="160" t="s">
        <v>89</v>
      </c>
      <c r="C213" s="117" t="s">
        <v>90</v>
      </c>
      <c r="D213" s="123" t="s">
        <v>58</v>
      </c>
      <c r="E213" s="161">
        <v>0.1336</v>
      </c>
      <c r="F213" s="162">
        <v>2471.04</v>
      </c>
    </row>
    <row r="214" spans="1:8" x14ac:dyDescent="0.25">
      <c r="A214" s="123" t="s">
        <v>474</v>
      </c>
      <c r="B214" s="160" t="s">
        <v>96</v>
      </c>
      <c r="C214" s="117" t="s">
        <v>97</v>
      </c>
      <c r="D214" s="123" t="s">
        <v>58</v>
      </c>
      <c r="E214" s="161">
        <v>0.13400000000000001</v>
      </c>
      <c r="F214" s="162">
        <v>20372.580000000002</v>
      </c>
    </row>
    <row r="215" spans="1:8" x14ac:dyDescent="0.25">
      <c r="A215" s="123" t="s">
        <v>475</v>
      </c>
      <c r="B215" s="160" t="s">
        <v>104</v>
      </c>
      <c r="C215" s="117" t="s">
        <v>105</v>
      </c>
      <c r="D215" s="123" t="s">
        <v>106</v>
      </c>
      <c r="E215" s="161">
        <v>14.49</v>
      </c>
      <c r="F215" s="162">
        <v>90036.82</v>
      </c>
    </row>
    <row r="216" spans="1:8" x14ac:dyDescent="0.25">
      <c r="A216" s="123" t="s">
        <v>476</v>
      </c>
      <c r="B216" s="160" t="s">
        <v>241</v>
      </c>
      <c r="C216" s="117" t="s">
        <v>242</v>
      </c>
      <c r="D216" s="123" t="s">
        <v>210</v>
      </c>
      <c r="E216" s="161">
        <v>1</v>
      </c>
      <c r="F216" s="162">
        <v>207003.6</v>
      </c>
    </row>
    <row r="217" spans="1:8" x14ac:dyDescent="0.25">
      <c r="A217" s="123" t="s">
        <v>477</v>
      </c>
      <c r="B217" s="160" t="s">
        <v>244</v>
      </c>
      <c r="C217" s="117" t="s">
        <v>245</v>
      </c>
      <c r="D217" s="123" t="s">
        <v>246</v>
      </c>
      <c r="E217" s="161">
        <v>1</v>
      </c>
      <c r="F217" s="162">
        <v>1667776.02</v>
      </c>
    </row>
    <row r="218" spans="1:8" x14ac:dyDescent="0.25">
      <c r="A218" s="123" t="s">
        <v>478</v>
      </c>
      <c r="B218" s="160" t="s">
        <v>249</v>
      </c>
      <c r="C218" s="117" t="s">
        <v>250</v>
      </c>
      <c r="D218" s="123" t="s">
        <v>246</v>
      </c>
      <c r="E218" s="161">
        <v>1</v>
      </c>
      <c r="F218" s="162">
        <v>3596141.97</v>
      </c>
    </row>
    <row r="219" spans="1:8" x14ac:dyDescent="0.25">
      <c r="A219" s="123" t="s">
        <v>479</v>
      </c>
      <c r="B219" s="160" t="s">
        <v>253</v>
      </c>
      <c r="C219" s="117" t="s">
        <v>254</v>
      </c>
      <c r="D219" s="123" t="s">
        <v>115</v>
      </c>
      <c r="E219" s="161">
        <v>1</v>
      </c>
      <c r="F219" s="162">
        <v>42192.34</v>
      </c>
    </row>
    <row r="220" spans="1:8" s="171" customFormat="1" x14ac:dyDescent="0.25">
      <c r="A220" s="166" t="s">
        <v>480</v>
      </c>
      <c r="B220" s="167" t="s">
        <v>260</v>
      </c>
      <c r="C220" s="168" t="s">
        <v>261</v>
      </c>
      <c r="D220" s="166" t="s">
        <v>115</v>
      </c>
      <c r="E220" s="169">
        <v>-2</v>
      </c>
      <c r="F220" s="170">
        <v>-5066.7299999999996</v>
      </c>
      <c r="G220" s="146"/>
      <c r="H220" s="135"/>
    </row>
    <row r="221" spans="1:8" x14ac:dyDescent="0.25">
      <c r="A221" s="123" t="s">
        <v>481</v>
      </c>
      <c r="B221" s="160" t="s">
        <v>263</v>
      </c>
      <c r="C221" s="117" t="s">
        <v>264</v>
      </c>
      <c r="D221" s="123" t="s">
        <v>115</v>
      </c>
      <c r="E221" s="161">
        <v>2</v>
      </c>
      <c r="F221" s="162">
        <v>87727.09</v>
      </c>
    </row>
    <row r="222" spans="1:8" x14ac:dyDescent="0.25">
      <c r="A222" s="123" t="s">
        <v>482</v>
      </c>
      <c r="B222" s="160" t="s">
        <v>267</v>
      </c>
      <c r="C222" s="117" t="s">
        <v>268</v>
      </c>
      <c r="D222" s="123" t="s">
        <v>115</v>
      </c>
      <c r="E222" s="161">
        <v>1</v>
      </c>
      <c r="F222" s="162">
        <v>156781.35</v>
      </c>
    </row>
    <row r="223" spans="1:8" x14ac:dyDescent="0.25">
      <c r="A223" s="123" t="s">
        <v>483</v>
      </c>
      <c r="B223" s="160" t="s">
        <v>120</v>
      </c>
      <c r="C223" s="117" t="s">
        <v>271</v>
      </c>
      <c r="D223" s="123" t="s">
        <v>115</v>
      </c>
      <c r="E223" s="161">
        <v>1</v>
      </c>
      <c r="F223" s="162">
        <v>4178.1000000000004</v>
      </c>
    </row>
    <row r="224" spans="1:8" x14ac:dyDescent="0.25">
      <c r="A224" s="123" t="s">
        <v>484</v>
      </c>
      <c r="B224" s="160" t="s">
        <v>274</v>
      </c>
      <c r="C224" s="117" t="s">
        <v>275</v>
      </c>
      <c r="D224" s="123" t="s">
        <v>276</v>
      </c>
      <c r="E224" s="161">
        <v>0.06</v>
      </c>
      <c r="F224" s="162">
        <v>15625.8</v>
      </c>
    </row>
    <row r="225" spans="1:8" s="171" customFormat="1" x14ac:dyDescent="0.25">
      <c r="A225" s="166" t="s">
        <v>485</v>
      </c>
      <c r="B225" s="167" t="s">
        <v>282</v>
      </c>
      <c r="C225" s="168" t="s">
        <v>283</v>
      </c>
      <c r="D225" s="166" t="s">
        <v>127</v>
      </c>
      <c r="E225" s="169">
        <v>-2.9000000000000001E-2</v>
      </c>
      <c r="F225" s="170">
        <v>-2679.76</v>
      </c>
      <c r="G225" s="146"/>
      <c r="H225" s="135"/>
    </row>
    <row r="226" spans="1:8" x14ac:dyDescent="0.25">
      <c r="A226" s="123" t="s">
        <v>486</v>
      </c>
      <c r="B226" s="160" t="s">
        <v>120</v>
      </c>
      <c r="C226" s="117" t="s">
        <v>285</v>
      </c>
      <c r="D226" s="123" t="s">
        <v>130</v>
      </c>
      <c r="E226" s="161">
        <v>0.36</v>
      </c>
      <c r="F226" s="162">
        <v>134204.32</v>
      </c>
    </row>
    <row r="227" spans="1:8" x14ac:dyDescent="0.25">
      <c r="A227" s="123" t="s">
        <v>487</v>
      </c>
      <c r="B227" s="160" t="s">
        <v>120</v>
      </c>
      <c r="C227" s="117" t="s">
        <v>129</v>
      </c>
      <c r="D227" s="123" t="s">
        <v>130</v>
      </c>
      <c r="E227" s="161">
        <v>2.9000000000000001E-2</v>
      </c>
      <c r="F227" s="162">
        <v>8010.5</v>
      </c>
    </row>
    <row r="228" spans="1:8" x14ac:dyDescent="0.25">
      <c r="A228" s="123" t="s">
        <v>488</v>
      </c>
      <c r="B228" s="160" t="s">
        <v>288</v>
      </c>
      <c r="C228" s="117" t="s">
        <v>289</v>
      </c>
      <c r="D228" s="123" t="s">
        <v>160</v>
      </c>
      <c r="E228" s="161">
        <v>1.3299999999999999E-2</v>
      </c>
      <c r="F228" s="162">
        <v>34682.379999999997</v>
      </c>
    </row>
    <row r="229" spans="1:8" x14ac:dyDescent="0.25">
      <c r="A229" s="117" t="s">
        <v>161</v>
      </c>
      <c r="B229" s="117"/>
      <c r="C229" s="117"/>
      <c r="D229" s="123"/>
      <c r="E229" s="123"/>
      <c r="F229" s="147"/>
    </row>
    <row r="230" spans="1:8" x14ac:dyDescent="0.25">
      <c r="A230" s="123" t="s">
        <v>489</v>
      </c>
      <c r="B230" s="160" t="s">
        <v>163</v>
      </c>
      <c r="C230" s="117" t="s">
        <v>164</v>
      </c>
      <c r="D230" s="123" t="s">
        <v>165</v>
      </c>
      <c r="E230" s="161">
        <v>49.6</v>
      </c>
      <c r="F230" s="162">
        <v>2555.86</v>
      </c>
    </row>
    <row r="231" spans="1:8" x14ac:dyDescent="0.25">
      <c r="A231" s="123" t="s">
        <v>490</v>
      </c>
      <c r="B231" s="160" t="s">
        <v>167</v>
      </c>
      <c r="C231" s="117" t="s">
        <v>292</v>
      </c>
      <c r="D231" s="123" t="s">
        <v>165</v>
      </c>
      <c r="E231" s="161">
        <v>9.9</v>
      </c>
      <c r="F231" s="162">
        <v>1304.8699999999999</v>
      </c>
    </row>
    <row r="232" spans="1:8" x14ac:dyDescent="0.25">
      <c r="A232" s="123" t="s">
        <v>491</v>
      </c>
      <c r="B232" s="160" t="s">
        <v>170</v>
      </c>
      <c r="C232" s="117" t="s">
        <v>294</v>
      </c>
      <c r="D232" s="123" t="s">
        <v>165</v>
      </c>
      <c r="E232" s="161">
        <v>5</v>
      </c>
      <c r="F232" s="162">
        <v>854.62</v>
      </c>
    </row>
    <row r="233" spans="1:8" x14ac:dyDescent="0.25">
      <c r="A233" s="123" t="s">
        <v>492</v>
      </c>
      <c r="B233" s="160" t="s">
        <v>173</v>
      </c>
      <c r="C233" s="117" t="s">
        <v>174</v>
      </c>
      <c r="D233" s="123" t="s">
        <v>165</v>
      </c>
      <c r="E233" s="161">
        <v>64.5</v>
      </c>
      <c r="F233" s="162">
        <v>4038.29</v>
      </c>
    </row>
    <row r="234" spans="1:8" x14ac:dyDescent="0.25">
      <c r="A234" s="182"/>
      <c r="B234" s="182"/>
      <c r="C234" s="182"/>
      <c r="D234" s="183"/>
      <c r="E234" s="183"/>
      <c r="F234" s="184"/>
    </row>
    <row r="235" spans="1:8" x14ac:dyDescent="0.25">
      <c r="A235" s="182"/>
      <c r="B235" s="182"/>
      <c r="C235" s="182"/>
      <c r="D235" s="188" t="s">
        <v>526</v>
      </c>
      <c r="E235" s="186"/>
      <c r="F235" s="189">
        <f>SUM(F3:F233)</f>
        <v>77854570.460000038</v>
      </c>
    </row>
    <row r="236" spans="1:8" x14ac:dyDescent="0.25">
      <c r="A236" s="182"/>
      <c r="B236" s="182"/>
      <c r="C236" s="182"/>
      <c r="D236" s="188" t="s">
        <v>522</v>
      </c>
      <c r="E236" s="186"/>
      <c r="F236" s="189">
        <f>1.2*F235</f>
        <v>93425484.552000046</v>
      </c>
    </row>
    <row r="239" spans="1:8" ht="30" x14ac:dyDescent="0.25">
      <c r="D239" s="195" t="s">
        <v>530</v>
      </c>
      <c r="E239" s="192"/>
      <c r="F239" s="193"/>
    </row>
    <row r="240" spans="1:8" ht="30" x14ac:dyDescent="0.25">
      <c r="D240" s="204" t="s">
        <v>531</v>
      </c>
      <c r="E240" s="187"/>
      <c r="F240" s="205">
        <f>J27+H66+H162</f>
        <v>16725713.484920228</v>
      </c>
    </row>
    <row r="241" spans="4:10" x14ac:dyDescent="0.25">
      <c r="D241" s="206" t="s">
        <v>533</v>
      </c>
      <c r="E241" s="188"/>
      <c r="F241" s="189">
        <f>SUM(F115:F137)</f>
        <v>6118778.5599999996</v>
      </c>
    </row>
    <row r="242" spans="4:10" x14ac:dyDescent="0.25">
      <c r="D242" s="206" t="s">
        <v>532</v>
      </c>
      <c r="E242" s="188"/>
      <c r="F242" s="189">
        <f>SUM(F67:F89)</f>
        <v>6135867.2799999993</v>
      </c>
    </row>
    <row r="243" spans="4:10" ht="30" x14ac:dyDescent="0.25">
      <c r="D243" s="206" t="s">
        <v>534</v>
      </c>
      <c r="E243" s="188"/>
      <c r="F243" s="189">
        <f>J29*10</f>
        <v>552557.54566424806</v>
      </c>
    </row>
    <row r="244" spans="4:10" x14ac:dyDescent="0.25">
      <c r="D244" s="197" t="s">
        <v>535</v>
      </c>
      <c r="E244" s="192"/>
      <c r="F244" s="196">
        <f>SUM(F240:F243)</f>
        <v>29532916.870584477</v>
      </c>
    </row>
    <row r="245" spans="4:10" x14ac:dyDescent="0.25">
      <c r="D245" s="200" t="s">
        <v>536</v>
      </c>
      <c r="E245" s="201"/>
      <c r="F245" s="202">
        <f>1.2*F244</f>
        <v>35439500.244701371</v>
      </c>
      <c r="I245" s="185"/>
      <c r="J245" s="185"/>
    </row>
    <row r="246" spans="4:10" x14ac:dyDescent="0.25">
      <c r="I246" s="185"/>
      <c r="J246" s="185"/>
    </row>
  </sheetData>
  <autoFilter ref="A1:F279" xr:uid="{21A1B89F-6F52-42EE-9333-AC52AAC0DB1B}"/>
  <phoneticPr fontId="15" type="noConversion"/>
  <pageMargins left="0.7" right="0.7" top="0.75" bottom="0.75" header="0.3" footer="0.3"/>
  <pageSetup paperSize="9" scale="56" fitToHeight="0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7ACDE0-B518-4237-91F4-80A4E8E04DE8}">
  <dimension ref="A1"/>
  <sheetViews>
    <sheetView zoomScale="40" zoomScaleNormal="40" workbookViewId="0">
      <selection activeCell="AV170" sqref="AV170"/>
    </sheetView>
  </sheetViews>
  <sheetFormatPr defaultRowHeight="15" x14ac:dyDescent="0.25"/>
  <sheetData/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>
    <tabColor rgb="FFFFFF00"/>
    <pageSetUpPr fitToPage="1"/>
  </sheetPr>
  <dimension ref="A1:AZ1864"/>
  <sheetViews>
    <sheetView topLeftCell="A390" workbookViewId="0">
      <selection activeCell="G495" sqref="G495"/>
    </sheetView>
  </sheetViews>
  <sheetFormatPr defaultRowHeight="15" x14ac:dyDescent="0.25"/>
  <cols>
    <col min="1" max="1" width="17.85546875" customWidth="1"/>
    <col min="2" max="2" width="19.7109375" customWidth="1"/>
    <col min="3" max="3" width="25" customWidth="1"/>
    <col min="4" max="4" width="19.85546875" customWidth="1"/>
    <col min="5" max="5" width="16.5703125" customWidth="1"/>
    <col min="6" max="6" width="18" customWidth="1"/>
    <col min="7" max="7" width="15.5703125" customWidth="1"/>
    <col min="8" max="8" width="17.140625" customWidth="1"/>
    <col min="9" max="9" width="16.28515625" customWidth="1"/>
    <col min="10" max="10" width="14.85546875" customWidth="1"/>
    <col min="11" max="11" width="17.28515625" customWidth="1"/>
    <col min="12" max="12" width="11.5703125" customWidth="1"/>
    <col min="14" max="14" width="12.7109375" customWidth="1"/>
  </cols>
  <sheetData>
    <row r="1" spans="1:52" s="110" customFormat="1" ht="11.25" customHeight="1" x14ac:dyDescent="0.2">
      <c r="A1" s="109"/>
      <c r="J1" s="367" t="s">
        <v>512</v>
      </c>
      <c r="K1" s="367"/>
      <c r="V1" s="111"/>
      <c r="W1" s="111"/>
      <c r="X1" s="111"/>
      <c r="Y1" s="111"/>
      <c r="Z1" s="111"/>
      <c r="AA1" s="111"/>
      <c r="AB1" s="111"/>
      <c r="AC1" s="111"/>
      <c r="AD1" s="111"/>
      <c r="AE1" s="111"/>
      <c r="AF1" s="111"/>
      <c r="AG1" s="111"/>
      <c r="AH1" s="111"/>
      <c r="AI1" s="111"/>
      <c r="AJ1" s="111"/>
      <c r="AK1" s="111"/>
      <c r="AL1" s="111"/>
      <c r="AM1" s="111"/>
      <c r="AN1" s="111"/>
      <c r="AO1" s="111"/>
      <c r="AP1" s="111"/>
      <c r="AQ1" s="111"/>
      <c r="AR1" s="111"/>
      <c r="AS1" s="111"/>
      <c r="AT1" s="111"/>
      <c r="AU1" s="111"/>
      <c r="AV1" s="111"/>
      <c r="AW1" s="111"/>
      <c r="AX1" s="111"/>
      <c r="AY1" s="111"/>
      <c r="AZ1" s="111"/>
    </row>
    <row r="2" spans="1:52" s="110" customFormat="1" ht="13.5" customHeight="1" x14ac:dyDescent="0.2">
      <c r="A2" s="109"/>
      <c r="F2" s="111"/>
      <c r="J2" s="367" t="s">
        <v>513</v>
      </c>
      <c r="K2" s="367"/>
      <c r="V2" s="111"/>
      <c r="W2" s="111"/>
      <c r="X2" s="111"/>
      <c r="Y2" s="111"/>
      <c r="Z2" s="111"/>
      <c r="AA2" s="111"/>
      <c r="AB2" s="111"/>
      <c r="AC2" s="111"/>
      <c r="AD2" s="111"/>
      <c r="AE2" s="111"/>
      <c r="AF2" s="111"/>
      <c r="AG2" s="111"/>
      <c r="AH2" s="111"/>
      <c r="AI2" s="111"/>
      <c r="AJ2" s="111"/>
      <c r="AK2" s="111"/>
      <c r="AL2" s="111"/>
      <c r="AM2" s="111"/>
      <c r="AN2" s="111"/>
      <c r="AO2" s="111"/>
      <c r="AP2" s="111"/>
      <c r="AQ2" s="111"/>
      <c r="AR2" s="111"/>
      <c r="AS2" s="111"/>
      <c r="AT2" s="111"/>
      <c r="AU2" s="111"/>
      <c r="AV2" s="111"/>
      <c r="AW2" s="111"/>
      <c r="AX2" s="111"/>
      <c r="AY2" s="111"/>
      <c r="AZ2" s="111"/>
    </row>
    <row r="3" spans="1:52" s="110" customFormat="1" ht="11.25" customHeight="1" x14ac:dyDescent="0.2">
      <c r="A3" s="109"/>
      <c r="V3" s="111"/>
      <c r="W3" s="111"/>
      <c r="X3" s="111"/>
      <c r="Y3" s="111"/>
      <c r="Z3" s="111"/>
      <c r="AA3" s="111"/>
      <c r="AB3" s="111"/>
      <c r="AC3" s="111"/>
      <c r="AD3" s="111"/>
      <c r="AE3" s="111"/>
      <c r="AF3" s="111"/>
      <c r="AG3" s="111"/>
      <c r="AH3" s="111"/>
      <c r="AI3" s="111"/>
      <c r="AJ3" s="111"/>
      <c r="AK3" s="111"/>
      <c r="AL3" s="111"/>
      <c r="AM3" s="111"/>
      <c r="AN3" s="111"/>
      <c r="AO3" s="111"/>
      <c r="AP3" s="111"/>
      <c r="AQ3" s="111"/>
      <c r="AR3" s="111"/>
      <c r="AS3" s="111"/>
      <c r="AT3" s="111"/>
      <c r="AU3" s="111"/>
      <c r="AV3" s="111"/>
      <c r="AW3" s="111"/>
      <c r="AX3" s="111"/>
      <c r="AY3" s="111"/>
      <c r="AZ3" s="111"/>
    </row>
    <row r="4" spans="1:52" s="110" customFormat="1" ht="11.25" customHeight="1" x14ac:dyDescent="0.2">
      <c r="A4" s="109" t="s">
        <v>505</v>
      </c>
      <c r="I4" s="110" t="s">
        <v>506</v>
      </c>
      <c r="V4" s="111"/>
      <c r="W4" s="111"/>
      <c r="X4" s="111"/>
      <c r="Y4" s="111"/>
      <c r="Z4" s="111"/>
      <c r="AA4" s="111"/>
      <c r="AB4" s="111"/>
      <c r="AC4" s="111"/>
      <c r="AD4" s="111"/>
      <c r="AE4" s="111"/>
      <c r="AF4" s="111"/>
      <c r="AG4" s="111"/>
      <c r="AH4" s="111"/>
      <c r="AI4" s="111"/>
      <c r="AJ4" s="111"/>
      <c r="AK4" s="111"/>
      <c r="AL4" s="111"/>
      <c r="AM4" s="111"/>
      <c r="AN4" s="111"/>
      <c r="AO4" s="111"/>
      <c r="AP4" s="111"/>
      <c r="AQ4" s="111"/>
      <c r="AR4" s="111"/>
      <c r="AS4" s="111"/>
      <c r="AT4" s="111"/>
      <c r="AU4" s="111"/>
      <c r="AV4" s="111"/>
      <c r="AW4" s="111"/>
      <c r="AX4" s="111"/>
      <c r="AY4" s="111"/>
      <c r="AZ4" s="111"/>
    </row>
    <row r="5" spans="1:52" s="110" customFormat="1" ht="11.25" customHeight="1" x14ac:dyDescent="0.2">
      <c r="A5" s="109" t="s">
        <v>507</v>
      </c>
      <c r="I5" s="110" t="s">
        <v>508</v>
      </c>
      <c r="V5" s="111"/>
      <c r="W5" s="111"/>
      <c r="X5" s="111"/>
      <c r="Y5" s="111"/>
      <c r="Z5" s="111"/>
      <c r="AA5" s="111"/>
      <c r="AB5" s="111"/>
      <c r="AC5" s="111"/>
      <c r="AD5" s="111"/>
      <c r="AE5" s="111"/>
      <c r="AF5" s="111"/>
      <c r="AG5" s="111"/>
      <c r="AH5" s="111"/>
      <c r="AI5" s="111"/>
      <c r="AJ5" s="111"/>
      <c r="AK5" s="111"/>
      <c r="AL5" s="111"/>
      <c r="AM5" s="111"/>
      <c r="AN5" s="111"/>
      <c r="AO5" s="111"/>
      <c r="AP5" s="111"/>
      <c r="AQ5" s="111"/>
      <c r="AR5" s="111"/>
      <c r="AS5" s="111"/>
      <c r="AT5" s="111"/>
      <c r="AU5" s="111"/>
      <c r="AV5" s="111"/>
      <c r="AW5" s="111"/>
      <c r="AX5" s="111"/>
      <c r="AY5" s="111"/>
      <c r="AZ5" s="111"/>
    </row>
    <row r="6" spans="1:52" s="110" customFormat="1" ht="11.25" customHeight="1" x14ac:dyDescent="0.2">
      <c r="A6" s="109" t="s">
        <v>516</v>
      </c>
      <c r="I6" s="110" t="s">
        <v>509</v>
      </c>
      <c r="V6" s="111"/>
      <c r="W6" s="111"/>
      <c r="X6" s="111"/>
      <c r="Y6" s="111"/>
      <c r="Z6" s="111"/>
      <c r="AA6" s="111"/>
      <c r="AB6" s="111"/>
      <c r="AC6" s="111"/>
      <c r="AD6" s="111"/>
      <c r="AE6" s="111"/>
      <c r="AF6" s="111"/>
      <c r="AG6" s="111"/>
      <c r="AH6" s="111"/>
      <c r="AI6" s="111"/>
      <c r="AJ6" s="111"/>
      <c r="AK6" s="111"/>
      <c r="AL6" s="111"/>
      <c r="AM6" s="111"/>
      <c r="AN6" s="111"/>
      <c r="AO6" s="111"/>
      <c r="AP6" s="111"/>
      <c r="AQ6" s="111"/>
      <c r="AR6" s="111"/>
      <c r="AS6" s="111"/>
      <c r="AT6" s="111"/>
      <c r="AU6" s="111"/>
      <c r="AV6" s="111"/>
      <c r="AW6" s="111"/>
      <c r="AX6" s="111"/>
      <c r="AY6" s="111"/>
      <c r="AZ6" s="111"/>
    </row>
    <row r="7" spans="1:52" s="110" customFormat="1" ht="11.25" customHeight="1" x14ac:dyDescent="0.2">
      <c r="A7" s="109" t="s">
        <v>517</v>
      </c>
      <c r="I7" s="110" t="s">
        <v>510</v>
      </c>
      <c r="V7" s="111"/>
      <c r="W7" s="111"/>
      <c r="X7" s="111"/>
      <c r="Y7" s="111"/>
      <c r="Z7" s="111"/>
      <c r="AA7" s="111"/>
      <c r="AB7" s="111"/>
      <c r="AC7" s="111"/>
      <c r="AD7" s="111"/>
      <c r="AE7" s="111"/>
      <c r="AF7" s="111"/>
      <c r="AG7" s="111"/>
      <c r="AH7" s="111"/>
      <c r="AI7" s="111"/>
      <c r="AJ7" s="111"/>
      <c r="AK7" s="111"/>
      <c r="AL7" s="111"/>
      <c r="AM7" s="111"/>
      <c r="AN7" s="111"/>
      <c r="AO7" s="111"/>
      <c r="AP7" s="111"/>
      <c r="AQ7" s="111"/>
      <c r="AR7" s="111"/>
      <c r="AS7" s="111"/>
      <c r="AT7" s="111"/>
      <c r="AU7" s="111"/>
      <c r="AV7" s="111"/>
      <c r="AW7" s="111"/>
      <c r="AX7" s="111"/>
      <c r="AY7" s="111"/>
      <c r="AZ7" s="111"/>
    </row>
    <row r="8" spans="1:52" s="110" customFormat="1" ht="11.25" customHeight="1" x14ac:dyDescent="0.2">
      <c r="A8" s="109" t="s">
        <v>511</v>
      </c>
      <c r="I8" s="110" t="s">
        <v>511</v>
      </c>
      <c r="V8" s="111"/>
      <c r="W8" s="111"/>
      <c r="X8" s="111"/>
      <c r="Y8" s="111"/>
      <c r="Z8" s="111"/>
      <c r="AA8" s="111"/>
      <c r="AB8" s="111"/>
      <c r="AC8" s="111"/>
      <c r="AD8" s="111"/>
      <c r="AE8" s="111"/>
      <c r="AF8" s="111"/>
      <c r="AG8" s="111"/>
      <c r="AH8" s="111"/>
      <c r="AI8" s="111"/>
      <c r="AJ8" s="111"/>
      <c r="AK8" s="111"/>
      <c r="AL8" s="111"/>
      <c r="AM8" s="111"/>
      <c r="AN8" s="111"/>
      <c r="AO8" s="111"/>
      <c r="AP8" s="111"/>
      <c r="AQ8" s="111"/>
      <c r="AR8" s="111"/>
      <c r="AS8" s="111"/>
      <c r="AT8" s="111"/>
      <c r="AU8" s="111"/>
      <c r="AV8" s="111"/>
      <c r="AW8" s="111"/>
      <c r="AX8" s="111"/>
      <c r="AY8" s="111"/>
      <c r="AZ8" s="111"/>
    </row>
    <row r="9" spans="1:52" s="110" customFormat="1" ht="11.25" customHeight="1" x14ac:dyDescent="0.2">
      <c r="A9" s="109"/>
      <c r="V9" s="111"/>
      <c r="W9" s="111"/>
      <c r="X9" s="111"/>
      <c r="Y9" s="111"/>
      <c r="Z9" s="111"/>
      <c r="AA9" s="111"/>
      <c r="AB9" s="111"/>
      <c r="AC9" s="111"/>
      <c r="AD9" s="111"/>
      <c r="AE9" s="111"/>
      <c r="AF9" s="111"/>
      <c r="AG9" s="111"/>
      <c r="AH9" s="111"/>
      <c r="AI9" s="111"/>
      <c r="AJ9" s="111"/>
      <c r="AK9" s="111"/>
      <c r="AL9" s="111"/>
      <c r="AM9" s="111"/>
      <c r="AN9" s="111"/>
      <c r="AO9" s="111"/>
      <c r="AP9" s="111"/>
      <c r="AQ9" s="111"/>
      <c r="AR9" s="111"/>
      <c r="AS9" s="111"/>
      <c r="AT9" s="111"/>
      <c r="AU9" s="111"/>
      <c r="AV9" s="111"/>
      <c r="AW9" s="111"/>
      <c r="AX9" s="111"/>
      <c r="AY9" s="111"/>
      <c r="AZ9" s="111"/>
    </row>
    <row r="10" spans="1:52" ht="11.25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2"/>
    </row>
    <row r="11" spans="1:52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2" t="s">
        <v>0</v>
      </c>
    </row>
    <row r="12" spans="1:52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2"/>
    </row>
    <row r="13" spans="1:52" x14ac:dyDescent="0.25">
      <c r="A13" s="4"/>
      <c r="B13" s="5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</row>
    <row r="14" spans="1:52" ht="24.75" customHeight="1" x14ac:dyDescent="0.25">
      <c r="A14" s="4" t="s">
        <v>1</v>
      </c>
      <c r="B14" s="5"/>
      <c r="C14" s="3"/>
      <c r="E14" s="3"/>
      <c r="F14" s="3"/>
      <c r="G14" s="375" t="s">
        <v>2</v>
      </c>
      <c r="H14" s="375"/>
      <c r="I14" s="375"/>
      <c r="J14" s="375"/>
      <c r="K14" s="375"/>
      <c r="L14" s="375"/>
      <c r="M14" s="375"/>
      <c r="N14" s="375"/>
    </row>
    <row r="15" spans="1:52" ht="24.75" customHeight="1" x14ac:dyDescent="0.25">
      <c r="A15" s="4" t="s">
        <v>3</v>
      </c>
      <c r="B15" s="5"/>
      <c r="C15" s="3"/>
      <c r="E15" s="6"/>
      <c r="F15" s="6"/>
      <c r="G15" s="373" t="s">
        <v>4</v>
      </c>
      <c r="H15" s="373"/>
      <c r="I15" s="373"/>
      <c r="J15" s="373"/>
      <c r="K15" s="373"/>
      <c r="L15" s="373"/>
      <c r="M15" s="373"/>
      <c r="N15" s="373"/>
    </row>
    <row r="16" spans="1:52" ht="47.25" customHeight="1" x14ac:dyDescent="0.25">
      <c r="A16" s="372" t="s">
        <v>5</v>
      </c>
      <c r="B16" s="372"/>
      <c r="C16" s="372"/>
      <c r="D16" s="372"/>
      <c r="E16" s="372"/>
      <c r="F16" s="372"/>
      <c r="G16" s="373" t="s">
        <v>6</v>
      </c>
      <c r="H16" s="373"/>
      <c r="I16" s="373"/>
      <c r="J16" s="373"/>
      <c r="K16" s="373"/>
      <c r="L16" s="373"/>
      <c r="M16" s="373"/>
      <c r="N16" s="373"/>
    </row>
    <row r="17" spans="1:14" ht="54.75" customHeight="1" x14ac:dyDescent="0.25">
      <c r="A17" s="376" t="s">
        <v>7</v>
      </c>
      <c r="B17" s="376"/>
      <c r="C17" s="376"/>
      <c r="D17" s="376"/>
      <c r="E17" s="376"/>
      <c r="F17" s="376"/>
      <c r="G17" s="373"/>
      <c r="H17" s="373"/>
      <c r="I17" s="373"/>
      <c r="J17" s="373"/>
      <c r="K17" s="373"/>
      <c r="L17" s="373"/>
      <c r="M17" s="373"/>
      <c r="N17" s="373"/>
    </row>
    <row r="18" spans="1:14" ht="44.25" customHeight="1" x14ac:dyDescent="0.25">
      <c r="A18" s="372" t="s">
        <v>8</v>
      </c>
      <c r="B18" s="372"/>
      <c r="C18" s="372"/>
      <c r="D18" s="372"/>
      <c r="E18" s="372"/>
      <c r="F18" s="372"/>
      <c r="G18" s="373"/>
      <c r="H18" s="373"/>
      <c r="I18" s="373"/>
      <c r="J18" s="373"/>
      <c r="K18" s="373"/>
      <c r="L18" s="373"/>
      <c r="M18" s="373"/>
      <c r="N18" s="373"/>
    </row>
    <row r="19" spans="1:14" ht="28.5" customHeight="1" x14ac:dyDescent="0.25">
      <c r="A19" s="374" t="s">
        <v>9</v>
      </c>
      <c r="B19" s="374"/>
      <c r="C19" s="374"/>
      <c r="D19" s="374"/>
      <c r="E19" s="374"/>
      <c r="F19" s="374"/>
      <c r="G19" s="373" t="s">
        <v>10</v>
      </c>
      <c r="H19" s="373"/>
      <c r="I19" s="373"/>
      <c r="J19" s="373"/>
      <c r="K19" s="373"/>
      <c r="L19" s="373"/>
      <c r="M19" s="373"/>
      <c r="N19" s="373"/>
    </row>
    <row r="20" spans="1:14" ht="21" customHeight="1" x14ac:dyDescent="0.25">
      <c r="A20" s="374" t="s">
        <v>11</v>
      </c>
      <c r="B20" s="374"/>
      <c r="C20" s="374"/>
      <c r="D20" s="374"/>
      <c r="E20" s="374"/>
      <c r="F20" s="374"/>
      <c r="G20" s="373"/>
      <c r="H20" s="373"/>
      <c r="I20" s="373"/>
      <c r="J20" s="373"/>
      <c r="K20" s="373"/>
      <c r="L20" s="373"/>
      <c r="M20" s="373"/>
      <c r="N20" s="373"/>
    </row>
    <row r="21" spans="1:14" x14ac:dyDescent="0.25">
      <c r="A21" s="7"/>
      <c r="B21" s="3"/>
      <c r="C21" s="3"/>
      <c r="D21" s="3"/>
      <c r="E21" s="3"/>
      <c r="F21" s="5"/>
      <c r="G21" s="5"/>
      <c r="H21" s="5"/>
      <c r="I21" s="5"/>
      <c r="J21" s="5"/>
      <c r="K21" s="5"/>
      <c r="L21" s="5"/>
      <c r="M21" s="5"/>
      <c r="N21" s="5"/>
    </row>
    <row r="22" spans="1:14" x14ac:dyDescent="0.25">
      <c r="A22" s="368"/>
      <c r="B22" s="368"/>
      <c r="C22" s="368"/>
      <c r="D22" s="368"/>
      <c r="E22" s="368"/>
      <c r="F22" s="368"/>
      <c r="G22" s="368"/>
      <c r="H22" s="368"/>
      <c r="I22" s="368"/>
      <c r="J22" s="368"/>
      <c r="K22" s="368"/>
      <c r="L22" s="368"/>
      <c r="M22" s="368"/>
      <c r="N22" s="368"/>
    </row>
    <row r="23" spans="1:14" x14ac:dyDescent="0.25">
      <c r="A23" s="369" t="s">
        <v>12</v>
      </c>
      <c r="B23" s="369"/>
      <c r="C23" s="369"/>
      <c r="D23" s="369"/>
      <c r="E23" s="369"/>
      <c r="F23" s="369"/>
      <c r="G23" s="369"/>
      <c r="H23" s="369"/>
      <c r="I23" s="369"/>
      <c r="J23" s="369"/>
      <c r="K23" s="369"/>
      <c r="L23" s="369"/>
      <c r="M23" s="369"/>
      <c r="N23" s="369"/>
    </row>
    <row r="24" spans="1:14" x14ac:dyDescent="0.25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</row>
    <row r="25" spans="1:14" x14ac:dyDescent="0.25">
      <c r="A25" s="368" t="s">
        <v>13</v>
      </c>
      <c r="B25" s="368"/>
      <c r="C25" s="368"/>
      <c r="D25" s="368"/>
      <c r="E25" s="368"/>
      <c r="F25" s="368"/>
      <c r="G25" s="368"/>
      <c r="H25" s="368"/>
      <c r="I25" s="368"/>
      <c r="J25" s="368"/>
      <c r="K25" s="368"/>
      <c r="L25" s="368"/>
      <c r="M25" s="368"/>
      <c r="N25" s="368"/>
    </row>
    <row r="26" spans="1:14" x14ac:dyDescent="0.25">
      <c r="A26" s="369" t="s">
        <v>14</v>
      </c>
      <c r="B26" s="369"/>
      <c r="C26" s="369"/>
      <c r="D26" s="369"/>
      <c r="E26" s="369"/>
      <c r="F26" s="369"/>
      <c r="G26" s="369"/>
      <c r="H26" s="369"/>
      <c r="I26" s="369"/>
      <c r="J26" s="369"/>
      <c r="K26" s="369"/>
      <c r="L26" s="369"/>
      <c r="M26" s="369"/>
      <c r="N26" s="369"/>
    </row>
    <row r="27" spans="1:14" ht="18" x14ac:dyDescent="0.25">
      <c r="A27" s="370" t="s">
        <v>15</v>
      </c>
      <c r="B27" s="370"/>
      <c r="C27" s="370"/>
      <c r="D27" s="370"/>
      <c r="E27" s="370"/>
      <c r="F27" s="370"/>
      <c r="G27" s="370"/>
      <c r="H27" s="370"/>
      <c r="I27" s="370"/>
      <c r="J27" s="370"/>
      <c r="K27" s="370"/>
      <c r="L27" s="370"/>
      <c r="M27" s="370"/>
      <c r="N27" s="370"/>
    </row>
    <row r="28" spans="1:14" ht="18" x14ac:dyDescent="0.25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</row>
    <row r="29" spans="1:14" x14ac:dyDescent="0.25">
      <c r="A29" s="371" t="s">
        <v>13</v>
      </c>
      <c r="B29" s="371"/>
      <c r="C29" s="371"/>
      <c r="D29" s="371"/>
      <c r="E29" s="371"/>
      <c r="F29" s="371"/>
      <c r="G29" s="371"/>
      <c r="H29" s="371"/>
      <c r="I29" s="371"/>
      <c r="J29" s="371"/>
      <c r="K29" s="371"/>
      <c r="L29" s="371"/>
      <c r="M29" s="371"/>
      <c r="N29" s="371"/>
    </row>
    <row r="30" spans="1:14" x14ac:dyDescent="0.25">
      <c r="A30" s="369" t="s">
        <v>16</v>
      </c>
      <c r="B30" s="369"/>
      <c r="C30" s="369"/>
      <c r="D30" s="369"/>
      <c r="E30" s="369"/>
      <c r="F30" s="369"/>
      <c r="G30" s="369"/>
      <c r="H30" s="369"/>
      <c r="I30" s="369"/>
      <c r="J30" s="369"/>
      <c r="K30" s="369"/>
      <c r="L30" s="369"/>
      <c r="M30" s="369"/>
      <c r="N30" s="369"/>
    </row>
    <row r="31" spans="1:14" x14ac:dyDescent="0.25">
      <c r="A31" s="3" t="s">
        <v>17</v>
      </c>
      <c r="B31" s="10" t="s">
        <v>18</v>
      </c>
      <c r="C31" s="1" t="s">
        <v>19</v>
      </c>
      <c r="D31" s="1"/>
      <c r="E31" s="1"/>
      <c r="F31" s="6"/>
      <c r="G31" s="6"/>
      <c r="H31" s="6"/>
      <c r="I31" s="6"/>
      <c r="J31" s="6"/>
      <c r="K31" s="6"/>
      <c r="L31" s="6"/>
      <c r="M31" s="6"/>
      <c r="N31" s="6"/>
    </row>
    <row r="32" spans="1:14" x14ac:dyDescent="0.25">
      <c r="A32" s="3" t="s">
        <v>20</v>
      </c>
      <c r="B32" s="375" t="s">
        <v>21</v>
      </c>
      <c r="C32" s="375"/>
      <c r="D32" s="375"/>
      <c r="E32" s="375"/>
      <c r="F32" s="375"/>
      <c r="G32" s="6"/>
      <c r="H32" s="6"/>
      <c r="I32" s="6"/>
      <c r="J32" s="6"/>
      <c r="K32" s="6"/>
      <c r="L32" s="6"/>
      <c r="M32" s="6"/>
      <c r="N32" s="6"/>
    </row>
    <row r="33" spans="1:14" x14ac:dyDescent="0.25">
      <c r="A33" s="3"/>
      <c r="B33" s="361" t="s">
        <v>22</v>
      </c>
      <c r="C33" s="361"/>
      <c r="D33" s="361"/>
      <c r="E33" s="361"/>
      <c r="F33" s="361"/>
      <c r="G33" s="11"/>
      <c r="H33" s="11"/>
      <c r="I33" s="11"/>
      <c r="J33" s="11"/>
      <c r="K33" s="11"/>
      <c r="L33" s="11"/>
      <c r="M33" s="12"/>
      <c r="N33" s="11"/>
    </row>
    <row r="34" spans="1:14" x14ac:dyDescent="0.25">
      <c r="A34" s="3"/>
      <c r="B34" s="3"/>
      <c r="C34" s="3"/>
      <c r="D34" s="13"/>
      <c r="E34" s="13"/>
      <c r="F34" s="13"/>
      <c r="G34" s="13"/>
      <c r="H34" s="13"/>
      <c r="I34" s="13"/>
      <c r="J34" s="13"/>
      <c r="K34" s="13"/>
      <c r="L34" s="13"/>
      <c r="M34" s="11"/>
      <c r="N34" s="11"/>
    </row>
    <row r="35" spans="1:14" x14ac:dyDescent="0.25">
      <c r="A35" s="14" t="s">
        <v>23</v>
      </c>
      <c r="B35" s="3"/>
      <c r="C35" s="3"/>
      <c r="D35" s="362" t="s">
        <v>24</v>
      </c>
      <c r="E35" s="362"/>
      <c r="F35" s="362"/>
      <c r="G35" s="15"/>
      <c r="H35" s="15"/>
      <c r="I35" s="15"/>
      <c r="J35" s="15"/>
      <c r="K35" s="15"/>
      <c r="L35" s="15"/>
      <c r="M35" s="15"/>
      <c r="N35" s="15"/>
    </row>
    <row r="36" spans="1:14" x14ac:dyDescent="0.25">
      <c r="A36" s="3"/>
      <c r="B36" s="16"/>
      <c r="C36" s="16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</row>
    <row r="37" spans="1:14" x14ac:dyDescent="0.25">
      <c r="A37" s="14" t="s">
        <v>25</v>
      </c>
      <c r="B37" s="16"/>
      <c r="C37" s="18">
        <v>93425.48</v>
      </c>
      <c r="D37" s="19" t="s">
        <v>26</v>
      </c>
      <c r="E37" s="20" t="s">
        <v>27</v>
      </c>
      <c r="G37" s="16"/>
      <c r="H37" s="16"/>
      <c r="I37" s="16"/>
      <c r="J37" s="16"/>
      <c r="K37" s="16"/>
      <c r="L37" s="21"/>
      <c r="M37" s="21"/>
      <c r="N37" s="16"/>
    </row>
    <row r="38" spans="1:14" x14ac:dyDescent="0.25">
      <c r="A38" s="3"/>
      <c r="B38" s="22" t="s">
        <v>28</v>
      </c>
      <c r="C38" s="23"/>
      <c r="D38" s="24"/>
      <c r="E38" s="20"/>
      <c r="G38" s="16"/>
    </row>
    <row r="39" spans="1:14" x14ac:dyDescent="0.25">
      <c r="A39" s="3"/>
      <c r="B39" s="25" t="s">
        <v>29</v>
      </c>
      <c r="C39" s="18">
        <v>77557.570000000007</v>
      </c>
      <c r="D39" s="19" t="s">
        <v>30</v>
      </c>
      <c r="E39" s="20" t="s">
        <v>27</v>
      </c>
      <c r="G39" s="16" t="s">
        <v>31</v>
      </c>
      <c r="I39" s="16"/>
      <c r="J39" s="16"/>
      <c r="K39" s="16"/>
      <c r="L39" s="18">
        <v>789.2</v>
      </c>
      <c r="M39" s="26" t="s">
        <v>32</v>
      </c>
      <c r="N39" s="20" t="s">
        <v>27</v>
      </c>
    </row>
    <row r="40" spans="1:14" x14ac:dyDescent="0.25">
      <c r="A40" s="3"/>
      <c r="B40" s="25" t="s">
        <v>33</v>
      </c>
      <c r="C40" s="18">
        <v>297</v>
      </c>
      <c r="D40" s="27" t="s">
        <v>34</v>
      </c>
      <c r="E40" s="20" t="s">
        <v>27</v>
      </c>
      <c r="G40" s="16" t="s">
        <v>35</v>
      </c>
      <c r="I40" s="16"/>
      <c r="J40" s="16"/>
      <c r="K40" s="16"/>
      <c r="L40" s="364">
        <v>1749.11</v>
      </c>
      <c r="M40" s="364"/>
      <c r="N40" s="20" t="s">
        <v>36</v>
      </c>
    </row>
    <row r="41" spans="1:14" x14ac:dyDescent="0.25">
      <c r="A41" s="3"/>
      <c r="B41" s="25" t="s">
        <v>37</v>
      </c>
      <c r="C41" s="18">
        <v>0</v>
      </c>
      <c r="D41" s="27" t="s">
        <v>38</v>
      </c>
      <c r="E41" s="20" t="s">
        <v>27</v>
      </c>
      <c r="G41" s="16" t="s">
        <v>39</v>
      </c>
      <c r="I41" s="16"/>
      <c r="J41" s="16"/>
      <c r="K41" s="16"/>
      <c r="L41" s="364">
        <v>466.74</v>
      </c>
      <c r="M41" s="364"/>
      <c r="N41" s="20" t="s">
        <v>36</v>
      </c>
    </row>
    <row r="42" spans="1:14" x14ac:dyDescent="0.25">
      <c r="A42" s="3"/>
      <c r="B42" s="25" t="s">
        <v>40</v>
      </c>
      <c r="C42" s="18">
        <v>0</v>
      </c>
      <c r="D42" s="19" t="s">
        <v>38</v>
      </c>
      <c r="E42" s="20" t="s">
        <v>27</v>
      </c>
      <c r="G42" s="16"/>
      <c r="H42" s="16"/>
      <c r="I42" s="16"/>
      <c r="J42" s="16"/>
      <c r="K42" s="16"/>
      <c r="L42" s="365" t="s">
        <v>41</v>
      </c>
      <c r="M42" s="365"/>
      <c r="N42" s="16"/>
    </row>
    <row r="43" spans="1:14" x14ac:dyDescent="0.25">
      <c r="A43" s="28"/>
    </row>
    <row r="44" spans="1:14" x14ac:dyDescent="0.25">
      <c r="A44" s="366" t="s">
        <v>42</v>
      </c>
      <c r="B44" s="363" t="s">
        <v>43</v>
      </c>
      <c r="C44" s="363" t="s">
        <v>44</v>
      </c>
      <c r="D44" s="363"/>
      <c r="E44" s="363"/>
      <c r="F44" s="363" t="s">
        <v>45</v>
      </c>
      <c r="G44" s="363" t="s">
        <v>46</v>
      </c>
      <c r="H44" s="363"/>
      <c r="I44" s="363"/>
      <c r="J44" s="363" t="s">
        <v>47</v>
      </c>
      <c r="K44" s="363"/>
      <c r="L44" s="363"/>
      <c r="M44" s="363" t="s">
        <v>48</v>
      </c>
      <c r="N44" s="363" t="s">
        <v>49</v>
      </c>
    </row>
    <row r="45" spans="1:14" x14ac:dyDescent="0.25">
      <c r="A45" s="366"/>
      <c r="B45" s="363"/>
      <c r="C45" s="363"/>
      <c r="D45" s="363"/>
      <c r="E45" s="363"/>
      <c r="F45" s="363"/>
      <c r="G45" s="363"/>
      <c r="H45" s="363"/>
      <c r="I45" s="363"/>
      <c r="J45" s="363"/>
      <c r="K45" s="363"/>
      <c r="L45" s="363"/>
      <c r="M45" s="363"/>
      <c r="N45" s="363"/>
    </row>
    <row r="46" spans="1:14" ht="22.5" x14ac:dyDescent="0.25">
      <c r="A46" s="366"/>
      <c r="B46" s="363"/>
      <c r="C46" s="363"/>
      <c r="D46" s="363"/>
      <c r="E46" s="363"/>
      <c r="F46" s="363"/>
      <c r="G46" s="29" t="s">
        <v>50</v>
      </c>
      <c r="H46" s="29" t="s">
        <v>51</v>
      </c>
      <c r="I46" s="29" t="s">
        <v>52</v>
      </c>
      <c r="J46" s="29" t="s">
        <v>50</v>
      </c>
      <c r="K46" s="29" t="s">
        <v>51</v>
      </c>
      <c r="L46" s="29" t="s">
        <v>53</v>
      </c>
      <c r="M46" s="363"/>
      <c r="N46" s="363"/>
    </row>
    <row r="47" spans="1:14" x14ac:dyDescent="0.25">
      <c r="A47" s="30">
        <v>1</v>
      </c>
      <c r="B47" s="31">
        <v>2</v>
      </c>
      <c r="C47" s="377">
        <v>3</v>
      </c>
      <c r="D47" s="377"/>
      <c r="E47" s="377"/>
      <c r="F47" s="31">
        <v>4</v>
      </c>
      <c r="G47" s="31">
        <v>5</v>
      </c>
      <c r="H47" s="31">
        <v>6</v>
      </c>
      <c r="I47" s="31">
        <v>7</v>
      </c>
      <c r="J47" s="31">
        <v>8</v>
      </c>
      <c r="K47" s="31">
        <v>9</v>
      </c>
      <c r="L47" s="31">
        <v>10</v>
      </c>
      <c r="M47" s="31">
        <v>11</v>
      </c>
      <c r="N47" s="31">
        <v>12</v>
      </c>
    </row>
    <row r="48" spans="1:14" x14ac:dyDescent="0.25">
      <c r="A48" s="358" t="s">
        <v>54</v>
      </c>
      <c r="B48" s="359"/>
      <c r="C48" s="359"/>
      <c r="D48" s="359"/>
      <c r="E48" s="359"/>
      <c r="F48" s="359"/>
      <c r="G48" s="359"/>
      <c r="H48" s="359"/>
      <c r="I48" s="359"/>
      <c r="J48" s="359"/>
      <c r="K48" s="359"/>
      <c r="L48" s="359"/>
      <c r="M48" s="359"/>
      <c r="N48" s="360"/>
    </row>
    <row r="49" spans="1:14" ht="27.75" customHeight="1" x14ac:dyDescent="0.25">
      <c r="A49" s="32" t="s">
        <v>55</v>
      </c>
      <c r="B49" s="33" t="s">
        <v>56</v>
      </c>
      <c r="C49" s="350" t="s">
        <v>57</v>
      </c>
      <c r="D49" s="350"/>
      <c r="E49" s="350"/>
      <c r="F49" s="34" t="s">
        <v>58</v>
      </c>
      <c r="G49" s="35">
        <v>0.17549999999999999</v>
      </c>
      <c r="H49" s="36">
        <v>1</v>
      </c>
      <c r="I49" s="37">
        <v>0.17549999999999999</v>
      </c>
      <c r="J49" s="38"/>
      <c r="K49" s="35"/>
      <c r="L49" s="38"/>
      <c r="M49" s="35"/>
      <c r="N49" s="39"/>
    </row>
    <row r="50" spans="1:14" hidden="1" x14ac:dyDescent="0.25">
      <c r="A50" s="40"/>
      <c r="B50" s="41" t="s">
        <v>55</v>
      </c>
      <c r="C50" s="354" t="s">
        <v>59</v>
      </c>
      <c r="D50" s="354"/>
      <c r="E50" s="354"/>
      <c r="F50" s="42"/>
      <c r="G50" s="43"/>
      <c r="H50" s="43"/>
      <c r="I50" s="43"/>
      <c r="J50" s="44">
        <v>920.4</v>
      </c>
      <c r="K50" s="43"/>
      <c r="L50" s="44">
        <v>161.53</v>
      </c>
      <c r="M50" s="45">
        <v>52.21</v>
      </c>
      <c r="N50" s="46">
        <v>8433.48</v>
      </c>
    </row>
    <row r="51" spans="1:14" hidden="1" x14ac:dyDescent="0.25">
      <c r="A51" s="47"/>
      <c r="B51" s="41"/>
      <c r="C51" s="354" t="s">
        <v>60</v>
      </c>
      <c r="D51" s="354"/>
      <c r="E51" s="354"/>
      <c r="F51" s="42" t="s">
        <v>61</v>
      </c>
      <c r="G51" s="48">
        <v>118</v>
      </c>
      <c r="H51" s="43"/>
      <c r="I51" s="49">
        <v>20.709</v>
      </c>
      <c r="J51" s="50"/>
      <c r="K51" s="43"/>
      <c r="L51" s="50"/>
      <c r="M51" s="43"/>
      <c r="N51" s="51"/>
    </row>
    <row r="52" spans="1:14" hidden="1" x14ac:dyDescent="0.25">
      <c r="A52" s="52"/>
      <c r="B52" s="41"/>
      <c r="C52" s="355" t="s">
        <v>62</v>
      </c>
      <c r="D52" s="355"/>
      <c r="E52" s="355"/>
      <c r="F52" s="53"/>
      <c r="G52" s="54"/>
      <c r="H52" s="54"/>
      <c r="I52" s="54"/>
      <c r="J52" s="55">
        <v>920.4</v>
      </c>
      <c r="K52" s="54"/>
      <c r="L52" s="55">
        <v>161.53</v>
      </c>
      <c r="M52" s="54"/>
      <c r="N52" s="56">
        <v>8433.48</v>
      </c>
    </row>
    <row r="53" spans="1:14" hidden="1" x14ac:dyDescent="0.25">
      <c r="A53" s="47"/>
      <c r="B53" s="41"/>
      <c r="C53" s="354" t="s">
        <v>63</v>
      </c>
      <c r="D53" s="354"/>
      <c r="E53" s="354"/>
      <c r="F53" s="42"/>
      <c r="G53" s="43"/>
      <c r="H53" s="43"/>
      <c r="I53" s="43"/>
      <c r="J53" s="50"/>
      <c r="K53" s="43"/>
      <c r="L53" s="44">
        <v>161.53</v>
      </c>
      <c r="M53" s="43"/>
      <c r="N53" s="46">
        <v>8433.48</v>
      </c>
    </row>
    <row r="54" spans="1:14" ht="22.5" hidden="1" x14ac:dyDescent="0.25">
      <c r="A54" s="47"/>
      <c r="B54" s="41" t="s">
        <v>64</v>
      </c>
      <c r="C54" s="354" t="s">
        <v>65</v>
      </c>
      <c r="D54" s="354"/>
      <c r="E54" s="354"/>
      <c r="F54" s="42" t="s">
        <v>66</v>
      </c>
      <c r="G54" s="48">
        <v>89</v>
      </c>
      <c r="H54" s="43"/>
      <c r="I54" s="48">
        <v>89</v>
      </c>
      <c r="J54" s="50"/>
      <c r="K54" s="43"/>
      <c r="L54" s="44">
        <v>143.76</v>
      </c>
      <c r="M54" s="43"/>
      <c r="N54" s="46">
        <v>7505.8</v>
      </c>
    </row>
    <row r="55" spans="1:14" ht="45" hidden="1" x14ac:dyDescent="0.25">
      <c r="A55" s="47"/>
      <c r="B55" s="41" t="s">
        <v>67</v>
      </c>
      <c r="C55" s="354" t="s">
        <v>68</v>
      </c>
      <c r="D55" s="354"/>
      <c r="E55" s="354"/>
      <c r="F55" s="42" t="s">
        <v>66</v>
      </c>
      <c r="G55" s="48">
        <v>40</v>
      </c>
      <c r="H55" s="45">
        <v>0.85</v>
      </c>
      <c r="I55" s="48">
        <v>34</v>
      </c>
      <c r="J55" s="50"/>
      <c r="K55" s="43"/>
      <c r="L55" s="44">
        <v>54.92</v>
      </c>
      <c r="M55" s="43"/>
      <c r="N55" s="46">
        <v>2867.38</v>
      </c>
    </row>
    <row r="56" spans="1:14" hidden="1" x14ac:dyDescent="0.25">
      <c r="A56" s="57"/>
      <c r="B56" s="58"/>
      <c r="C56" s="350" t="s">
        <v>69</v>
      </c>
      <c r="D56" s="350"/>
      <c r="E56" s="350"/>
      <c r="F56" s="34"/>
      <c r="G56" s="35"/>
      <c r="H56" s="35"/>
      <c r="I56" s="35"/>
      <c r="J56" s="38"/>
      <c r="K56" s="35"/>
      <c r="L56" s="59">
        <v>360.21</v>
      </c>
      <c r="M56" s="54"/>
      <c r="N56" s="60">
        <v>18806.66</v>
      </c>
    </row>
    <row r="57" spans="1:14" ht="25.5" customHeight="1" x14ac:dyDescent="0.25">
      <c r="A57" s="32" t="s">
        <v>70</v>
      </c>
      <c r="B57" s="33" t="s">
        <v>71</v>
      </c>
      <c r="C57" s="350" t="s">
        <v>72</v>
      </c>
      <c r="D57" s="350"/>
      <c r="E57" s="350"/>
      <c r="F57" s="34" t="s">
        <v>73</v>
      </c>
      <c r="G57" s="35">
        <v>0.78</v>
      </c>
      <c r="H57" s="36">
        <v>1</v>
      </c>
      <c r="I57" s="61">
        <v>0.78</v>
      </c>
      <c r="J57" s="38"/>
      <c r="K57" s="35"/>
      <c r="L57" s="38"/>
      <c r="M57" s="35"/>
      <c r="N57" s="39"/>
    </row>
    <row r="58" spans="1:14" hidden="1" x14ac:dyDescent="0.25">
      <c r="A58" s="40"/>
      <c r="B58" s="41" t="s">
        <v>55</v>
      </c>
      <c r="C58" s="354" t="s">
        <v>59</v>
      </c>
      <c r="D58" s="354"/>
      <c r="E58" s="354"/>
      <c r="F58" s="42"/>
      <c r="G58" s="43"/>
      <c r="H58" s="43"/>
      <c r="I58" s="43"/>
      <c r="J58" s="44">
        <v>519.16</v>
      </c>
      <c r="K58" s="43"/>
      <c r="L58" s="44">
        <v>404.94</v>
      </c>
      <c r="M58" s="45">
        <v>52.21</v>
      </c>
      <c r="N58" s="46">
        <v>21141.919999999998</v>
      </c>
    </row>
    <row r="59" spans="1:14" hidden="1" x14ac:dyDescent="0.25">
      <c r="A59" s="40"/>
      <c r="B59" s="41" t="s">
        <v>70</v>
      </c>
      <c r="C59" s="354" t="s">
        <v>74</v>
      </c>
      <c r="D59" s="354"/>
      <c r="E59" s="354"/>
      <c r="F59" s="42"/>
      <c r="G59" s="43"/>
      <c r="H59" s="43"/>
      <c r="I59" s="43"/>
      <c r="J59" s="62">
        <v>10090.67</v>
      </c>
      <c r="K59" s="43"/>
      <c r="L59" s="62">
        <v>7870.72</v>
      </c>
      <c r="M59" s="45">
        <v>15.71</v>
      </c>
      <c r="N59" s="46">
        <v>123649.01</v>
      </c>
    </row>
    <row r="60" spans="1:14" hidden="1" x14ac:dyDescent="0.25">
      <c r="A60" s="40"/>
      <c r="B60" s="41" t="s">
        <v>75</v>
      </c>
      <c r="C60" s="354" t="s">
        <v>76</v>
      </c>
      <c r="D60" s="354"/>
      <c r="E60" s="354"/>
      <c r="F60" s="42"/>
      <c r="G60" s="43"/>
      <c r="H60" s="43"/>
      <c r="I60" s="43"/>
      <c r="J60" s="44">
        <v>422.22</v>
      </c>
      <c r="K60" s="43"/>
      <c r="L60" s="44">
        <v>329.33</v>
      </c>
      <c r="M60" s="45">
        <v>52.21</v>
      </c>
      <c r="N60" s="46">
        <v>17194.32</v>
      </c>
    </row>
    <row r="61" spans="1:14" hidden="1" x14ac:dyDescent="0.25">
      <c r="A61" s="47"/>
      <c r="B61" s="41"/>
      <c r="C61" s="354" t="s">
        <v>60</v>
      </c>
      <c r="D61" s="354"/>
      <c r="E61" s="354"/>
      <c r="F61" s="42" t="s">
        <v>61</v>
      </c>
      <c r="G61" s="63">
        <v>59.4</v>
      </c>
      <c r="H61" s="43"/>
      <c r="I61" s="49">
        <v>46.332000000000001</v>
      </c>
      <c r="J61" s="50"/>
      <c r="K61" s="43"/>
      <c r="L61" s="50"/>
      <c r="M61" s="43"/>
      <c r="N61" s="51"/>
    </row>
    <row r="62" spans="1:14" hidden="1" x14ac:dyDescent="0.25">
      <c r="A62" s="47"/>
      <c r="B62" s="41"/>
      <c r="C62" s="354" t="s">
        <v>77</v>
      </c>
      <c r="D62" s="354"/>
      <c r="E62" s="354"/>
      <c r="F62" s="42" t="s">
        <v>61</v>
      </c>
      <c r="G62" s="45">
        <v>29.76</v>
      </c>
      <c r="H62" s="43"/>
      <c r="I62" s="64">
        <v>23.212800000000001</v>
      </c>
      <c r="J62" s="50"/>
      <c r="K62" s="43"/>
      <c r="L62" s="50"/>
      <c r="M62" s="43"/>
      <c r="N62" s="51"/>
    </row>
    <row r="63" spans="1:14" hidden="1" x14ac:dyDescent="0.25">
      <c r="A63" s="52"/>
      <c r="B63" s="41"/>
      <c r="C63" s="355" t="s">
        <v>62</v>
      </c>
      <c r="D63" s="355"/>
      <c r="E63" s="355"/>
      <c r="F63" s="53"/>
      <c r="G63" s="54"/>
      <c r="H63" s="54"/>
      <c r="I63" s="54"/>
      <c r="J63" s="65">
        <v>10609.83</v>
      </c>
      <c r="K63" s="54"/>
      <c r="L63" s="65">
        <v>8275.66</v>
      </c>
      <c r="M63" s="54"/>
      <c r="N63" s="56">
        <v>144790.93</v>
      </c>
    </row>
    <row r="64" spans="1:14" hidden="1" x14ac:dyDescent="0.25">
      <c r="A64" s="47"/>
      <c r="B64" s="41"/>
      <c r="C64" s="354" t="s">
        <v>63</v>
      </c>
      <c r="D64" s="354"/>
      <c r="E64" s="354"/>
      <c r="F64" s="42"/>
      <c r="G64" s="43"/>
      <c r="H64" s="43"/>
      <c r="I64" s="43"/>
      <c r="J64" s="50"/>
      <c r="K64" s="43"/>
      <c r="L64" s="44">
        <v>734.27</v>
      </c>
      <c r="M64" s="43"/>
      <c r="N64" s="46">
        <v>38336.239999999998</v>
      </c>
    </row>
    <row r="65" spans="1:14" ht="22.5" hidden="1" x14ac:dyDescent="0.25">
      <c r="A65" s="47"/>
      <c r="B65" s="41" t="s">
        <v>78</v>
      </c>
      <c r="C65" s="354" t="s">
        <v>79</v>
      </c>
      <c r="D65" s="354"/>
      <c r="E65" s="354"/>
      <c r="F65" s="42" t="s">
        <v>66</v>
      </c>
      <c r="G65" s="48">
        <v>109</v>
      </c>
      <c r="H65" s="43"/>
      <c r="I65" s="48">
        <v>109</v>
      </c>
      <c r="J65" s="50"/>
      <c r="K65" s="43"/>
      <c r="L65" s="44">
        <v>800.35</v>
      </c>
      <c r="M65" s="43"/>
      <c r="N65" s="46">
        <v>41786.5</v>
      </c>
    </row>
    <row r="66" spans="1:14" ht="45" hidden="1" x14ac:dyDescent="0.25">
      <c r="A66" s="47"/>
      <c r="B66" s="41" t="s">
        <v>80</v>
      </c>
      <c r="C66" s="354" t="s">
        <v>81</v>
      </c>
      <c r="D66" s="354"/>
      <c r="E66" s="354"/>
      <c r="F66" s="42" t="s">
        <v>66</v>
      </c>
      <c r="G66" s="48">
        <v>65</v>
      </c>
      <c r="H66" s="45">
        <v>0.85</v>
      </c>
      <c r="I66" s="45">
        <v>55.25</v>
      </c>
      <c r="J66" s="50"/>
      <c r="K66" s="43"/>
      <c r="L66" s="44">
        <v>405.68</v>
      </c>
      <c r="M66" s="43"/>
      <c r="N66" s="46">
        <v>21180.77</v>
      </c>
    </row>
    <row r="67" spans="1:14" hidden="1" x14ac:dyDescent="0.25">
      <c r="A67" s="57"/>
      <c r="B67" s="58"/>
      <c r="C67" s="350" t="s">
        <v>69</v>
      </c>
      <c r="D67" s="350"/>
      <c r="E67" s="350"/>
      <c r="F67" s="34"/>
      <c r="G67" s="35"/>
      <c r="H67" s="35"/>
      <c r="I67" s="35"/>
      <c r="J67" s="38"/>
      <c r="K67" s="35"/>
      <c r="L67" s="66">
        <v>9481.69</v>
      </c>
      <c r="M67" s="54"/>
      <c r="N67" s="60">
        <v>207758.2</v>
      </c>
    </row>
    <row r="68" spans="1:14" ht="30" customHeight="1" x14ac:dyDescent="0.25">
      <c r="A68" s="32" t="s">
        <v>75</v>
      </c>
      <c r="B68" s="33" t="s">
        <v>82</v>
      </c>
      <c r="C68" s="350" t="s">
        <v>83</v>
      </c>
      <c r="D68" s="350"/>
      <c r="E68" s="350"/>
      <c r="F68" s="34" t="s">
        <v>58</v>
      </c>
      <c r="G68" s="35">
        <v>4.5659999999999998</v>
      </c>
      <c r="H68" s="36">
        <v>1</v>
      </c>
      <c r="I68" s="67">
        <v>4.5659999999999998</v>
      </c>
      <c r="J68" s="38"/>
      <c r="K68" s="35"/>
      <c r="L68" s="38"/>
      <c r="M68" s="35"/>
      <c r="N68" s="39"/>
    </row>
    <row r="69" spans="1:14" hidden="1" x14ac:dyDescent="0.25">
      <c r="A69" s="40"/>
      <c r="B69" s="41" t="s">
        <v>55</v>
      </c>
      <c r="C69" s="354" t="s">
        <v>59</v>
      </c>
      <c r="D69" s="354"/>
      <c r="E69" s="354"/>
      <c r="F69" s="42"/>
      <c r="G69" s="43"/>
      <c r="H69" s="43"/>
      <c r="I69" s="43"/>
      <c r="J69" s="44">
        <v>92.08</v>
      </c>
      <c r="K69" s="43"/>
      <c r="L69" s="44">
        <v>420.44</v>
      </c>
      <c r="M69" s="45">
        <v>52.21</v>
      </c>
      <c r="N69" s="46">
        <v>21951.17</v>
      </c>
    </row>
    <row r="70" spans="1:14" hidden="1" x14ac:dyDescent="0.25">
      <c r="A70" s="40"/>
      <c r="B70" s="41" t="s">
        <v>70</v>
      </c>
      <c r="C70" s="354" t="s">
        <v>74</v>
      </c>
      <c r="D70" s="354"/>
      <c r="E70" s="354"/>
      <c r="F70" s="42"/>
      <c r="G70" s="43"/>
      <c r="H70" s="43"/>
      <c r="I70" s="43"/>
      <c r="J70" s="44">
        <v>287.60000000000002</v>
      </c>
      <c r="K70" s="43"/>
      <c r="L70" s="62">
        <v>1313.18</v>
      </c>
      <c r="M70" s="45">
        <v>15.71</v>
      </c>
      <c r="N70" s="46">
        <v>20630.060000000001</v>
      </c>
    </row>
    <row r="71" spans="1:14" hidden="1" x14ac:dyDescent="0.25">
      <c r="A71" s="40"/>
      <c r="B71" s="41" t="s">
        <v>75</v>
      </c>
      <c r="C71" s="354" t="s">
        <v>76</v>
      </c>
      <c r="D71" s="354"/>
      <c r="E71" s="354"/>
      <c r="F71" s="42"/>
      <c r="G71" s="43"/>
      <c r="H71" s="43"/>
      <c r="I71" s="43"/>
      <c r="J71" s="44">
        <v>37.57</v>
      </c>
      <c r="K71" s="43"/>
      <c r="L71" s="44">
        <v>171.54</v>
      </c>
      <c r="M71" s="45">
        <v>52.21</v>
      </c>
      <c r="N71" s="46">
        <v>8956.1</v>
      </c>
    </row>
    <row r="72" spans="1:14" hidden="1" x14ac:dyDescent="0.25">
      <c r="A72" s="47"/>
      <c r="B72" s="41"/>
      <c r="C72" s="354" t="s">
        <v>60</v>
      </c>
      <c r="D72" s="354"/>
      <c r="E72" s="354"/>
      <c r="F72" s="42" t="s">
        <v>61</v>
      </c>
      <c r="G72" s="63">
        <v>11.7</v>
      </c>
      <c r="H72" s="43"/>
      <c r="I72" s="64">
        <v>53.422199999999997</v>
      </c>
      <c r="J72" s="50"/>
      <c r="K72" s="43"/>
      <c r="L72" s="50"/>
      <c r="M72" s="43"/>
      <c r="N72" s="51"/>
    </row>
    <row r="73" spans="1:14" hidden="1" x14ac:dyDescent="0.25">
      <c r="A73" s="47"/>
      <c r="B73" s="41"/>
      <c r="C73" s="354" t="s">
        <v>77</v>
      </c>
      <c r="D73" s="354"/>
      <c r="E73" s="354"/>
      <c r="F73" s="42" t="s">
        <v>61</v>
      </c>
      <c r="G73" s="45">
        <v>2.96</v>
      </c>
      <c r="H73" s="43"/>
      <c r="I73" s="68">
        <v>13.515359999999999</v>
      </c>
      <c r="J73" s="50"/>
      <c r="K73" s="43"/>
      <c r="L73" s="50"/>
      <c r="M73" s="43"/>
      <c r="N73" s="51"/>
    </row>
    <row r="74" spans="1:14" hidden="1" x14ac:dyDescent="0.25">
      <c r="A74" s="52"/>
      <c r="B74" s="41"/>
      <c r="C74" s="355" t="s">
        <v>62</v>
      </c>
      <c r="D74" s="355"/>
      <c r="E74" s="355"/>
      <c r="F74" s="53"/>
      <c r="G74" s="54"/>
      <c r="H74" s="54"/>
      <c r="I74" s="54"/>
      <c r="J74" s="55">
        <v>379.68</v>
      </c>
      <c r="K74" s="54"/>
      <c r="L74" s="65">
        <v>1733.62</v>
      </c>
      <c r="M74" s="54"/>
      <c r="N74" s="56">
        <v>42581.23</v>
      </c>
    </row>
    <row r="75" spans="1:14" hidden="1" x14ac:dyDescent="0.25">
      <c r="A75" s="47"/>
      <c r="B75" s="41"/>
      <c r="C75" s="354" t="s">
        <v>63</v>
      </c>
      <c r="D75" s="354"/>
      <c r="E75" s="354"/>
      <c r="F75" s="42"/>
      <c r="G75" s="43"/>
      <c r="H75" s="43"/>
      <c r="I75" s="43"/>
      <c r="J75" s="50"/>
      <c r="K75" s="43"/>
      <c r="L75" s="44">
        <v>591.98</v>
      </c>
      <c r="M75" s="43"/>
      <c r="N75" s="46">
        <v>30907.27</v>
      </c>
    </row>
    <row r="76" spans="1:14" hidden="1" x14ac:dyDescent="0.25">
      <c r="A76" s="47"/>
      <c r="B76" s="41" t="s">
        <v>84</v>
      </c>
      <c r="C76" s="354" t="s">
        <v>85</v>
      </c>
      <c r="D76" s="354"/>
      <c r="E76" s="354"/>
      <c r="F76" s="42" t="s">
        <v>66</v>
      </c>
      <c r="G76" s="48">
        <v>102</v>
      </c>
      <c r="H76" s="43"/>
      <c r="I76" s="48">
        <v>102</v>
      </c>
      <c r="J76" s="50"/>
      <c r="K76" s="43"/>
      <c r="L76" s="44">
        <v>603.82000000000005</v>
      </c>
      <c r="M76" s="43"/>
      <c r="N76" s="46">
        <v>31525.42</v>
      </c>
    </row>
    <row r="77" spans="1:14" hidden="1" x14ac:dyDescent="0.25">
      <c r="A77" s="47"/>
      <c r="B77" s="41" t="s">
        <v>86</v>
      </c>
      <c r="C77" s="354" t="s">
        <v>87</v>
      </c>
      <c r="D77" s="354"/>
      <c r="E77" s="354"/>
      <c r="F77" s="42" t="s">
        <v>66</v>
      </c>
      <c r="G77" s="48">
        <v>54</v>
      </c>
      <c r="H77" s="43"/>
      <c r="I77" s="48">
        <v>54</v>
      </c>
      <c r="J77" s="50"/>
      <c r="K77" s="43"/>
      <c r="L77" s="44">
        <v>319.67</v>
      </c>
      <c r="M77" s="43"/>
      <c r="N77" s="46">
        <v>16689.93</v>
      </c>
    </row>
    <row r="78" spans="1:14" hidden="1" x14ac:dyDescent="0.25">
      <c r="A78" s="57"/>
      <c r="B78" s="58"/>
      <c r="C78" s="350" t="s">
        <v>69</v>
      </c>
      <c r="D78" s="350"/>
      <c r="E78" s="350"/>
      <c r="F78" s="34"/>
      <c r="G78" s="35"/>
      <c r="H78" s="35"/>
      <c r="I78" s="35"/>
      <c r="J78" s="38"/>
      <c r="K78" s="35"/>
      <c r="L78" s="66">
        <v>2657.11</v>
      </c>
      <c r="M78" s="54"/>
      <c r="N78" s="60">
        <v>90796.58</v>
      </c>
    </row>
    <row r="79" spans="1:14" ht="18.75" customHeight="1" x14ac:dyDescent="0.25">
      <c r="A79" s="32" t="s">
        <v>88</v>
      </c>
      <c r="B79" s="33" t="s">
        <v>89</v>
      </c>
      <c r="C79" s="350" t="s">
        <v>90</v>
      </c>
      <c r="D79" s="350"/>
      <c r="E79" s="350"/>
      <c r="F79" s="34" t="s">
        <v>58</v>
      </c>
      <c r="G79" s="35">
        <v>2.08</v>
      </c>
      <c r="H79" s="36">
        <v>1</v>
      </c>
      <c r="I79" s="61">
        <v>2.08</v>
      </c>
      <c r="J79" s="38"/>
      <c r="K79" s="35"/>
      <c r="L79" s="38"/>
      <c r="M79" s="35"/>
      <c r="N79" s="39"/>
    </row>
    <row r="80" spans="1:14" hidden="1" x14ac:dyDescent="0.25">
      <c r="A80" s="40"/>
      <c r="B80" s="41" t="s">
        <v>55</v>
      </c>
      <c r="C80" s="354" t="s">
        <v>59</v>
      </c>
      <c r="D80" s="354"/>
      <c r="E80" s="354"/>
      <c r="F80" s="42"/>
      <c r="G80" s="43"/>
      <c r="H80" s="43"/>
      <c r="I80" s="43"/>
      <c r="J80" s="44">
        <v>106.88</v>
      </c>
      <c r="K80" s="43"/>
      <c r="L80" s="44">
        <v>222.31</v>
      </c>
      <c r="M80" s="45">
        <v>52.21</v>
      </c>
      <c r="N80" s="46">
        <v>11606.81</v>
      </c>
    </row>
    <row r="81" spans="1:14" hidden="1" x14ac:dyDescent="0.25">
      <c r="A81" s="40"/>
      <c r="B81" s="41" t="s">
        <v>70</v>
      </c>
      <c r="C81" s="354" t="s">
        <v>74</v>
      </c>
      <c r="D81" s="354"/>
      <c r="E81" s="354"/>
      <c r="F81" s="42"/>
      <c r="G81" s="43"/>
      <c r="H81" s="43"/>
      <c r="I81" s="43"/>
      <c r="J81" s="44">
        <v>241.58</v>
      </c>
      <c r="K81" s="43"/>
      <c r="L81" s="44">
        <v>502.49</v>
      </c>
      <c r="M81" s="45">
        <v>15.71</v>
      </c>
      <c r="N81" s="46">
        <v>7894.12</v>
      </c>
    </row>
    <row r="82" spans="1:14" hidden="1" x14ac:dyDescent="0.25">
      <c r="A82" s="40"/>
      <c r="B82" s="41" t="s">
        <v>75</v>
      </c>
      <c r="C82" s="354" t="s">
        <v>76</v>
      </c>
      <c r="D82" s="354"/>
      <c r="E82" s="354"/>
      <c r="F82" s="42"/>
      <c r="G82" s="43"/>
      <c r="H82" s="43"/>
      <c r="I82" s="43"/>
      <c r="J82" s="44">
        <v>26.36</v>
      </c>
      <c r="K82" s="43"/>
      <c r="L82" s="44">
        <v>54.83</v>
      </c>
      <c r="M82" s="45">
        <v>52.21</v>
      </c>
      <c r="N82" s="46">
        <v>2862.67</v>
      </c>
    </row>
    <row r="83" spans="1:14" hidden="1" x14ac:dyDescent="0.25">
      <c r="A83" s="47"/>
      <c r="B83" s="41"/>
      <c r="C83" s="354" t="s">
        <v>60</v>
      </c>
      <c r="D83" s="354"/>
      <c r="E83" s="354"/>
      <c r="F83" s="42" t="s">
        <v>61</v>
      </c>
      <c r="G83" s="45">
        <v>12.53</v>
      </c>
      <c r="H83" s="43"/>
      <c r="I83" s="64">
        <v>26.0624</v>
      </c>
      <c r="J83" s="50"/>
      <c r="K83" s="43"/>
      <c r="L83" s="50"/>
      <c r="M83" s="43"/>
      <c r="N83" s="51"/>
    </row>
    <row r="84" spans="1:14" hidden="1" x14ac:dyDescent="0.25">
      <c r="A84" s="47"/>
      <c r="B84" s="41"/>
      <c r="C84" s="354" t="s">
        <v>77</v>
      </c>
      <c r="D84" s="354"/>
      <c r="E84" s="354"/>
      <c r="F84" s="42" t="s">
        <v>61</v>
      </c>
      <c r="G84" s="45">
        <v>2.62</v>
      </c>
      <c r="H84" s="43"/>
      <c r="I84" s="64">
        <v>5.4496000000000002</v>
      </c>
      <c r="J84" s="50"/>
      <c r="K84" s="43"/>
      <c r="L84" s="50"/>
      <c r="M84" s="43"/>
      <c r="N84" s="51"/>
    </row>
    <row r="85" spans="1:14" hidden="1" x14ac:dyDescent="0.25">
      <c r="A85" s="52"/>
      <c r="B85" s="41"/>
      <c r="C85" s="355" t="s">
        <v>62</v>
      </c>
      <c r="D85" s="355"/>
      <c r="E85" s="355"/>
      <c r="F85" s="53"/>
      <c r="G85" s="54"/>
      <c r="H85" s="54"/>
      <c r="I85" s="54"/>
      <c r="J85" s="55">
        <v>348.46</v>
      </c>
      <c r="K85" s="54"/>
      <c r="L85" s="55">
        <v>724.8</v>
      </c>
      <c r="M85" s="54"/>
      <c r="N85" s="56">
        <v>19500.93</v>
      </c>
    </row>
    <row r="86" spans="1:14" hidden="1" x14ac:dyDescent="0.25">
      <c r="A86" s="47"/>
      <c r="B86" s="41"/>
      <c r="C86" s="354" t="s">
        <v>63</v>
      </c>
      <c r="D86" s="354"/>
      <c r="E86" s="354"/>
      <c r="F86" s="42"/>
      <c r="G86" s="43"/>
      <c r="H86" s="43"/>
      <c r="I86" s="43"/>
      <c r="J86" s="50"/>
      <c r="K86" s="43"/>
      <c r="L86" s="44">
        <v>277.14</v>
      </c>
      <c r="M86" s="43"/>
      <c r="N86" s="46">
        <v>14469.48</v>
      </c>
    </row>
    <row r="87" spans="1:14" ht="22.5" hidden="1" x14ac:dyDescent="0.25">
      <c r="A87" s="47"/>
      <c r="B87" s="41" t="s">
        <v>91</v>
      </c>
      <c r="C87" s="354" t="s">
        <v>92</v>
      </c>
      <c r="D87" s="354"/>
      <c r="E87" s="354"/>
      <c r="F87" s="42" t="s">
        <v>66</v>
      </c>
      <c r="G87" s="48">
        <v>92</v>
      </c>
      <c r="H87" s="43"/>
      <c r="I87" s="48">
        <v>92</v>
      </c>
      <c r="J87" s="50"/>
      <c r="K87" s="43"/>
      <c r="L87" s="44">
        <v>254.97</v>
      </c>
      <c r="M87" s="43"/>
      <c r="N87" s="46">
        <v>13311.92</v>
      </c>
    </row>
    <row r="88" spans="1:14" ht="45" hidden="1" x14ac:dyDescent="0.25">
      <c r="A88" s="47"/>
      <c r="B88" s="41" t="s">
        <v>93</v>
      </c>
      <c r="C88" s="354" t="s">
        <v>94</v>
      </c>
      <c r="D88" s="354"/>
      <c r="E88" s="354"/>
      <c r="F88" s="42" t="s">
        <v>66</v>
      </c>
      <c r="G88" s="48">
        <v>46</v>
      </c>
      <c r="H88" s="45">
        <v>0.85</v>
      </c>
      <c r="I88" s="63">
        <v>39.1</v>
      </c>
      <c r="J88" s="50"/>
      <c r="K88" s="43"/>
      <c r="L88" s="44">
        <v>108.36</v>
      </c>
      <c r="M88" s="43"/>
      <c r="N88" s="46">
        <v>5657.57</v>
      </c>
    </row>
    <row r="89" spans="1:14" hidden="1" x14ac:dyDescent="0.25">
      <c r="A89" s="57"/>
      <c r="B89" s="58"/>
      <c r="C89" s="350" t="s">
        <v>69</v>
      </c>
      <c r="D89" s="350"/>
      <c r="E89" s="350"/>
      <c r="F89" s="34"/>
      <c r="G89" s="35"/>
      <c r="H89" s="35"/>
      <c r="I89" s="35"/>
      <c r="J89" s="38"/>
      <c r="K89" s="35"/>
      <c r="L89" s="66">
        <v>1088.1300000000001</v>
      </c>
      <c r="M89" s="54"/>
      <c r="N89" s="60">
        <v>38470.42</v>
      </c>
    </row>
    <row r="90" spans="1:14" ht="26.25" customHeight="1" x14ac:dyDescent="0.25">
      <c r="A90" s="32" t="s">
        <v>95</v>
      </c>
      <c r="B90" s="33" t="s">
        <v>96</v>
      </c>
      <c r="C90" s="350" t="s">
        <v>97</v>
      </c>
      <c r="D90" s="350"/>
      <c r="E90" s="350"/>
      <c r="F90" s="34" t="s">
        <v>58</v>
      </c>
      <c r="G90" s="35">
        <v>2.08</v>
      </c>
      <c r="H90" s="36">
        <v>1</v>
      </c>
      <c r="I90" s="61">
        <v>2.08</v>
      </c>
      <c r="J90" s="38"/>
      <c r="K90" s="35"/>
      <c r="L90" s="38"/>
      <c r="M90" s="35"/>
      <c r="N90" s="39"/>
    </row>
    <row r="91" spans="1:14" hidden="1" x14ac:dyDescent="0.25">
      <c r="A91" s="40"/>
      <c r="B91" s="41" t="s">
        <v>55</v>
      </c>
      <c r="C91" s="354" t="s">
        <v>59</v>
      </c>
      <c r="D91" s="354"/>
      <c r="E91" s="354"/>
      <c r="F91" s="42"/>
      <c r="G91" s="43"/>
      <c r="H91" s="43"/>
      <c r="I91" s="43"/>
      <c r="J91" s="44">
        <v>173.23</v>
      </c>
      <c r="K91" s="43"/>
      <c r="L91" s="44">
        <v>360.32</v>
      </c>
      <c r="M91" s="45">
        <v>52.21</v>
      </c>
      <c r="N91" s="46">
        <v>18812.310000000001</v>
      </c>
    </row>
    <row r="92" spans="1:14" hidden="1" x14ac:dyDescent="0.25">
      <c r="A92" s="40"/>
      <c r="B92" s="41" t="s">
        <v>70</v>
      </c>
      <c r="C92" s="354" t="s">
        <v>74</v>
      </c>
      <c r="D92" s="354"/>
      <c r="E92" s="354"/>
      <c r="F92" s="42"/>
      <c r="G92" s="43"/>
      <c r="H92" s="43"/>
      <c r="I92" s="43"/>
      <c r="J92" s="62">
        <v>5268.76</v>
      </c>
      <c r="K92" s="43"/>
      <c r="L92" s="62">
        <v>10959.02</v>
      </c>
      <c r="M92" s="45">
        <v>15.71</v>
      </c>
      <c r="N92" s="46">
        <v>172166.2</v>
      </c>
    </row>
    <row r="93" spans="1:14" hidden="1" x14ac:dyDescent="0.25">
      <c r="A93" s="40"/>
      <c r="B93" s="41" t="s">
        <v>75</v>
      </c>
      <c r="C93" s="354" t="s">
        <v>76</v>
      </c>
      <c r="D93" s="354"/>
      <c r="E93" s="354"/>
      <c r="F93" s="42"/>
      <c r="G93" s="43"/>
      <c r="H93" s="43"/>
      <c r="I93" s="43"/>
      <c r="J93" s="44">
        <v>267.67</v>
      </c>
      <c r="K93" s="43"/>
      <c r="L93" s="44">
        <v>556.75</v>
      </c>
      <c r="M93" s="45">
        <v>52.21</v>
      </c>
      <c r="N93" s="46">
        <v>29067.919999999998</v>
      </c>
    </row>
    <row r="94" spans="1:14" hidden="1" x14ac:dyDescent="0.25">
      <c r="A94" s="40"/>
      <c r="B94" s="41" t="s">
        <v>88</v>
      </c>
      <c r="C94" s="354" t="s">
        <v>98</v>
      </c>
      <c r="D94" s="354"/>
      <c r="E94" s="354"/>
      <c r="F94" s="42"/>
      <c r="G94" s="43"/>
      <c r="H94" s="43"/>
      <c r="I94" s="43"/>
      <c r="J94" s="44">
        <v>17.079999999999998</v>
      </c>
      <c r="K94" s="43"/>
      <c r="L94" s="44">
        <v>35.53</v>
      </c>
      <c r="M94" s="63">
        <v>9.5</v>
      </c>
      <c r="N94" s="69">
        <v>337.54</v>
      </c>
    </row>
    <row r="95" spans="1:14" hidden="1" x14ac:dyDescent="0.25">
      <c r="A95" s="47"/>
      <c r="B95" s="41"/>
      <c r="C95" s="354" t="s">
        <v>60</v>
      </c>
      <c r="D95" s="354"/>
      <c r="E95" s="354"/>
      <c r="F95" s="42" t="s">
        <v>61</v>
      </c>
      <c r="G95" s="63">
        <v>21.6</v>
      </c>
      <c r="H95" s="43"/>
      <c r="I95" s="49">
        <v>44.927999999999997</v>
      </c>
      <c r="J95" s="50"/>
      <c r="K95" s="43"/>
      <c r="L95" s="50"/>
      <c r="M95" s="43"/>
      <c r="N95" s="51"/>
    </row>
    <row r="96" spans="1:14" hidden="1" x14ac:dyDescent="0.25">
      <c r="A96" s="47"/>
      <c r="B96" s="41"/>
      <c r="C96" s="354" t="s">
        <v>77</v>
      </c>
      <c r="D96" s="354"/>
      <c r="E96" s="354"/>
      <c r="F96" s="42" t="s">
        <v>61</v>
      </c>
      <c r="G96" s="63">
        <v>20.6</v>
      </c>
      <c r="H96" s="43"/>
      <c r="I96" s="49">
        <v>42.847999999999999</v>
      </c>
      <c r="J96" s="50"/>
      <c r="K96" s="43"/>
      <c r="L96" s="50"/>
      <c r="M96" s="43"/>
      <c r="N96" s="51"/>
    </row>
    <row r="97" spans="1:14" hidden="1" x14ac:dyDescent="0.25">
      <c r="A97" s="52"/>
      <c r="B97" s="41"/>
      <c r="C97" s="355" t="s">
        <v>62</v>
      </c>
      <c r="D97" s="355"/>
      <c r="E97" s="355"/>
      <c r="F97" s="53"/>
      <c r="G97" s="54"/>
      <c r="H97" s="54"/>
      <c r="I97" s="54"/>
      <c r="J97" s="65">
        <v>5459.07</v>
      </c>
      <c r="K97" s="54"/>
      <c r="L97" s="65">
        <v>11354.87</v>
      </c>
      <c r="M97" s="54"/>
      <c r="N97" s="56">
        <v>191316.05</v>
      </c>
    </row>
    <row r="98" spans="1:14" hidden="1" x14ac:dyDescent="0.25">
      <c r="A98" s="47"/>
      <c r="B98" s="41"/>
      <c r="C98" s="354" t="s">
        <v>63</v>
      </c>
      <c r="D98" s="354"/>
      <c r="E98" s="354"/>
      <c r="F98" s="42"/>
      <c r="G98" s="43"/>
      <c r="H98" s="43"/>
      <c r="I98" s="43"/>
      <c r="J98" s="50"/>
      <c r="K98" s="43"/>
      <c r="L98" s="44">
        <v>917.07</v>
      </c>
      <c r="M98" s="43"/>
      <c r="N98" s="46">
        <v>47880.23</v>
      </c>
    </row>
    <row r="99" spans="1:14" ht="45" hidden="1" x14ac:dyDescent="0.25">
      <c r="A99" s="47"/>
      <c r="B99" s="41" t="s">
        <v>99</v>
      </c>
      <c r="C99" s="354" t="s">
        <v>100</v>
      </c>
      <c r="D99" s="354"/>
      <c r="E99" s="354"/>
      <c r="F99" s="42" t="s">
        <v>66</v>
      </c>
      <c r="G99" s="48">
        <v>147</v>
      </c>
      <c r="H99" s="43"/>
      <c r="I99" s="48">
        <v>147</v>
      </c>
      <c r="J99" s="50"/>
      <c r="K99" s="43"/>
      <c r="L99" s="62">
        <v>1348.09</v>
      </c>
      <c r="M99" s="43"/>
      <c r="N99" s="46">
        <v>70383.94</v>
      </c>
    </row>
    <row r="100" spans="1:14" ht="56.25" hidden="1" x14ac:dyDescent="0.25">
      <c r="A100" s="47"/>
      <c r="B100" s="41" t="s">
        <v>101</v>
      </c>
      <c r="C100" s="354" t="s">
        <v>102</v>
      </c>
      <c r="D100" s="354"/>
      <c r="E100" s="354"/>
      <c r="F100" s="42" t="s">
        <v>66</v>
      </c>
      <c r="G100" s="48">
        <v>134</v>
      </c>
      <c r="H100" s="45">
        <v>0.85</v>
      </c>
      <c r="I100" s="63">
        <v>113.9</v>
      </c>
      <c r="J100" s="50"/>
      <c r="K100" s="43"/>
      <c r="L100" s="62">
        <v>1044.54</v>
      </c>
      <c r="M100" s="43"/>
      <c r="N100" s="46">
        <v>54535.58</v>
      </c>
    </row>
    <row r="101" spans="1:14" hidden="1" x14ac:dyDescent="0.25">
      <c r="A101" s="57"/>
      <c r="B101" s="58"/>
      <c r="C101" s="350" t="s">
        <v>69</v>
      </c>
      <c r="D101" s="350"/>
      <c r="E101" s="350"/>
      <c r="F101" s="34"/>
      <c r="G101" s="35"/>
      <c r="H101" s="35"/>
      <c r="I101" s="35"/>
      <c r="J101" s="38"/>
      <c r="K101" s="35"/>
      <c r="L101" s="66">
        <v>13747.5</v>
      </c>
      <c r="M101" s="54"/>
      <c r="N101" s="60">
        <v>316235.57</v>
      </c>
    </row>
    <row r="102" spans="1:14" ht="22.5" x14ac:dyDescent="0.25">
      <c r="A102" s="32" t="s">
        <v>103</v>
      </c>
      <c r="B102" s="33" t="s">
        <v>104</v>
      </c>
      <c r="C102" s="350" t="s">
        <v>105</v>
      </c>
      <c r="D102" s="350"/>
      <c r="E102" s="350"/>
      <c r="F102" s="34" t="s">
        <v>106</v>
      </c>
      <c r="G102" s="35">
        <v>262.08</v>
      </c>
      <c r="H102" s="36">
        <v>1</v>
      </c>
      <c r="I102" s="61">
        <v>262.08</v>
      </c>
      <c r="J102" s="59">
        <v>646.32000000000005</v>
      </c>
      <c r="K102" s="67">
        <v>1.012</v>
      </c>
      <c r="L102" s="66">
        <v>171420.2</v>
      </c>
      <c r="M102" s="70">
        <v>9.5</v>
      </c>
      <c r="N102" s="60">
        <v>1628491.9</v>
      </c>
    </row>
    <row r="103" spans="1:14" hidden="1" x14ac:dyDescent="0.25">
      <c r="A103" s="52"/>
      <c r="B103" s="71"/>
      <c r="C103" s="354" t="s">
        <v>107</v>
      </c>
      <c r="D103" s="354"/>
      <c r="E103" s="354"/>
      <c r="F103" s="354"/>
      <c r="G103" s="354"/>
      <c r="H103" s="354"/>
      <c r="I103" s="354"/>
      <c r="J103" s="354"/>
      <c r="K103" s="354"/>
      <c r="L103" s="354"/>
      <c r="M103" s="354"/>
      <c r="N103" s="356"/>
    </row>
    <row r="104" spans="1:14" hidden="1" x14ac:dyDescent="0.25">
      <c r="A104" s="72"/>
      <c r="B104" s="41"/>
      <c r="C104" s="344" t="s">
        <v>108</v>
      </c>
      <c r="D104" s="344"/>
      <c r="E104" s="344"/>
      <c r="F104" s="344"/>
      <c r="G104" s="344"/>
      <c r="H104" s="344"/>
      <c r="I104" s="344"/>
      <c r="J104" s="344"/>
      <c r="K104" s="344"/>
      <c r="L104" s="344"/>
      <c r="M104" s="344"/>
      <c r="N104" s="357"/>
    </row>
    <row r="105" spans="1:14" hidden="1" x14ac:dyDescent="0.25">
      <c r="A105" s="57"/>
      <c r="B105" s="58"/>
      <c r="C105" s="350" t="s">
        <v>69</v>
      </c>
      <c r="D105" s="350"/>
      <c r="E105" s="350"/>
      <c r="F105" s="34"/>
      <c r="G105" s="35"/>
      <c r="H105" s="35"/>
      <c r="I105" s="35"/>
      <c r="J105" s="38"/>
      <c r="K105" s="35"/>
      <c r="L105" s="66">
        <v>171420.2</v>
      </c>
      <c r="M105" s="54"/>
      <c r="N105" s="60">
        <v>1628491.9</v>
      </c>
    </row>
    <row r="106" spans="1:14" ht="25.5" customHeight="1" x14ac:dyDescent="0.25">
      <c r="A106" s="32" t="s">
        <v>109</v>
      </c>
      <c r="B106" s="33" t="s">
        <v>110</v>
      </c>
      <c r="C106" s="350" t="s">
        <v>111</v>
      </c>
      <c r="D106" s="350"/>
      <c r="E106" s="350"/>
      <c r="F106" s="34" t="s">
        <v>73</v>
      </c>
      <c r="G106" s="35">
        <v>0.4647</v>
      </c>
      <c r="H106" s="36">
        <v>1</v>
      </c>
      <c r="I106" s="37">
        <v>0.4647</v>
      </c>
      <c r="J106" s="38"/>
      <c r="K106" s="35"/>
      <c r="L106" s="38"/>
      <c r="M106" s="35"/>
      <c r="N106" s="39"/>
    </row>
    <row r="107" spans="1:14" hidden="1" x14ac:dyDescent="0.25">
      <c r="A107" s="40"/>
      <c r="B107" s="41" t="s">
        <v>55</v>
      </c>
      <c r="C107" s="354" t="s">
        <v>59</v>
      </c>
      <c r="D107" s="354"/>
      <c r="E107" s="354"/>
      <c r="F107" s="42"/>
      <c r="G107" s="43"/>
      <c r="H107" s="43"/>
      <c r="I107" s="43"/>
      <c r="J107" s="62">
        <v>9218</v>
      </c>
      <c r="K107" s="43"/>
      <c r="L107" s="62">
        <v>4283.6000000000004</v>
      </c>
      <c r="M107" s="45">
        <v>52.21</v>
      </c>
      <c r="N107" s="46">
        <v>223646.76</v>
      </c>
    </row>
    <row r="108" spans="1:14" hidden="1" x14ac:dyDescent="0.25">
      <c r="A108" s="40"/>
      <c r="B108" s="41" t="s">
        <v>70</v>
      </c>
      <c r="C108" s="354" t="s">
        <v>74</v>
      </c>
      <c r="D108" s="354"/>
      <c r="E108" s="354"/>
      <c r="F108" s="42"/>
      <c r="G108" s="43"/>
      <c r="H108" s="43"/>
      <c r="I108" s="43"/>
      <c r="J108" s="62">
        <v>40105.1</v>
      </c>
      <c r="K108" s="43"/>
      <c r="L108" s="62">
        <v>18636.84</v>
      </c>
      <c r="M108" s="45">
        <v>15.71</v>
      </c>
      <c r="N108" s="46">
        <v>292784.76</v>
      </c>
    </row>
    <row r="109" spans="1:14" hidden="1" x14ac:dyDescent="0.25">
      <c r="A109" s="40"/>
      <c r="B109" s="41" t="s">
        <v>75</v>
      </c>
      <c r="C109" s="354" t="s">
        <v>76</v>
      </c>
      <c r="D109" s="354"/>
      <c r="E109" s="354"/>
      <c r="F109" s="42"/>
      <c r="G109" s="43"/>
      <c r="H109" s="43"/>
      <c r="I109" s="43"/>
      <c r="J109" s="62">
        <v>2629.93</v>
      </c>
      <c r="K109" s="43"/>
      <c r="L109" s="62">
        <v>1222.1300000000001</v>
      </c>
      <c r="M109" s="45">
        <v>52.21</v>
      </c>
      <c r="N109" s="46">
        <v>63807.41</v>
      </c>
    </row>
    <row r="110" spans="1:14" hidden="1" x14ac:dyDescent="0.25">
      <c r="A110" s="40"/>
      <c r="B110" s="41" t="s">
        <v>88</v>
      </c>
      <c r="C110" s="354" t="s">
        <v>98</v>
      </c>
      <c r="D110" s="354"/>
      <c r="E110" s="354"/>
      <c r="F110" s="42"/>
      <c r="G110" s="43"/>
      <c r="H110" s="43"/>
      <c r="I110" s="43"/>
      <c r="J110" s="62">
        <v>1477980.73</v>
      </c>
      <c r="K110" s="43"/>
      <c r="L110" s="62">
        <v>686817.65</v>
      </c>
      <c r="M110" s="63">
        <v>9.5</v>
      </c>
      <c r="N110" s="46">
        <v>6524767.6799999997</v>
      </c>
    </row>
    <row r="111" spans="1:14" hidden="1" x14ac:dyDescent="0.25">
      <c r="A111" s="47"/>
      <c r="B111" s="41"/>
      <c r="C111" s="354" t="s">
        <v>60</v>
      </c>
      <c r="D111" s="354"/>
      <c r="E111" s="354"/>
      <c r="F111" s="42" t="s">
        <v>61</v>
      </c>
      <c r="G111" s="48">
        <v>1100</v>
      </c>
      <c r="H111" s="43"/>
      <c r="I111" s="45">
        <v>511.17</v>
      </c>
      <c r="J111" s="50"/>
      <c r="K111" s="43"/>
      <c r="L111" s="50"/>
      <c r="M111" s="43"/>
      <c r="N111" s="51"/>
    </row>
    <row r="112" spans="1:14" hidden="1" x14ac:dyDescent="0.25">
      <c r="A112" s="47"/>
      <c r="B112" s="41"/>
      <c r="C112" s="354" t="s">
        <v>77</v>
      </c>
      <c r="D112" s="354"/>
      <c r="E112" s="354"/>
      <c r="F112" s="42" t="s">
        <v>61</v>
      </c>
      <c r="G112" s="45">
        <v>213.68</v>
      </c>
      <c r="H112" s="43"/>
      <c r="I112" s="73">
        <v>99.297095999999996</v>
      </c>
      <c r="J112" s="50"/>
      <c r="K112" s="43"/>
      <c r="L112" s="50"/>
      <c r="M112" s="43"/>
      <c r="N112" s="51"/>
    </row>
    <row r="113" spans="1:14" hidden="1" x14ac:dyDescent="0.25">
      <c r="A113" s="52"/>
      <c r="B113" s="41"/>
      <c r="C113" s="355" t="s">
        <v>62</v>
      </c>
      <c r="D113" s="355"/>
      <c r="E113" s="355"/>
      <c r="F113" s="53"/>
      <c r="G113" s="54"/>
      <c r="H113" s="54"/>
      <c r="I113" s="54"/>
      <c r="J113" s="65">
        <v>1527303.83</v>
      </c>
      <c r="K113" s="54"/>
      <c r="L113" s="65">
        <v>709738.09</v>
      </c>
      <c r="M113" s="54"/>
      <c r="N113" s="56">
        <v>7041199.2000000002</v>
      </c>
    </row>
    <row r="114" spans="1:14" hidden="1" x14ac:dyDescent="0.25">
      <c r="A114" s="47"/>
      <c r="B114" s="41"/>
      <c r="C114" s="354" t="s">
        <v>63</v>
      </c>
      <c r="D114" s="354"/>
      <c r="E114" s="354"/>
      <c r="F114" s="42"/>
      <c r="G114" s="43"/>
      <c r="H114" s="43"/>
      <c r="I114" s="43"/>
      <c r="J114" s="50"/>
      <c r="K114" s="43"/>
      <c r="L114" s="62">
        <v>5505.73</v>
      </c>
      <c r="M114" s="43"/>
      <c r="N114" s="46">
        <v>287454.17</v>
      </c>
    </row>
    <row r="115" spans="1:14" ht="22.5" hidden="1" x14ac:dyDescent="0.25">
      <c r="A115" s="47"/>
      <c r="B115" s="41" t="s">
        <v>78</v>
      </c>
      <c r="C115" s="354" t="s">
        <v>79</v>
      </c>
      <c r="D115" s="354"/>
      <c r="E115" s="354"/>
      <c r="F115" s="42" t="s">
        <v>66</v>
      </c>
      <c r="G115" s="48">
        <v>109</v>
      </c>
      <c r="H115" s="43"/>
      <c r="I115" s="48">
        <v>109</v>
      </c>
      <c r="J115" s="50"/>
      <c r="K115" s="43"/>
      <c r="L115" s="62">
        <v>6001.25</v>
      </c>
      <c r="M115" s="43"/>
      <c r="N115" s="46">
        <v>313325.05</v>
      </c>
    </row>
    <row r="116" spans="1:14" ht="45" hidden="1" x14ac:dyDescent="0.25">
      <c r="A116" s="47"/>
      <c r="B116" s="41" t="s">
        <v>80</v>
      </c>
      <c r="C116" s="354" t="s">
        <v>81</v>
      </c>
      <c r="D116" s="354"/>
      <c r="E116" s="354"/>
      <c r="F116" s="42" t="s">
        <v>66</v>
      </c>
      <c r="G116" s="48">
        <v>65</v>
      </c>
      <c r="H116" s="45">
        <v>0.85</v>
      </c>
      <c r="I116" s="45">
        <v>55.25</v>
      </c>
      <c r="J116" s="50"/>
      <c r="K116" s="43"/>
      <c r="L116" s="62">
        <v>3041.92</v>
      </c>
      <c r="M116" s="43"/>
      <c r="N116" s="46">
        <v>158818.43</v>
      </c>
    </row>
    <row r="117" spans="1:14" hidden="1" x14ac:dyDescent="0.25">
      <c r="A117" s="57"/>
      <c r="B117" s="58"/>
      <c r="C117" s="350" t="s">
        <v>69</v>
      </c>
      <c r="D117" s="350"/>
      <c r="E117" s="350"/>
      <c r="F117" s="34"/>
      <c r="G117" s="35"/>
      <c r="H117" s="35"/>
      <c r="I117" s="35"/>
      <c r="J117" s="38"/>
      <c r="K117" s="35"/>
      <c r="L117" s="66">
        <v>718781.26</v>
      </c>
      <c r="M117" s="54"/>
      <c r="N117" s="60">
        <v>7513342.6799999997</v>
      </c>
    </row>
    <row r="118" spans="1:14" ht="25.5" customHeight="1" x14ac:dyDescent="0.25">
      <c r="A118" s="32" t="s">
        <v>112</v>
      </c>
      <c r="B118" s="33" t="s">
        <v>113</v>
      </c>
      <c r="C118" s="350" t="s">
        <v>114</v>
      </c>
      <c r="D118" s="350"/>
      <c r="E118" s="350"/>
      <c r="F118" s="34" t="s">
        <v>115</v>
      </c>
      <c r="G118" s="35">
        <v>-855</v>
      </c>
      <c r="H118" s="36">
        <v>1</v>
      </c>
      <c r="I118" s="36">
        <v>-855</v>
      </c>
      <c r="J118" s="59">
        <v>188.1</v>
      </c>
      <c r="K118" s="35"/>
      <c r="L118" s="66">
        <v>-160825.5</v>
      </c>
      <c r="M118" s="70">
        <v>9.5</v>
      </c>
      <c r="N118" s="60">
        <v>-1527842.25</v>
      </c>
    </row>
    <row r="119" spans="1:14" hidden="1" x14ac:dyDescent="0.25">
      <c r="A119" s="57"/>
      <c r="B119" s="58"/>
      <c r="C119" s="350" t="s">
        <v>69</v>
      </c>
      <c r="D119" s="350"/>
      <c r="E119" s="350"/>
      <c r="F119" s="34"/>
      <c r="G119" s="35"/>
      <c r="H119" s="35"/>
      <c r="I119" s="35"/>
      <c r="J119" s="38"/>
      <c r="K119" s="35"/>
      <c r="L119" s="66">
        <v>-160825.5</v>
      </c>
      <c r="M119" s="54"/>
      <c r="N119" s="60">
        <v>-1527842.25</v>
      </c>
    </row>
    <row r="120" spans="1:14" x14ac:dyDescent="0.25">
      <c r="A120" s="32" t="s">
        <v>116</v>
      </c>
      <c r="B120" s="33" t="s">
        <v>117</v>
      </c>
      <c r="C120" s="350" t="s">
        <v>118</v>
      </c>
      <c r="D120" s="350"/>
      <c r="E120" s="350"/>
      <c r="F120" s="34" t="s">
        <v>115</v>
      </c>
      <c r="G120" s="35">
        <v>-1710</v>
      </c>
      <c r="H120" s="36">
        <v>1</v>
      </c>
      <c r="I120" s="36">
        <v>-1710</v>
      </c>
      <c r="J120" s="59">
        <v>43.61</v>
      </c>
      <c r="K120" s="35"/>
      <c r="L120" s="66">
        <v>-74573.100000000006</v>
      </c>
      <c r="M120" s="70">
        <v>9.5</v>
      </c>
      <c r="N120" s="60">
        <v>-708444.45</v>
      </c>
    </row>
    <row r="121" spans="1:14" hidden="1" x14ac:dyDescent="0.25">
      <c r="A121" s="57"/>
      <c r="B121" s="58"/>
      <c r="C121" s="350" t="s">
        <v>69</v>
      </c>
      <c r="D121" s="350"/>
      <c r="E121" s="350"/>
      <c r="F121" s="34"/>
      <c r="G121" s="35"/>
      <c r="H121" s="35"/>
      <c r="I121" s="35"/>
      <c r="J121" s="38"/>
      <c r="K121" s="35"/>
      <c r="L121" s="66">
        <v>-74573.100000000006</v>
      </c>
      <c r="M121" s="54"/>
      <c r="N121" s="60">
        <v>-708444.45</v>
      </c>
    </row>
    <row r="122" spans="1:14" ht="22.5" x14ac:dyDescent="0.25">
      <c r="A122" s="32" t="s">
        <v>119</v>
      </c>
      <c r="B122" s="33" t="s">
        <v>120</v>
      </c>
      <c r="C122" s="350" t="s">
        <v>121</v>
      </c>
      <c r="D122" s="350"/>
      <c r="E122" s="350"/>
      <c r="F122" s="34" t="s">
        <v>115</v>
      </c>
      <c r="G122" s="35">
        <v>855</v>
      </c>
      <c r="H122" s="36">
        <v>1</v>
      </c>
      <c r="I122" s="36">
        <v>855</v>
      </c>
      <c r="J122" s="66">
        <v>1379.82</v>
      </c>
      <c r="K122" s="74">
        <v>1.04236</v>
      </c>
      <c r="L122" s="66">
        <v>1229720.1399999999</v>
      </c>
      <c r="M122" s="70">
        <v>9.5</v>
      </c>
      <c r="N122" s="60">
        <v>11682341.33</v>
      </c>
    </row>
    <row r="123" spans="1:14" hidden="1" x14ac:dyDescent="0.25">
      <c r="A123" s="52"/>
      <c r="B123" s="71"/>
      <c r="C123" s="354" t="s">
        <v>122</v>
      </c>
      <c r="D123" s="354"/>
      <c r="E123" s="354"/>
      <c r="F123" s="354"/>
      <c r="G123" s="354"/>
      <c r="H123" s="354"/>
      <c r="I123" s="354"/>
      <c r="J123" s="354"/>
      <c r="K123" s="354"/>
      <c r="L123" s="354"/>
      <c r="M123" s="354"/>
      <c r="N123" s="356"/>
    </row>
    <row r="124" spans="1:14" hidden="1" x14ac:dyDescent="0.25">
      <c r="A124" s="72"/>
      <c r="B124" s="41"/>
      <c r="C124" s="344" t="s">
        <v>123</v>
      </c>
      <c r="D124" s="344"/>
      <c r="E124" s="344"/>
      <c r="F124" s="344"/>
      <c r="G124" s="344"/>
      <c r="H124" s="344"/>
      <c r="I124" s="344"/>
      <c r="J124" s="344"/>
      <c r="K124" s="344"/>
      <c r="L124" s="344"/>
      <c r="M124" s="344"/>
      <c r="N124" s="357"/>
    </row>
    <row r="125" spans="1:14" hidden="1" x14ac:dyDescent="0.25">
      <c r="A125" s="72"/>
      <c r="B125" s="41"/>
      <c r="C125" s="344" t="s">
        <v>108</v>
      </c>
      <c r="D125" s="344"/>
      <c r="E125" s="344"/>
      <c r="F125" s="344"/>
      <c r="G125" s="344"/>
      <c r="H125" s="344"/>
      <c r="I125" s="344"/>
      <c r="J125" s="344"/>
      <c r="K125" s="344"/>
      <c r="L125" s="344"/>
      <c r="M125" s="344"/>
      <c r="N125" s="357"/>
    </row>
    <row r="126" spans="1:14" hidden="1" x14ac:dyDescent="0.25">
      <c r="A126" s="57"/>
      <c r="B126" s="58"/>
      <c r="C126" s="350" t="s">
        <v>69</v>
      </c>
      <c r="D126" s="350"/>
      <c r="E126" s="350"/>
      <c r="F126" s="34"/>
      <c r="G126" s="35"/>
      <c r="H126" s="35"/>
      <c r="I126" s="35"/>
      <c r="J126" s="38"/>
      <c r="K126" s="35"/>
      <c r="L126" s="66">
        <v>1229720.1399999999</v>
      </c>
      <c r="M126" s="54"/>
      <c r="N126" s="60">
        <v>11682341.33</v>
      </c>
    </row>
    <row r="127" spans="1:14" ht="23.25" customHeight="1" x14ac:dyDescent="0.25">
      <c r="A127" s="32" t="s">
        <v>124</v>
      </c>
      <c r="B127" s="33" t="s">
        <v>125</v>
      </c>
      <c r="C127" s="350" t="s">
        <v>126</v>
      </c>
      <c r="D127" s="350"/>
      <c r="E127" s="350"/>
      <c r="F127" s="34" t="s">
        <v>127</v>
      </c>
      <c r="G127" s="35">
        <v>-0.307</v>
      </c>
      <c r="H127" s="36">
        <v>1</v>
      </c>
      <c r="I127" s="67">
        <v>-0.307</v>
      </c>
      <c r="J127" s="66">
        <v>10424</v>
      </c>
      <c r="K127" s="35"/>
      <c r="L127" s="66">
        <v>-3200.17</v>
      </c>
      <c r="M127" s="70">
        <v>9.5</v>
      </c>
      <c r="N127" s="60">
        <v>-30401.62</v>
      </c>
    </row>
    <row r="128" spans="1:14" hidden="1" x14ac:dyDescent="0.25">
      <c r="A128" s="57"/>
      <c r="B128" s="58"/>
      <c r="C128" s="350" t="s">
        <v>69</v>
      </c>
      <c r="D128" s="350"/>
      <c r="E128" s="350"/>
      <c r="F128" s="34"/>
      <c r="G128" s="35"/>
      <c r="H128" s="35"/>
      <c r="I128" s="35"/>
      <c r="J128" s="38"/>
      <c r="K128" s="35"/>
      <c r="L128" s="66">
        <v>-3200.17</v>
      </c>
      <c r="M128" s="54"/>
      <c r="N128" s="60">
        <v>-30401.62</v>
      </c>
    </row>
    <row r="129" spans="1:14" ht="22.5" x14ac:dyDescent="0.25">
      <c r="A129" s="32" t="s">
        <v>128</v>
      </c>
      <c r="B129" s="33" t="s">
        <v>120</v>
      </c>
      <c r="C129" s="350" t="s">
        <v>129</v>
      </c>
      <c r="D129" s="350"/>
      <c r="E129" s="350"/>
      <c r="F129" s="34" t="s">
        <v>130</v>
      </c>
      <c r="G129" s="35">
        <v>0.307</v>
      </c>
      <c r="H129" s="36">
        <v>1</v>
      </c>
      <c r="I129" s="67">
        <v>0.307</v>
      </c>
      <c r="J129" s="66">
        <v>27894.74</v>
      </c>
      <c r="K129" s="74">
        <v>1.04236</v>
      </c>
      <c r="L129" s="66">
        <v>8926.44</v>
      </c>
      <c r="M129" s="70">
        <v>9.5</v>
      </c>
      <c r="N129" s="60">
        <v>84801.18</v>
      </c>
    </row>
    <row r="130" spans="1:14" hidden="1" x14ac:dyDescent="0.25">
      <c r="A130" s="52"/>
      <c r="B130" s="71"/>
      <c r="C130" s="354" t="s">
        <v>131</v>
      </c>
      <c r="D130" s="354"/>
      <c r="E130" s="354"/>
      <c r="F130" s="354"/>
      <c r="G130" s="354"/>
      <c r="H130" s="354"/>
      <c r="I130" s="354"/>
      <c r="J130" s="354"/>
      <c r="K130" s="354"/>
      <c r="L130" s="354"/>
      <c r="M130" s="354"/>
      <c r="N130" s="356"/>
    </row>
    <row r="131" spans="1:14" hidden="1" x14ac:dyDescent="0.25">
      <c r="A131" s="72"/>
      <c r="B131" s="41"/>
      <c r="C131" s="344" t="s">
        <v>123</v>
      </c>
      <c r="D131" s="344"/>
      <c r="E131" s="344"/>
      <c r="F131" s="344"/>
      <c r="G131" s="344"/>
      <c r="H131" s="344"/>
      <c r="I131" s="344"/>
      <c r="J131" s="344"/>
      <c r="K131" s="344"/>
      <c r="L131" s="344"/>
      <c r="M131" s="344"/>
      <c r="N131" s="357"/>
    </row>
    <row r="132" spans="1:14" hidden="1" x14ac:dyDescent="0.25">
      <c r="A132" s="72"/>
      <c r="B132" s="41"/>
      <c r="C132" s="344" t="s">
        <v>108</v>
      </c>
      <c r="D132" s="344"/>
      <c r="E132" s="344"/>
      <c r="F132" s="344"/>
      <c r="G132" s="344"/>
      <c r="H132" s="344"/>
      <c r="I132" s="344"/>
      <c r="J132" s="344"/>
      <c r="K132" s="344"/>
      <c r="L132" s="344"/>
      <c r="M132" s="344"/>
      <c r="N132" s="357"/>
    </row>
    <row r="133" spans="1:14" hidden="1" x14ac:dyDescent="0.25">
      <c r="A133" s="57"/>
      <c r="B133" s="58"/>
      <c r="C133" s="350" t="s">
        <v>69</v>
      </c>
      <c r="D133" s="350"/>
      <c r="E133" s="350"/>
      <c r="F133" s="34"/>
      <c r="G133" s="35"/>
      <c r="H133" s="35"/>
      <c r="I133" s="35"/>
      <c r="J133" s="38"/>
      <c r="K133" s="35"/>
      <c r="L133" s="66">
        <v>8926.44</v>
      </c>
      <c r="M133" s="54"/>
      <c r="N133" s="60">
        <v>84801.18</v>
      </c>
    </row>
    <row r="134" spans="1:14" x14ac:dyDescent="0.25">
      <c r="A134" s="32" t="s">
        <v>132</v>
      </c>
      <c r="B134" s="33" t="s">
        <v>133</v>
      </c>
      <c r="C134" s="350" t="s">
        <v>134</v>
      </c>
      <c r="D134" s="350"/>
      <c r="E134" s="350"/>
      <c r="F134" s="34" t="s">
        <v>115</v>
      </c>
      <c r="G134" s="35">
        <v>-149</v>
      </c>
      <c r="H134" s="36">
        <v>1</v>
      </c>
      <c r="I134" s="36">
        <v>-149</v>
      </c>
      <c r="J134" s="59">
        <v>145.30000000000001</v>
      </c>
      <c r="K134" s="35"/>
      <c r="L134" s="66">
        <v>-21649.7</v>
      </c>
      <c r="M134" s="70">
        <v>9.5</v>
      </c>
      <c r="N134" s="60">
        <v>-205672.15</v>
      </c>
    </row>
    <row r="135" spans="1:14" hidden="1" x14ac:dyDescent="0.25">
      <c r="A135" s="57"/>
      <c r="B135" s="58"/>
      <c r="C135" s="350" t="s">
        <v>69</v>
      </c>
      <c r="D135" s="350"/>
      <c r="E135" s="350"/>
      <c r="F135" s="34"/>
      <c r="G135" s="35"/>
      <c r="H135" s="35"/>
      <c r="I135" s="35"/>
      <c r="J135" s="38"/>
      <c r="K135" s="35"/>
      <c r="L135" s="66">
        <v>-21649.7</v>
      </c>
      <c r="M135" s="54"/>
      <c r="N135" s="60">
        <v>-205672.15</v>
      </c>
    </row>
    <row r="136" spans="1:14" ht="22.5" x14ac:dyDescent="0.25">
      <c r="A136" s="32" t="s">
        <v>135</v>
      </c>
      <c r="B136" s="33" t="s">
        <v>120</v>
      </c>
      <c r="C136" s="350" t="s">
        <v>136</v>
      </c>
      <c r="D136" s="350"/>
      <c r="E136" s="350"/>
      <c r="F136" s="34" t="s">
        <v>130</v>
      </c>
      <c r="G136" s="35">
        <v>3.18</v>
      </c>
      <c r="H136" s="36">
        <v>1</v>
      </c>
      <c r="I136" s="61">
        <v>3.18</v>
      </c>
      <c r="J136" s="66">
        <v>37646.32</v>
      </c>
      <c r="K136" s="74">
        <v>1.04236</v>
      </c>
      <c r="L136" s="66">
        <v>124786.44</v>
      </c>
      <c r="M136" s="70">
        <v>9.5</v>
      </c>
      <c r="N136" s="60">
        <v>1185471.18</v>
      </c>
    </row>
    <row r="137" spans="1:14" hidden="1" x14ac:dyDescent="0.25">
      <c r="A137" s="52"/>
      <c r="B137" s="71"/>
      <c r="C137" s="354" t="s">
        <v>137</v>
      </c>
      <c r="D137" s="354"/>
      <c r="E137" s="354"/>
      <c r="F137" s="354"/>
      <c r="G137" s="354"/>
      <c r="H137" s="354"/>
      <c r="I137" s="354"/>
      <c r="J137" s="354"/>
      <c r="K137" s="354"/>
      <c r="L137" s="354"/>
      <c r="M137" s="354"/>
      <c r="N137" s="356"/>
    </row>
    <row r="138" spans="1:14" hidden="1" x14ac:dyDescent="0.25">
      <c r="A138" s="72"/>
      <c r="B138" s="41"/>
      <c r="C138" s="344" t="s">
        <v>123</v>
      </c>
      <c r="D138" s="344"/>
      <c r="E138" s="344"/>
      <c r="F138" s="344"/>
      <c r="G138" s="344"/>
      <c r="H138" s="344"/>
      <c r="I138" s="344"/>
      <c r="J138" s="344"/>
      <c r="K138" s="344"/>
      <c r="L138" s="344"/>
      <c r="M138" s="344"/>
      <c r="N138" s="357"/>
    </row>
    <row r="139" spans="1:14" hidden="1" x14ac:dyDescent="0.25">
      <c r="A139" s="72"/>
      <c r="B139" s="41"/>
      <c r="C139" s="344" t="s">
        <v>108</v>
      </c>
      <c r="D139" s="344"/>
      <c r="E139" s="344"/>
      <c r="F139" s="344"/>
      <c r="G139" s="344"/>
      <c r="H139" s="344"/>
      <c r="I139" s="344"/>
      <c r="J139" s="344"/>
      <c r="K139" s="344"/>
      <c r="L139" s="344"/>
      <c r="M139" s="344"/>
      <c r="N139" s="357"/>
    </row>
    <row r="140" spans="1:14" hidden="1" x14ac:dyDescent="0.25">
      <c r="A140" s="57"/>
      <c r="B140" s="58"/>
      <c r="C140" s="350" t="s">
        <v>69</v>
      </c>
      <c r="D140" s="350"/>
      <c r="E140" s="350"/>
      <c r="F140" s="34"/>
      <c r="G140" s="35"/>
      <c r="H140" s="35"/>
      <c r="I140" s="35"/>
      <c r="J140" s="38"/>
      <c r="K140" s="35"/>
      <c r="L140" s="66">
        <v>124786.44</v>
      </c>
      <c r="M140" s="54"/>
      <c r="N140" s="60">
        <v>1185471.18</v>
      </c>
    </row>
    <row r="141" spans="1:14" x14ac:dyDescent="0.25">
      <c r="A141" s="32" t="s">
        <v>138</v>
      </c>
      <c r="B141" s="33" t="s">
        <v>139</v>
      </c>
      <c r="C141" s="350" t="s">
        <v>140</v>
      </c>
      <c r="D141" s="350"/>
      <c r="E141" s="350"/>
      <c r="F141" s="34" t="s">
        <v>141</v>
      </c>
      <c r="G141" s="35">
        <v>-929.4</v>
      </c>
      <c r="H141" s="36">
        <v>1</v>
      </c>
      <c r="I141" s="70">
        <v>-929.4</v>
      </c>
      <c r="J141" s="59">
        <v>351.2</v>
      </c>
      <c r="K141" s="35"/>
      <c r="L141" s="66">
        <v>-326405.28000000003</v>
      </c>
      <c r="M141" s="70">
        <v>9.5</v>
      </c>
      <c r="N141" s="60">
        <v>-3100850.16</v>
      </c>
    </row>
    <row r="142" spans="1:14" hidden="1" x14ac:dyDescent="0.25">
      <c r="A142" s="57"/>
      <c r="B142" s="58"/>
      <c r="C142" s="350" t="s">
        <v>69</v>
      </c>
      <c r="D142" s="350"/>
      <c r="E142" s="350"/>
      <c r="F142" s="34"/>
      <c r="G142" s="35"/>
      <c r="H142" s="35"/>
      <c r="I142" s="35"/>
      <c r="J142" s="38"/>
      <c r="K142" s="35"/>
      <c r="L142" s="66">
        <v>-326405.28000000003</v>
      </c>
      <c r="M142" s="54"/>
      <c r="N142" s="60">
        <v>-3100850.16</v>
      </c>
    </row>
    <row r="143" spans="1:14" ht="22.5" x14ac:dyDescent="0.25">
      <c r="A143" s="32" t="s">
        <v>142</v>
      </c>
      <c r="B143" s="33" t="s">
        <v>120</v>
      </c>
      <c r="C143" s="350" t="s">
        <v>143</v>
      </c>
      <c r="D143" s="350"/>
      <c r="E143" s="350"/>
      <c r="F143" s="34" t="s">
        <v>130</v>
      </c>
      <c r="G143" s="35">
        <v>60.75</v>
      </c>
      <c r="H143" s="36">
        <v>1</v>
      </c>
      <c r="I143" s="61">
        <v>60.75</v>
      </c>
      <c r="J143" s="66">
        <v>17543.86</v>
      </c>
      <c r="K143" s="74">
        <v>1.04236</v>
      </c>
      <c r="L143" s="66">
        <v>1110936.3400000001</v>
      </c>
      <c r="M143" s="70">
        <v>9.5</v>
      </c>
      <c r="N143" s="60">
        <v>10553895.23</v>
      </c>
    </row>
    <row r="144" spans="1:14" hidden="1" x14ac:dyDescent="0.25">
      <c r="A144" s="52"/>
      <c r="B144" s="71"/>
      <c r="C144" s="354" t="s">
        <v>144</v>
      </c>
      <c r="D144" s="354"/>
      <c r="E144" s="354"/>
      <c r="F144" s="354"/>
      <c r="G144" s="354"/>
      <c r="H144" s="354"/>
      <c r="I144" s="354"/>
      <c r="J144" s="354"/>
      <c r="K144" s="354"/>
      <c r="L144" s="354"/>
      <c r="M144" s="354"/>
      <c r="N144" s="356"/>
    </row>
    <row r="145" spans="1:14" hidden="1" x14ac:dyDescent="0.25">
      <c r="A145" s="72"/>
      <c r="B145" s="41"/>
      <c r="C145" s="344" t="s">
        <v>123</v>
      </c>
      <c r="D145" s="344"/>
      <c r="E145" s="344"/>
      <c r="F145" s="344"/>
      <c r="G145" s="344"/>
      <c r="H145" s="344"/>
      <c r="I145" s="344"/>
      <c r="J145" s="344"/>
      <c r="K145" s="344"/>
      <c r="L145" s="344"/>
      <c r="M145" s="344"/>
      <c r="N145" s="357"/>
    </row>
    <row r="146" spans="1:14" hidden="1" x14ac:dyDescent="0.25">
      <c r="A146" s="72"/>
      <c r="B146" s="41"/>
      <c r="C146" s="344" t="s">
        <v>108</v>
      </c>
      <c r="D146" s="344"/>
      <c r="E146" s="344"/>
      <c r="F146" s="344"/>
      <c r="G146" s="344"/>
      <c r="H146" s="344"/>
      <c r="I146" s="344"/>
      <c r="J146" s="344"/>
      <c r="K146" s="344"/>
      <c r="L146" s="344"/>
      <c r="M146" s="344"/>
      <c r="N146" s="357"/>
    </row>
    <row r="147" spans="1:14" hidden="1" x14ac:dyDescent="0.25">
      <c r="A147" s="57"/>
      <c r="B147" s="58"/>
      <c r="C147" s="350" t="s">
        <v>69</v>
      </c>
      <c r="D147" s="350"/>
      <c r="E147" s="350"/>
      <c r="F147" s="34"/>
      <c r="G147" s="35"/>
      <c r="H147" s="35"/>
      <c r="I147" s="35"/>
      <c r="J147" s="38"/>
      <c r="K147" s="35"/>
      <c r="L147" s="66">
        <v>1110936.3400000001</v>
      </c>
      <c r="M147" s="54"/>
      <c r="N147" s="60">
        <v>10553895.23</v>
      </c>
    </row>
    <row r="148" spans="1:14" ht="22.5" x14ac:dyDescent="0.25">
      <c r="A148" s="32" t="s">
        <v>145</v>
      </c>
      <c r="B148" s="33" t="s">
        <v>120</v>
      </c>
      <c r="C148" s="350" t="s">
        <v>146</v>
      </c>
      <c r="D148" s="350"/>
      <c r="E148" s="350"/>
      <c r="F148" s="34" t="s">
        <v>147</v>
      </c>
      <c r="G148" s="35">
        <v>16</v>
      </c>
      <c r="H148" s="36">
        <v>1</v>
      </c>
      <c r="I148" s="36">
        <v>16</v>
      </c>
      <c r="J148" s="66">
        <v>1655.79</v>
      </c>
      <c r="K148" s="74">
        <v>1.04236</v>
      </c>
      <c r="L148" s="66">
        <v>27614.87</v>
      </c>
      <c r="M148" s="70">
        <v>9.5</v>
      </c>
      <c r="N148" s="60">
        <v>262341.27</v>
      </c>
    </row>
    <row r="149" spans="1:14" hidden="1" x14ac:dyDescent="0.25">
      <c r="A149" s="52"/>
      <c r="B149" s="71"/>
      <c r="C149" s="354" t="s">
        <v>148</v>
      </c>
      <c r="D149" s="354"/>
      <c r="E149" s="354"/>
      <c r="F149" s="354"/>
      <c r="G149" s="354"/>
      <c r="H149" s="354"/>
      <c r="I149" s="354"/>
      <c r="J149" s="354"/>
      <c r="K149" s="354"/>
      <c r="L149" s="354"/>
      <c r="M149" s="354"/>
      <c r="N149" s="356"/>
    </row>
    <row r="150" spans="1:14" hidden="1" x14ac:dyDescent="0.25">
      <c r="A150" s="72"/>
      <c r="B150" s="41"/>
      <c r="C150" s="344" t="s">
        <v>123</v>
      </c>
      <c r="D150" s="344"/>
      <c r="E150" s="344"/>
      <c r="F150" s="344"/>
      <c r="G150" s="344"/>
      <c r="H150" s="344"/>
      <c r="I150" s="344"/>
      <c r="J150" s="344"/>
      <c r="K150" s="344"/>
      <c r="L150" s="344"/>
      <c r="M150" s="344"/>
      <c r="N150" s="357"/>
    </row>
    <row r="151" spans="1:14" hidden="1" x14ac:dyDescent="0.25">
      <c r="A151" s="72"/>
      <c r="B151" s="41"/>
      <c r="C151" s="344" t="s">
        <v>108</v>
      </c>
      <c r="D151" s="344"/>
      <c r="E151" s="344"/>
      <c r="F151" s="344"/>
      <c r="G151" s="344"/>
      <c r="H151" s="344"/>
      <c r="I151" s="344"/>
      <c r="J151" s="344"/>
      <c r="K151" s="344"/>
      <c r="L151" s="344"/>
      <c r="M151" s="344"/>
      <c r="N151" s="357"/>
    </row>
    <row r="152" spans="1:14" hidden="1" x14ac:dyDescent="0.25">
      <c r="A152" s="57"/>
      <c r="B152" s="58"/>
      <c r="C152" s="350" t="s">
        <v>69</v>
      </c>
      <c r="D152" s="350"/>
      <c r="E152" s="350"/>
      <c r="F152" s="34"/>
      <c r="G152" s="35"/>
      <c r="H152" s="35"/>
      <c r="I152" s="35"/>
      <c r="J152" s="38"/>
      <c r="K152" s="35"/>
      <c r="L152" s="66">
        <v>27614.87</v>
      </c>
      <c r="M152" s="54"/>
      <c r="N152" s="60">
        <v>262341.27</v>
      </c>
    </row>
    <row r="153" spans="1:14" ht="24.75" customHeight="1" x14ac:dyDescent="0.25">
      <c r="A153" s="32" t="s">
        <v>149</v>
      </c>
      <c r="B153" s="33" t="s">
        <v>150</v>
      </c>
      <c r="C153" s="350" t="s">
        <v>151</v>
      </c>
      <c r="D153" s="350"/>
      <c r="E153" s="350"/>
      <c r="F153" s="34" t="s">
        <v>152</v>
      </c>
      <c r="G153" s="35">
        <v>6.84</v>
      </c>
      <c r="H153" s="36">
        <v>1</v>
      </c>
      <c r="I153" s="61">
        <v>6.84</v>
      </c>
      <c r="J153" s="38"/>
      <c r="K153" s="35"/>
      <c r="L153" s="38"/>
      <c r="M153" s="35"/>
      <c r="N153" s="39"/>
    </row>
    <row r="154" spans="1:14" hidden="1" x14ac:dyDescent="0.25">
      <c r="A154" s="40"/>
      <c r="B154" s="41" t="s">
        <v>55</v>
      </c>
      <c r="C154" s="354" t="s">
        <v>59</v>
      </c>
      <c r="D154" s="354"/>
      <c r="E154" s="354"/>
      <c r="F154" s="42"/>
      <c r="G154" s="43"/>
      <c r="H154" s="43"/>
      <c r="I154" s="43"/>
      <c r="J154" s="44">
        <v>3.05</v>
      </c>
      <c r="K154" s="43"/>
      <c r="L154" s="44">
        <v>20.86</v>
      </c>
      <c r="M154" s="45">
        <v>52.21</v>
      </c>
      <c r="N154" s="46">
        <v>1089.0999999999999</v>
      </c>
    </row>
    <row r="155" spans="1:14" hidden="1" x14ac:dyDescent="0.25">
      <c r="A155" s="47"/>
      <c r="B155" s="41"/>
      <c r="C155" s="354" t="s">
        <v>60</v>
      </c>
      <c r="D155" s="354"/>
      <c r="E155" s="354"/>
      <c r="F155" s="42" t="s">
        <v>61</v>
      </c>
      <c r="G155" s="45">
        <v>0.34</v>
      </c>
      <c r="H155" s="43"/>
      <c r="I155" s="64">
        <v>2.3256000000000001</v>
      </c>
      <c r="J155" s="50"/>
      <c r="K155" s="43"/>
      <c r="L155" s="50"/>
      <c r="M155" s="43"/>
      <c r="N155" s="51"/>
    </row>
    <row r="156" spans="1:14" hidden="1" x14ac:dyDescent="0.25">
      <c r="A156" s="52"/>
      <c r="B156" s="41"/>
      <c r="C156" s="355" t="s">
        <v>62</v>
      </c>
      <c r="D156" s="355"/>
      <c r="E156" s="355"/>
      <c r="F156" s="53"/>
      <c r="G156" s="54"/>
      <c r="H156" s="54"/>
      <c r="I156" s="54"/>
      <c r="J156" s="55">
        <v>3.05</v>
      </c>
      <c r="K156" s="54"/>
      <c r="L156" s="55">
        <v>20.86</v>
      </c>
      <c r="M156" s="54"/>
      <c r="N156" s="56">
        <v>1089.0999999999999</v>
      </c>
    </row>
    <row r="157" spans="1:14" hidden="1" x14ac:dyDescent="0.25">
      <c r="A157" s="47"/>
      <c r="B157" s="41"/>
      <c r="C157" s="354" t="s">
        <v>63</v>
      </c>
      <c r="D157" s="354"/>
      <c r="E157" s="354"/>
      <c r="F157" s="42"/>
      <c r="G157" s="43"/>
      <c r="H157" s="43"/>
      <c r="I157" s="43"/>
      <c r="J157" s="50"/>
      <c r="K157" s="43"/>
      <c r="L157" s="44">
        <v>20.86</v>
      </c>
      <c r="M157" s="43"/>
      <c r="N157" s="46">
        <v>1089.0999999999999</v>
      </c>
    </row>
    <row r="158" spans="1:14" ht="22.5" hidden="1" x14ac:dyDescent="0.25">
      <c r="A158" s="47"/>
      <c r="B158" s="41" t="s">
        <v>153</v>
      </c>
      <c r="C158" s="354" t="s">
        <v>154</v>
      </c>
      <c r="D158" s="354"/>
      <c r="E158" s="354"/>
      <c r="F158" s="42" t="s">
        <v>66</v>
      </c>
      <c r="G158" s="48">
        <v>93</v>
      </c>
      <c r="H158" s="43"/>
      <c r="I158" s="48">
        <v>93</v>
      </c>
      <c r="J158" s="50"/>
      <c r="K158" s="43"/>
      <c r="L158" s="44">
        <v>19.399999999999999</v>
      </c>
      <c r="M158" s="43"/>
      <c r="N158" s="46">
        <v>1012.86</v>
      </c>
    </row>
    <row r="159" spans="1:14" ht="45" hidden="1" x14ac:dyDescent="0.25">
      <c r="A159" s="47"/>
      <c r="B159" s="41" t="s">
        <v>155</v>
      </c>
      <c r="C159" s="354" t="s">
        <v>156</v>
      </c>
      <c r="D159" s="354"/>
      <c r="E159" s="354"/>
      <c r="F159" s="42" t="s">
        <v>66</v>
      </c>
      <c r="G159" s="48">
        <v>62</v>
      </c>
      <c r="H159" s="45">
        <v>0.85</v>
      </c>
      <c r="I159" s="63">
        <v>52.7</v>
      </c>
      <c r="J159" s="50"/>
      <c r="K159" s="43"/>
      <c r="L159" s="44">
        <v>10.99</v>
      </c>
      <c r="M159" s="43"/>
      <c r="N159" s="69">
        <v>573.96</v>
      </c>
    </row>
    <row r="160" spans="1:14" hidden="1" x14ac:dyDescent="0.25">
      <c r="A160" s="57"/>
      <c r="B160" s="58"/>
      <c r="C160" s="350" t="s">
        <v>69</v>
      </c>
      <c r="D160" s="350"/>
      <c r="E160" s="350"/>
      <c r="F160" s="34"/>
      <c r="G160" s="35"/>
      <c r="H160" s="35"/>
      <c r="I160" s="35"/>
      <c r="J160" s="38"/>
      <c r="K160" s="35"/>
      <c r="L160" s="59">
        <v>51.25</v>
      </c>
      <c r="M160" s="54"/>
      <c r="N160" s="60">
        <v>2675.92</v>
      </c>
    </row>
    <row r="161" spans="1:14" ht="27.75" customHeight="1" x14ac:dyDescent="0.25">
      <c r="A161" s="32" t="s">
        <v>157</v>
      </c>
      <c r="B161" s="33" t="s">
        <v>158</v>
      </c>
      <c r="C161" s="350" t="s">
        <v>159</v>
      </c>
      <c r="D161" s="350"/>
      <c r="E161" s="350"/>
      <c r="F161" s="34" t="s">
        <v>160</v>
      </c>
      <c r="G161" s="35">
        <v>0.2051</v>
      </c>
      <c r="H161" s="36">
        <v>1</v>
      </c>
      <c r="I161" s="37">
        <v>0.2051</v>
      </c>
      <c r="J161" s="38"/>
      <c r="K161" s="35"/>
      <c r="L161" s="38"/>
      <c r="M161" s="35"/>
      <c r="N161" s="39"/>
    </row>
    <row r="162" spans="1:14" hidden="1" x14ac:dyDescent="0.25">
      <c r="A162" s="40"/>
      <c r="B162" s="41" t="s">
        <v>55</v>
      </c>
      <c r="C162" s="354" t="s">
        <v>59</v>
      </c>
      <c r="D162" s="354"/>
      <c r="E162" s="354"/>
      <c r="F162" s="42"/>
      <c r="G162" s="43"/>
      <c r="H162" s="43"/>
      <c r="I162" s="43"/>
      <c r="J162" s="62">
        <v>1139.8</v>
      </c>
      <c r="K162" s="43"/>
      <c r="L162" s="44">
        <v>233.77</v>
      </c>
      <c r="M162" s="45">
        <v>52.21</v>
      </c>
      <c r="N162" s="46">
        <v>12205.13</v>
      </c>
    </row>
    <row r="163" spans="1:14" hidden="1" x14ac:dyDescent="0.25">
      <c r="A163" s="40"/>
      <c r="B163" s="41" t="s">
        <v>70</v>
      </c>
      <c r="C163" s="354" t="s">
        <v>74</v>
      </c>
      <c r="D163" s="354"/>
      <c r="E163" s="354"/>
      <c r="F163" s="42"/>
      <c r="G163" s="43"/>
      <c r="H163" s="43"/>
      <c r="I163" s="43"/>
      <c r="J163" s="62">
        <v>12219.98</v>
      </c>
      <c r="K163" s="43"/>
      <c r="L163" s="62">
        <v>2506.3200000000002</v>
      </c>
      <c r="M163" s="45">
        <v>15.71</v>
      </c>
      <c r="N163" s="46">
        <v>39374.29</v>
      </c>
    </row>
    <row r="164" spans="1:14" hidden="1" x14ac:dyDescent="0.25">
      <c r="A164" s="40"/>
      <c r="B164" s="41" t="s">
        <v>75</v>
      </c>
      <c r="C164" s="354" t="s">
        <v>76</v>
      </c>
      <c r="D164" s="354"/>
      <c r="E164" s="354"/>
      <c r="F164" s="42"/>
      <c r="G164" s="43"/>
      <c r="H164" s="43"/>
      <c r="I164" s="43"/>
      <c r="J164" s="44">
        <v>801.81</v>
      </c>
      <c r="K164" s="43"/>
      <c r="L164" s="44">
        <v>164.45</v>
      </c>
      <c r="M164" s="45">
        <v>52.21</v>
      </c>
      <c r="N164" s="46">
        <v>8585.93</v>
      </c>
    </row>
    <row r="165" spans="1:14" hidden="1" x14ac:dyDescent="0.25">
      <c r="A165" s="40"/>
      <c r="B165" s="41" t="s">
        <v>88</v>
      </c>
      <c r="C165" s="354" t="s">
        <v>98</v>
      </c>
      <c r="D165" s="354"/>
      <c r="E165" s="354"/>
      <c r="F165" s="42"/>
      <c r="G165" s="43"/>
      <c r="H165" s="43"/>
      <c r="I165" s="43"/>
      <c r="J165" s="62">
        <v>230267.7</v>
      </c>
      <c r="K165" s="43"/>
      <c r="L165" s="62">
        <v>47227.91</v>
      </c>
      <c r="M165" s="63">
        <v>9.5</v>
      </c>
      <c r="N165" s="46">
        <v>448665.15</v>
      </c>
    </row>
    <row r="166" spans="1:14" hidden="1" x14ac:dyDescent="0.25">
      <c r="A166" s="47"/>
      <c r="B166" s="41"/>
      <c r="C166" s="354" t="s">
        <v>60</v>
      </c>
      <c r="D166" s="354"/>
      <c r="E166" s="354"/>
      <c r="F166" s="42" t="s">
        <v>61</v>
      </c>
      <c r="G166" s="45">
        <v>137.16</v>
      </c>
      <c r="H166" s="43"/>
      <c r="I166" s="73">
        <v>28.131516000000001</v>
      </c>
      <c r="J166" s="50"/>
      <c r="K166" s="43"/>
      <c r="L166" s="50"/>
      <c r="M166" s="43"/>
      <c r="N166" s="51"/>
    </row>
    <row r="167" spans="1:14" hidden="1" x14ac:dyDescent="0.25">
      <c r="A167" s="47"/>
      <c r="B167" s="41"/>
      <c r="C167" s="354" t="s">
        <v>77</v>
      </c>
      <c r="D167" s="354"/>
      <c r="E167" s="354"/>
      <c r="F167" s="42" t="s">
        <v>61</v>
      </c>
      <c r="G167" s="45">
        <v>53.69</v>
      </c>
      <c r="H167" s="43"/>
      <c r="I167" s="73">
        <v>11.011818999999999</v>
      </c>
      <c r="J167" s="50"/>
      <c r="K167" s="43"/>
      <c r="L167" s="50"/>
      <c r="M167" s="43"/>
      <c r="N167" s="51"/>
    </row>
    <row r="168" spans="1:14" hidden="1" x14ac:dyDescent="0.25">
      <c r="A168" s="52"/>
      <c r="B168" s="41"/>
      <c r="C168" s="355" t="s">
        <v>62</v>
      </c>
      <c r="D168" s="355"/>
      <c r="E168" s="355"/>
      <c r="F168" s="53"/>
      <c r="G168" s="54"/>
      <c r="H168" s="54"/>
      <c r="I168" s="54"/>
      <c r="J168" s="65">
        <v>243627.48</v>
      </c>
      <c r="K168" s="54"/>
      <c r="L168" s="65">
        <v>49968</v>
      </c>
      <c r="M168" s="54"/>
      <c r="N168" s="56">
        <v>500244.57</v>
      </c>
    </row>
    <row r="169" spans="1:14" hidden="1" x14ac:dyDescent="0.25">
      <c r="A169" s="47"/>
      <c r="B169" s="41"/>
      <c r="C169" s="354" t="s">
        <v>63</v>
      </c>
      <c r="D169" s="354"/>
      <c r="E169" s="354"/>
      <c r="F169" s="42"/>
      <c r="G169" s="43"/>
      <c r="H169" s="43"/>
      <c r="I169" s="43"/>
      <c r="J169" s="50"/>
      <c r="K169" s="43"/>
      <c r="L169" s="44">
        <v>398.22</v>
      </c>
      <c r="M169" s="43"/>
      <c r="N169" s="46">
        <v>20791.060000000001</v>
      </c>
    </row>
    <row r="170" spans="1:14" ht="22.5" hidden="1" x14ac:dyDescent="0.25">
      <c r="A170" s="47"/>
      <c r="B170" s="41" t="s">
        <v>78</v>
      </c>
      <c r="C170" s="354" t="s">
        <v>79</v>
      </c>
      <c r="D170" s="354"/>
      <c r="E170" s="354"/>
      <c r="F170" s="42" t="s">
        <v>66</v>
      </c>
      <c r="G170" s="48">
        <v>109</v>
      </c>
      <c r="H170" s="43"/>
      <c r="I170" s="48">
        <v>109</v>
      </c>
      <c r="J170" s="50"/>
      <c r="K170" s="43"/>
      <c r="L170" s="44">
        <v>434.06</v>
      </c>
      <c r="M170" s="43"/>
      <c r="N170" s="46">
        <v>22662.26</v>
      </c>
    </row>
    <row r="171" spans="1:14" ht="45" hidden="1" x14ac:dyDescent="0.25">
      <c r="A171" s="47"/>
      <c r="B171" s="41" t="s">
        <v>80</v>
      </c>
      <c r="C171" s="354" t="s">
        <v>81</v>
      </c>
      <c r="D171" s="354"/>
      <c r="E171" s="354"/>
      <c r="F171" s="42" t="s">
        <v>66</v>
      </c>
      <c r="G171" s="48">
        <v>65</v>
      </c>
      <c r="H171" s="45">
        <v>0.85</v>
      </c>
      <c r="I171" s="45">
        <v>55.25</v>
      </c>
      <c r="J171" s="50"/>
      <c r="K171" s="43"/>
      <c r="L171" s="44">
        <v>220.02</v>
      </c>
      <c r="M171" s="43"/>
      <c r="N171" s="46">
        <v>11487.06</v>
      </c>
    </row>
    <row r="172" spans="1:14" hidden="1" x14ac:dyDescent="0.25">
      <c r="A172" s="57"/>
      <c r="B172" s="58"/>
      <c r="C172" s="350" t="s">
        <v>69</v>
      </c>
      <c r="D172" s="350"/>
      <c r="E172" s="350"/>
      <c r="F172" s="34"/>
      <c r="G172" s="35"/>
      <c r="H172" s="35"/>
      <c r="I172" s="35"/>
      <c r="J172" s="38"/>
      <c r="K172" s="35"/>
      <c r="L172" s="66">
        <v>50622.080000000002</v>
      </c>
      <c r="M172" s="54"/>
      <c r="N172" s="60">
        <v>534393.89</v>
      </c>
    </row>
    <row r="173" spans="1:14" x14ac:dyDescent="0.25">
      <c r="A173" s="351" t="s">
        <v>161</v>
      </c>
      <c r="B173" s="352"/>
      <c r="C173" s="352"/>
      <c r="D173" s="352"/>
      <c r="E173" s="352"/>
      <c r="F173" s="352"/>
      <c r="G173" s="352"/>
      <c r="H173" s="352"/>
      <c r="I173" s="352"/>
      <c r="J173" s="352"/>
      <c r="K173" s="352"/>
      <c r="L173" s="352"/>
      <c r="M173" s="352"/>
      <c r="N173" s="353"/>
    </row>
    <row r="174" spans="1:14" ht="42" customHeight="1" x14ac:dyDescent="0.25">
      <c r="A174" s="32" t="s">
        <v>162</v>
      </c>
      <c r="B174" s="33" t="s">
        <v>163</v>
      </c>
      <c r="C174" s="350" t="s">
        <v>164</v>
      </c>
      <c r="D174" s="350"/>
      <c r="E174" s="350"/>
      <c r="F174" s="34" t="s">
        <v>165</v>
      </c>
      <c r="G174" s="35">
        <v>829.75</v>
      </c>
      <c r="H174" s="36">
        <v>1</v>
      </c>
      <c r="I174" s="61">
        <v>829.75</v>
      </c>
      <c r="J174" s="59">
        <v>3.28</v>
      </c>
      <c r="K174" s="35"/>
      <c r="L174" s="66">
        <v>2721.58</v>
      </c>
      <c r="M174" s="61">
        <v>15.71</v>
      </c>
      <c r="N174" s="60">
        <v>42756.02</v>
      </c>
    </row>
    <row r="175" spans="1:14" ht="24" hidden="1" customHeight="1" x14ac:dyDescent="0.25">
      <c r="A175" s="57"/>
      <c r="B175" s="58"/>
      <c r="C175" s="350" t="s">
        <v>69</v>
      </c>
      <c r="D175" s="350"/>
      <c r="E175" s="350"/>
      <c r="F175" s="34"/>
      <c r="G175" s="35"/>
      <c r="H175" s="35"/>
      <c r="I175" s="35"/>
      <c r="J175" s="38"/>
      <c r="K175" s="35"/>
      <c r="L175" s="66">
        <v>2721.58</v>
      </c>
      <c r="M175" s="54"/>
      <c r="N175" s="60">
        <v>42756.02</v>
      </c>
    </row>
    <row r="176" spans="1:14" ht="45.75" customHeight="1" x14ac:dyDescent="0.25">
      <c r="A176" s="32" t="s">
        <v>166</v>
      </c>
      <c r="B176" s="33" t="s">
        <v>167</v>
      </c>
      <c r="C176" s="350" t="s">
        <v>168</v>
      </c>
      <c r="D176" s="350"/>
      <c r="E176" s="350"/>
      <c r="F176" s="34" t="s">
        <v>165</v>
      </c>
      <c r="G176" s="35">
        <v>86.37</v>
      </c>
      <c r="H176" s="36">
        <v>1</v>
      </c>
      <c r="I176" s="61">
        <v>86.37</v>
      </c>
      <c r="J176" s="59">
        <v>8.39</v>
      </c>
      <c r="K176" s="35"/>
      <c r="L176" s="59">
        <v>724.64</v>
      </c>
      <c r="M176" s="61">
        <v>15.71</v>
      </c>
      <c r="N176" s="60">
        <v>11384.09</v>
      </c>
    </row>
    <row r="177" spans="1:14" hidden="1" x14ac:dyDescent="0.25">
      <c r="A177" s="57"/>
      <c r="B177" s="58"/>
      <c r="C177" s="350" t="s">
        <v>69</v>
      </c>
      <c r="D177" s="350"/>
      <c r="E177" s="350"/>
      <c r="F177" s="34"/>
      <c r="G177" s="35"/>
      <c r="H177" s="35"/>
      <c r="I177" s="35"/>
      <c r="J177" s="38"/>
      <c r="K177" s="35"/>
      <c r="L177" s="59">
        <v>724.64</v>
      </c>
      <c r="M177" s="54"/>
      <c r="N177" s="60">
        <v>11384.09</v>
      </c>
    </row>
    <row r="178" spans="1:14" ht="29.25" customHeight="1" x14ac:dyDescent="0.25">
      <c r="A178" s="32" t="s">
        <v>169</v>
      </c>
      <c r="B178" s="33" t="s">
        <v>170</v>
      </c>
      <c r="C178" s="350" t="s">
        <v>171</v>
      </c>
      <c r="D178" s="350"/>
      <c r="E178" s="350"/>
      <c r="F178" s="34" t="s">
        <v>165</v>
      </c>
      <c r="G178" s="35">
        <v>133.68</v>
      </c>
      <c r="H178" s="36">
        <v>1</v>
      </c>
      <c r="I178" s="61">
        <v>133.68</v>
      </c>
      <c r="J178" s="59">
        <v>10.88</v>
      </c>
      <c r="K178" s="35"/>
      <c r="L178" s="66">
        <v>1454.44</v>
      </c>
      <c r="M178" s="61">
        <v>15.71</v>
      </c>
      <c r="N178" s="60">
        <v>22849.25</v>
      </c>
    </row>
    <row r="179" spans="1:14" hidden="1" x14ac:dyDescent="0.25">
      <c r="A179" s="57"/>
      <c r="B179" s="58"/>
      <c r="C179" s="350" t="s">
        <v>69</v>
      </c>
      <c r="D179" s="350"/>
      <c r="E179" s="350"/>
      <c r="F179" s="34"/>
      <c r="G179" s="35"/>
      <c r="H179" s="35"/>
      <c r="I179" s="35"/>
      <c r="J179" s="38"/>
      <c r="K179" s="35"/>
      <c r="L179" s="66">
        <v>1454.44</v>
      </c>
      <c r="M179" s="54"/>
      <c r="N179" s="60">
        <v>22849.25</v>
      </c>
    </row>
    <row r="180" spans="1:14" ht="31.5" customHeight="1" x14ac:dyDescent="0.25">
      <c r="A180" s="32" t="s">
        <v>172</v>
      </c>
      <c r="B180" s="33" t="s">
        <v>173</v>
      </c>
      <c r="C180" s="350" t="s">
        <v>174</v>
      </c>
      <c r="D180" s="350"/>
      <c r="E180" s="350"/>
      <c r="F180" s="34" t="s">
        <v>165</v>
      </c>
      <c r="G180" s="35">
        <v>1049.8</v>
      </c>
      <c r="H180" s="36">
        <v>1</v>
      </c>
      <c r="I180" s="70">
        <v>1049.8</v>
      </c>
      <c r="J180" s="59">
        <v>3.86</v>
      </c>
      <c r="K180" s="35"/>
      <c r="L180" s="66">
        <v>4052.23</v>
      </c>
      <c r="M180" s="61">
        <v>16.22</v>
      </c>
      <c r="N180" s="60">
        <v>65727.17</v>
      </c>
    </row>
    <row r="181" spans="1:14" hidden="1" x14ac:dyDescent="0.25">
      <c r="A181" s="57"/>
      <c r="B181" s="58"/>
      <c r="C181" s="350" t="s">
        <v>69</v>
      </c>
      <c r="D181" s="350"/>
      <c r="E181" s="350"/>
      <c r="F181" s="34"/>
      <c r="G181" s="35"/>
      <c r="H181" s="35"/>
      <c r="I181" s="35"/>
      <c r="J181" s="38"/>
      <c r="K181" s="35"/>
      <c r="L181" s="66">
        <v>4052.23</v>
      </c>
      <c r="M181" s="54"/>
      <c r="N181" s="60">
        <v>65727.17</v>
      </c>
    </row>
    <row r="182" spans="1:14" hidden="1" x14ac:dyDescent="0.25">
      <c r="A182" s="75"/>
      <c r="B182" s="76"/>
      <c r="C182" s="77"/>
      <c r="D182" s="77"/>
      <c r="E182" s="77"/>
      <c r="F182" s="77"/>
      <c r="G182" s="78"/>
      <c r="H182" s="78"/>
      <c r="I182" s="78"/>
      <c r="J182" s="78"/>
      <c r="K182" s="79"/>
      <c r="L182" s="78"/>
      <c r="M182" s="79"/>
      <c r="N182" s="80"/>
    </row>
    <row r="183" spans="1:14" hidden="1" x14ac:dyDescent="0.25">
      <c r="A183" s="57"/>
      <c r="B183" s="81"/>
      <c r="C183" s="349" t="s">
        <v>175</v>
      </c>
      <c r="D183" s="349"/>
      <c r="E183" s="349"/>
      <c r="F183" s="349"/>
      <c r="G183" s="349"/>
      <c r="H183" s="349"/>
      <c r="I183" s="349"/>
      <c r="J183" s="349"/>
      <c r="K183" s="349"/>
      <c r="L183" s="82"/>
      <c r="M183" s="83"/>
      <c r="N183" s="84"/>
    </row>
    <row r="184" spans="1:14" hidden="1" x14ac:dyDescent="0.25">
      <c r="A184" s="85"/>
      <c r="B184" s="41"/>
      <c r="C184" s="348" t="s">
        <v>176</v>
      </c>
      <c r="D184" s="348"/>
      <c r="E184" s="348"/>
      <c r="F184" s="348"/>
      <c r="G184" s="348"/>
      <c r="H184" s="348"/>
      <c r="I184" s="348"/>
      <c r="J184" s="348"/>
      <c r="K184" s="348"/>
      <c r="L184" s="86">
        <v>2877681</v>
      </c>
      <c r="M184" s="87"/>
      <c r="N184" s="88">
        <v>27916003.48</v>
      </c>
    </row>
    <row r="185" spans="1:14" hidden="1" x14ac:dyDescent="0.25">
      <c r="A185" s="85"/>
      <c r="B185" s="41"/>
      <c r="C185" s="348" t="s">
        <v>177</v>
      </c>
      <c r="D185" s="348"/>
      <c r="E185" s="348"/>
      <c r="F185" s="348"/>
      <c r="G185" s="348"/>
      <c r="H185" s="348"/>
      <c r="I185" s="348"/>
      <c r="J185" s="348"/>
      <c r="K185" s="348"/>
      <c r="L185" s="89"/>
      <c r="M185" s="87"/>
      <c r="N185" s="90"/>
    </row>
    <row r="186" spans="1:14" hidden="1" x14ac:dyDescent="0.25">
      <c r="A186" s="85"/>
      <c r="B186" s="41"/>
      <c r="C186" s="348" t="s">
        <v>178</v>
      </c>
      <c r="D186" s="348"/>
      <c r="E186" s="348"/>
      <c r="F186" s="348"/>
      <c r="G186" s="348"/>
      <c r="H186" s="348"/>
      <c r="I186" s="348"/>
      <c r="J186" s="348"/>
      <c r="K186" s="348"/>
      <c r="L186" s="86">
        <v>6107.77</v>
      </c>
      <c r="M186" s="87"/>
      <c r="N186" s="88">
        <v>318886.68</v>
      </c>
    </row>
    <row r="187" spans="1:14" hidden="1" x14ac:dyDescent="0.25">
      <c r="A187" s="85"/>
      <c r="B187" s="41"/>
      <c r="C187" s="348" t="s">
        <v>179</v>
      </c>
      <c r="D187" s="348"/>
      <c r="E187" s="348"/>
      <c r="F187" s="348"/>
      <c r="G187" s="348"/>
      <c r="H187" s="348"/>
      <c r="I187" s="348"/>
      <c r="J187" s="348"/>
      <c r="K187" s="348"/>
      <c r="L187" s="86">
        <v>41788.57</v>
      </c>
      <c r="M187" s="87"/>
      <c r="N187" s="88">
        <v>656498.43999999994</v>
      </c>
    </row>
    <row r="188" spans="1:14" hidden="1" x14ac:dyDescent="0.25">
      <c r="A188" s="85"/>
      <c r="B188" s="41"/>
      <c r="C188" s="348" t="s">
        <v>180</v>
      </c>
      <c r="D188" s="348"/>
      <c r="E188" s="348"/>
      <c r="F188" s="348"/>
      <c r="G188" s="348"/>
      <c r="H188" s="348"/>
      <c r="I188" s="348"/>
      <c r="J188" s="348"/>
      <c r="K188" s="348"/>
      <c r="L188" s="86">
        <v>2499.0300000000002</v>
      </c>
      <c r="M188" s="87"/>
      <c r="N188" s="88">
        <v>130474.35</v>
      </c>
    </row>
    <row r="189" spans="1:14" hidden="1" x14ac:dyDescent="0.25">
      <c r="A189" s="85"/>
      <c r="B189" s="41"/>
      <c r="C189" s="348" t="s">
        <v>181</v>
      </c>
      <c r="D189" s="348"/>
      <c r="E189" s="348"/>
      <c r="F189" s="348"/>
      <c r="G189" s="348"/>
      <c r="H189" s="348"/>
      <c r="I189" s="348"/>
      <c r="J189" s="348"/>
      <c r="K189" s="348"/>
      <c r="L189" s="86">
        <v>2823010.85</v>
      </c>
      <c r="M189" s="87"/>
      <c r="N189" s="88">
        <v>26832135.170000002</v>
      </c>
    </row>
    <row r="190" spans="1:14" hidden="1" x14ac:dyDescent="0.25">
      <c r="A190" s="85"/>
      <c r="B190" s="41"/>
      <c r="C190" s="348" t="s">
        <v>182</v>
      </c>
      <c r="D190" s="348"/>
      <c r="E190" s="348"/>
      <c r="F190" s="348"/>
      <c r="G190" s="348"/>
      <c r="H190" s="348"/>
      <c r="I190" s="348"/>
      <c r="J190" s="348"/>
      <c r="K190" s="348"/>
      <c r="L190" s="89"/>
      <c r="M190" s="87"/>
      <c r="N190" s="90"/>
    </row>
    <row r="191" spans="1:14" hidden="1" x14ac:dyDescent="0.25">
      <c r="A191" s="85"/>
      <c r="B191" s="41"/>
      <c r="C191" s="348" t="s">
        <v>183</v>
      </c>
      <c r="D191" s="348"/>
      <c r="E191" s="348"/>
      <c r="F191" s="348"/>
      <c r="G191" s="348"/>
      <c r="H191" s="348"/>
      <c r="I191" s="348"/>
      <c r="J191" s="348"/>
      <c r="K191" s="348"/>
      <c r="L191" s="86">
        <v>2821556.41</v>
      </c>
      <c r="M191" s="87"/>
      <c r="N191" s="88">
        <v>26809285.920000002</v>
      </c>
    </row>
    <row r="192" spans="1:14" hidden="1" x14ac:dyDescent="0.25">
      <c r="A192" s="85"/>
      <c r="B192" s="41"/>
      <c r="C192" s="348" t="s">
        <v>184</v>
      </c>
      <c r="D192" s="348"/>
      <c r="E192" s="348"/>
      <c r="F192" s="348"/>
      <c r="G192" s="348"/>
      <c r="H192" s="348"/>
      <c r="I192" s="348"/>
      <c r="J192" s="348"/>
      <c r="K192" s="348"/>
      <c r="L192" s="86">
        <v>1454.44</v>
      </c>
      <c r="M192" s="87"/>
      <c r="N192" s="88">
        <v>22849.25</v>
      </c>
    </row>
    <row r="193" spans="1:14" hidden="1" x14ac:dyDescent="0.25">
      <c r="A193" s="85"/>
      <c r="B193" s="41"/>
      <c r="C193" s="348" t="s">
        <v>185</v>
      </c>
      <c r="D193" s="348"/>
      <c r="E193" s="348"/>
      <c r="F193" s="348"/>
      <c r="G193" s="348"/>
      <c r="H193" s="348"/>
      <c r="I193" s="348"/>
      <c r="J193" s="348"/>
      <c r="K193" s="348"/>
      <c r="L193" s="86">
        <v>6773.81</v>
      </c>
      <c r="M193" s="87"/>
      <c r="N193" s="88">
        <v>108483.19</v>
      </c>
    </row>
    <row r="194" spans="1:14" hidden="1" x14ac:dyDescent="0.25">
      <c r="A194" s="85"/>
      <c r="B194" s="41"/>
      <c r="C194" s="348" t="s">
        <v>186</v>
      </c>
      <c r="D194" s="348"/>
      <c r="E194" s="348"/>
      <c r="F194" s="348"/>
      <c r="G194" s="348"/>
      <c r="H194" s="348"/>
      <c r="I194" s="348"/>
      <c r="J194" s="348"/>
      <c r="K194" s="348"/>
      <c r="L194" s="86">
        <v>2892492.7999999998</v>
      </c>
      <c r="M194" s="87"/>
      <c r="N194" s="88">
        <v>28689327.91</v>
      </c>
    </row>
    <row r="195" spans="1:14" hidden="1" x14ac:dyDescent="0.25">
      <c r="A195" s="85"/>
      <c r="B195" s="41"/>
      <c r="C195" s="348" t="s">
        <v>187</v>
      </c>
      <c r="D195" s="348"/>
      <c r="E195" s="348"/>
      <c r="F195" s="348"/>
      <c r="G195" s="348"/>
      <c r="H195" s="348"/>
      <c r="I195" s="348"/>
      <c r="J195" s="348"/>
      <c r="K195" s="348"/>
      <c r="L195" s="86">
        <v>2884264.55</v>
      </c>
      <c r="M195" s="87"/>
      <c r="N195" s="88">
        <v>28557995.469999999</v>
      </c>
    </row>
    <row r="196" spans="1:14" hidden="1" x14ac:dyDescent="0.25">
      <c r="A196" s="85"/>
      <c r="B196" s="41"/>
      <c r="C196" s="348" t="s">
        <v>188</v>
      </c>
      <c r="D196" s="348"/>
      <c r="E196" s="348"/>
      <c r="F196" s="348"/>
      <c r="G196" s="348"/>
      <c r="H196" s="348"/>
      <c r="I196" s="348"/>
      <c r="J196" s="348"/>
      <c r="K196" s="348"/>
      <c r="L196" s="89"/>
      <c r="M196" s="87"/>
      <c r="N196" s="90"/>
    </row>
    <row r="197" spans="1:14" hidden="1" x14ac:dyDescent="0.25">
      <c r="A197" s="85"/>
      <c r="B197" s="41"/>
      <c r="C197" s="348" t="s">
        <v>189</v>
      </c>
      <c r="D197" s="348"/>
      <c r="E197" s="348"/>
      <c r="F197" s="348"/>
      <c r="G197" s="348"/>
      <c r="H197" s="348"/>
      <c r="I197" s="348"/>
      <c r="J197" s="348"/>
      <c r="K197" s="348"/>
      <c r="L197" s="86">
        <v>6107.77</v>
      </c>
      <c r="M197" s="87"/>
      <c r="N197" s="88">
        <v>318886.68</v>
      </c>
    </row>
    <row r="198" spans="1:14" hidden="1" x14ac:dyDescent="0.25">
      <c r="A198" s="85"/>
      <c r="B198" s="41"/>
      <c r="C198" s="348" t="s">
        <v>190</v>
      </c>
      <c r="D198" s="348"/>
      <c r="E198" s="348"/>
      <c r="F198" s="348"/>
      <c r="G198" s="348"/>
      <c r="H198" s="348"/>
      <c r="I198" s="348"/>
      <c r="J198" s="348"/>
      <c r="K198" s="348"/>
      <c r="L198" s="86">
        <v>41788.57</v>
      </c>
      <c r="M198" s="87"/>
      <c r="N198" s="88">
        <v>656498.43999999994</v>
      </c>
    </row>
    <row r="199" spans="1:14" hidden="1" x14ac:dyDescent="0.25">
      <c r="A199" s="85"/>
      <c r="B199" s="41"/>
      <c r="C199" s="348" t="s">
        <v>191</v>
      </c>
      <c r="D199" s="348"/>
      <c r="E199" s="348"/>
      <c r="F199" s="348"/>
      <c r="G199" s="348"/>
      <c r="H199" s="348"/>
      <c r="I199" s="348"/>
      <c r="J199" s="348"/>
      <c r="K199" s="348"/>
      <c r="L199" s="86">
        <v>2499.0300000000002</v>
      </c>
      <c r="M199" s="87"/>
      <c r="N199" s="88">
        <v>130474.35</v>
      </c>
    </row>
    <row r="200" spans="1:14" hidden="1" x14ac:dyDescent="0.25">
      <c r="A200" s="85"/>
      <c r="B200" s="41"/>
      <c r="C200" s="348" t="s">
        <v>192</v>
      </c>
      <c r="D200" s="348"/>
      <c r="E200" s="348"/>
      <c r="F200" s="348"/>
      <c r="G200" s="348"/>
      <c r="H200" s="348"/>
      <c r="I200" s="348"/>
      <c r="J200" s="348"/>
      <c r="K200" s="348"/>
      <c r="L200" s="86">
        <v>2821556.41</v>
      </c>
      <c r="M200" s="87"/>
      <c r="N200" s="88">
        <v>26809285.920000002</v>
      </c>
    </row>
    <row r="201" spans="1:14" hidden="1" x14ac:dyDescent="0.25">
      <c r="A201" s="85"/>
      <c r="B201" s="41"/>
      <c r="C201" s="348" t="s">
        <v>193</v>
      </c>
      <c r="D201" s="348"/>
      <c r="E201" s="348"/>
      <c r="F201" s="348"/>
      <c r="G201" s="348"/>
      <c r="H201" s="348"/>
      <c r="I201" s="348"/>
      <c r="J201" s="348"/>
      <c r="K201" s="348"/>
      <c r="L201" s="86">
        <v>9605.7000000000007</v>
      </c>
      <c r="M201" s="87"/>
      <c r="N201" s="88">
        <v>501513.75</v>
      </c>
    </row>
    <row r="202" spans="1:14" hidden="1" x14ac:dyDescent="0.25">
      <c r="A202" s="85"/>
      <c r="B202" s="41"/>
      <c r="C202" s="348" t="s">
        <v>194</v>
      </c>
      <c r="D202" s="348"/>
      <c r="E202" s="348"/>
      <c r="F202" s="348"/>
      <c r="G202" s="348"/>
      <c r="H202" s="348"/>
      <c r="I202" s="348"/>
      <c r="J202" s="348"/>
      <c r="K202" s="348"/>
      <c r="L202" s="86">
        <v>5206.1000000000004</v>
      </c>
      <c r="M202" s="87"/>
      <c r="N202" s="88">
        <v>271810.68</v>
      </c>
    </row>
    <row r="203" spans="1:14" hidden="1" x14ac:dyDescent="0.25">
      <c r="A203" s="85"/>
      <c r="B203" s="41"/>
      <c r="C203" s="348" t="s">
        <v>195</v>
      </c>
      <c r="D203" s="348"/>
      <c r="E203" s="348"/>
      <c r="F203" s="348"/>
      <c r="G203" s="348"/>
      <c r="H203" s="348"/>
      <c r="I203" s="348"/>
      <c r="J203" s="348"/>
      <c r="K203" s="348"/>
      <c r="L203" s="86">
        <v>6773.81</v>
      </c>
      <c r="M203" s="87"/>
      <c r="N203" s="88">
        <v>108483.19</v>
      </c>
    </row>
    <row r="204" spans="1:14" hidden="1" x14ac:dyDescent="0.25">
      <c r="A204" s="85"/>
      <c r="B204" s="41"/>
      <c r="C204" s="348" t="s">
        <v>196</v>
      </c>
      <c r="D204" s="348"/>
      <c r="E204" s="348"/>
      <c r="F204" s="348"/>
      <c r="G204" s="348"/>
      <c r="H204" s="348"/>
      <c r="I204" s="348"/>
      <c r="J204" s="348"/>
      <c r="K204" s="348"/>
      <c r="L204" s="86">
        <v>1454.44</v>
      </c>
      <c r="M204" s="87"/>
      <c r="N204" s="88">
        <v>22849.25</v>
      </c>
    </row>
    <row r="205" spans="1:14" hidden="1" x14ac:dyDescent="0.25">
      <c r="A205" s="85"/>
      <c r="B205" s="41"/>
      <c r="C205" s="348" t="s">
        <v>197</v>
      </c>
      <c r="D205" s="348"/>
      <c r="E205" s="348"/>
      <c r="F205" s="348"/>
      <c r="G205" s="348"/>
      <c r="H205" s="348"/>
      <c r="I205" s="348"/>
      <c r="J205" s="348"/>
      <c r="K205" s="348"/>
      <c r="L205" s="86">
        <v>8606.7999999999993</v>
      </c>
      <c r="M205" s="87"/>
      <c r="N205" s="88">
        <v>449361.03</v>
      </c>
    </row>
    <row r="206" spans="1:14" hidden="1" x14ac:dyDescent="0.25">
      <c r="A206" s="85"/>
      <c r="B206" s="41"/>
      <c r="C206" s="348" t="s">
        <v>198</v>
      </c>
      <c r="D206" s="348"/>
      <c r="E206" s="348"/>
      <c r="F206" s="348"/>
      <c r="G206" s="348"/>
      <c r="H206" s="348"/>
      <c r="I206" s="348"/>
      <c r="J206" s="348"/>
      <c r="K206" s="348"/>
      <c r="L206" s="86">
        <v>9605.7000000000007</v>
      </c>
      <c r="M206" s="87"/>
      <c r="N206" s="88">
        <v>501513.75</v>
      </c>
    </row>
    <row r="207" spans="1:14" hidden="1" x14ac:dyDescent="0.25">
      <c r="A207" s="85"/>
      <c r="B207" s="41"/>
      <c r="C207" s="348" t="s">
        <v>199</v>
      </c>
      <c r="D207" s="348"/>
      <c r="E207" s="348"/>
      <c r="F207" s="348"/>
      <c r="G207" s="348"/>
      <c r="H207" s="348"/>
      <c r="I207" s="348"/>
      <c r="J207" s="348"/>
      <c r="K207" s="348"/>
      <c r="L207" s="86">
        <v>5206.1000000000004</v>
      </c>
      <c r="M207" s="87"/>
      <c r="N207" s="88">
        <v>271810.68</v>
      </c>
    </row>
    <row r="208" spans="1:14" hidden="1" x14ac:dyDescent="0.25">
      <c r="A208" s="85"/>
      <c r="B208" s="81"/>
      <c r="C208" s="349" t="s">
        <v>200</v>
      </c>
      <c r="D208" s="349"/>
      <c r="E208" s="349"/>
      <c r="F208" s="349"/>
      <c r="G208" s="349"/>
      <c r="H208" s="349"/>
      <c r="I208" s="349"/>
      <c r="J208" s="349"/>
      <c r="K208" s="349"/>
      <c r="L208" s="91">
        <v>2892492.7999999998</v>
      </c>
      <c r="M208" s="83"/>
      <c r="N208" s="92">
        <v>28689327.91</v>
      </c>
    </row>
    <row r="209" spans="1:14" hidden="1" x14ac:dyDescent="0.25">
      <c r="A209" s="85"/>
      <c r="B209" s="41"/>
      <c r="C209" s="348" t="s">
        <v>201</v>
      </c>
      <c r="D209" s="348"/>
      <c r="E209" s="348"/>
      <c r="F209" s="348"/>
      <c r="G209" s="348"/>
      <c r="H209" s="348"/>
      <c r="I209" s="348"/>
      <c r="J209" s="348"/>
      <c r="K209" s="348"/>
      <c r="L209" s="89"/>
      <c r="M209" s="87"/>
      <c r="N209" s="90"/>
    </row>
    <row r="210" spans="1:14" hidden="1" x14ac:dyDescent="0.25">
      <c r="A210" s="85"/>
      <c r="B210" s="41"/>
      <c r="C210" s="348" t="s">
        <v>202</v>
      </c>
      <c r="D210" s="348"/>
      <c r="E210" s="348"/>
      <c r="F210" s="348"/>
      <c r="G210" s="348"/>
      <c r="H210" s="348"/>
      <c r="I210" s="42" t="s">
        <v>203</v>
      </c>
      <c r="J210" s="93"/>
      <c r="K210" s="93"/>
      <c r="L210" s="89"/>
      <c r="M210" s="87"/>
      <c r="N210" s="90"/>
    </row>
    <row r="211" spans="1:14" hidden="1" x14ac:dyDescent="0.25">
      <c r="A211" s="85"/>
      <c r="B211" s="41"/>
      <c r="C211" s="348" t="s">
        <v>204</v>
      </c>
      <c r="D211" s="348"/>
      <c r="E211" s="348"/>
      <c r="F211" s="348"/>
      <c r="G211" s="348"/>
      <c r="H211" s="348"/>
      <c r="I211" s="42" t="s">
        <v>205</v>
      </c>
      <c r="J211" s="93"/>
      <c r="K211" s="93"/>
      <c r="L211" s="89"/>
      <c r="M211" s="87"/>
      <c r="N211" s="90"/>
    </row>
    <row r="212" spans="1:14" x14ac:dyDescent="0.25">
      <c r="A212" s="358" t="s">
        <v>206</v>
      </c>
      <c r="B212" s="359"/>
      <c r="C212" s="359"/>
      <c r="D212" s="359"/>
      <c r="E212" s="359"/>
      <c r="F212" s="359"/>
      <c r="G212" s="359"/>
      <c r="H212" s="359"/>
      <c r="I212" s="359"/>
      <c r="J212" s="359"/>
      <c r="K212" s="359"/>
      <c r="L212" s="359"/>
      <c r="M212" s="359"/>
      <c r="N212" s="360"/>
    </row>
    <row r="213" spans="1:14" ht="30.75" customHeight="1" x14ac:dyDescent="0.25">
      <c r="A213" s="32" t="s">
        <v>207</v>
      </c>
      <c r="B213" s="33" t="s">
        <v>208</v>
      </c>
      <c r="C213" s="350" t="s">
        <v>209</v>
      </c>
      <c r="D213" s="350"/>
      <c r="E213" s="350"/>
      <c r="F213" s="34" t="s">
        <v>210</v>
      </c>
      <c r="G213" s="35">
        <v>1</v>
      </c>
      <c r="H213" s="36">
        <v>1</v>
      </c>
      <c r="I213" s="36">
        <v>1</v>
      </c>
      <c r="J213" s="38"/>
      <c r="K213" s="35"/>
      <c r="L213" s="38"/>
      <c r="M213" s="35"/>
      <c r="N213" s="39"/>
    </row>
    <row r="214" spans="1:14" hidden="1" x14ac:dyDescent="0.25">
      <c r="A214" s="40"/>
      <c r="B214" s="41" t="s">
        <v>55</v>
      </c>
      <c r="C214" s="354" t="s">
        <v>59</v>
      </c>
      <c r="D214" s="354"/>
      <c r="E214" s="354"/>
      <c r="F214" s="42"/>
      <c r="G214" s="43"/>
      <c r="H214" s="43"/>
      <c r="I214" s="43"/>
      <c r="J214" s="44">
        <v>298.64</v>
      </c>
      <c r="K214" s="43"/>
      <c r="L214" s="44">
        <v>298.64</v>
      </c>
      <c r="M214" s="45">
        <v>52.21</v>
      </c>
      <c r="N214" s="46">
        <v>15591.99</v>
      </c>
    </row>
    <row r="215" spans="1:14" hidden="1" x14ac:dyDescent="0.25">
      <c r="A215" s="40"/>
      <c r="B215" s="41" t="s">
        <v>70</v>
      </c>
      <c r="C215" s="354" t="s">
        <v>74</v>
      </c>
      <c r="D215" s="354"/>
      <c r="E215" s="354"/>
      <c r="F215" s="42"/>
      <c r="G215" s="43"/>
      <c r="H215" s="43"/>
      <c r="I215" s="43"/>
      <c r="J215" s="44">
        <v>128.02000000000001</v>
      </c>
      <c r="K215" s="43"/>
      <c r="L215" s="44">
        <v>128.02000000000001</v>
      </c>
      <c r="M215" s="45">
        <v>15.71</v>
      </c>
      <c r="N215" s="46">
        <v>2011.19</v>
      </c>
    </row>
    <row r="216" spans="1:14" hidden="1" x14ac:dyDescent="0.25">
      <c r="A216" s="40"/>
      <c r="B216" s="41" t="s">
        <v>75</v>
      </c>
      <c r="C216" s="354" t="s">
        <v>76</v>
      </c>
      <c r="D216" s="354"/>
      <c r="E216" s="354"/>
      <c r="F216" s="42"/>
      <c r="G216" s="43"/>
      <c r="H216" s="43"/>
      <c r="I216" s="43"/>
      <c r="J216" s="44">
        <v>19.84</v>
      </c>
      <c r="K216" s="43"/>
      <c r="L216" s="44">
        <v>19.84</v>
      </c>
      <c r="M216" s="45">
        <v>52.21</v>
      </c>
      <c r="N216" s="46">
        <v>1035.8499999999999</v>
      </c>
    </row>
    <row r="217" spans="1:14" hidden="1" x14ac:dyDescent="0.25">
      <c r="A217" s="47"/>
      <c r="B217" s="41"/>
      <c r="C217" s="354" t="s">
        <v>60</v>
      </c>
      <c r="D217" s="354"/>
      <c r="E217" s="354"/>
      <c r="F217" s="42" t="s">
        <v>61</v>
      </c>
      <c r="G217" s="45">
        <v>35.01</v>
      </c>
      <c r="H217" s="43"/>
      <c r="I217" s="45">
        <v>35.01</v>
      </c>
      <c r="J217" s="50"/>
      <c r="K217" s="43"/>
      <c r="L217" s="50"/>
      <c r="M217" s="43"/>
      <c r="N217" s="51"/>
    </row>
    <row r="218" spans="1:14" hidden="1" x14ac:dyDescent="0.25">
      <c r="A218" s="47"/>
      <c r="B218" s="41"/>
      <c r="C218" s="354" t="s">
        <v>77</v>
      </c>
      <c r="D218" s="354"/>
      <c r="E218" s="354"/>
      <c r="F218" s="42" t="s">
        <v>61</v>
      </c>
      <c r="G218" s="45">
        <v>1.71</v>
      </c>
      <c r="H218" s="43"/>
      <c r="I218" s="45">
        <v>1.71</v>
      </c>
      <c r="J218" s="50"/>
      <c r="K218" s="43"/>
      <c r="L218" s="50"/>
      <c r="M218" s="43"/>
      <c r="N218" s="51"/>
    </row>
    <row r="219" spans="1:14" hidden="1" x14ac:dyDescent="0.25">
      <c r="A219" s="52"/>
      <c r="B219" s="41"/>
      <c r="C219" s="355" t="s">
        <v>62</v>
      </c>
      <c r="D219" s="355"/>
      <c r="E219" s="355"/>
      <c r="F219" s="53"/>
      <c r="G219" s="54"/>
      <c r="H219" s="54"/>
      <c r="I219" s="54"/>
      <c r="J219" s="55">
        <v>426.66</v>
      </c>
      <c r="K219" s="54"/>
      <c r="L219" s="55">
        <v>426.66</v>
      </c>
      <c r="M219" s="54"/>
      <c r="N219" s="56">
        <v>17603.18</v>
      </c>
    </row>
    <row r="220" spans="1:14" hidden="1" x14ac:dyDescent="0.25">
      <c r="A220" s="47"/>
      <c r="B220" s="41"/>
      <c r="C220" s="354" t="s">
        <v>63</v>
      </c>
      <c r="D220" s="354"/>
      <c r="E220" s="354"/>
      <c r="F220" s="42"/>
      <c r="G220" s="43"/>
      <c r="H220" s="43"/>
      <c r="I220" s="43"/>
      <c r="J220" s="50"/>
      <c r="K220" s="43"/>
      <c r="L220" s="44">
        <v>318.48</v>
      </c>
      <c r="M220" s="43"/>
      <c r="N220" s="46">
        <v>16627.84</v>
      </c>
    </row>
    <row r="221" spans="1:14" ht="22.5" hidden="1" x14ac:dyDescent="0.25">
      <c r="A221" s="47"/>
      <c r="B221" s="41" t="s">
        <v>78</v>
      </c>
      <c r="C221" s="354" t="s">
        <v>79</v>
      </c>
      <c r="D221" s="354"/>
      <c r="E221" s="354"/>
      <c r="F221" s="42" t="s">
        <v>66</v>
      </c>
      <c r="G221" s="48">
        <v>109</v>
      </c>
      <c r="H221" s="43"/>
      <c r="I221" s="48">
        <v>109</v>
      </c>
      <c r="J221" s="50"/>
      <c r="K221" s="43"/>
      <c r="L221" s="44">
        <v>347.14</v>
      </c>
      <c r="M221" s="43"/>
      <c r="N221" s="46">
        <v>18124.349999999999</v>
      </c>
    </row>
    <row r="222" spans="1:14" ht="45" hidden="1" x14ac:dyDescent="0.25">
      <c r="A222" s="47"/>
      <c r="B222" s="41" t="s">
        <v>80</v>
      </c>
      <c r="C222" s="354" t="s">
        <v>81</v>
      </c>
      <c r="D222" s="354"/>
      <c r="E222" s="354"/>
      <c r="F222" s="42" t="s">
        <v>66</v>
      </c>
      <c r="G222" s="48">
        <v>65</v>
      </c>
      <c r="H222" s="45">
        <v>0.85</v>
      </c>
      <c r="I222" s="45">
        <v>55.25</v>
      </c>
      <c r="J222" s="50"/>
      <c r="K222" s="43"/>
      <c r="L222" s="44">
        <v>175.96</v>
      </c>
      <c r="M222" s="43"/>
      <c r="N222" s="46">
        <v>9186.8799999999992</v>
      </c>
    </row>
    <row r="223" spans="1:14" hidden="1" x14ac:dyDescent="0.25">
      <c r="A223" s="57"/>
      <c r="B223" s="58"/>
      <c r="C223" s="350" t="s">
        <v>69</v>
      </c>
      <c r="D223" s="350"/>
      <c r="E223" s="350"/>
      <c r="F223" s="34"/>
      <c r="G223" s="35"/>
      <c r="H223" s="35"/>
      <c r="I223" s="35"/>
      <c r="J223" s="38"/>
      <c r="K223" s="35"/>
      <c r="L223" s="59">
        <v>949.76</v>
      </c>
      <c r="M223" s="54"/>
      <c r="N223" s="60">
        <v>44914.41</v>
      </c>
    </row>
    <row r="224" spans="1:14" ht="28.5" customHeight="1" x14ac:dyDescent="0.25">
      <c r="A224" s="32" t="s">
        <v>211</v>
      </c>
      <c r="B224" s="33" t="s">
        <v>167</v>
      </c>
      <c r="C224" s="350" t="s">
        <v>212</v>
      </c>
      <c r="D224" s="350"/>
      <c r="E224" s="350"/>
      <c r="F224" s="34" t="s">
        <v>165</v>
      </c>
      <c r="G224" s="35">
        <v>8.6199999999999992</v>
      </c>
      <c r="H224" s="36">
        <v>1</v>
      </c>
      <c r="I224" s="61">
        <v>8.6199999999999992</v>
      </c>
      <c r="J224" s="59">
        <v>8.39</v>
      </c>
      <c r="K224" s="35"/>
      <c r="L224" s="59">
        <v>72.319999999999993</v>
      </c>
      <c r="M224" s="61">
        <v>15.71</v>
      </c>
      <c r="N224" s="60">
        <v>1136.1500000000001</v>
      </c>
    </row>
    <row r="225" spans="1:14" ht="24" hidden="1" customHeight="1" x14ac:dyDescent="0.25">
      <c r="A225" s="57"/>
      <c r="B225" s="58"/>
      <c r="C225" s="350" t="s">
        <v>69</v>
      </c>
      <c r="D225" s="350"/>
      <c r="E225" s="350"/>
      <c r="F225" s="34"/>
      <c r="G225" s="35"/>
      <c r="H225" s="35"/>
      <c r="I225" s="35"/>
      <c r="J225" s="38"/>
      <c r="K225" s="35"/>
      <c r="L225" s="59">
        <v>72.319999999999993</v>
      </c>
      <c r="M225" s="54"/>
      <c r="N225" s="60">
        <v>1136.1500000000001</v>
      </c>
    </row>
    <row r="226" spans="1:14" ht="27" customHeight="1" x14ac:dyDescent="0.25">
      <c r="A226" s="32" t="s">
        <v>213</v>
      </c>
      <c r="B226" s="33" t="s">
        <v>170</v>
      </c>
      <c r="C226" s="350" t="s">
        <v>214</v>
      </c>
      <c r="D226" s="350"/>
      <c r="E226" s="350"/>
      <c r="F226" s="34" t="s">
        <v>165</v>
      </c>
      <c r="G226" s="35">
        <v>5.04</v>
      </c>
      <c r="H226" s="36">
        <v>1</v>
      </c>
      <c r="I226" s="61">
        <v>5.04</v>
      </c>
      <c r="J226" s="59">
        <v>10.88</v>
      </c>
      <c r="K226" s="35"/>
      <c r="L226" s="59">
        <v>54.84</v>
      </c>
      <c r="M226" s="61">
        <v>15.71</v>
      </c>
      <c r="N226" s="94">
        <v>861.54</v>
      </c>
    </row>
    <row r="227" spans="1:14" hidden="1" x14ac:dyDescent="0.25">
      <c r="A227" s="57"/>
      <c r="B227" s="58"/>
      <c r="C227" s="350" t="s">
        <v>69</v>
      </c>
      <c r="D227" s="350"/>
      <c r="E227" s="350"/>
      <c r="F227" s="34"/>
      <c r="G227" s="35"/>
      <c r="H227" s="35"/>
      <c r="I227" s="35"/>
      <c r="J227" s="38"/>
      <c r="K227" s="35"/>
      <c r="L227" s="59">
        <v>54.84</v>
      </c>
      <c r="M227" s="54"/>
      <c r="N227" s="94">
        <v>861.54</v>
      </c>
    </row>
    <row r="228" spans="1:14" ht="29.25" customHeight="1" x14ac:dyDescent="0.25">
      <c r="A228" s="32" t="s">
        <v>215</v>
      </c>
      <c r="B228" s="33" t="s">
        <v>173</v>
      </c>
      <c r="C228" s="350" t="s">
        <v>174</v>
      </c>
      <c r="D228" s="350"/>
      <c r="E228" s="350"/>
      <c r="F228" s="34" t="s">
        <v>165</v>
      </c>
      <c r="G228" s="35">
        <v>13.66</v>
      </c>
      <c r="H228" s="36">
        <v>1</v>
      </c>
      <c r="I228" s="61">
        <v>13.66</v>
      </c>
      <c r="J228" s="59">
        <v>3.86</v>
      </c>
      <c r="K228" s="35"/>
      <c r="L228" s="59">
        <v>52.73</v>
      </c>
      <c r="M228" s="61">
        <v>16.22</v>
      </c>
      <c r="N228" s="94">
        <v>855.28</v>
      </c>
    </row>
    <row r="229" spans="1:14" hidden="1" x14ac:dyDescent="0.25">
      <c r="A229" s="57"/>
      <c r="B229" s="58"/>
      <c r="C229" s="350" t="s">
        <v>69</v>
      </c>
      <c r="D229" s="350"/>
      <c r="E229" s="350"/>
      <c r="F229" s="34"/>
      <c r="G229" s="35"/>
      <c r="H229" s="35"/>
      <c r="I229" s="35"/>
      <c r="J229" s="38"/>
      <c r="K229" s="35"/>
      <c r="L229" s="59">
        <v>52.73</v>
      </c>
      <c r="M229" s="54"/>
      <c r="N229" s="94">
        <v>855.28</v>
      </c>
    </row>
    <row r="230" spans="1:14" hidden="1" x14ac:dyDescent="0.25">
      <c r="A230" s="75"/>
      <c r="B230" s="76"/>
      <c r="C230" s="77"/>
      <c r="D230" s="77"/>
      <c r="E230" s="77"/>
      <c r="F230" s="77"/>
      <c r="G230" s="78"/>
      <c r="H230" s="78"/>
      <c r="I230" s="78"/>
      <c r="J230" s="78"/>
      <c r="K230" s="79"/>
      <c r="L230" s="78"/>
      <c r="M230" s="79"/>
      <c r="N230" s="80"/>
    </row>
    <row r="231" spans="1:14" hidden="1" x14ac:dyDescent="0.25">
      <c r="A231" s="57"/>
      <c r="B231" s="81"/>
      <c r="C231" s="349" t="s">
        <v>216</v>
      </c>
      <c r="D231" s="349"/>
      <c r="E231" s="349"/>
      <c r="F231" s="349"/>
      <c r="G231" s="349"/>
      <c r="H231" s="349"/>
      <c r="I231" s="349"/>
      <c r="J231" s="349"/>
      <c r="K231" s="349"/>
      <c r="L231" s="82"/>
      <c r="M231" s="83"/>
      <c r="N231" s="84"/>
    </row>
    <row r="232" spans="1:14" hidden="1" x14ac:dyDescent="0.25">
      <c r="A232" s="85"/>
      <c r="B232" s="41"/>
      <c r="C232" s="348" t="s">
        <v>176</v>
      </c>
      <c r="D232" s="348"/>
      <c r="E232" s="348"/>
      <c r="F232" s="348"/>
      <c r="G232" s="348"/>
      <c r="H232" s="348"/>
      <c r="I232" s="348"/>
      <c r="J232" s="348"/>
      <c r="K232" s="348"/>
      <c r="L232" s="95">
        <v>606.54999999999995</v>
      </c>
      <c r="M232" s="87"/>
      <c r="N232" s="88">
        <v>20456.150000000001</v>
      </c>
    </row>
    <row r="233" spans="1:14" hidden="1" x14ac:dyDescent="0.25">
      <c r="A233" s="85"/>
      <c r="B233" s="41"/>
      <c r="C233" s="348" t="s">
        <v>177</v>
      </c>
      <c r="D233" s="348"/>
      <c r="E233" s="348"/>
      <c r="F233" s="348"/>
      <c r="G233" s="348"/>
      <c r="H233" s="348"/>
      <c r="I233" s="348"/>
      <c r="J233" s="348"/>
      <c r="K233" s="348"/>
      <c r="L233" s="89"/>
      <c r="M233" s="87"/>
      <c r="N233" s="90"/>
    </row>
    <row r="234" spans="1:14" hidden="1" x14ac:dyDescent="0.25">
      <c r="A234" s="85"/>
      <c r="B234" s="41"/>
      <c r="C234" s="348" t="s">
        <v>178</v>
      </c>
      <c r="D234" s="348"/>
      <c r="E234" s="348"/>
      <c r="F234" s="348"/>
      <c r="G234" s="348"/>
      <c r="H234" s="348"/>
      <c r="I234" s="348"/>
      <c r="J234" s="348"/>
      <c r="K234" s="348"/>
      <c r="L234" s="95">
        <v>298.64</v>
      </c>
      <c r="M234" s="87"/>
      <c r="N234" s="88">
        <v>15591.99</v>
      </c>
    </row>
    <row r="235" spans="1:14" hidden="1" x14ac:dyDescent="0.25">
      <c r="A235" s="85"/>
      <c r="B235" s="41"/>
      <c r="C235" s="348" t="s">
        <v>179</v>
      </c>
      <c r="D235" s="348"/>
      <c r="E235" s="348"/>
      <c r="F235" s="348"/>
      <c r="G235" s="348"/>
      <c r="H235" s="348"/>
      <c r="I235" s="348"/>
      <c r="J235" s="348"/>
      <c r="K235" s="348"/>
      <c r="L235" s="95">
        <v>128.02000000000001</v>
      </c>
      <c r="M235" s="87"/>
      <c r="N235" s="88">
        <v>2011.19</v>
      </c>
    </row>
    <row r="236" spans="1:14" hidden="1" x14ac:dyDescent="0.25">
      <c r="A236" s="85"/>
      <c r="B236" s="41"/>
      <c r="C236" s="348" t="s">
        <v>180</v>
      </c>
      <c r="D236" s="348"/>
      <c r="E236" s="348"/>
      <c r="F236" s="348"/>
      <c r="G236" s="348"/>
      <c r="H236" s="348"/>
      <c r="I236" s="348"/>
      <c r="J236" s="348"/>
      <c r="K236" s="348"/>
      <c r="L236" s="95">
        <v>19.84</v>
      </c>
      <c r="M236" s="87"/>
      <c r="N236" s="88">
        <v>1035.8499999999999</v>
      </c>
    </row>
    <row r="237" spans="1:14" hidden="1" x14ac:dyDescent="0.25">
      <c r="A237" s="85"/>
      <c r="B237" s="41"/>
      <c r="C237" s="348" t="s">
        <v>181</v>
      </c>
      <c r="D237" s="348"/>
      <c r="E237" s="348"/>
      <c r="F237" s="348"/>
      <c r="G237" s="348"/>
      <c r="H237" s="348"/>
      <c r="I237" s="348"/>
      <c r="J237" s="348"/>
      <c r="K237" s="348"/>
      <c r="L237" s="95">
        <v>127.16</v>
      </c>
      <c r="M237" s="87"/>
      <c r="N237" s="88">
        <v>1997.69</v>
      </c>
    </row>
    <row r="238" spans="1:14" hidden="1" x14ac:dyDescent="0.25">
      <c r="A238" s="85"/>
      <c r="B238" s="41"/>
      <c r="C238" s="348" t="s">
        <v>182</v>
      </c>
      <c r="D238" s="348"/>
      <c r="E238" s="348"/>
      <c r="F238" s="348"/>
      <c r="G238" s="348"/>
      <c r="H238" s="348"/>
      <c r="I238" s="348"/>
      <c r="J238" s="348"/>
      <c r="K238" s="348"/>
      <c r="L238" s="89"/>
      <c r="M238" s="87"/>
      <c r="N238" s="90"/>
    </row>
    <row r="239" spans="1:14" hidden="1" x14ac:dyDescent="0.25">
      <c r="A239" s="85"/>
      <c r="B239" s="41"/>
      <c r="C239" s="348" t="s">
        <v>183</v>
      </c>
      <c r="D239" s="348"/>
      <c r="E239" s="348"/>
      <c r="F239" s="348"/>
      <c r="G239" s="348"/>
      <c r="H239" s="348"/>
      <c r="I239" s="348"/>
      <c r="J239" s="348"/>
      <c r="K239" s="348"/>
      <c r="L239" s="95">
        <v>72.319999999999993</v>
      </c>
      <c r="M239" s="87"/>
      <c r="N239" s="88">
        <v>1136.1500000000001</v>
      </c>
    </row>
    <row r="240" spans="1:14" hidden="1" x14ac:dyDescent="0.25">
      <c r="A240" s="85"/>
      <c r="B240" s="41"/>
      <c r="C240" s="348" t="s">
        <v>184</v>
      </c>
      <c r="D240" s="348"/>
      <c r="E240" s="348"/>
      <c r="F240" s="348"/>
      <c r="G240" s="348"/>
      <c r="H240" s="348"/>
      <c r="I240" s="348"/>
      <c r="J240" s="348"/>
      <c r="K240" s="348"/>
      <c r="L240" s="95">
        <v>54.84</v>
      </c>
      <c r="M240" s="87"/>
      <c r="N240" s="96">
        <v>861.54</v>
      </c>
    </row>
    <row r="241" spans="1:14" hidden="1" x14ac:dyDescent="0.25">
      <c r="A241" s="85"/>
      <c r="B241" s="41"/>
      <c r="C241" s="348" t="s">
        <v>185</v>
      </c>
      <c r="D241" s="348"/>
      <c r="E241" s="348"/>
      <c r="F241" s="348"/>
      <c r="G241" s="348"/>
      <c r="H241" s="348"/>
      <c r="I241" s="348"/>
      <c r="J241" s="348"/>
      <c r="K241" s="348"/>
      <c r="L241" s="95">
        <v>52.73</v>
      </c>
      <c r="M241" s="87"/>
      <c r="N241" s="96">
        <v>855.28</v>
      </c>
    </row>
    <row r="242" spans="1:14" hidden="1" x14ac:dyDescent="0.25">
      <c r="A242" s="85"/>
      <c r="B242" s="41"/>
      <c r="C242" s="348" t="s">
        <v>186</v>
      </c>
      <c r="D242" s="348"/>
      <c r="E242" s="348"/>
      <c r="F242" s="348"/>
      <c r="G242" s="348"/>
      <c r="H242" s="348"/>
      <c r="I242" s="348"/>
      <c r="J242" s="348"/>
      <c r="K242" s="348"/>
      <c r="L242" s="86">
        <v>1129.6500000000001</v>
      </c>
      <c r="M242" s="87"/>
      <c r="N242" s="88">
        <v>47767.38</v>
      </c>
    </row>
    <row r="243" spans="1:14" hidden="1" x14ac:dyDescent="0.25">
      <c r="A243" s="85"/>
      <c r="B243" s="41"/>
      <c r="C243" s="348" t="s">
        <v>187</v>
      </c>
      <c r="D243" s="348"/>
      <c r="E243" s="348"/>
      <c r="F243" s="348"/>
      <c r="G243" s="348"/>
      <c r="H243" s="348"/>
      <c r="I243" s="348"/>
      <c r="J243" s="348"/>
      <c r="K243" s="348"/>
      <c r="L243" s="86">
        <v>1022.08</v>
      </c>
      <c r="M243" s="87"/>
      <c r="N243" s="88">
        <v>46050.559999999998</v>
      </c>
    </row>
    <row r="244" spans="1:14" hidden="1" x14ac:dyDescent="0.25">
      <c r="A244" s="85"/>
      <c r="B244" s="41"/>
      <c r="C244" s="348" t="s">
        <v>188</v>
      </c>
      <c r="D244" s="348"/>
      <c r="E244" s="348"/>
      <c r="F244" s="348"/>
      <c r="G244" s="348"/>
      <c r="H244" s="348"/>
      <c r="I244" s="348"/>
      <c r="J244" s="348"/>
      <c r="K244" s="348"/>
      <c r="L244" s="89"/>
      <c r="M244" s="87"/>
      <c r="N244" s="90"/>
    </row>
    <row r="245" spans="1:14" hidden="1" x14ac:dyDescent="0.25">
      <c r="A245" s="85"/>
      <c r="B245" s="41"/>
      <c r="C245" s="348" t="s">
        <v>189</v>
      </c>
      <c r="D245" s="348"/>
      <c r="E245" s="348"/>
      <c r="F245" s="348"/>
      <c r="G245" s="348"/>
      <c r="H245" s="348"/>
      <c r="I245" s="348"/>
      <c r="J245" s="348"/>
      <c r="K245" s="348"/>
      <c r="L245" s="95">
        <v>298.64</v>
      </c>
      <c r="M245" s="87"/>
      <c r="N245" s="88">
        <v>15591.99</v>
      </c>
    </row>
    <row r="246" spans="1:14" hidden="1" x14ac:dyDescent="0.25">
      <c r="A246" s="85"/>
      <c r="B246" s="41"/>
      <c r="C246" s="348" t="s">
        <v>190</v>
      </c>
      <c r="D246" s="348"/>
      <c r="E246" s="348"/>
      <c r="F246" s="348"/>
      <c r="G246" s="348"/>
      <c r="H246" s="348"/>
      <c r="I246" s="348"/>
      <c r="J246" s="348"/>
      <c r="K246" s="348"/>
      <c r="L246" s="95">
        <v>128.02000000000001</v>
      </c>
      <c r="M246" s="87"/>
      <c r="N246" s="88">
        <v>2011.19</v>
      </c>
    </row>
    <row r="247" spans="1:14" hidden="1" x14ac:dyDescent="0.25">
      <c r="A247" s="85"/>
      <c r="B247" s="41"/>
      <c r="C247" s="348" t="s">
        <v>191</v>
      </c>
      <c r="D247" s="348"/>
      <c r="E247" s="348"/>
      <c r="F247" s="348"/>
      <c r="G247" s="348"/>
      <c r="H247" s="348"/>
      <c r="I247" s="348"/>
      <c r="J247" s="348"/>
      <c r="K247" s="348"/>
      <c r="L247" s="95">
        <v>19.84</v>
      </c>
      <c r="M247" s="87"/>
      <c r="N247" s="88">
        <v>1035.8499999999999</v>
      </c>
    </row>
    <row r="248" spans="1:14" hidden="1" x14ac:dyDescent="0.25">
      <c r="A248" s="85"/>
      <c r="B248" s="41"/>
      <c r="C248" s="348" t="s">
        <v>192</v>
      </c>
      <c r="D248" s="348"/>
      <c r="E248" s="348"/>
      <c r="F248" s="348"/>
      <c r="G248" s="348"/>
      <c r="H248" s="348"/>
      <c r="I248" s="348"/>
      <c r="J248" s="348"/>
      <c r="K248" s="348"/>
      <c r="L248" s="95">
        <v>72.319999999999993</v>
      </c>
      <c r="M248" s="87"/>
      <c r="N248" s="88">
        <v>1136.1500000000001</v>
      </c>
    </row>
    <row r="249" spans="1:14" hidden="1" x14ac:dyDescent="0.25">
      <c r="A249" s="85"/>
      <c r="B249" s="41"/>
      <c r="C249" s="348" t="s">
        <v>193</v>
      </c>
      <c r="D249" s="348"/>
      <c r="E249" s="348"/>
      <c r="F249" s="348"/>
      <c r="G249" s="348"/>
      <c r="H249" s="348"/>
      <c r="I249" s="348"/>
      <c r="J249" s="348"/>
      <c r="K249" s="348"/>
      <c r="L249" s="95">
        <v>347.14</v>
      </c>
      <c r="M249" s="87"/>
      <c r="N249" s="88">
        <v>18124.349999999999</v>
      </c>
    </row>
    <row r="250" spans="1:14" hidden="1" x14ac:dyDescent="0.25">
      <c r="A250" s="85"/>
      <c r="B250" s="41"/>
      <c r="C250" s="348" t="s">
        <v>194</v>
      </c>
      <c r="D250" s="348"/>
      <c r="E250" s="348"/>
      <c r="F250" s="348"/>
      <c r="G250" s="348"/>
      <c r="H250" s="348"/>
      <c r="I250" s="348"/>
      <c r="J250" s="348"/>
      <c r="K250" s="348"/>
      <c r="L250" s="95">
        <v>175.96</v>
      </c>
      <c r="M250" s="87"/>
      <c r="N250" s="88">
        <v>9186.8799999999992</v>
      </c>
    </row>
    <row r="251" spans="1:14" hidden="1" x14ac:dyDescent="0.25">
      <c r="A251" s="85"/>
      <c r="B251" s="41"/>
      <c r="C251" s="348" t="s">
        <v>195</v>
      </c>
      <c r="D251" s="348"/>
      <c r="E251" s="348"/>
      <c r="F251" s="348"/>
      <c r="G251" s="348"/>
      <c r="H251" s="348"/>
      <c r="I251" s="348"/>
      <c r="J251" s="348"/>
      <c r="K251" s="348"/>
      <c r="L251" s="95">
        <v>52.73</v>
      </c>
      <c r="M251" s="87"/>
      <c r="N251" s="96">
        <v>855.28</v>
      </c>
    </row>
    <row r="252" spans="1:14" hidden="1" x14ac:dyDescent="0.25">
      <c r="A252" s="85"/>
      <c r="B252" s="41"/>
      <c r="C252" s="348" t="s">
        <v>196</v>
      </c>
      <c r="D252" s="348"/>
      <c r="E252" s="348"/>
      <c r="F252" s="348"/>
      <c r="G252" s="348"/>
      <c r="H252" s="348"/>
      <c r="I252" s="348"/>
      <c r="J252" s="348"/>
      <c r="K252" s="348"/>
      <c r="L252" s="95">
        <v>54.84</v>
      </c>
      <c r="M252" s="87"/>
      <c r="N252" s="96">
        <v>861.54</v>
      </c>
    </row>
    <row r="253" spans="1:14" hidden="1" x14ac:dyDescent="0.25">
      <c r="A253" s="85"/>
      <c r="B253" s="41"/>
      <c r="C253" s="348" t="s">
        <v>197</v>
      </c>
      <c r="D253" s="348"/>
      <c r="E253" s="348"/>
      <c r="F253" s="348"/>
      <c r="G253" s="348"/>
      <c r="H253" s="348"/>
      <c r="I253" s="348"/>
      <c r="J253" s="348"/>
      <c r="K253" s="348"/>
      <c r="L253" s="95">
        <v>318.48</v>
      </c>
      <c r="M253" s="87"/>
      <c r="N253" s="88">
        <v>16627.84</v>
      </c>
    </row>
    <row r="254" spans="1:14" hidden="1" x14ac:dyDescent="0.25">
      <c r="A254" s="85"/>
      <c r="B254" s="41"/>
      <c r="C254" s="348" t="s">
        <v>198</v>
      </c>
      <c r="D254" s="348"/>
      <c r="E254" s="348"/>
      <c r="F254" s="348"/>
      <c r="G254" s="348"/>
      <c r="H254" s="348"/>
      <c r="I254" s="348"/>
      <c r="J254" s="348"/>
      <c r="K254" s="348"/>
      <c r="L254" s="95">
        <v>347.14</v>
      </c>
      <c r="M254" s="87"/>
      <c r="N254" s="88">
        <v>18124.349999999999</v>
      </c>
    </row>
    <row r="255" spans="1:14" hidden="1" x14ac:dyDescent="0.25">
      <c r="A255" s="85"/>
      <c r="B255" s="41"/>
      <c r="C255" s="348" t="s">
        <v>199</v>
      </c>
      <c r="D255" s="348"/>
      <c r="E255" s="348"/>
      <c r="F255" s="348"/>
      <c r="G255" s="348"/>
      <c r="H255" s="348"/>
      <c r="I255" s="348"/>
      <c r="J255" s="348"/>
      <c r="K255" s="348"/>
      <c r="L255" s="95">
        <v>175.96</v>
      </c>
      <c r="M255" s="87"/>
      <c r="N255" s="88">
        <v>9186.8799999999992</v>
      </c>
    </row>
    <row r="256" spans="1:14" hidden="1" x14ac:dyDescent="0.25">
      <c r="A256" s="85"/>
      <c r="B256" s="81"/>
      <c r="C256" s="349" t="s">
        <v>217</v>
      </c>
      <c r="D256" s="349"/>
      <c r="E256" s="349"/>
      <c r="F256" s="349"/>
      <c r="G256" s="349"/>
      <c r="H256" s="349"/>
      <c r="I256" s="349"/>
      <c r="J256" s="349"/>
      <c r="K256" s="349"/>
      <c r="L256" s="91">
        <v>1129.6500000000001</v>
      </c>
      <c r="M256" s="83"/>
      <c r="N256" s="92">
        <v>47767.38</v>
      </c>
    </row>
    <row r="257" spans="1:14" hidden="1" x14ac:dyDescent="0.25">
      <c r="A257" s="85"/>
      <c r="B257" s="41"/>
      <c r="C257" s="348" t="s">
        <v>201</v>
      </c>
      <c r="D257" s="348"/>
      <c r="E257" s="348"/>
      <c r="F257" s="348"/>
      <c r="G257" s="348"/>
      <c r="H257" s="348"/>
      <c r="I257" s="348"/>
      <c r="J257" s="348"/>
      <c r="K257" s="348"/>
      <c r="L257" s="89"/>
      <c r="M257" s="87"/>
      <c r="N257" s="90"/>
    </row>
    <row r="258" spans="1:14" hidden="1" x14ac:dyDescent="0.25">
      <c r="A258" s="85"/>
      <c r="B258" s="41"/>
      <c r="C258" s="348" t="s">
        <v>202</v>
      </c>
      <c r="D258" s="348"/>
      <c r="E258" s="348"/>
      <c r="F258" s="348"/>
      <c r="G258" s="348"/>
      <c r="H258" s="348"/>
      <c r="I258" s="42" t="s">
        <v>218</v>
      </c>
      <c r="J258" s="93"/>
      <c r="K258" s="93"/>
      <c r="L258" s="89"/>
      <c r="M258" s="87"/>
      <c r="N258" s="90"/>
    </row>
    <row r="259" spans="1:14" hidden="1" x14ac:dyDescent="0.25">
      <c r="A259" s="85"/>
      <c r="B259" s="41"/>
      <c r="C259" s="348" t="s">
        <v>204</v>
      </c>
      <c r="D259" s="348"/>
      <c r="E259" s="348"/>
      <c r="F259" s="348"/>
      <c r="G259" s="348"/>
      <c r="H259" s="348"/>
      <c r="I259" s="42" t="s">
        <v>219</v>
      </c>
      <c r="J259" s="93"/>
      <c r="K259" s="93"/>
      <c r="L259" s="89"/>
      <c r="M259" s="87"/>
      <c r="N259" s="90"/>
    </row>
    <row r="260" spans="1:14" x14ac:dyDescent="0.25">
      <c r="A260" s="358" t="s">
        <v>220</v>
      </c>
      <c r="B260" s="359"/>
      <c r="C260" s="359"/>
      <c r="D260" s="359"/>
      <c r="E260" s="359"/>
      <c r="F260" s="359"/>
      <c r="G260" s="359"/>
      <c r="H260" s="359"/>
      <c r="I260" s="359"/>
      <c r="J260" s="359"/>
      <c r="K260" s="359"/>
      <c r="L260" s="359"/>
      <c r="M260" s="359"/>
      <c r="N260" s="360"/>
    </row>
    <row r="261" spans="1:14" ht="36.75" customHeight="1" x14ac:dyDescent="0.25">
      <c r="A261" s="32" t="s">
        <v>221</v>
      </c>
      <c r="B261" s="33" t="s">
        <v>208</v>
      </c>
      <c r="C261" s="350" t="s">
        <v>209</v>
      </c>
      <c r="D261" s="350"/>
      <c r="E261" s="350"/>
      <c r="F261" s="34" t="s">
        <v>210</v>
      </c>
      <c r="G261" s="35">
        <v>1</v>
      </c>
      <c r="H261" s="36">
        <v>1</v>
      </c>
      <c r="I261" s="36">
        <v>1</v>
      </c>
      <c r="J261" s="38"/>
      <c r="K261" s="35"/>
      <c r="L261" s="38"/>
      <c r="M261" s="35"/>
      <c r="N261" s="39"/>
    </row>
    <row r="262" spans="1:14" hidden="1" x14ac:dyDescent="0.25">
      <c r="A262" s="40"/>
      <c r="B262" s="41" t="s">
        <v>55</v>
      </c>
      <c r="C262" s="354" t="s">
        <v>59</v>
      </c>
      <c r="D262" s="354"/>
      <c r="E262" s="354"/>
      <c r="F262" s="42"/>
      <c r="G262" s="43"/>
      <c r="H262" s="43"/>
      <c r="I262" s="43"/>
      <c r="J262" s="44">
        <v>298.64</v>
      </c>
      <c r="K262" s="43"/>
      <c r="L262" s="44">
        <v>298.64</v>
      </c>
      <c r="M262" s="45">
        <v>52.21</v>
      </c>
      <c r="N262" s="46">
        <v>15591.99</v>
      </c>
    </row>
    <row r="263" spans="1:14" hidden="1" x14ac:dyDescent="0.25">
      <c r="A263" s="40"/>
      <c r="B263" s="41" t="s">
        <v>70</v>
      </c>
      <c r="C263" s="354" t="s">
        <v>74</v>
      </c>
      <c r="D263" s="354"/>
      <c r="E263" s="354"/>
      <c r="F263" s="42"/>
      <c r="G263" s="43"/>
      <c r="H263" s="43"/>
      <c r="I263" s="43"/>
      <c r="J263" s="44">
        <v>128.02000000000001</v>
      </c>
      <c r="K263" s="43"/>
      <c r="L263" s="44">
        <v>128.02000000000001</v>
      </c>
      <c r="M263" s="45">
        <v>15.71</v>
      </c>
      <c r="N263" s="46">
        <v>2011.19</v>
      </c>
    </row>
    <row r="264" spans="1:14" hidden="1" x14ac:dyDescent="0.25">
      <c r="A264" s="40"/>
      <c r="B264" s="41" t="s">
        <v>75</v>
      </c>
      <c r="C264" s="354" t="s">
        <v>76</v>
      </c>
      <c r="D264" s="354"/>
      <c r="E264" s="354"/>
      <c r="F264" s="42"/>
      <c r="G264" s="43"/>
      <c r="H264" s="43"/>
      <c r="I264" s="43"/>
      <c r="J264" s="44">
        <v>19.84</v>
      </c>
      <c r="K264" s="43"/>
      <c r="L264" s="44">
        <v>19.84</v>
      </c>
      <c r="M264" s="45">
        <v>52.21</v>
      </c>
      <c r="N264" s="46">
        <v>1035.8499999999999</v>
      </c>
    </row>
    <row r="265" spans="1:14" hidden="1" x14ac:dyDescent="0.25">
      <c r="A265" s="47"/>
      <c r="B265" s="41"/>
      <c r="C265" s="354" t="s">
        <v>60</v>
      </c>
      <c r="D265" s="354"/>
      <c r="E265" s="354"/>
      <c r="F265" s="42" t="s">
        <v>61</v>
      </c>
      <c r="G265" s="45">
        <v>35.01</v>
      </c>
      <c r="H265" s="43"/>
      <c r="I265" s="45">
        <v>35.01</v>
      </c>
      <c r="J265" s="50"/>
      <c r="K265" s="43"/>
      <c r="L265" s="50"/>
      <c r="M265" s="43"/>
      <c r="N265" s="51"/>
    </row>
    <row r="266" spans="1:14" hidden="1" x14ac:dyDescent="0.25">
      <c r="A266" s="47"/>
      <c r="B266" s="41"/>
      <c r="C266" s="354" t="s">
        <v>77</v>
      </c>
      <c r="D266" s="354"/>
      <c r="E266" s="354"/>
      <c r="F266" s="42" t="s">
        <v>61</v>
      </c>
      <c r="G266" s="45">
        <v>1.71</v>
      </c>
      <c r="H266" s="43"/>
      <c r="I266" s="45">
        <v>1.71</v>
      </c>
      <c r="J266" s="50"/>
      <c r="K266" s="43"/>
      <c r="L266" s="50"/>
      <c r="M266" s="43"/>
      <c r="N266" s="51"/>
    </row>
    <row r="267" spans="1:14" hidden="1" x14ac:dyDescent="0.25">
      <c r="A267" s="52"/>
      <c r="B267" s="41"/>
      <c r="C267" s="355" t="s">
        <v>62</v>
      </c>
      <c r="D267" s="355"/>
      <c r="E267" s="355"/>
      <c r="F267" s="53"/>
      <c r="G267" s="54"/>
      <c r="H267" s="54"/>
      <c r="I267" s="54"/>
      <c r="J267" s="55">
        <v>426.66</v>
      </c>
      <c r="K267" s="54"/>
      <c r="L267" s="55">
        <v>426.66</v>
      </c>
      <c r="M267" s="54"/>
      <c r="N267" s="56">
        <v>17603.18</v>
      </c>
    </row>
    <row r="268" spans="1:14" hidden="1" x14ac:dyDescent="0.25">
      <c r="A268" s="47"/>
      <c r="B268" s="41"/>
      <c r="C268" s="354" t="s">
        <v>63</v>
      </c>
      <c r="D268" s="354"/>
      <c r="E268" s="354"/>
      <c r="F268" s="42"/>
      <c r="G268" s="43"/>
      <c r="H268" s="43"/>
      <c r="I268" s="43"/>
      <c r="J268" s="50"/>
      <c r="K268" s="43"/>
      <c r="L268" s="44">
        <v>318.48</v>
      </c>
      <c r="M268" s="43"/>
      <c r="N268" s="46">
        <v>16627.84</v>
      </c>
    </row>
    <row r="269" spans="1:14" ht="22.5" hidden="1" x14ac:dyDescent="0.25">
      <c r="A269" s="47"/>
      <c r="B269" s="41" t="s">
        <v>78</v>
      </c>
      <c r="C269" s="354" t="s">
        <v>79</v>
      </c>
      <c r="D269" s="354"/>
      <c r="E269" s="354"/>
      <c r="F269" s="42" t="s">
        <v>66</v>
      </c>
      <c r="G269" s="48">
        <v>109</v>
      </c>
      <c r="H269" s="43"/>
      <c r="I269" s="48">
        <v>109</v>
      </c>
      <c r="J269" s="50"/>
      <c r="K269" s="43"/>
      <c r="L269" s="44">
        <v>347.14</v>
      </c>
      <c r="M269" s="43"/>
      <c r="N269" s="46">
        <v>18124.349999999999</v>
      </c>
    </row>
    <row r="270" spans="1:14" ht="45" hidden="1" x14ac:dyDescent="0.25">
      <c r="A270" s="47"/>
      <c r="B270" s="41" t="s">
        <v>80</v>
      </c>
      <c r="C270" s="354" t="s">
        <v>81</v>
      </c>
      <c r="D270" s="354"/>
      <c r="E270" s="354"/>
      <c r="F270" s="42" t="s">
        <v>66</v>
      </c>
      <c r="G270" s="48">
        <v>65</v>
      </c>
      <c r="H270" s="45">
        <v>0.85</v>
      </c>
      <c r="I270" s="45">
        <v>55.25</v>
      </c>
      <c r="J270" s="50"/>
      <c r="K270" s="43"/>
      <c r="L270" s="44">
        <v>175.96</v>
      </c>
      <c r="M270" s="43"/>
      <c r="N270" s="46">
        <v>9186.8799999999992</v>
      </c>
    </row>
    <row r="271" spans="1:14" hidden="1" x14ac:dyDescent="0.25">
      <c r="A271" s="57"/>
      <c r="B271" s="58"/>
      <c r="C271" s="350" t="s">
        <v>69</v>
      </c>
      <c r="D271" s="350"/>
      <c r="E271" s="350"/>
      <c r="F271" s="34"/>
      <c r="G271" s="35"/>
      <c r="H271" s="35"/>
      <c r="I271" s="35"/>
      <c r="J271" s="38"/>
      <c r="K271" s="35"/>
      <c r="L271" s="59">
        <v>949.76</v>
      </c>
      <c r="M271" s="54"/>
      <c r="N271" s="60">
        <v>44914.41</v>
      </c>
    </row>
    <row r="272" spans="1:14" ht="35.25" customHeight="1" x14ac:dyDescent="0.25">
      <c r="A272" s="32" t="s">
        <v>222</v>
      </c>
      <c r="B272" s="33" t="s">
        <v>167</v>
      </c>
      <c r="C272" s="350" t="s">
        <v>212</v>
      </c>
      <c r="D272" s="350"/>
      <c r="E272" s="350"/>
      <c r="F272" s="34" t="s">
        <v>165</v>
      </c>
      <c r="G272" s="35">
        <v>8.6199999999999992</v>
      </c>
      <c r="H272" s="36">
        <v>1</v>
      </c>
      <c r="I272" s="61">
        <v>8.6199999999999992</v>
      </c>
      <c r="J272" s="59">
        <v>8.39</v>
      </c>
      <c r="K272" s="35"/>
      <c r="L272" s="59">
        <v>72.319999999999993</v>
      </c>
      <c r="M272" s="61">
        <v>15.71</v>
      </c>
      <c r="N272" s="60">
        <v>1136.1500000000001</v>
      </c>
    </row>
    <row r="273" spans="1:14" hidden="1" x14ac:dyDescent="0.25">
      <c r="A273" s="57"/>
      <c r="B273" s="58"/>
      <c r="C273" s="350" t="s">
        <v>69</v>
      </c>
      <c r="D273" s="350"/>
      <c r="E273" s="350"/>
      <c r="F273" s="34"/>
      <c r="G273" s="35"/>
      <c r="H273" s="35"/>
      <c r="I273" s="35"/>
      <c r="J273" s="38"/>
      <c r="K273" s="35"/>
      <c r="L273" s="59">
        <v>72.319999999999993</v>
      </c>
      <c r="M273" s="54"/>
      <c r="N273" s="60">
        <v>1136.1500000000001</v>
      </c>
    </row>
    <row r="274" spans="1:14" ht="34.5" customHeight="1" x14ac:dyDescent="0.25">
      <c r="A274" s="32" t="s">
        <v>223</v>
      </c>
      <c r="B274" s="33" t="s">
        <v>170</v>
      </c>
      <c r="C274" s="350" t="s">
        <v>214</v>
      </c>
      <c r="D274" s="350"/>
      <c r="E274" s="350"/>
      <c r="F274" s="34" t="s">
        <v>165</v>
      </c>
      <c r="G274" s="35">
        <v>5.04</v>
      </c>
      <c r="H274" s="36">
        <v>1</v>
      </c>
      <c r="I274" s="61">
        <v>5.04</v>
      </c>
      <c r="J274" s="59">
        <v>10.88</v>
      </c>
      <c r="K274" s="35"/>
      <c r="L274" s="59">
        <v>54.84</v>
      </c>
      <c r="M274" s="61">
        <v>15.71</v>
      </c>
      <c r="N274" s="94">
        <v>861.54</v>
      </c>
    </row>
    <row r="275" spans="1:14" hidden="1" x14ac:dyDescent="0.25">
      <c r="A275" s="57"/>
      <c r="B275" s="58"/>
      <c r="C275" s="350" t="s">
        <v>69</v>
      </c>
      <c r="D275" s="350"/>
      <c r="E275" s="350"/>
      <c r="F275" s="34"/>
      <c r="G275" s="35"/>
      <c r="H275" s="35"/>
      <c r="I275" s="35"/>
      <c r="J275" s="38"/>
      <c r="K275" s="35"/>
      <c r="L275" s="59">
        <v>54.84</v>
      </c>
      <c r="M275" s="54"/>
      <c r="N275" s="94">
        <v>861.54</v>
      </c>
    </row>
    <row r="276" spans="1:14" ht="28.5" customHeight="1" x14ac:dyDescent="0.25">
      <c r="A276" s="32" t="s">
        <v>224</v>
      </c>
      <c r="B276" s="33" t="s">
        <v>173</v>
      </c>
      <c r="C276" s="350" t="s">
        <v>174</v>
      </c>
      <c r="D276" s="350"/>
      <c r="E276" s="350"/>
      <c r="F276" s="34" t="s">
        <v>165</v>
      </c>
      <c r="G276" s="35">
        <v>13.66</v>
      </c>
      <c r="H276" s="36">
        <v>1</v>
      </c>
      <c r="I276" s="61">
        <v>13.66</v>
      </c>
      <c r="J276" s="59">
        <v>3.86</v>
      </c>
      <c r="K276" s="35"/>
      <c r="L276" s="59">
        <v>52.73</v>
      </c>
      <c r="M276" s="61">
        <v>16.22</v>
      </c>
      <c r="N276" s="94">
        <v>855.28</v>
      </c>
    </row>
    <row r="277" spans="1:14" hidden="1" x14ac:dyDescent="0.25">
      <c r="A277" s="57"/>
      <c r="B277" s="58"/>
      <c r="C277" s="350" t="s">
        <v>69</v>
      </c>
      <c r="D277" s="350"/>
      <c r="E277" s="350"/>
      <c r="F277" s="34"/>
      <c r="G277" s="35"/>
      <c r="H277" s="35"/>
      <c r="I277" s="35"/>
      <c r="J277" s="38"/>
      <c r="K277" s="35"/>
      <c r="L277" s="59">
        <v>52.73</v>
      </c>
      <c r="M277" s="54"/>
      <c r="N277" s="94">
        <v>855.28</v>
      </c>
    </row>
    <row r="278" spans="1:14" hidden="1" x14ac:dyDescent="0.25">
      <c r="A278" s="75"/>
      <c r="B278" s="76"/>
      <c r="C278" s="77"/>
      <c r="D278" s="77"/>
      <c r="E278" s="77"/>
      <c r="F278" s="77"/>
      <c r="G278" s="78"/>
      <c r="H278" s="78"/>
      <c r="I278" s="78"/>
      <c r="J278" s="78"/>
      <c r="K278" s="79"/>
      <c r="L278" s="78"/>
      <c r="M278" s="79"/>
      <c r="N278" s="80"/>
    </row>
    <row r="279" spans="1:14" hidden="1" x14ac:dyDescent="0.25">
      <c r="A279" s="57"/>
      <c r="B279" s="81"/>
      <c r="C279" s="349" t="s">
        <v>225</v>
      </c>
      <c r="D279" s="349"/>
      <c r="E279" s="349"/>
      <c r="F279" s="349"/>
      <c r="G279" s="349"/>
      <c r="H279" s="349"/>
      <c r="I279" s="349"/>
      <c r="J279" s="349"/>
      <c r="K279" s="349"/>
      <c r="L279" s="82"/>
      <c r="M279" s="83"/>
      <c r="N279" s="84"/>
    </row>
    <row r="280" spans="1:14" hidden="1" x14ac:dyDescent="0.25">
      <c r="A280" s="85"/>
      <c r="B280" s="41"/>
      <c r="C280" s="348" t="s">
        <v>176</v>
      </c>
      <c r="D280" s="348"/>
      <c r="E280" s="348"/>
      <c r="F280" s="348"/>
      <c r="G280" s="348"/>
      <c r="H280" s="348"/>
      <c r="I280" s="348"/>
      <c r="J280" s="348"/>
      <c r="K280" s="348"/>
      <c r="L280" s="95">
        <v>606.54999999999995</v>
      </c>
      <c r="M280" s="87"/>
      <c r="N280" s="88">
        <v>20456.150000000001</v>
      </c>
    </row>
    <row r="281" spans="1:14" hidden="1" x14ac:dyDescent="0.25">
      <c r="A281" s="85"/>
      <c r="B281" s="41"/>
      <c r="C281" s="348" t="s">
        <v>177</v>
      </c>
      <c r="D281" s="348"/>
      <c r="E281" s="348"/>
      <c r="F281" s="348"/>
      <c r="G281" s="348"/>
      <c r="H281" s="348"/>
      <c r="I281" s="348"/>
      <c r="J281" s="348"/>
      <c r="K281" s="348"/>
      <c r="L281" s="89"/>
      <c r="M281" s="87"/>
      <c r="N281" s="90"/>
    </row>
    <row r="282" spans="1:14" hidden="1" x14ac:dyDescent="0.25">
      <c r="A282" s="85"/>
      <c r="B282" s="41"/>
      <c r="C282" s="348" t="s">
        <v>178</v>
      </c>
      <c r="D282" s="348"/>
      <c r="E282" s="348"/>
      <c r="F282" s="348"/>
      <c r="G282" s="348"/>
      <c r="H282" s="348"/>
      <c r="I282" s="348"/>
      <c r="J282" s="348"/>
      <c r="K282" s="348"/>
      <c r="L282" s="95">
        <v>298.64</v>
      </c>
      <c r="M282" s="87"/>
      <c r="N282" s="88">
        <v>15591.99</v>
      </c>
    </row>
    <row r="283" spans="1:14" hidden="1" x14ac:dyDescent="0.25">
      <c r="A283" s="85"/>
      <c r="B283" s="41"/>
      <c r="C283" s="348" t="s">
        <v>179</v>
      </c>
      <c r="D283" s="348"/>
      <c r="E283" s="348"/>
      <c r="F283" s="348"/>
      <c r="G283" s="348"/>
      <c r="H283" s="348"/>
      <c r="I283" s="348"/>
      <c r="J283" s="348"/>
      <c r="K283" s="348"/>
      <c r="L283" s="95">
        <v>128.02000000000001</v>
      </c>
      <c r="M283" s="87"/>
      <c r="N283" s="88">
        <v>2011.19</v>
      </c>
    </row>
    <row r="284" spans="1:14" hidden="1" x14ac:dyDescent="0.25">
      <c r="A284" s="85"/>
      <c r="B284" s="41"/>
      <c r="C284" s="348" t="s">
        <v>180</v>
      </c>
      <c r="D284" s="348"/>
      <c r="E284" s="348"/>
      <c r="F284" s="348"/>
      <c r="G284" s="348"/>
      <c r="H284" s="348"/>
      <c r="I284" s="348"/>
      <c r="J284" s="348"/>
      <c r="K284" s="348"/>
      <c r="L284" s="95">
        <v>19.84</v>
      </c>
      <c r="M284" s="87"/>
      <c r="N284" s="88">
        <v>1035.8499999999999</v>
      </c>
    </row>
    <row r="285" spans="1:14" hidden="1" x14ac:dyDescent="0.25">
      <c r="A285" s="85"/>
      <c r="B285" s="41"/>
      <c r="C285" s="348" t="s">
        <v>181</v>
      </c>
      <c r="D285" s="348"/>
      <c r="E285" s="348"/>
      <c r="F285" s="348"/>
      <c r="G285" s="348"/>
      <c r="H285" s="348"/>
      <c r="I285" s="348"/>
      <c r="J285" s="348"/>
      <c r="K285" s="348"/>
      <c r="L285" s="95">
        <v>127.16</v>
      </c>
      <c r="M285" s="87"/>
      <c r="N285" s="88">
        <v>1997.69</v>
      </c>
    </row>
    <row r="286" spans="1:14" hidden="1" x14ac:dyDescent="0.25">
      <c r="A286" s="85"/>
      <c r="B286" s="41"/>
      <c r="C286" s="348" t="s">
        <v>182</v>
      </c>
      <c r="D286" s="348"/>
      <c r="E286" s="348"/>
      <c r="F286" s="348"/>
      <c r="G286" s="348"/>
      <c r="H286" s="348"/>
      <c r="I286" s="348"/>
      <c r="J286" s="348"/>
      <c r="K286" s="348"/>
      <c r="L286" s="89"/>
      <c r="M286" s="87"/>
      <c r="N286" s="90"/>
    </row>
    <row r="287" spans="1:14" hidden="1" x14ac:dyDescent="0.25">
      <c r="A287" s="85"/>
      <c r="B287" s="41"/>
      <c r="C287" s="348" t="s">
        <v>183</v>
      </c>
      <c r="D287" s="348"/>
      <c r="E287" s="348"/>
      <c r="F287" s="348"/>
      <c r="G287" s="348"/>
      <c r="H287" s="348"/>
      <c r="I287" s="348"/>
      <c r="J287" s="348"/>
      <c r="K287" s="348"/>
      <c r="L287" s="95">
        <v>72.319999999999993</v>
      </c>
      <c r="M287" s="87"/>
      <c r="N287" s="88">
        <v>1136.1500000000001</v>
      </c>
    </row>
    <row r="288" spans="1:14" hidden="1" x14ac:dyDescent="0.25">
      <c r="A288" s="85"/>
      <c r="B288" s="41"/>
      <c r="C288" s="348" t="s">
        <v>184</v>
      </c>
      <c r="D288" s="348"/>
      <c r="E288" s="348"/>
      <c r="F288" s="348"/>
      <c r="G288" s="348"/>
      <c r="H288" s="348"/>
      <c r="I288" s="348"/>
      <c r="J288" s="348"/>
      <c r="K288" s="348"/>
      <c r="L288" s="95">
        <v>54.84</v>
      </c>
      <c r="M288" s="87"/>
      <c r="N288" s="96">
        <v>861.54</v>
      </c>
    </row>
    <row r="289" spans="1:14" hidden="1" x14ac:dyDescent="0.25">
      <c r="A289" s="85"/>
      <c r="B289" s="41"/>
      <c r="C289" s="348" t="s">
        <v>185</v>
      </c>
      <c r="D289" s="348"/>
      <c r="E289" s="348"/>
      <c r="F289" s="348"/>
      <c r="G289" s="348"/>
      <c r="H289" s="348"/>
      <c r="I289" s="348"/>
      <c r="J289" s="348"/>
      <c r="K289" s="348"/>
      <c r="L289" s="95">
        <v>52.73</v>
      </c>
      <c r="M289" s="87"/>
      <c r="N289" s="96">
        <v>855.28</v>
      </c>
    </row>
    <row r="290" spans="1:14" hidden="1" x14ac:dyDescent="0.25">
      <c r="A290" s="85"/>
      <c r="B290" s="41"/>
      <c r="C290" s="348" t="s">
        <v>186</v>
      </c>
      <c r="D290" s="348"/>
      <c r="E290" s="348"/>
      <c r="F290" s="348"/>
      <c r="G290" s="348"/>
      <c r="H290" s="348"/>
      <c r="I290" s="348"/>
      <c r="J290" s="348"/>
      <c r="K290" s="348"/>
      <c r="L290" s="86">
        <v>1129.6500000000001</v>
      </c>
      <c r="M290" s="87"/>
      <c r="N290" s="88">
        <v>47767.38</v>
      </c>
    </row>
    <row r="291" spans="1:14" hidden="1" x14ac:dyDescent="0.25">
      <c r="A291" s="85"/>
      <c r="B291" s="41"/>
      <c r="C291" s="348" t="s">
        <v>187</v>
      </c>
      <c r="D291" s="348"/>
      <c r="E291" s="348"/>
      <c r="F291" s="348"/>
      <c r="G291" s="348"/>
      <c r="H291" s="348"/>
      <c r="I291" s="348"/>
      <c r="J291" s="348"/>
      <c r="K291" s="348"/>
      <c r="L291" s="86">
        <v>1022.08</v>
      </c>
      <c r="M291" s="87"/>
      <c r="N291" s="88">
        <v>46050.559999999998</v>
      </c>
    </row>
    <row r="292" spans="1:14" hidden="1" x14ac:dyDescent="0.25">
      <c r="A292" s="85"/>
      <c r="B292" s="41"/>
      <c r="C292" s="348" t="s">
        <v>188</v>
      </c>
      <c r="D292" s="348"/>
      <c r="E292" s="348"/>
      <c r="F292" s="348"/>
      <c r="G292" s="348"/>
      <c r="H292" s="348"/>
      <c r="I292" s="348"/>
      <c r="J292" s="348"/>
      <c r="K292" s="348"/>
      <c r="L292" s="89"/>
      <c r="M292" s="87"/>
      <c r="N292" s="90"/>
    </row>
    <row r="293" spans="1:14" hidden="1" x14ac:dyDescent="0.25">
      <c r="A293" s="85"/>
      <c r="B293" s="41"/>
      <c r="C293" s="348" t="s">
        <v>189</v>
      </c>
      <c r="D293" s="348"/>
      <c r="E293" s="348"/>
      <c r="F293" s="348"/>
      <c r="G293" s="348"/>
      <c r="H293" s="348"/>
      <c r="I293" s="348"/>
      <c r="J293" s="348"/>
      <c r="K293" s="348"/>
      <c r="L293" s="95">
        <v>298.64</v>
      </c>
      <c r="M293" s="87"/>
      <c r="N293" s="88">
        <v>15591.99</v>
      </c>
    </row>
    <row r="294" spans="1:14" hidden="1" x14ac:dyDescent="0.25">
      <c r="A294" s="85"/>
      <c r="B294" s="41"/>
      <c r="C294" s="348" t="s">
        <v>190</v>
      </c>
      <c r="D294" s="348"/>
      <c r="E294" s="348"/>
      <c r="F294" s="348"/>
      <c r="G294" s="348"/>
      <c r="H294" s="348"/>
      <c r="I294" s="348"/>
      <c r="J294" s="348"/>
      <c r="K294" s="348"/>
      <c r="L294" s="95">
        <v>128.02000000000001</v>
      </c>
      <c r="M294" s="87"/>
      <c r="N294" s="88">
        <v>2011.19</v>
      </c>
    </row>
    <row r="295" spans="1:14" hidden="1" x14ac:dyDescent="0.25">
      <c r="A295" s="85"/>
      <c r="B295" s="41"/>
      <c r="C295" s="348" t="s">
        <v>191</v>
      </c>
      <c r="D295" s="348"/>
      <c r="E295" s="348"/>
      <c r="F295" s="348"/>
      <c r="G295" s="348"/>
      <c r="H295" s="348"/>
      <c r="I295" s="348"/>
      <c r="J295" s="348"/>
      <c r="K295" s="348"/>
      <c r="L295" s="95">
        <v>19.84</v>
      </c>
      <c r="M295" s="87"/>
      <c r="N295" s="88">
        <v>1035.8499999999999</v>
      </c>
    </row>
    <row r="296" spans="1:14" hidden="1" x14ac:dyDescent="0.25">
      <c r="A296" s="85"/>
      <c r="B296" s="41"/>
      <c r="C296" s="348" t="s">
        <v>192</v>
      </c>
      <c r="D296" s="348"/>
      <c r="E296" s="348"/>
      <c r="F296" s="348"/>
      <c r="G296" s="348"/>
      <c r="H296" s="348"/>
      <c r="I296" s="348"/>
      <c r="J296" s="348"/>
      <c r="K296" s="348"/>
      <c r="L296" s="95">
        <v>72.319999999999993</v>
      </c>
      <c r="M296" s="87"/>
      <c r="N296" s="88">
        <v>1136.1500000000001</v>
      </c>
    </row>
    <row r="297" spans="1:14" hidden="1" x14ac:dyDescent="0.25">
      <c r="A297" s="85"/>
      <c r="B297" s="41"/>
      <c r="C297" s="348" t="s">
        <v>193</v>
      </c>
      <c r="D297" s="348"/>
      <c r="E297" s="348"/>
      <c r="F297" s="348"/>
      <c r="G297" s="348"/>
      <c r="H297" s="348"/>
      <c r="I297" s="348"/>
      <c r="J297" s="348"/>
      <c r="K297" s="348"/>
      <c r="L297" s="95">
        <v>347.14</v>
      </c>
      <c r="M297" s="87"/>
      <c r="N297" s="88">
        <v>18124.349999999999</v>
      </c>
    </row>
    <row r="298" spans="1:14" hidden="1" x14ac:dyDescent="0.25">
      <c r="A298" s="85"/>
      <c r="B298" s="41"/>
      <c r="C298" s="348" t="s">
        <v>194</v>
      </c>
      <c r="D298" s="348"/>
      <c r="E298" s="348"/>
      <c r="F298" s="348"/>
      <c r="G298" s="348"/>
      <c r="H298" s="348"/>
      <c r="I298" s="348"/>
      <c r="J298" s="348"/>
      <c r="K298" s="348"/>
      <c r="L298" s="95">
        <v>175.96</v>
      </c>
      <c r="M298" s="87"/>
      <c r="N298" s="88">
        <v>9186.8799999999992</v>
      </c>
    </row>
    <row r="299" spans="1:14" hidden="1" x14ac:dyDescent="0.25">
      <c r="A299" s="85"/>
      <c r="B299" s="41"/>
      <c r="C299" s="348" t="s">
        <v>195</v>
      </c>
      <c r="D299" s="348"/>
      <c r="E299" s="348"/>
      <c r="F299" s="348"/>
      <c r="G299" s="348"/>
      <c r="H299" s="348"/>
      <c r="I299" s="348"/>
      <c r="J299" s="348"/>
      <c r="K299" s="348"/>
      <c r="L299" s="95">
        <v>52.73</v>
      </c>
      <c r="M299" s="87"/>
      <c r="N299" s="96">
        <v>855.28</v>
      </c>
    </row>
    <row r="300" spans="1:14" hidden="1" x14ac:dyDescent="0.25">
      <c r="A300" s="85"/>
      <c r="B300" s="41"/>
      <c r="C300" s="348" t="s">
        <v>196</v>
      </c>
      <c r="D300" s="348"/>
      <c r="E300" s="348"/>
      <c r="F300" s="348"/>
      <c r="G300" s="348"/>
      <c r="H300" s="348"/>
      <c r="I300" s="348"/>
      <c r="J300" s="348"/>
      <c r="K300" s="348"/>
      <c r="L300" s="95">
        <v>54.84</v>
      </c>
      <c r="M300" s="87"/>
      <c r="N300" s="96">
        <v>861.54</v>
      </c>
    </row>
    <row r="301" spans="1:14" hidden="1" x14ac:dyDescent="0.25">
      <c r="A301" s="85"/>
      <c r="B301" s="41"/>
      <c r="C301" s="348" t="s">
        <v>197</v>
      </c>
      <c r="D301" s="348"/>
      <c r="E301" s="348"/>
      <c r="F301" s="348"/>
      <c r="G301" s="348"/>
      <c r="H301" s="348"/>
      <c r="I301" s="348"/>
      <c r="J301" s="348"/>
      <c r="K301" s="348"/>
      <c r="L301" s="95">
        <v>318.48</v>
      </c>
      <c r="M301" s="87"/>
      <c r="N301" s="88">
        <v>16627.84</v>
      </c>
    </row>
    <row r="302" spans="1:14" hidden="1" x14ac:dyDescent="0.25">
      <c r="A302" s="85"/>
      <c r="B302" s="41"/>
      <c r="C302" s="348" t="s">
        <v>198</v>
      </c>
      <c r="D302" s="348"/>
      <c r="E302" s="348"/>
      <c r="F302" s="348"/>
      <c r="G302" s="348"/>
      <c r="H302" s="348"/>
      <c r="I302" s="348"/>
      <c r="J302" s="348"/>
      <c r="K302" s="348"/>
      <c r="L302" s="95">
        <v>347.14</v>
      </c>
      <c r="M302" s="87"/>
      <c r="N302" s="88">
        <v>18124.349999999999</v>
      </c>
    </row>
    <row r="303" spans="1:14" hidden="1" x14ac:dyDescent="0.25">
      <c r="A303" s="85"/>
      <c r="B303" s="41"/>
      <c r="C303" s="348" t="s">
        <v>199</v>
      </c>
      <c r="D303" s="348"/>
      <c r="E303" s="348"/>
      <c r="F303" s="348"/>
      <c r="G303" s="348"/>
      <c r="H303" s="348"/>
      <c r="I303" s="348"/>
      <c r="J303" s="348"/>
      <c r="K303" s="348"/>
      <c r="L303" s="95">
        <v>175.96</v>
      </c>
      <c r="M303" s="87"/>
      <c r="N303" s="88">
        <v>9186.8799999999992</v>
      </c>
    </row>
    <row r="304" spans="1:14" hidden="1" x14ac:dyDescent="0.25">
      <c r="A304" s="85"/>
      <c r="B304" s="81"/>
      <c r="C304" s="349" t="s">
        <v>226</v>
      </c>
      <c r="D304" s="349"/>
      <c r="E304" s="349"/>
      <c r="F304" s="349"/>
      <c r="G304" s="349"/>
      <c r="H304" s="349"/>
      <c r="I304" s="349"/>
      <c r="J304" s="349"/>
      <c r="K304" s="349"/>
      <c r="L304" s="91">
        <v>1129.6500000000001</v>
      </c>
      <c r="M304" s="83"/>
      <c r="N304" s="92">
        <v>47767.38</v>
      </c>
    </row>
    <row r="305" spans="1:14" hidden="1" x14ac:dyDescent="0.25">
      <c r="A305" s="85"/>
      <c r="B305" s="41"/>
      <c r="C305" s="348" t="s">
        <v>201</v>
      </c>
      <c r="D305" s="348"/>
      <c r="E305" s="348"/>
      <c r="F305" s="348"/>
      <c r="G305" s="348"/>
      <c r="H305" s="348"/>
      <c r="I305" s="348"/>
      <c r="J305" s="348"/>
      <c r="K305" s="348"/>
      <c r="L305" s="89"/>
      <c r="M305" s="87"/>
      <c r="N305" s="90"/>
    </row>
    <row r="306" spans="1:14" hidden="1" x14ac:dyDescent="0.25">
      <c r="A306" s="85"/>
      <c r="B306" s="41"/>
      <c r="C306" s="348" t="s">
        <v>202</v>
      </c>
      <c r="D306" s="348"/>
      <c r="E306" s="348"/>
      <c r="F306" s="348"/>
      <c r="G306" s="348"/>
      <c r="H306" s="348"/>
      <c r="I306" s="42" t="s">
        <v>218</v>
      </c>
      <c r="J306" s="93"/>
      <c r="K306" s="93"/>
      <c r="L306" s="89"/>
      <c r="M306" s="87"/>
      <c r="N306" s="90"/>
    </row>
    <row r="307" spans="1:14" hidden="1" x14ac:dyDescent="0.25">
      <c r="A307" s="85"/>
      <c r="B307" s="41"/>
      <c r="C307" s="348" t="s">
        <v>204</v>
      </c>
      <c r="D307" s="348"/>
      <c r="E307" s="348"/>
      <c r="F307" s="348"/>
      <c r="G307" s="348"/>
      <c r="H307" s="348"/>
      <c r="I307" s="42" t="s">
        <v>219</v>
      </c>
      <c r="J307" s="93"/>
      <c r="K307" s="93"/>
      <c r="L307" s="89"/>
      <c r="M307" s="87"/>
      <c r="N307" s="90"/>
    </row>
    <row r="308" spans="1:14" x14ac:dyDescent="0.25">
      <c r="A308" s="358" t="s">
        <v>227</v>
      </c>
      <c r="B308" s="359"/>
      <c r="C308" s="359"/>
      <c r="D308" s="359"/>
      <c r="E308" s="359"/>
      <c r="F308" s="359"/>
      <c r="G308" s="359"/>
      <c r="H308" s="359"/>
      <c r="I308" s="359"/>
      <c r="J308" s="359"/>
      <c r="K308" s="359"/>
      <c r="L308" s="359"/>
      <c r="M308" s="359"/>
      <c r="N308" s="360"/>
    </row>
    <row r="309" spans="1:14" ht="26.25" customHeight="1" x14ac:dyDescent="0.25">
      <c r="A309" s="32" t="s">
        <v>228</v>
      </c>
      <c r="B309" s="33" t="s">
        <v>208</v>
      </c>
      <c r="C309" s="350" t="s">
        <v>209</v>
      </c>
      <c r="D309" s="350"/>
      <c r="E309" s="350"/>
      <c r="F309" s="34" t="s">
        <v>210</v>
      </c>
      <c r="G309" s="35">
        <v>1</v>
      </c>
      <c r="H309" s="36">
        <v>1</v>
      </c>
      <c r="I309" s="36">
        <v>1</v>
      </c>
      <c r="J309" s="38"/>
      <c r="K309" s="35"/>
      <c r="L309" s="38"/>
      <c r="M309" s="35"/>
      <c r="N309" s="39"/>
    </row>
    <row r="310" spans="1:14" hidden="1" x14ac:dyDescent="0.25">
      <c r="A310" s="40"/>
      <c r="B310" s="41" t="s">
        <v>55</v>
      </c>
      <c r="C310" s="354" t="s">
        <v>59</v>
      </c>
      <c r="D310" s="354"/>
      <c r="E310" s="354"/>
      <c r="F310" s="42"/>
      <c r="G310" s="43"/>
      <c r="H310" s="43"/>
      <c r="I310" s="43"/>
      <c r="J310" s="44">
        <v>298.64</v>
      </c>
      <c r="K310" s="43"/>
      <c r="L310" s="44">
        <v>298.64</v>
      </c>
      <c r="M310" s="45">
        <v>52.21</v>
      </c>
      <c r="N310" s="46">
        <v>15591.99</v>
      </c>
    </row>
    <row r="311" spans="1:14" hidden="1" x14ac:dyDescent="0.25">
      <c r="A311" s="40"/>
      <c r="B311" s="41" t="s">
        <v>70</v>
      </c>
      <c r="C311" s="354" t="s">
        <v>74</v>
      </c>
      <c r="D311" s="354"/>
      <c r="E311" s="354"/>
      <c r="F311" s="42"/>
      <c r="G311" s="43"/>
      <c r="H311" s="43"/>
      <c r="I311" s="43"/>
      <c r="J311" s="44">
        <v>128.02000000000001</v>
      </c>
      <c r="K311" s="43"/>
      <c r="L311" s="44">
        <v>128.02000000000001</v>
      </c>
      <c r="M311" s="45">
        <v>15.71</v>
      </c>
      <c r="N311" s="46">
        <v>2011.19</v>
      </c>
    </row>
    <row r="312" spans="1:14" hidden="1" x14ac:dyDescent="0.25">
      <c r="A312" s="40"/>
      <c r="B312" s="41" t="s">
        <v>75</v>
      </c>
      <c r="C312" s="354" t="s">
        <v>76</v>
      </c>
      <c r="D312" s="354"/>
      <c r="E312" s="354"/>
      <c r="F312" s="42"/>
      <c r="G312" s="43"/>
      <c r="H312" s="43"/>
      <c r="I312" s="43"/>
      <c r="J312" s="44">
        <v>19.84</v>
      </c>
      <c r="K312" s="43"/>
      <c r="L312" s="44">
        <v>19.84</v>
      </c>
      <c r="M312" s="45">
        <v>52.21</v>
      </c>
      <c r="N312" s="46">
        <v>1035.8499999999999</v>
      </c>
    </row>
    <row r="313" spans="1:14" hidden="1" x14ac:dyDescent="0.25">
      <c r="A313" s="47"/>
      <c r="B313" s="41"/>
      <c r="C313" s="354" t="s">
        <v>60</v>
      </c>
      <c r="D313" s="354"/>
      <c r="E313" s="354"/>
      <c r="F313" s="42" t="s">
        <v>61</v>
      </c>
      <c r="G313" s="45">
        <v>35.01</v>
      </c>
      <c r="H313" s="43"/>
      <c r="I313" s="45">
        <v>35.01</v>
      </c>
      <c r="J313" s="50"/>
      <c r="K313" s="43"/>
      <c r="L313" s="50"/>
      <c r="M313" s="43"/>
      <c r="N313" s="51"/>
    </row>
    <row r="314" spans="1:14" hidden="1" x14ac:dyDescent="0.25">
      <c r="A314" s="47"/>
      <c r="B314" s="41"/>
      <c r="C314" s="354" t="s">
        <v>77</v>
      </c>
      <c r="D314" s="354"/>
      <c r="E314" s="354"/>
      <c r="F314" s="42" t="s">
        <v>61</v>
      </c>
      <c r="G314" s="45">
        <v>1.71</v>
      </c>
      <c r="H314" s="43"/>
      <c r="I314" s="45">
        <v>1.71</v>
      </c>
      <c r="J314" s="50"/>
      <c r="K314" s="43"/>
      <c r="L314" s="50"/>
      <c r="M314" s="43"/>
      <c r="N314" s="51"/>
    </row>
    <row r="315" spans="1:14" hidden="1" x14ac:dyDescent="0.25">
      <c r="A315" s="52"/>
      <c r="B315" s="41"/>
      <c r="C315" s="355" t="s">
        <v>62</v>
      </c>
      <c r="D315" s="355"/>
      <c r="E315" s="355"/>
      <c r="F315" s="53"/>
      <c r="G315" s="54"/>
      <c r="H315" s="54"/>
      <c r="I315" s="54"/>
      <c r="J315" s="55">
        <v>426.66</v>
      </c>
      <c r="K315" s="54"/>
      <c r="L315" s="55">
        <v>426.66</v>
      </c>
      <c r="M315" s="54"/>
      <c r="N315" s="56">
        <v>17603.18</v>
      </c>
    </row>
    <row r="316" spans="1:14" hidden="1" x14ac:dyDescent="0.25">
      <c r="A316" s="47"/>
      <c r="B316" s="41"/>
      <c r="C316" s="354" t="s">
        <v>63</v>
      </c>
      <c r="D316" s="354"/>
      <c r="E316" s="354"/>
      <c r="F316" s="42"/>
      <c r="G316" s="43"/>
      <c r="H316" s="43"/>
      <c r="I316" s="43"/>
      <c r="J316" s="50"/>
      <c r="K316" s="43"/>
      <c r="L316" s="44">
        <v>318.48</v>
      </c>
      <c r="M316" s="43"/>
      <c r="N316" s="46">
        <v>16627.84</v>
      </c>
    </row>
    <row r="317" spans="1:14" ht="22.5" hidden="1" x14ac:dyDescent="0.25">
      <c r="A317" s="47"/>
      <c r="B317" s="41" t="s">
        <v>78</v>
      </c>
      <c r="C317" s="354" t="s">
        <v>79</v>
      </c>
      <c r="D317" s="354"/>
      <c r="E317" s="354"/>
      <c r="F317" s="42" t="s">
        <v>66</v>
      </c>
      <c r="G317" s="48">
        <v>109</v>
      </c>
      <c r="H317" s="43"/>
      <c r="I317" s="48">
        <v>109</v>
      </c>
      <c r="J317" s="50"/>
      <c r="K317" s="43"/>
      <c r="L317" s="44">
        <v>347.14</v>
      </c>
      <c r="M317" s="43"/>
      <c r="N317" s="46">
        <v>18124.349999999999</v>
      </c>
    </row>
    <row r="318" spans="1:14" ht="45" hidden="1" x14ac:dyDescent="0.25">
      <c r="A318" s="47"/>
      <c r="B318" s="41" t="s">
        <v>80</v>
      </c>
      <c r="C318" s="354" t="s">
        <v>81</v>
      </c>
      <c r="D318" s="354"/>
      <c r="E318" s="354"/>
      <c r="F318" s="42" t="s">
        <v>66</v>
      </c>
      <c r="G318" s="48">
        <v>65</v>
      </c>
      <c r="H318" s="45">
        <v>0.85</v>
      </c>
      <c r="I318" s="45">
        <v>55.25</v>
      </c>
      <c r="J318" s="50"/>
      <c r="K318" s="43"/>
      <c r="L318" s="44">
        <v>175.96</v>
      </c>
      <c r="M318" s="43"/>
      <c r="N318" s="46">
        <v>9186.8799999999992</v>
      </c>
    </row>
    <row r="319" spans="1:14" hidden="1" x14ac:dyDescent="0.25">
      <c r="A319" s="57"/>
      <c r="B319" s="58"/>
      <c r="C319" s="350" t="s">
        <v>69</v>
      </c>
      <c r="D319" s="350"/>
      <c r="E319" s="350"/>
      <c r="F319" s="34"/>
      <c r="G319" s="35"/>
      <c r="H319" s="35"/>
      <c r="I319" s="35"/>
      <c r="J319" s="38"/>
      <c r="K319" s="35"/>
      <c r="L319" s="59">
        <v>949.76</v>
      </c>
      <c r="M319" s="54"/>
      <c r="N319" s="60">
        <v>44914.41</v>
      </c>
    </row>
    <row r="320" spans="1:14" ht="25.5" customHeight="1" x14ac:dyDescent="0.25">
      <c r="A320" s="32" t="s">
        <v>229</v>
      </c>
      <c r="B320" s="33" t="s">
        <v>167</v>
      </c>
      <c r="C320" s="350" t="s">
        <v>212</v>
      </c>
      <c r="D320" s="350"/>
      <c r="E320" s="350"/>
      <c r="F320" s="34" t="s">
        <v>165</v>
      </c>
      <c r="G320" s="35">
        <v>11.71</v>
      </c>
      <c r="H320" s="36">
        <v>1</v>
      </c>
      <c r="I320" s="61">
        <v>11.71</v>
      </c>
      <c r="J320" s="59">
        <v>8.39</v>
      </c>
      <c r="K320" s="35"/>
      <c r="L320" s="59">
        <v>98.25</v>
      </c>
      <c r="M320" s="61">
        <v>15.71</v>
      </c>
      <c r="N320" s="60">
        <v>1543.51</v>
      </c>
    </row>
    <row r="321" spans="1:14" hidden="1" x14ac:dyDescent="0.25">
      <c r="A321" s="57"/>
      <c r="B321" s="58"/>
      <c r="C321" s="350" t="s">
        <v>69</v>
      </c>
      <c r="D321" s="350"/>
      <c r="E321" s="350"/>
      <c r="F321" s="34"/>
      <c r="G321" s="35"/>
      <c r="H321" s="35"/>
      <c r="I321" s="35"/>
      <c r="J321" s="38"/>
      <c r="K321" s="35"/>
      <c r="L321" s="59">
        <v>98.25</v>
      </c>
      <c r="M321" s="54"/>
      <c r="N321" s="60">
        <v>1543.51</v>
      </c>
    </row>
    <row r="322" spans="1:14" ht="28.5" customHeight="1" x14ac:dyDescent="0.25">
      <c r="A322" s="32" t="s">
        <v>230</v>
      </c>
      <c r="B322" s="33" t="s">
        <v>170</v>
      </c>
      <c r="C322" s="350" t="s">
        <v>214</v>
      </c>
      <c r="D322" s="350"/>
      <c r="E322" s="350"/>
      <c r="F322" s="34" t="s">
        <v>165</v>
      </c>
      <c r="G322" s="35">
        <v>5.04</v>
      </c>
      <c r="H322" s="36">
        <v>1</v>
      </c>
      <c r="I322" s="61">
        <v>5.04</v>
      </c>
      <c r="J322" s="59">
        <v>10.88</v>
      </c>
      <c r="K322" s="35"/>
      <c r="L322" s="59">
        <v>54.84</v>
      </c>
      <c r="M322" s="61">
        <v>15.71</v>
      </c>
      <c r="N322" s="94">
        <v>861.54</v>
      </c>
    </row>
    <row r="323" spans="1:14" hidden="1" x14ac:dyDescent="0.25">
      <c r="A323" s="57"/>
      <c r="B323" s="58"/>
      <c r="C323" s="350" t="s">
        <v>69</v>
      </c>
      <c r="D323" s="350"/>
      <c r="E323" s="350"/>
      <c r="F323" s="34"/>
      <c r="G323" s="35"/>
      <c r="H323" s="35"/>
      <c r="I323" s="35"/>
      <c r="J323" s="38"/>
      <c r="K323" s="35"/>
      <c r="L323" s="59">
        <v>54.84</v>
      </c>
      <c r="M323" s="54"/>
      <c r="N323" s="94">
        <v>861.54</v>
      </c>
    </row>
    <row r="324" spans="1:14" ht="25.5" customHeight="1" x14ac:dyDescent="0.25">
      <c r="A324" s="32" t="s">
        <v>231</v>
      </c>
      <c r="B324" s="33" t="s">
        <v>173</v>
      </c>
      <c r="C324" s="350" t="s">
        <v>174</v>
      </c>
      <c r="D324" s="350"/>
      <c r="E324" s="350"/>
      <c r="F324" s="34" t="s">
        <v>165</v>
      </c>
      <c r="G324" s="35">
        <v>16.75</v>
      </c>
      <c r="H324" s="36">
        <v>1</v>
      </c>
      <c r="I324" s="61">
        <v>16.75</v>
      </c>
      <c r="J324" s="59">
        <v>3.86</v>
      </c>
      <c r="K324" s="35"/>
      <c r="L324" s="59">
        <v>64.66</v>
      </c>
      <c r="M324" s="61">
        <v>16.22</v>
      </c>
      <c r="N324" s="60">
        <v>1048.79</v>
      </c>
    </row>
    <row r="325" spans="1:14" hidden="1" x14ac:dyDescent="0.25">
      <c r="A325" s="57"/>
      <c r="B325" s="58"/>
      <c r="C325" s="350" t="s">
        <v>69</v>
      </c>
      <c r="D325" s="350"/>
      <c r="E325" s="350"/>
      <c r="F325" s="34"/>
      <c r="G325" s="35"/>
      <c r="H325" s="35"/>
      <c r="I325" s="35"/>
      <c r="J325" s="38"/>
      <c r="K325" s="35"/>
      <c r="L325" s="59">
        <v>64.66</v>
      </c>
      <c r="M325" s="54"/>
      <c r="N325" s="60">
        <v>1048.79</v>
      </c>
    </row>
    <row r="326" spans="1:14" hidden="1" x14ac:dyDescent="0.25">
      <c r="A326" s="75"/>
      <c r="B326" s="76"/>
      <c r="C326" s="77"/>
      <c r="D326" s="77"/>
      <c r="E326" s="77"/>
      <c r="F326" s="77"/>
      <c r="G326" s="78"/>
      <c r="H326" s="78"/>
      <c r="I326" s="78"/>
      <c r="J326" s="78"/>
      <c r="K326" s="79"/>
      <c r="L326" s="78"/>
      <c r="M326" s="79"/>
      <c r="N326" s="80"/>
    </row>
    <row r="327" spans="1:14" hidden="1" x14ac:dyDescent="0.25">
      <c r="A327" s="57"/>
      <c r="B327" s="81"/>
      <c r="C327" s="349" t="s">
        <v>232</v>
      </c>
      <c r="D327" s="349"/>
      <c r="E327" s="349"/>
      <c r="F327" s="349"/>
      <c r="G327" s="349"/>
      <c r="H327" s="349"/>
      <c r="I327" s="349"/>
      <c r="J327" s="349"/>
      <c r="K327" s="349"/>
      <c r="L327" s="82"/>
      <c r="M327" s="83"/>
      <c r="N327" s="84"/>
    </row>
    <row r="328" spans="1:14" hidden="1" x14ac:dyDescent="0.25">
      <c r="A328" s="85"/>
      <c r="B328" s="41"/>
      <c r="C328" s="348" t="s">
        <v>176</v>
      </c>
      <c r="D328" s="348"/>
      <c r="E328" s="348"/>
      <c r="F328" s="348"/>
      <c r="G328" s="348"/>
      <c r="H328" s="348"/>
      <c r="I328" s="348"/>
      <c r="J328" s="348"/>
      <c r="K328" s="348"/>
      <c r="L328" s="95">
        <v>644.41</v>
      </c>
      <c r="M328" s="87"/>
      <c r="N328" s="88">
        <v>21057.02</v>
      </c>
    </row>
    <row r="329" spans="1:14" hidden="1" x14ac:dyDescent="0.25">
      <c r="A329" s="85"/>
      <c r="B329" s="41"/>
      <c r="C329" s="348" t="s">
        <v>177</v>
      </c>
      <c r="D329" s="348"/>
      <c r="E329" s="348"/>
      <c r="F329" s="348"/>
      <c r="G329" s="348"/>
      <c r="H329" s="348"/>
      <c r="I329" s="348"/>
      <c r="J329" s="348"/>
      <c r="K329" s="348"/>
      <c r="L329" s="89"/>
      <c r="M329" s="87"/>
      <c r="N329" s="90"/>
    </row>
    <row r="330" spans="1:14" hidden="1" x14ac:dyDescent="0.25">
      <c r="A330" s="85"/>
      <c r="B330" s="41"/>
      <c r="C330" s="348" t="s">
        <v>178</v>
      </c>
      <c r="D330" s="348"/>
      <c r="E330" s="348"/>
      <c r="F330" s="348"/>
      <c r="G330" s="348"/>
      <c r="H330" s="348"/>
      <c r="I330" s="348"/>
      <c r="J330" s="348"/>
      <c r="K330" s="348"/>
      <c r="L330" s="95">
        <v>298.64</v>
      </c>
      <c r="M330" s="87"/>
      <c r="N330" s="88">
        <v>15591.99</v>
      </c>
    </row>
    <row r="331" spans="1:14" hidden="1" x14ac:dyDescent="0.25">
      <c r="A331" s="85"/>
      <c r="B331" s="41"/>
      <c r="C331" s="348" t="s">
        <v>179</v>
      </c>
      <c r="D331" s="348"/>
      <c r="E331" s="348"/>
      <c r="F331" s="348"/>
      <c r="G331" s="348"/>
      <c r="H331" s="348"/>
      <c r="I331" s="348"/>
      <c r="J331" s="348"/>
      <c r="K331" s="348"/>
      <c r="L331" s="95">
        <v>128.02000000000001</v>
      </c>
      <c r="M331" s="87"/>
      <c r="N331" s="88">
        <v>2011.19</v>
      </c>
    </row>
    <row r="332" spans="1:14" hidden="1" x14ac:dyDescent="0.25">
      <c r="A332" s="85"/>
      <c r="B332" s="41"/>
      <c r="C332" s="348" t="s">
        <v>180</v>
      </c>
      <c r="D332" s="348"/>
      <c r="E332" s="348"/>
      <c r="F332" s="348"/>
      <c r="G332" s="348"/>
      <c r="H332" s="348"/>
      <c r="I332" s="348"/>
      <c r="J332" s="348"/>
      <c r="K332" s="348"/>
      <c r="L332" s="95">
        <v>19.84</v>
      </c>
      <c r="M332" s="87"/>
      <c r="N332" s="88">
        <v>1035.8499999999999</v>
      </c>
    </row>
    <row r="333" spans="1:14" hidden="1" x14ac:dyDescent="0.25">
      <c r="A333" s="85"/>
      <c r="B333" s="41"/>
      <c r="C333" s="348" t="s">
        <v>181</v>
      </c>
      <c r="D333" s="348"/>
      <c r="E333" s="348"/>
      <c r="F333" s="348"/>
      <c r="G333" s="348"/>
      <c r="H333" s="348"/>
      <c r="I333" s="348"/>
      <c r="J333" s="348"/>
      <c r="K333" s="348"/>
      <c r="L333" s="95">
        <v>153.09</v>
      </c>
      <c r="M333" s="87"/>
      <c r="N333" s="88">
        <v>2405.0500000000002</v>
      </c>
    </row>
    <row r="334" spans="1:14" hidden="1" x14ac:dyDescent="0.25">
      <c r="A334" s="85"/>
      <c r="B334" s="41"/>
      <c r="C334" s="348" t="s">
        <v>182</v>
      </c>
      <c r="D334" s="348"/>
      <c r="E334" s="348"/>
      <c r="F334" s="348"/>
      <c r="G334" s="348"/>
      <c r="H334" s="348"/>
      <c r="I334" s="348"/>
      <c r="J334" s="348"/>
      <c r="K334" s="348"/>
      <c r="L334" s="89"/>
      <c r="M334" s="87"/>
      <c r="N334" s="90"/>
    </row>
    <row r="335" spans="1:14" hidden="1" x14ac:dyDescent="0.25">
      <c r="A335" s="85"/>
      <c r="B335" s="41"/>
      <c r="C335" s="348" t="s">
        <v>183</v>
      </c>
      <c r="D335" s="348"/>
      <c r="E335" s="348"/>
      <c r="F335" s="348"/>
      <c r="G335" s="348"/>
      <c r="H335" s="348"/>
      <c r="I335" s="348"/>
      <c r="J335" s="348"/>
      <c r="K335" s="348"/>
      <c r="L335" s="95">
        <v>98.25</v>
      </c>
      <c r="M335" s="87"/>
      <c r="N335" s="88">
        <v>1543.51</v>
      </c>
    </row>
    <row r="336" spans="1:14" hidden="1" x14ac:dyDescent="0.25">
      <c r="A336" s="85"/>
      <c r="B336" s="41"/>
      <c r="C336" s="348" t="s">
        <v>184</v>
      </c>
      <c r="D336" s="348"/>
      <c r="E336" s="348"/>
      <c r="F336" s="348"/>
      <c r="G336" s="348"/>
      <c r="H336" s="348"/>
      <c r="I336" s="348"/>
      <c r="J336" s="348"/>
      <c r="K336" s="348"/>
      <c r="L336" s="95">
        <v>54.84</v>
      </c>
      <c r="M336" s="87"/>
      <c r="N336" s="96">
        <v>861.54</v>
      </c>
    </row>
    <row r="337" spans="1:14" hidden="1" x14ac:dyDescent="0.25">
      <c r="A337" s="85"/>
      <c r="B337" s="41"/>
      <c r="C337" s="348" t="s">
        <v>185</v>
      </c>
      <c r="D337" s="348"/>
      <c r="E337" s="348"/>
      <c r="F337" s="348"/>
      <c r="G337" s="348"/>
      <c r="H337" s="348"/>
      <c r="I337" s="348"/>
      <c r="J337" s="348"/>
      <c r="K337" s="348"/>
      <c r="L337" s="95">
        <v>64.66</v>
      </c>
      <c r="M337" s="87"/>
      <c r="N337" s="88">
        <v>1048.79</v>
      </c>
    </row>
    <row r="338" spans="1:14" hidden="1" x14ac:dyDescent="0.25">
      <c r="A338" s="85"/>
      <c r="B338" s="41"/>
      <c r="C338" s="348" t="s">
        <v>186</v>
      </c>
      <c r="D338" s="348"/>
      <c r="E338" s="348"/>
      <c r="F338" s="348"/>
      <c r="G338" s="348"/>
      <c r="H338" s="348"/>
      <c r="I338" s="348"/>
      <c r="J338" s="348"/>
      <c r="K338" s="348"/>
      <c r="L338" s="86">
        <v>1167.51</v>
      </c>
      <c r="M338" s="87"/>
      <c r="N338" s="88">
        <v>48368.25</v>
      </c>
    </row>
    <row r="339" spans="1:14" hidden="1" x14ac:dyDescent="0.25">
      <c r="A339" s="85"/>
      <c r="B339" s="41"/>
      <c r="C339" s="348" t="s">
        <v>187</v>
      </c>
      <c r="D339" s="348"/>
      <c r="E339" s="348"/>
      <c r="F339" s="348"/>
      <c r="G339" s="348"/>
      <c r="H339" s="348"/>
      <c r="I339" s="348"/>
      <c r="J339" s="348"/>
      <c r="K339" s="348"/>
      <c r="L339" s="86">
        <v>1048.01</v>
      </c>
      <c r="M339" s="87"/>
      <c r="N339" s="88">
        <v>46457.919999999998</v>
      </c>
    </row>
    <row r="340" spans="1:14" hidden="1" x14ac:dyDescent="0.25">
      <c r="A340" s="85"/>
      <c r="B340" s="41"/>
      <c r="C340" s="348" t="s">
        <v>188</v>
      </c>
      <c r="D340" s="348"/>
      <c r="E340" s="348"/>
      <c r="F340" s="348"/>
      <c r="G340" s="348"/>
      <c r="H340" s="348"/>
      <c r="I340" s="348"/>
      <c r="J340" s="348"/>
      <c r="K340" s="348"/>
      <c r="L340" s="89"/>
      <c r="M340" s="87"/>
      <c r="N340" s="90"/>
    </row>
    <row r="341" spans="1:14" hidden="1" x14ac:dyDescent="0.25">
      <c r="A341" s="85"/>
      <c r="B341" s="41"/>
      <c r="C341" s="348" t="s">
        <v>189</v>
      </c>
      <c r="D341" s="348"/>
      <c r="E341" s="348"/>
      <c r="F341" s="348"/>
      <c r="G341" s="348"/>
      <c r="H341" s="348"/>
      <c r="I341" s="348"/>
      <c r="J341" s="348"/>
      <c r="K341" s="348"/>
      <c r="L341" s="95">
        <v>298.64</v>
      </c>
      <c r="M341" s="87"/>
      <c r="N341" s="88">
        <v>15591.99</v>
      </c>
    </row>
    <row r="342" spans="1:14" hidden="1" x14ac:dyDescent="0.25">
      <c r="A342" s="85"/>
      <c r="B342" s="41"/>
      <c r="C342" s="348" t="s">
        <v>190</v>
      </c>
      <c r="D342" s="348"/>
      <c r="E342" s="348"/>
      <c r="F342" s="348"/>
      <c r="G342" s="348"/>
      <c r="H342" s="348"/>
      <c r="I342" s="348"/>
      <c r="J342" s="348"/>
      <c r="K342" s="348"/>
      <c r="L342" s="95">
        <v>128.02000000000001</v>
      </c>
      <c r="M342" s="87"/>
      <c r="N342" s="88">
        <v>2011.19</v>
      </c>
    </row>
    <row r="343" spans="1:14" hidden="1" x14ac:dyDescent="0.25">
      <c r="A343" s="85"/>
      <c r="B343" s="41"/>
      <c r="C343" s="348" t="s">
        <v>191</v>
      </c>
      <c r="D343" s="348"/>
      <c r="E343" s="348"/>
      <c r="F343" s="348"/>
      <c r="G343" s="348"/>
      <c r="H343" s="348"/>
      <c r="I343" s="348"/>
      <c r="J343" s="348"/>
      <c r="K343" s="348"/>
      <c r="L343" s="95">
        <v>19.84</v>
      </c>
      <c r="M343" s="87"/>
      <c r="N343" s="88">
        <v>1035.8499999999999</v>
      </c>
    </row>
    <row r="344" spans="1:14" hidden="1" x14ac:dyDescent="0.25">
      <c r="A344" s="85"/>
      <c r="B344" s="41"/>
      <c r="C344" s="348" t="s">
        <v>192</v>
      </c>
      <c r="D344" s="348"/>
      <c r="E344" s="348"/>
      <c r="F344" s="348"/>
      <c r="G344" s="348"/>
      <c r="H344" s="348"/>
      <c r="I344" s="348"/>
      <c r="J344" s="348"/>
      <c r="K344" s="348"/>
      <c r="L344" s="95">
        <v>98.25</v>
      </c>
      <c r="M344" s="87"/>
      <c r="N344" s="88">
        <v>1543.51</v>
      </c>
    </row>
    <row r="345" spans="1:14" hidden="1" x14ac:dyDescent="0.25">
      <c r="A345" s="85"/>
      <c r="B345" s="41"/>
      <c r="C345" s="348" t="s">
        <v>193</v>
      </c>
      <c r="D345" s="348"/>
      <c r="E345" s="348"/>
      <c r="F345" s="348"/>
      <c r="G345" s="348"/>
      <c r="H345" s="348"/>
      <c r="I345" s="348"/>
      <c r="J345" s="348"/>
      <c r="K345" s="348"/>
      <c r="L345" s="95">
        <v>347.14</v>
      </c>
      <c r="M345" s="87"/>
      <c r="N345" s="88">
        <v>18124.349999999999</v>
      </c>
    </row>
    <row r="346" spans="1:14" hidden="1" x14ac:dyDescent="0.25">
      <c r="A346" s="85"/>
      <c r="B346" s="41"/>
      <c r="C346" s="348" t="s">
        <v>194</v>
      </c>
      <c r="D346" s="348"/>
      <c r="E346" s="348"/>
      <c r="F346" s="348"/>
      <c r="G346" s="348"/>
      <c r="H346" s="348"/>
      <c r="I346" s="348"/>
      <c r="J346" s="348"/>
      <c r="K346" s="348"/>
      <c r="L346" s="95">
        <v>175.96</v>
      </c>
      <c r="M346" s="87"/>
      <c r="N346" s="88">
        <v>9186.8799999999992</v>
      </c>
    </row>
    <row r="347" spans="1:14" hidden="1" x14ac:dyDescent="0.25">
      <c r="A347" s="85"/>
      <c r="B347" s="41"/>
      <c r="C347" s="348" t="s">
        <v>195</v>
      </c>
      <c r="D347" s="348"/>
      <c r="E347" s="348"/>
      <c r="F347" s="348"/>
      <c r="G347" s="348"/>
      <c r="H347" s="348"/>
      <c r="I347" s="348"/>
      <c r="J347" s="348"/>
      <c r="K347" s="348"/>
      <c r="L347" s="95">
        <v>64.66</v>
      </c>
      <c r="M347" s="87"/>
      <c r="N347" s="88">
        <v>1048.79</v>
      </c>
    </row>
    <row r="348" spans="1:14" hidden="1" x14ac:dyDescent="0.25">
      <c r="A348" s="85"/>
      <c r="B348" s="41"/>
      <c r="C348" s="348" t="s">
        <v>196</v>
      </c>
      <c r="D348" s="348"/>
      <c r="E348" s="348"/>
      <c r="F348" s="348"/>
      <c r="G348" s="348"/>
      <c r="H348" s="348"/>
      <c r="I348" s="348"/>
      <c r="J348" s="348"/>
      <c r="K348" s="348"/>
      <c r="L348" s="95">
        <v>54.84</v>
      </c>
      <c r="M348" s="87"/>
      <c r="N348" s="96">
        <v>861.54</v>
      </c>
    </row>
    <row r="349" spans="1:14" hidden="1" x14ac:dyDescent="0.25">
      <c r="A349" s="85"/>
      <c r="B349" s="41"/>
      <c r="C349" s="348" t="s">
        <v>197</v>
      </c>
      <c r="D349" s="348"/>
      <c r="E349" s="348"/>
      <c r="F349" s="348"/>
      <c r="G349" s="348"/>
      <c r="H349" s="348"/>
      <c r="I349" s="348"/>
      <c r="J349" s="348"/>
      <c r="K349" s="348"/>
      <c r="L349" s="95">
        <v>318.48</v>
      </c>
      <c r="M349" s="87"/>
      <c r="N349" s="88">
        <v>16627.84</v>
      </c>
    </row>
    <row r="350" spans="1:14" hidden="1" x14ac:dyDescent="0.25">
      <c r="A350" s="85"/>
      <c r="B350" s="41"/>
      <c r="C350" s="348" t="s">
        <v>198</v>
      </c>
      <c r="D350" s="348"/>
      <c r="E350" s="348"/>
      <c r="F350" s="348"/>
      <c r="G350" s="348"/>
      <c r="H350" s="348"/>
      <c r="I350" s="348"/>
      <c r="J350" s="348"/>
      <c r="K350" s="348"/>
      <c r="L350" s="95">
        <v>347.14</v>
      </c>
      <c r="M350" s="87"/>
      <c r="N350" s="88">
        <v>18124.349999999999</v>
      </c>
    </row>
    <row r="351" spans="1:14" hidden="1" x14ac:dyDescent="0.25">
      <c r="A351" s="85"/>
      <c r="B351" s="41"/>
      <c r="C351" s="348" t="s">
        <v>199</v>
      </c>
      <c r="D351" s="348"/>
      <c r="E351" s="348"/>
      <c r="F351" s="348"/>
      <c r="G351" s="348"/>
      <c r="H351" s="348"/>
      <c r="I351" s="348"/>
      <c r="J351" s="348"/>
      <c r="K351" s="348"/>
      <c r="L351" s="95">
        <v>175.96</v>
      </c>
      <c r="M351" s="87"/>
      <c r="N351" s="88">
        <v>9186.8799999999992</v>
      </c>
    </row>
    <row r="352" spans="1:14" hidden="1" x14ac:dyDescent="0.25">
      <c r="A352" s="85"/>
      <c r="B352" s="81"/>
      <c r="C352" s="349" t="s">
        <v>233</v>
      </c>
      <c r="D352" s="349"/>
      <c r="E352" s="349"/>
      <c r="F352" s="349"/>
      <c r="G352" s="349"/>
      <c r="H352" s="349"/>
      <c r="I352" s="349"/>
      <c r="J352" s="349"/>
      <c r="K352" s="349"/>
      <c r="L352" s="91">
        <v>1167.51</v>
      </c>
      <c r="M352" s="83"/>
      <c r="N352" s="92">
        <v>48368.25</v>
      </c>
    </row>
    <row r="353" spans="1:14" hidden="1" x14ac:dyDescent="0.25">
      <c r="A353" s="85"/>
      <c r="B353" s="41"/>
      <c r="C353" s="348" t="s">
        <v>201</v>
      </c>
      <c r="D353" s="348"/>
      <c r="E353" s="348"/>
      <c r="F353" s="348"/>
      <c r="G353" s="348"/>
      <c r="H353" s="348"/>
      <c r="I353" s="348"/>
      <c r="J353" s="348"/>
      <c r="K353" s="348"/>
      <c r="L353" s="89"/>
      <c r="M353" s="87"/>
      <c r="N353" s="90"/>
    </row>
    <row r="354" spans="1:14" hidden="1" x14ac:dyDescent="0.25">
      <c r="A354" s="85"/>
      <c r="B354" s="41"/>
      <c r="C354" s="348" t="s">
        <v>202</v>
      </c>
      <c r="D354" s="348"/>
      <c r="E354" s="348"/>
      <c r="F354" s="348"/>
      <c r="G354" s="348"/>
      <c r="H354" s="348"/>
      <c r="I354" s="42" t="s">
        <v>218</v>
      </c>
      <c r="J354" s="93"/>
      <c r="K354" s="93"/>
      <c r="L354" s="89"/>
      <c r="M354" s="87"/>
      <c r="N354" s="90"/>
    </row>
    <row r="355" spans="1:14" hidden="1" x14ac:dyDescent="0.25">
      <c r="A355" s="85"/>
      <c r="B355" s="41"/>
      <c r="C355" s="348" t="s">
        <v>204</v>
      </c>
      <c r="D355" s="348"/>
      <c r="E355" s="348"/>
      <c r="F355" s="348"/>
      <c r="G355" s="348"/>
      <c r="H355" s="348"/>
      <c r="I355" s="42" t="s">
        <v>219</v>
      </c>
      <c r="J355" s="93"/>
      <c r="K355" s="93"/>
      <c r="L355" s="89"/>
      <c r="M355" s="87"/>
      <c r="N355" s="90"/>
    </row>
    <row r="356" spans="1:14" x14ac:dyDescent="0.25">
      <c r="A356" s="358" t="s">
        <v>234</v>
      </c>
      <c r="B356" s="359"/>
      <c r="C356" s="359"/>
      <c r="D356" s="359"/>
      <c r="E356" s="359"/>
      <c r="F356" s="359"/>
      <c r="G356" s="359"/>
      <c r="H356" s="359"/>
      <c r="I356" s="359"/>
      <c r="J356" s="359"/>
      <c r="K356" s="359"/>
      <c r="L356" s="359"/>
      <c r="M356" s="359"/>
      <c r="N356" s="360"/>
    </row>
    <row r="357" spans="1:14" ht="33.75" customHeight="1" x14ac:dyDescent="0.25">
      <c r="A357" s="32" t="s">
        <v>235</v>
      </c>
      <c r="B357" s="33" t="s">
        <v>208</v>
      </c>
      <c r="C357" s="350" t="s">
        <v>209</v>
      </c>
      <c r="D357" s="350"/>
      <c r="E357" s="350"/>
      <c r="F357" s="34" t="s">
        <v>210</v>
      </c>
      <c r="G357" s="35">
        <v>1</v>
      </c>
      <c r="H357" s="36">
        <v>1</v>
      </c>
      <c r="I357" s="36">
        <v>1</v>
      </c>
      <c r="J357" s="38"/>
      <c r="K357" s="35"/>
      <c r="L357" s="38"/>
      <c r="M357" s="35"/>
      <c r="N357" s="39"/>
    </row>
    <row r="358" spans="1:14" hidden="1" x14ac:dyDescent="0.25">
      <c r="A358" s="40"/>
      <c r="B358" s="41" t="s">
        <v>55</v>
      </c>
      <c r="C358" s="354" t="s">
        <v>59</v>
      </c>
      <c r="D358" s="354"/>
      <c r="E358" s="354"/>
      <c r="F358" s="42"/>
      <c r="G358" s="43"/>
      <c r="H358" s="43"/>
      <c r="I358" s="43"/>
      <c r="J358" s="44">
        <v>298.64</v>
      </c>
      <c r="K358" s="43"/>
      <c r="L358" s="44">
        <v>298.64</v>
      </c>
      <c r="M358" s="45">
        <v>52.21</v>
      </c>
      <c r="N358" s="46">
        <v>15591.99</v>
      </c>
    </row>
    <row r="359" spans="1:14" hidden="1" x14ac:dyDescent="0.25">
      <c r="A359" s="40"/>
      <c r="B359" s="41" t="s">
        <v>70</v>
      </c>
      <c r="C359" s="354" t="s">
        <v>74</v>
      </c>
      <c r="D359" s="354"/>
      <c r="E359" s="354"/>
      <c r="F359" s="42"/>
      <c r="G359" s="43"/>
      <c r="H359" s="43"/>
      <c r="I359" s="43"/>
      <c r="J359" s="44">
        <v>128.02000000000001</v>
      </c>
      <c r="K359" s="43"/>
      <c r="L359" s="44">
        <v>128.02000000000001</v>
      </c>
      <c r="M359" s="45">
        <v>15.71</v>
      </c>
      <c r="N359" s="46">
        <v>2011.19</v>
      </c>
    </row>
    <row r="360" spans="1:14" hidden="1" x14ac:dyDescent="0.25">
      <c r="A360" s="40"/>
      <c r="B360" s="41" t="s">
        <v>75</v>
      </c>
      <c r="C360" s="354" t="s">
        <v>76</v>
      </c>
      <c r="D360" s="354"/>
      <c r="E360" s="354"/>
      <c r="F360" s="42"/>
      <c r="G360" s="43"/>
      <c r="H360" s="43"/>
      <c r="I360" s="43"/>
      <c r="J360" s="44">
        <v>19.84</v>
      </c>
      <c r="K360" s="43"/>
      <c r="L360" s="44">
        <v>19.84</v>
      </c>
      <c r="M360" s="45">
        <v>52.21</v>
      </c>
      <c r="N360" s="46">
        <v>1035.8499999999999</v>
      </c>
    </row>
    <row r="361" spans="1:14" hidden="1" x14ac:dyDescent="0.25">
      <c r="A361" s="47"/>
      <c r="B361" s="41"/>
      <c r="C361" s="354" t="s">
        <v>60</v>
      </c>
      <c r="D361" s="354"/>
      <c r="E361" s="354"/>
      <c r="F361" s="42" t="s">
        <v>61</v>
      </c>
      <c r="G361" s="45">
        <v>35.01</v>
      </c>
      <c r="H361" s="43"/>
      <c r="I361" s="45">
        <v>35.01</v>
      </c>
      <c r="J361" s="50"/>
      <c r="K361" s="43"/>
      <c r="L361" s="50"/>
      <c r="M361" s="43"/>
      <c r="N361" s="51"/>
    </row>
    <row r="362" spans="1:14" hidden="1" x14ac:dyDescent="0.25">
      <c r="A362" s="47"/>
      <c r="B362" s="41"/>
      <c r="C362" s="354" t="s">
        <v>77</v>
      </c>
      <c r="D362" s="354"/>
      <c r="E362" s="354"/>
      <c r="F362" s="42" t="s">
        <v>61</v>
      </c>
      <c r="G362" s="45">
        <v>1.71</v>
      </c>
      <c r="H362" s="43"/>
      <c r="I362" s="45">
        <v>1.71</v>
      </c>
      <c r="J362" s="50"/>
      <c r="K362" s="43"/>
      <c r="L362" s="50"/>
      <c r="M362" s="43"/>
      <c r="N362" s="51"/>
    </row>
    <row r="363" spans="1:14" hidden="1" x14ac:dyDescent="0.25">
      <c r="A363" s="52"/>
      <c r="B363" s="41"/>
      <c r="C363" s="355" t="s">
        <v>62</v>
      </c>
      <c r="D363" s="355"/>
      <c r="E363" s="355"/>
      <c r="F363" s="53"/>
      <c r="G363" s="54"/>
      <c r="H363" s="54"/>
      <c r="I363" s="54"/>
      <c r="J363" s="55">
        <v>426.66</v>
      </c>
      <c r="K363" s="54"/>
      <c r="L363" s="55">
        <v>426.66</v>
      </c>
      <c r="M363" s="54"/>
      <c r="N363" s="56">
        <v>17603.18</v>
      </c>
    </row>
    <row r="364" spans="1:14" hidden="1" x14ac:dyDescent="0.25">
      <c r="A364" s="47"/>
      <c r="B364" s="41"/>
      <c r="C364" s="354" t="s">
        <v>63</v>
      </c>
      <c r="D364" s="354"/>
      <c r="E364" s="354"/>
      <c r="F364" s="42"/>
      <c r="G364" s="43"/>
      <c r="H364" s="43"/>
      <c r="I364" s="43"/>
      <c r="J364" s="50"/>
      <c r="K364" s="43"/>
      <c r="L364" s="44">
        <v>318.48</v>
      </c>
      <c r="M364" s="43"/>
      <c r="N364" s="46">
        <v>16627.84</v>
      </c>
    </row>
    <row r="365" spans="1:14" ht="22.5" hidden="1" x14ac:dyDescent="0.25">
      <c r="A365" s="47"/>
      <c r="B365" s="41" t="s">
        <v>78</v>
      </c>
      <c r="C365" s="354" t="s">
        <v>79</v>
      </c>
      <c r="D365" s="354"/>
      <c r="E365" s="354"/>
      <c r="F365" s="42" t="s">
        <v>66</v>
      </c>
      <c r="G365" s="48">
        <v>109</v>
      </c>
      <c r="H365" s="43"/>
      <c r="I365" s="48">
        <v>109</v>
      </c>
      <c r="J365" s="50"/>
      <c r="K365" s="43"/>
      <c r="L365" s="44">
        <v>347.14</v>
      </c>
      <c r="M365" s="43"/>
      <c r="N365" s="46">
        <v>18124.349999999999</v>
      </c>
    </row>
    <row r="366" spans="1:14" ht="45" hidden="1" x14ac:dyDescent="0.25">
      <c r="A366" s="47"/>
      <c r="B366" s="41" t="s">
        <v>80</v>
      </c>
      <c r="C366" s="354" t="s">
        <v>81</v>
      </c>
      <c r="D366" s="354"/>
      <c r="E366" s="354"/>
      <c r="F366" s="42" t="s">
        <v>66</v>
      </c>
      <c r="G366" s="48">
        <v>65</v>
      </c>
      <c r="H366" s="45">
        <v>0.85</v>
      </c>
      <c r="I366" s="45">
        <v>55.25</v>
      </c>
      <c r="J366" s="50"/>
      <c r="K366" s="43"/>
      <c r="L366" s="44">
        <v>175.96</v>
      </c>
      <c r="M366" s="43"/>
      <c r="N366" s="46">
        <v>9186.8799999999992</v>
      </c>
    </row>
    <row r="367" spans="1:14" hidden="1" x14ac:dyDescent="0.25">
      <c r="A367" s="57"/>
      <c r="B367" s="58"/>
      <c r="C367" s="350" t="s">
        <v>69</v>
      </c>
      <c r="D367" s="350"/>
      <c r="E367" s="350"/>
      <c r="F367" s="34"/>
      <c r="G367" s="35"/>
      <c r="H367" s="35"/>
      <c r="I367" s="35"/>
      <c r="J367" s="38"/>
      <c r="K367" s="35"/>
      <c r="L367" s="59">
        <v>949.76</v>
      </c>
      <c r="M367" s="54"/>
      <c r="N367" s="60">
        <v>44914.41</v>
      </c>
    </row>
    <row r="368" spans="1:14" ht="27.75" customHeight="1" x14ac:dyDescent="0.25">
      <c r="A368" s="32" t="s">
        <v>236</v>
      </c>
      <c r="B368" s="33" t="s">
        <v>82</v>
      </c>
      <c r="C368" s="350" t="s">
        <v>83</v>
      </c>
      <c r="D368" s="350"/>
      <c r="E368" s="350"/>
      <c r="F368" s="34" t="s">
        <v>58</v>
      </c>
      <c r="G368" s="35">
        <v>0.34</v>
      </c>
      <c r="H368" s="36">
        <v>1</v>
      </c>
      <c r="I368" s="61">
        <v>0.34</v>
      </c>
      <c r="J368" s="38"/>
      <c r="K368" s="35"/>
      <c r="L368" s="38"/>
      <c r="M368" s="35"/>
      <c r="N368" s="39"/>
    </row>
    <row r="369" spans="1:14" hidden="1" x14ac:dyDescent="0.25">
      <c r="A369" s="40"/>
      <c r="B369" s="41" t="s">
        <v>55</v>
      </c>
      <c r="C369" s="354" t="s">
        <v>59</v>
      </c>
      <c r="D369" s="354"/>
      <c r="E369" s="354"/>
      <c r="F369" s="42"/>
      <c r="G369" s="43"/>
      <c r="H369" s="43"/>
      <c r="I369" s="43"/>
      <c r="J369" s="44">
        <v>92.08</v>
      </c>
      <c r="K369" s="43"/>
      <c r="L369" s="44">
        <v>31.31</v>
      </c>
      <c r="M369" s="45">
        <v>52.21</v>
      </c>
      <c r="N369" s="46">
        <v>1634.7</v>
      </c>
    </row>
    <row r="370" spans="1:14" hidden="1" x14ac:dyDescent="0.25">
      <c r="A370" s="40"/>
      <c r="B370" s="41" t="s">
        <v>70</v>
      </c>
      <c r="C370" s="354" t="s">
        <v>74</v>
      </c>
      <c r="D370" s="354"/>
      <c r="E370" s="354"/>
      <c r="F370" s="42"/>
      <c r="G370" s="43"/>
      <c r="H370" s="43"/>
      <c r="I370" s="43"/>
      <c r="J370" s="44">
        <v>287.60000000000002</v>
      </c>
      <c r="K370" s="43"/>
      <c r="L370" s="44">
        <v>97.78</v>
      </c>
      <c r="M370" s="45">
        <v>15.71</v>
      </c>
      <c r="N370" s="46">
        <v>1536.12</v>
      </c>
    </row>
    <row r="371" spans="1:14" hidden="1" x14ac:dyDescent="0.25">
      <c r="A371" s="40"/>
      <c r="B371" s="41" t="s">
        <v>75</v>
      </c>
      <c r="C371" s="354" t="s">
        <v>76</v>
      </c>
      <c r="D371" s="354"/>
      <c r="E371" s="354"/>
      <c r="F371" s="42"/>
      <c r="G371" s="43"/>
      <c r="H371" s="43"/>
      <c r="I371" s="43"/>
      <c r="J371" s="44">
        <v>37.57</v>
      </c>
      <c r="K371" s="43"/>
      <c r="L371" s="44">
        <v>12.77</v>
      </c>
      <c r="M371" s="45">
        <v>52.21</v>
      </c>
      <c r="N371" s="69">
        <v>666.72</v>
      </c>
    </row>
    <row r="372" spans="1:14" hidden="1" x14ac:dyDescent="0.25">
      <c r="A372" s="47"/>
      <c r="B372" s="41"/>
      <c r="C372" s="354" t="s">
        <v>60</v>
      </c>
      <c r="D372" s="354"/>
      <c r="E372" s="354"/>
      <c r="F372" s="42" t="s">
        <v>61</v>
      </c>
      <c r="G372" s="63">
        <v>11.7</v>
      </c>
      <c r="H372" s="43"/>
      <c r="I372" s="49">
        <v>3.9780000000000002</v>
      </c>
      <c r="J372" s="50"/>
      <c r="K372" s="43"/>
      <c r="L372" s="50"/>
      <c r="M372" s="43"/>
      <c r="N372" s="51"/>
    </row>
    <row r="373" spans="1:14" hidden="1" x14ac:dyDescent="0.25">
      <c r="A373" s="47"/>
      <c r="B373" s="41"/>
      <c r="C373" s="354" t="s">
        <v>77</v>
      </c>
      <c r="D373" s="354"/>
      <c r="E373" s="354"/>
      <c r="F373" s="42" t="s">
        <v>61</v>
      </c>
      <c r="G373" s="45">
        <v>2.96</v>
      </c>
      <c r="H373" s="43"/>
      <c r="I373" s="64">
        <v>1.0064</v>
      </c>
      <c r="J373" s="50"/>
      <c r="K373" s="43"/>
      <c r="L373" s="50"/>
      <c r="M373" s="43"/>
      <c r="N373" s="51"/>
    </row>
    <row r="374" spans="1:14" hidden="1" x14ac:dyDescent="0.25">
      <c r="A374" s="52"/>
      <c r="B374" s="41"/>
      <c r="C374" s="355" t="s">
        <v>62</v>
      </c>
      <c r="D374" s="355"/>
      <c r="E374" s="355"/>
      <c r="F374" s="53"/>
      <c r="G374" s="54"/>
      <c r="H374" s="54"/>
      <c r="I374" s="54"/>
      <c r="J374" s="55">
        <v>379.68</v>
      </c>
      <c r="K374" s="54"/>
      <c r="L374" s="55">
        <v>129.09</v>
      </c>
      <c r="M374" s="54"/>
      <c r="N374" s="56">
        <v>3170.82</v>
      </c>
    </row>
    <row r="375" spans="1:14" hidden="1" x14ac:dyDescent="0.25">
      <c r="A375" s="47"/>
      <c r="B375" s="41"/>
      <c r="C375" s="354" t="s">
        <v>63</v>
      </c>
      <c r="D375" s="354"/>
      <c r="E375" s="354"/>
      <c r="F375" s="42"/>
      <c r="G375" s="43"/>
      <c r="H375" s="43"/>
      <c r="I375" s="43"/>
      <c r="J375" s="50"/>
      <c r="K375" s="43"/>
      <c r="L375" s="44">
        <v>44.08</v>
      </c>
      <c r="M375" s="43"/>
      <c r="N375" s="46">
        <v>2301.42</v>
      </c>
    </row>
    <row r="376" spans="1:14" hidden="1" x14ac:dyDescent="0.25">
      <c r="A376" s="47"/>
      <c r="B376" s="41" t="s">
        <v>84</v>
      </c>
      <c r="C376" s="354" t="s">
        <v>85</v>
      </c>
      <c r="D376" s="354"/>
      <c r="E376" s="354"/>
      <c r="F376" s="42" t="s">
        <v>66</v>
      </c>
      <c r="G376" s="48">
        <v>102</v>
      </c>
      <c r="H376" s="43"/>
      <c r="I376" s="48">
        <v>102</v>
      </c>
      <c r="J376" s="50"/>
      <c r="K376" s="43"/>
      <c r="L376" s="44">
        <v>44.96</v>
      </c>
      <c r="M376" s="43"/>
      <c r="N376" s="46">
        <v>2347.4499999999998</v>
      </c>
    </row>
    <row r="377" spans="1:14" hidden="1" x14ac:dyDescent="0.25">
      <c r="A377" s="47"/>
      <c r="B377" s="41" t="s">
        <v>86</v>
      </c>
      <c r="C377" s="354" t="s">
        <v>87</v>
      </c>
      <c r="D377" s="354"/>
      <c r="E377" s="354"/>
      <c r="F377" s="42" t="s">
        <v>66</v>
      </c>
      <c r="G377" s="48">
        <v>54</v>
      </c>
      <c r="H377" s="43"/>
      <c r="I377" s="48">
        <v>54</v>
      </c>
      <c r="J377" s="50"/>
      <c r="K377" s="43"/>
      <c r="L377" s="44">
        <v>23.8</v>
      </c>
      <c r="M377" s="43"/>
      <c r="N377" s="46">
        <v>1242.77</v>
      </c>
    </row>
    <row r="378" spans="1:14" hidden="1" x14ac:dyDescent="0.25">
      <c r="A378" s="57"/>
      <c r="B378" s="58"/>
      <c r="C378" s="350" t="s">
        <v>69</v>
      </c>
      <c r="D378" s="350"/>
      <c r="E378" s="350"/>
      <c r="F378" s="34"/>
      <c r="G378" s="35"/>
      <c r="H378" s="35"/>
      <c r="I378" s="35"/>
      <c r="J378" s="38"/>
      <c r="K378" s="35"/>
      <c r="L378" s="59">
        <v>197.85</v>
      </c>
      <c r="M378" s="54"/>
      <c r="N378" s="60">
        <v>6761.04</v>
      </c>
    </row>
    <row r="379" spans="1:14" ht="17.25" customHeight="1" x14ac:dyDescent="0.25">
      <c r="A379" s="32" t="s">
        <v>237</v>
      </c>
      <c r="B379" s="33" t="s">
        <v>89</v>
      </c>
      <c r="C379" s="350" t="s">
        <v>90</v>
      </c>
      <c r="D379" s="350"/>
      <c r="E379" s="350"/>
      <c r="F379" s="34" t="s">
        <v>58</v>
      </c>
      <c r="G379" s="35">
        <v>0.15540000000000001</v>
      </c>
      <c r="H379" s="36">
        <v>1</v>
      </c>
      <c r="I379" s="37">
        <v>0.15540000000000001</v>
      </c>
      <c r="J379" s="38"/>
      <c r="K379" s="35"/>
      <c r="L379" s="38"/>
      <c r="M379" s="35"/>
      <c r="N379" s="39"/>
    </row>
    <row r="380" spans="1:14" hidden="1" x14ac:dyDescent="0.25">
      <c r="A380" s="40"/>
      <c r="B380" s="41" t="s">
        <v>55</v>
      </c>
      <c r="C380" s="354" t="s">
        <v>59</v>
      </c>
      <c r="D380" s="354"/>
      <c r="E380" s="354"/>
      <c r="F380" s="42"/>
      <c r="G380" s="43"/>
      <c r="H380" s="43"/>
      <c r="I380" s="43"/>
      <c r="J380" s="44">
        <v>106.88</v>
      </c>
      <c r="K380" s="43"/>
      <c r="L380" s="44">
        <v>16.61</v>
      </c>
      <c r="M380" s="45">
        <v>52.21</v>
      </c>
      <c r="N380" s="69">
        <v>867.21</v>
      </c>
    </row>
    <row r="381" spans="1:14" hidden="1" x14ac:dyDescent="0.25">
      <c r="A381" s="40"/>
      <c r="B381" s="41" t="s">
        <v>70</v>
      </c>
      <c r="C381" s="354" t="s">
        <v>74</v>
      </c>
      <c r="D381" s="354"/>
      <c r="E381" s="354"/>
      <c r="F381" s="42"/>
      <c r="G381" s="43"/>
      <c r="H381" s="43"/>
      <c r="I381" s="43"/>
      <c r="J381" s="44">
        <v>241.58</v>
      </c>
      <c r="K381" s="43"/>
      <c r="L381" s="44">
        <v>37.54</v>
      </c>
      <c r="M381" s="45">
        <v>15.71</v>
      </c>
      <c r="N381" s="69">
        <v>589.75</v>
      </c>
    </row>
    <row r="382" spans="1:14" hidden="1" x14ac:dyDescent="0.25">
      <c r="A382" s="40"/>
      <c r="B382" s="41" t="s">
        <v>75</v>
      </c>
      <c r="C382" s="354" t="s">
        <v>76</v>
      </c>
      <c r="D382" s="354"/>
      <c r="E382" s="354"/>
      <c r="F382" s="42"/>
      <c r="G382" s="43"/>
      <c r="H382" s="43"/>
      <c r="I382" s="43"/>
      <c r="J382" s="44">
        <v>26.36</v>
      </c>
      <c r="K382" s="43"/>
      <c r="L382" s="44">
        <v>4.0999999999999996</v>
      </c>
      <c r="M382" s="45">
        <v>52.21</v>
      </c>
      <c r="N382" s="69">
        <v>214.06</v>
      </c>
    </row>
    <row r="383" spans="1:14" hidden="1" x14ac:dyDescent="0.25">
      <c r="A383" s="47"/>
      <c r="B383" s="41"/>
      <c r="C383" s="354" t="s">
        <v>60</v>
      </c>
      <c r="D383" s="354"/>
      <c r="E383" s="354"/>
      <c r="F383" s="42" t="s">
        <v>61</v>
      </c>
      <c r="G383" s="45">
        <v>12.53</v>
      </c>
      <c r="H383" s="43"/>
      <c r="I383" s="73">
        <v>1.9471620000000001</v>
      </c>
      <c r="J383" s="50"/>
      <c r="K383" s="43"/>
      <c r="L383" s="50"/>
      <c r="M383" s="43"/>
      <c r="N383" s="51"/>
    </row>
    <row r="384" spans="1:14" hidden="1" x14ac:dyDescent="0.25">
      <c r="A384" s="47"/>
      <c r="B384" s="41"/>
      <c r="C384" s="354" t="s">
        <v>77</v>
      </c>
      <c r="D384" s="354"/>
      <c r="E384" s="354"/>
      <c r="F384" s="42" t="s">
        <v>61</v>
      </c>
      <c r="G384" s="45">
        <v>2.62</v>
      </c>
      <c r="H384" s="43"/>
      <c r="I384" s="73">
        <v>0.40714800000000001</v>
      </c>
      <c r="J384" s="50"/>
      <c r="K384" s="43"/>
      <c r="L384" s="50"/>
      <c r="M384" s="43"/>
      <c r="N384" s="51"/>
    </row>
    <row r="385" spans="1:14" hidden="1" x14ac:dyDescent="0.25">
      <c r="A385" s="52"/>
      <c r="B385" s="41"/>
      <c r="C385" s="355" t="s">
        <v>62</v>
      </c>
      <c r="D385" s="355"/>
      <c r="E385" s="355"/>
      <c r="F385" s="53"/>
      <c r="G385" s="54"/>
      <c r="H385" s="54"/>
      <c r="I385" s="54"/>
      <c r="J385" s="55">
        <v>348.46</v>
      </c>
      <c r="K385" s="54"/>
      <c r="L385" s="55">
        <v>54.15</v>
      </c>
      <c r="M385" s="54"/>
      <c r="N385" s="56">
        <v>1456.96</v>
      </c>
    </row>
    <row r="386" spans="1:14" hidden="1" x14ac:dyDescent="0.25">
      <c r="A386" s="47"/>
      <c r="B386" s="41"/>
      <c r="C386" s="354" t="s">
        <v>63</v>
      </c>
      <c r="D386" s="354"/>
      <c r="E386" s="354"/>
      <c r="F386" s="42"/>
      <c r="G386" s="43"/>
      <c r="H386" s="43"/>
      <c r="I386" s="43"/>
      <c r="J386" s="50"/>
      <c r="K386" s="43"/>
      <c r="L386" s="44">
        <v>20.71</v>
      </c>
      <c r="M386" s="43"/>
      <c r="N386" s="46">
        <v>1081.27</v>
      </c>
    </row>
    <row r="387" spans="1:14" ht="22.5" hidden="1" x14ac:dyDescent="0.25">
      <c r="A387" s="47"/>
      <c r="B387" s="41" t="s">
        <v>91</v>
      </c>
      <c r="C387" s="354" t="s">
        <v>92</v>
      </c>
      <c r="D387" s="354"/>
      <c r="E387" s="354"/>
      <c r="F387" s="42" t="s">
        <v>66</v>
      </c>
      <c r="G387" s="48">
        <v>92</v>
      </c>
      <c r="H387" s="43"/>
      <c r="I387" s="48">
        <v>92</v>
      </c>
      <c r="J387" s="50"/>
      <c r="K387" s="43"/>
      <c r="L387" s="44">
        <v>19.05</v>
      </c>
      <c r="M387" s="43"/>
      <c r="N387" s="69">
        <v>994.77</v>
      </c>
    </row>
    <row r="388" spans="1:14" ht="45" hidden="1" x14ac:dyDescent="0.25">
      <c r="A388" s="47"/>
      <c r="B388" s="41" t="s">
        <v>93</v>
      </c>
      <c r="C388" s="354" t="s">
        <v>94</v>
      </c>
      <c r="D388" s="354"/>
      <c r="E388" s="354"/>
      <c r="F388" s="42" t="s">
        <v>66</v>
      </c>
      <c r="G388" s="48">
        <v>46</v>
      </c>
      <c r="H388" s="45">
        <v>0.85</v>
      </c>
      <c r="I388" s="63">
        <v>39.1</v>
      </c>
      <c r="J388" s="50"/>
      <c r="K388" s="43"/>
      <c r="L388" s="44">
        <v>8.1</v>
      </c>
      <c r="M388" s="43"/>
      <c r="N388" s="69">
        <v>422.78</v>
      </c>
    </row>
    <row r="389" spans="1:14" hidden="1" x14ac:dyDescent="0.25">
      <c r="A389" s="57"/>
      <c r="B389" s="58"/>
      <c r="C389" s="350" t="s">
        <v>69</v>
      </c>
      <c r="D389" s="350"/>
      <c r="E389" s="350"/>
      <c r="F389" s="34"/>
      <c r="G389" s="35"/>
      <c r="H389" s="35"/>
      <c r="I389" s="35"/>
      <c r="J389" s="38"/>
      <c r="K389" s="35"/>
      <c r="L389" s="59">
        <v>81.3</v>
      </c>
      <c r="M389" s="54"/>
      <c r="N389" s="60">
        <v>2874.51</v>
      </c>
    </row>
    <row r="390" spans="1:14" x14ac:dyDescent="0.25">
      <c r="A390" s="32" t="s">
        <v>238</v>
      </c>
      <c r="B390" s="33" t="s">
        <v>96</v>
      </c>
      <c r="C390" s="350" t="s">
        <v>97</v>
      </c>
      <c r="D390" s="350"/>
      <c r="E390" s="350"/>
      <c r="F390" s="34" t="s">
        <v>58</v>
      </c>
      <c r="G390" s="35">
        <v>0.155</v>
      </c>
      <c r="H390" s="36">
        <v>1</v>
      </c>
      <c r="I390" s="67">
        <v>0.155</v>
      </c>
      <c r="J390" s="38"/>
      <c r="K390" s="35"/>
      <c r="L390" s="38"/>
      <c r="M390" s="35"/>
      <c r="N390" s="39"/>
    </row>
    <row r="391" spans="1:14" hidden="1" x14ac:dyDescent="0.25">
      <c r="A391" s="40"/>
      <c r="B391" s="41" t="s">
        <v>55</v>
      </c>
      <c r="C391" s="354" t="s">
        <v>59</v>
      </c>
      <c r="D391" s="354"/>
      <c r="E391" s="354"/>
      <c r="F391" s="42"/>
      <c r="G391" s="43"/>
      <c r="H391" s="43"/>
      <c r="I391" s="43"/>
      <c r="J391" s="44">
        <v>173.23</v>
      </c>
      <c r="K391" s="43"/>
      <c r="L391" s="44">
        <v>26.85</v>
      </c>
      <c r="M391" s="45">
        <v>52.21</v>
      </c>
      <c r="N391" s="46">
        <v>1401.84</v>
      </c>
    </row>
    <row r="392" spans="1:14" hidden="1" x14ac:dyDescent="0.25">
      <c r="A392" s="40"/>
      <c r="B392" s="41" t="s">
        <v>70</v>
      </c>
      <c r="C392" s="354" t="s">
        <v>74</v>
      </c>
      <c r="D392" s="354"/>
      <c r="E392" s="354"/>
      <c r="F392" s="42"/>
      <c r="G392" s="43"/>
      <c r="H392" s="43"/>
      <c r="I392" s="43"/>
      <c r="J392" s="62">
        <v>5268.76</v>
      </c>
      <c r="K392" s="43"/>
      <c r="L392" s="44">
        <v>816.66</v>
      </c>
      <c r="M392" s="45">
        <v>15.71</v>
      </c>
      <c r="N392" s="46">
        <v>12829.73</v>
      </c>
    </row>
    <row r="393" spans="1:14" hidden="1" x14ac:dyDescent="0.25">
      <c r="A393" s="40"/>
      <c r="B393" s="41" t="s">
        <v>75</v>
      </c>
      <c r="C393" s="354" t="s">
        <v>76</v>
      </c>
      <c r="D393" s="354"/>
      <c r="E393" s="354"/>
      <c r="F393" s="42"/>
      <c r="G393" s="43"/>
      <c r="H393" s="43"/>
      <c r="I393" s="43"/>
      <c r="J393" s="44">
        <v>267.67</v>
      </c>
      <c r="K393" s="43"/>
      <c r="L393" s="44">
        <v>41.49</v>
      </c>
      <c r="M393" s="45">
        <v>52.21</v>
      </c>
      <c r="N393" s="46">
        <v>2166.19</v>
      </c>
    </row>
    <row r="394" spans="1:14" hidden="1" x14ac:dyDescent="0.25">
      <c r="A394" s="40"/>
      <c r="B394" s="41" t="s">
        <v>88</v>
      </c>
      <c r="C394" s="354" t="s">
        <v>98</v>
      </c>
      <c r="D394" s="354"/>
      <c r="E394" s="354"/>
      <c r="F394" s="42"/>
      <c r="G394" s="43"/>
      <c r="H394" s="43"/>
      <c r="I394" s="43"/>
      <c r="J394" s="44">
        <v>17.079999999999998</v>
      </c>
      <c r="K394" s="43"/>
      <c r="L394" s="44">
        <v>2.65</v>
      </c>
      <c r="M394" s="63">
        <v>9.5</v>
      </c>
      <c r="N394" s="69">
        <v>25.18</v>
      </c>
    </row>
    <row r="395" spans="1:14" hidden="1" x14ac:dyDescent="0.25">
      <c r="A395" s="47"/>
      <c r="B395" s="41"/>
      <c r="C395" s="354" t="s">
        <v>60</v>
      </c>
      <c r="D395" s="354"/>
      <c r="E395" s="354"/>
      <c r="F395" s="42" t="s">
        <v>61</v>
      </c>
      <c r="G395" s="63">
        <v>21.6</v>
      </c>
      <c r="H395" s="43"/>
      <c r="I395" s="49">
        <v>3.3479999999999999</v>
      </c>
      <c r="J395" s="50"/>
      <c r="K395" s="43"/>
      <c r="L395" s="50"/>
      <c r="M395" s="43"/>
      <c r="N395" s="51"/>
    </row>
    <row r="396" spans="1:14" hidden="1" x14ac:dyDescent="0.25">
      <c r="A396" s="47"/>
      <c r="B396" s="41"/>
      <c r="C396" s="354" t="s">
        <v>77</v>
      </c>
      <c r="D396" s="354"/>
      <c r="E396" s="354"/>
      <c r="F396" s="42" t="s">
        <v>61</v>
      </c>
      <c r="G396" s="63">
        <v>20.6</v>
      </c>
      <c r="H396" s="43"/>
      <c r="I396" s="49">
        <v>3.1930000000000001</v>
      </c>
      <c r="J396" s="50"/>
      <c r="K396" s="43"/>
      <c r="L396" s="50"/>
      <c r="M396" s="43"/>
      <c r="N396" s="51"/>
    </row>
    <row r="397" spans="1:14" hidden="1" x14ac:dyDescent="0.25">
      <c r="A397" s="52"/>
      <c r="B397" s="41"/>
      <c r="C397" s="355" t="s">
        <v>62</v>
      </c>
      <c r="D397" s="355"/>
      <c r="E397" s="355"/>
      <c r="F397" s="53"/>
      <c r="G397" s="54"/>
      <c r="H397" s="54"/>
      <c r="I397" s="54"/>
      <c r="J397" s="65">
        <v>5459.07</v>
      </c>
      <c r="K397" s="54"/>
      <c r="L397" s="55">
        <v>846.16</v>
      </c>
      <c r="M397" s="54"/>
      <c r="N397" s="56">
        <v>14256.75</v>
      </c>
    </row>
    <row r="398" spans="1:14" hidden="1" x14ac:dyDescent="0.25">
      <c r="A398" s="47"/>
      <c r="B398" s="41"/>
      <c r="C398" s="354" t="s">
        <v>63</v>
      </c>
      <c r="D398" s="354"/>
      <c r="E398" s="354"/>
      <c r="F398" s="42"/>
      <c r="G398" s="43"/>
      <c r="H398" s="43"/>
      <c r="I398" s="43"/>
      <c r="J398" s="50"/>
      <c r="K398" s="43"/>
      <c r="L398" s="44">
        <v>68.34</v>
      </c>
      <c r="M398" s="43"/>
      <c r="N398" s="46">
        <v>3568.03</v>
      </c>
    </row>
    <row r="399" spans="1:14" ht="45" hidden="1" x14ac:dyDescent="0.25">
      <c r="A399" s="47"/>
      <c r="B399" s="41" t="s">
        <v>99</v>
      </c>
      <c r="C399" s="354" t="s">
        <v>100</v>
      </c>
      <c r="D399" s="354"/>
      <c r="E399" s="354"/>
      <c r="F399" s="42" t="s">
        <v>66</v>
      </c>
      <c r="G399" s="48">
        <v>147</v>
      </c>
      <c r="H399" s="43"/>
      <c r="I399" s="48">
        <v>147</v>
      </c>
      <c r="J399" s="50"/>
      <c r="K399" s="43"/>
      <c r="L399" s="44">
        <v>100.46</v>
      </c>
      <c r="M399" s="43"/>
      <c r="N399" s="46">
        <v>5245</v>
      </c>
    </row>
    <row r="400" spans="1:14" ht="56.25" hidden="1" x14ac:dyDescent="0.25">
      <c r="A400" s="47"/>
      <c r="B400" s="41" t="s">
        <v>101</v>
      </c>
      <c r="C400" s="354" t="s">
        <v>102</v>
      </c>
      <c r="D400" s="354"/>
      <c r="E400" s="354"/>
      <c r="F400" s="42" t="s">
        <v>66</v>
      </c>
      <c r="G400" s="48">
        <v>134</v>
      </c>
      <c r="H400" s="45">
        <v>0.85</v>
      </c>
      <c r="I400" s="63">
        <v>113.9</v>
      </c>
      <c r="J400" s="50"/>
      <c r="K400" s="43"/>
      <c r="L400" s="44">
        <v>77.84</v>
      </c>
      <c r="M400" s="43"/>
      <c r="N400" s="46">
        <v>4063.99</v>
      </c>
    </row>
    <row r="401" spans="1:14" hidden="1" x14ac:dyDescent="0.25">
      <c r="A401" s="57"/>
      <c r="B401" s="58"/>
      <c r="C401" s="350" t="s">
        <v>69</v>
      </c>
      <c r="D401" s="350"/>
      <c r="E401" s="350"/>
      <c r="F401" s="34"/>
      <c r="G401" s="35"/>
      <c r="H401" s="35"/>
      <c r="I401" s="35"/>
      <c r="J401" s="38"/>
      <c r="K401" s="35"/>
      <c r="L401" s="66">
        <v>1024.46</v>
      </c>
      <c r="M401" s="54"/>
      <c r="N401" s="60">
        <v>23565.74</v>
      </c>
    </row>
    <row r="402" spans="1:14" ht="22.5" x14ac:dyDescent="0.25">
      <c r="A402" s="32" t="s">
        <v>239</v>
      </c>
      <c r="B402" s="33" t="s">
        <v>104</v>
      </c>
      <c r="C402" s="350" t="s">
        <v>105</v>
      </c>
      <c r="D402" s="350"/>
      <c r="E402" s="350"/>
      <c r="F402" s="34" t="s">
        <v>106</v>
      </c>
      <c r="G402" s="35">
        <v>19.53</v>
      </c>
      <c r="H402" s="36">
        <v>1</v>
      </c>
      <c r="I402" s="61">
        <v>19.53</v>
      </c>
      <c r="J402" s="59">
        <v>646.32000000000005</v>
      </c>
      <c r="K402" s="67">
        <v>1.012</v>
      </c>
      <c r="L402" s="66">
        <v>12774.1</v>
      </c>
      <c r="M402" s="70">
        <v>9.5</v>
      </c>
      <c r="N402" s="60">
        <v>121353.95</v>
      </c>
    </row>
    <row r="403" spans="1:14" hidden="1" x14ac:dyDescent="0.25">
      <c r="A403" s="52"/>
      <c r="B403" s="71"/>
      <c r="C403" s="354" t="s">
        <v>107</v>
      </c>
      <c r="D403" s="354"/>
      <c r="E403" s="354"/>
      <c r="F403" s="354"/>
      <c r="G403" s="354"/>
      <c r="H403" s="354"/>
      <c r="I403" s="354"/>
      <c r="J403" s="354"/>
      <c r="K403" s="354"/>
      <c r="L403" s="354"/>
      <c r="M403" s="354"/>
      <c r="N403" s="356"/>
    </row>
    <row r="404" spans="1:14" hidden="1" x14ac:dyDescent="0.25">
      <c r="A404" s="72"/>
      <c r="B404" s="41"/>
      <c r="C404" s="344" t="s">
        <v>108</v>
      </c>
      <c r="D404" s="344"/>
      <c r="E404" s="344"/>
      <c r="F404" s="344"/>
      <c r="G404" s="344"/>
      <c r="H404" s="344"/>
      <c r="I404" s="344"/>
      <c r="J404" s="344"/>
      <c r="K404" s="344"/>
      <c r="L404" s="344"/>
      <c r="M404" s="344"/>
      <c r="N404" s="357"/>
    </row>
    <row r="405" spans="1:14" hidden="1" x14ac:dyDescent="0.25">
      <c r="A405" s="57"/>
      <c r="B405" s="58"/>
      <c r="C405" s="350" t="s">
        <v>69</v>
      </c>
      <c r="D405" s="350"/>
      <c r="E405" s="350"/>
      <c r="F405" s="34"/>
      <c r="G405" s="35"/>
      <c r="H405" s="35"/>
      <c r="I405" s="35"/>
      <c r="J405" s="38"/>
      <c r="K405" s="35"/>
      <c r="L405" s="66">
        <v>12774.1</v>
      </c>
      <c r="M405" s="54"/>
      <c r="N405" s="60">
        <v>121353.95</v>
      </c>
    </row>
    <row r="406" spans="1:14" ht="36" customHeight="1" x14ac:dyDescent="0.25">
      <c r="A406" s="32" t="s">
        <v>240</v>
      </c>
      <c r="B406" s="33" t="s">
        <v>241</v>
      </c>
      <c r="C406" s="350" t="s">
        <v>242</v>
      </c>
      <c r="D406" s="350"/>
      <c r="E406" s="350"/>
      <c r="F406" s="34" t="s">
        <v>210</v>
      </c>
      <c r="G406" s="35">
        <v>1</v>
      </c>
      <c r="H406" s="36">
        <v>1</v>
      </c>
      <c r="I406" s="36">
        <v>1</v>
      </c>
      <c r="J406" s="38"/>
      <c r="K406" s="35"/>
      <c r="L406" s="38"/>
      <c r="M406" s="35"/>
      <c r="N406" s="39"/>
    </row>
    <row r="407" spans="1:14" hidden="1" x14ac:dyDescent="0.25">
      <c r="A407" s="40"/>
      <c r="B407" s="41" t="s">
        <v>55</v>
      </c>
      <c r="C407" s="354" t="s">
        <v>59</v>
      </c>
      <c r="D407" s="354"/>
      <c r="E407" s="354"/>
      <c r="F407" s="42"/>
      <c r="G407" s="43"/>
      <c r="H407" s="43"/>
      <c r="I407" s="43"/>
      <c r="J407" s="44">
        <v>316.8</v>
      </c>
      <c r="K407" s="43"/>
      <c r="L407" s="44">
        <v>316.8</v>
      </c>
      <c r="M407" s="45">
        <v>52.21</v>
      </c>
      <c r="N407" s="46">
        <v>16540.13</v>
      </c>
    </row>
    <row r="408" spans="1:14" hidden="1" x14ac:dyDescent="0.25">
      <c r="A408" s="40"/>
      <c r="B408" s="41" t="s">
        <v>70</v>
      </c>
      <c r="C408" s="354" t="s">
        <v>74</v>
      </c>
      <c r="D408" s="354"/>
      <c r="E408" s="354"/>
      <c r="F408" s="42"/>
      <c r="G408" s="43"/>
      <c r="H408" s="43"/>
      <c r="I408" s="43"/>
      <c r="J408" s="62">
        <v>8602.08</v>
      </c>
      <c r="K408" s="43"/>
      <c r="L408" s="62">
        <v>8602.08</v>
      </c>
      <c r="M408" s="45">
        <v>15.71</v>
      </c>
      <c r="N408" s="46">
        <v>135138.68</v>
      </c>
    </row>
    <row r="409" spans="1:14" hidden="1" x14ac:dyDescent="0.25">
      <c r="A409" s="40"/>
      <c r="B409" s="41" t="s">
        <v>75</v>
      </c>
      <c r="C409" s="354" t="s">
        <v>76</v>
      </c>
      <c r="D409" s="354"/>
      <c r="E409" s="354"/>
      <c r="F409" s="42"/>
      <c r="G409" s="43"/>
      <c r="H409" s="43"/>
      <c r="I409" s="43"/>
      <c r="J409" s="44">
        <v>328.35</v>
      </c>
      <c r="K409" s="43"/>
      <c r="L409" s="44">
        <v>328.35</v>
      </c>
      <c r="M409" s="45">
        <v>52.21</v>
      </c>
      <c r="N409" s="46">
        <v>17143.150000000001</v>
      </c>
    </row>
    <row r="410" spans="1:14" hidden="1" x14ac:dyDescent="0.25">
      <c r="A410" s="47"/>
      <c r="B410" s="41"/>
      <c r="C410" s="354" t="s">
        <v>60</v>
      </c>
      <c r="D410" s="354"/>
      <c r="E410" s="354"/>
      <c r="F410" s="42" t="s">
        <v>61</v>
      </c>
      <c r="G410" s="45">
        <v>34.51</v>
      </c>
      <c r="H410" s="43"/>
      <c r="I410" s="45">
        <v>34.51</v>
      </c>
      <c r="J410" s="50"/>
      <c r="K410" s="43"/>
      <c r="L410" s="50"/>
      <c r="M410" s="43"/>
      <c r="N410" s="51"/>
    </row>
    <row r="411" spans="1:14" hidden="1" x14ac:dyDescent="0.25">
      <c r="A411" s="47"/>
      <c r="B411" s="41"/>
      <c r="C411" s="354" t="s">
        <v>77</v>
      </c>
      <c r="D411" s="354"/>
      <c r="E411" s="354"/>
      <c r="F411" s="42" t="s">
        <v>61</v>
      </c>
      <c r="G411" s="45">
        <v>25.66</v>
      </c>
      <c r="H411" s="43"/>
      <c r="I411" s="45">
        <v>25.66</v>
      </c>
      <c r="J411" s="50"/>
      <c r="K411" s="43"/>
      <c r="L411" s="50"/>
      <c r="M411" s="43"/>
      <c r="N411" s="51"/>
    </row>
    <row r="412" spans="1:14" hidden="1" x14ac:dyDescent="0.25">
      <c r="A412" s="52"/>
      <c r="B412" s="41"/>
      <c r="C412" s="355" t="s">
        <v>62</v>
      </c>
      <c r="D412" s="355"/>
      <c r="E412" s="355"/>
      <c r="F412" s="53"/>
      <c r="G412" s="54"/>
      <c r="H412" s="54"/>
      <c r="I412" s="54"/>
      <c r="J412" s="65">
        <v>8918.8799999999992</v>
      </c>
      <c r="K412" s="54"/>
      <c r="L412" s="65">
        <v>8918.8799999999992</v>
      </c>
      <c r="M412" s="54"/>
      <c r="N412" s="56">
        <v>151678.81</v>
      </c>
    </row>
    <row r="413" spans="1:14" hidden="1" x14ac:dyDescent="0.25">
      <c r="A413" s="47"/>
      <c r="B413" s="41"/>
      <c r="C413" s="354" t="s">
        <v>63</v>
      </c>
      <c r="D413" s="354"/>
      <c r="E413" s="354"/>
      <c r="F413" s="42"/>
      <c r="G413" s="43"/>
      <c r="H413" s="43"/>
      <c r="I413" s="43"/>
      <c r="J413" s="50"/>
      <c r="K413" s="43"/>
      <c r="L413" s="44">
        <v>645.15</v>
      </c>
      <c r="M413" s="43"/>
      <c r="N413" s="46">
        <v>33683.279999999999</v>
      </c>
    </row>
    <row r="414" spans="1:14" ht="22.5" hidden="1" x14ac:dyDescent="0.25">
      <c r="A414" s="47"/>
      <c r="B414" s="41" t="s">
        <v>78</v>
      </c>
      <c r="C414" s="354" t="s">
        <v>79</v>
      </c>
      <c r="D414" s="354"/>
      <c r="E414" s="354"/>
      <c r="F414" s="42" t="s">
        <v>66</v>
      </c>
      <c r="G414" s="48">
        <v>109</v>
      </c>
      <c r="H414" s="43"/>
      <c r="I414" s="48">
        <v>109</v>
      </c>
      <c r="J414" s="50"/>
      <c r="K414" s="43"/>
      <c r="L414" s="44">
        <v>703.21</v>
      </c>
      <c r="M414" s="43"/>
      <c r="N414" s="46">
        <v>36714.78</v>
      </c>
    </row>
    <row r="415" spans="1:14" ht="45" hidden="1" x14ac:dyDescent="0.25">
      <c r="A415" s="47"/>
      <c r="B415" s="41" t="s">
        <v>80</v>
      </c>
      <c r="C415" s="354" t="s">
        <v>81</v>
      </c>
      <c r="D415" s="354"/>
      <c r="E415" s="354"/>
      <c r="F415" s="42" t="s">
        <v>66</v>
      </c>
      <c r="G415" s="48">
        <v>65</v>
      </c>
      <c r="H415" s="45">
        <v>0.85</v>
      </c>
      <c r="I415" s="45">
        <v>55.25</v>
      </c>
      <c r="J415" s="50"/>
      <c r="K415" s="43"/>
      <c r="L415" s="44">
        <v>356.45</v>
      </c>
      <c r="M415" s="43"/>
      <c r="N415" s="46">
        <v>18610.009999999998</v>
      </c>
    </row>
    <row r="416" spans="1:14" hidden="1" x14ac:dyDescent="0.25">
      <c r="A416" s="57"/>
      <c r="B416" s="58"/>
      <c r="C416" s="350" t="s">
        <v>69</v>
      </c>
      <c r="D416" s="350"/>
      <c r="E416" s="350"/>
      <c r="F416" s="34"/>
      <c r="G416" s="35"/>
      <c r="H416" s="35"/>
      <c r="I416" s="35"/>
      <c r="J416" s="38"/>
      <c r="K416" s="35"/>
      <c r="L416" s="66">
        <v>9978.5400000000009</v>
      </c>
      <c r="M416" s="54"/>
      <c r="N416" s="60">
        <v>207003.6</v>
      </c>
    </row>
    <row r="417" spans="1:14" ht="22.5" x14ac:dyDescent="0.25">
      <c r="A417" s="32" t="s">
        <v>243</v>
      </c>
      <c r="B417" s="33" t="s">
        <v>244</v>
      </c>
      <c r="C417" s="350" t="s">
        <v>245</v>
      </c>
      <c r="D417" s="350"/>
      <c r="E417" s="350"/>
      <c r="F417" s="34" t="s">
        <v>246</v>
      </c>
      <c r="G417" s="35">
        <v>1</v>
      </c>
      <c r="H417" s="36">
        <v>1</v>
      </c>
      <c r="I417" s="36">
        <v>1</v>
      </c>
      <c r="J417" s="66">
        <v>168421.05</v>
      </c>
      <c r="K417" s="74">
        <v>1.04236</v>
      </c>
      <c r="L417" s="66">
        <v>175555.37</v>
      </c>
      <c r="M417" s="70">
        <v>9.5</v>
      </c>
      <c r="N417" s="60">
        <v>1667776.02</v>
      </c>
    </row>
    <row r="418" spans="1:14" hidden="1" x14ac:dyDescent="0.25">
      <c r="A418" s="52"/>
      <c r="B418" s="71"/>
      <c r="C418" s="354" t="s">
        <v>247</v>
      </c>
      <c r="D418" s="354"/>
      <c r="E418" s="354"/>
      <c r="F418" s="354"/>
      <c r="G418" s="354"/>
      <c r="H418" s="354"/>
      <c r="I418" s="354"/>
      <c r="J418" s="354"/>
      <c r="K418" s="354"/>
      <c r="L418" s="354"/>
      <c r="M418" s="354"/>
      <c r="N418" s="356"/>
    </row>
    <row r="419" spans="1:14" hidden="1" x14ac:dyDescent="0.25">
      <c r="A419" s="72"/>
      <c r="B419" s="41"/>
      <c r="C419" s="344" t="s">
        <v>123</v>
      </c>
      <c r="D419" s="344"/>
      <c r="E419" s="344"/>
      <c r="F419" s="344"/>
      <c r="G419" s="344"/>
      <c r="H419" s="344"/>
      <c r="I419" s="344"/>
      <c r="J419" s="344"/>
      <c r="K419" s="344"/>
      <c r="L419" s="344"/>
      <c r="M419" s="344"/>
      <c r="N419" s="357"/>
    </row>
    <row r="420" spans="1:14" hidden="1" x14ac:dyDescent="0.25">
      <c r="A420" s="72"/>
      <c r="B420" s="41"/>
      <c r="C420" s="344" t="s">
        <v>108</v>
      </c>
      <c r="D420" s="344"/>
      <c r="E420" s="344"/>
      <c r="F420" s="344"/>
      <c r="G420" s="344"/>
      <c r="H420" s="344"/>
      <c r="I420" s="344"/>
      <c r="J420" s="344"/>
      <c r="K420" s="344"/>
      <c r="L420" s="344"/>
      <c r="M420" s="344"/>
      <c r="N420" s="357"/>
    </row>
    <row r="421" spans="1:14" hidden="1" x14ac:dyDescent="0.25">
      <c r="A421" s="57"/>
      <c r="B421" s="58"/>
      <c r="C421" s="350" t="s">
        <v>69</v>
      </c>
      <c r="D421" s="350"/>
      <c r="E421" s="350"/>
      <c r="F421" s="34"/>
      <c r="G421" s="35"/>
      <c r="H421" s="35"/>
      <c r="I421" s="35"/>
      <c r="J421" s="38"/>
      <c r="K421" s="35"/>
      <c r="L421" s="66">
        <v>175555.37</v>
      </c>
      <c r="M421" s="54"/>
      <c r="N421" s="60">
        <v>1667776.02</v>
      </c>
    </row>
    <row r="422" spans="1:14" ht="27.75" customHeight="1" x14ac:dyDescent="0.25">
      <c r="A422" s="32" t="s">
        <v>248</v>
      </c>
      <c r="B422" s="33" t="s">
        <v>249</v>
      </c>
      <c r="C422" s="350" t="s">
        <v>250</v>
      </c>
      <c r="D422" s="350"/>
      <c r="E422" s="350"/>
      <c r="F422" s="34" t="s">
        <v>246</v>
      </c>
      <c r="G422" s="35">
        <v>1</v>
      </c>
      <c r="H422" s="36">
        <v>1</v>
      </c>
      <c r="I422" s="36">
        <v>1</v>
      </c>
      <c r="J422" s="66">
        <v>363157.89</v>
      </c>
      <c r="K422" s="74">
        <v>1.04236</v>
      </c>
      <c r="L422" s="66">
        <v>378541.26</v>
      </c>
      <c r="M422" s="70">
        <v>9.5</v>
      </c>
      <c r="N422" s="60">
        <v>3596141.97</v>
      </c>
    </row>
    <row r="423" spans="1:14" hidden="1" x14ac:dyDescent="0.25">
      <c r="A423" s="52"/>
      <c r="B423" s="71"/>
      <c r="C423" s="354" t="s">
        <v>251</v>
      </c>
      <c r="D423" s="354"/>
      <c r="E423" s="354"/>
      <c r="F423" s="354"/>
      <c r="G423" s="354"/>
      <c r="H423" s="354"/>
      <c r="I423" s="354"/>
      <c r="J423" s="354"/>
      <c r="K423" s="354"/>
      <c r="L423" s="354"/>
      <c r="M423" s="354"/>
      <c r="N423" s="356"/>
    </row>
    <row r="424" spans="1:14" hidden="1" x14ac:dyDescent="0.25">
      <c r="A424" s="72"/>
      <c r="B424" s="41"/>
      <c r="C424" s="344" t="s">
        <v>123</v>
      </c>
      <c r="D424" s="344"/>
      <c r="E424" s="344"/>
      <c r="F424" s="344"/>
      <c r="G424" s="344"/>
      <c r="H424" s="344"/>
      <c r="I424" s="344"/>
      <c r="J424" s="344"/>
      <c r="K424" s="344"/>
      <c r="L424" s="344"/>
      <c r="M424" s="344"/>
      <c r="N424" s="357"/>
    </row>
    <row r="425" spans="1:14" hidden="1" x14ac:dyDescent="0.25">
      <c r="A425" s="72"/>
      <c r="B425" s="41"/>
      <c r="C425" s="344" t="s">
        <v>108</v>
      </c>
      <c r="D425" s="344"/>
      <c r="E425" s="344"/>
      <c r="F425" s="344"/>
      <c r="G425" s="344"/>
      <c r="H425" s="344"/>
      <c r="I425" s="344"/>
      <c r="J425" s="344"/>
      <c r="K425" s="344"/>
      <c r="L425" s="344"/>
      <c r="M425" s="344"/>
      <c r="N425" s="357"/>
    </row>
    <row r="426" spans="1:14" hidden="1" x14ac:dyDescent="0.25">
      <c r="A426" s="57"/>
      <c r="B426" s="58"/>
      <c r="C426" s="350" t="s">
        <v>69</v>
      </c>
      <c r="D426" s="350"/>
      <c r="E426" s="350"/>
      <c r="F426" s="34"/>
      <c r="G426" s="35"/>
      <c r="H426" s="35"/>
      <c r="I426" s="35"/>
      <c r="J426" s="38"/>
      <c r="K426" s="35"/>
      <c r="L426" s="66">
        <v>378541.26</v>
      </c>
      <c r="M426" s="54"/>
      <c r="N426" s="60">
        <v>3596141.97</v>
      </c>
    </row>
    <row r="427" spans="1:14" ht="36.75" customHeight="1" x14ac:dyDescent="0.25">
      <c r="A427" s="32" t="s">
        <v>252</v>
      </c>
      <c r="B427" s="33" t="s">
        <v>253</v>
      </c>
      <c r="C427" s="350" t="s">
        <v>254</v>
      </c>
      <c r="D427" s="350"/>
      <c r="E427" s="350"/>
      <c r="F427" s="34" t="s">
        <v>115</v>
      </c>
      <c r="G427" s="35">
        <v>1</v>
      </c>
      <c r="H427" s="36">
        <v>1</v>
      </c>
      <c r="I427" s="36">
        <v>1</v>
      </c>
      <c r="J427" s="38"/>
      <c r="K427" s="35"/>
      <c r="L427" s="38"/>
      <c r="M427" s="35"/>
      <c r="N427" s="39"/>
    </row>
    <row r="428" spans="1:14" hidden="1" x14ac:dyDescent="0.25">
      <c r="A428" s="40"/>
      <c r="B428" s="41" t="s">
        <v>55</v>
      </c>
      <c r="C428" s="354" t="s">
        <v>59</v>
      </c>
      <c r="D428" s="354"/>
      <c r="E428" s="354"/>
      <c r="F428" s="42"/>
      <c r="G428" s="43"/>
      <c r="H428" s="43"/>
      <c r="I428" s="43"/>
      <c r="J428" s="44">
        <v>251.92</v>
      </c>
      <c r="K428" s="43"/>
      <c r="L428" s="44">
        <v>251.92</v>
      </c>
      <c r="M428" s="45">
        <v>52.21</v>
      </c>
      <c r="N428" s="46">
        <v>13152.74</v>
      </c>
    </row>
    <row r="429" spans="1:14" hidden="1" x14ac:dyDescent="0.25">
      <c r="A429" s="40"/>
      <c r="B429" s="41" t="s">
        <v>70</v>
      </c>
      <c r="C429" s="354" t="s">
        <v>74</v>
      </c>
      <c r="D429" s="354"/>
      <c r="E429" s="354"/>
      <c r="F429" s="42"/>
      <c r="G429" s="43"/>
      <c r="H429" s="43"/>
      <c r="I429" s="43"/>
      <c r="J429" s="44">
        <v>120.78</v>
      </c>
      <c r="K429" s="43"/>
      <c r="L429" s="44">
        <v>120.78</v>
      </c>
      <c r="M429" s="45">
        <v>15.71</v>
      </c>
      <c r="N429" s="46">
        <v>1897.45</v>
      </c>
    </row>
    <row r="430" spans="1:14" hidden="1" x14ac:dyDescent="0.25">
      <c r="A430" s="40"/>
      <c r="B430" s="41" t="s">
        <v>75</v>
      </c>
      <c r="C430" s="354" t="s">
        <v>76</v>
      </c>
      <c r="D430" s="354"/>
      <c r="E430" s="354"/>
      <c r="F430" s="42"/>
      <c r="G430" s="43"/>
      <c r="H430" s="43"/>
      <c r="I430" s="43"/>
      <c r="J430" s="44">
        <v>11.98</v>
      </c>
      <c r="K430" s="43"/>
      <c r="L430" s="44">
        <v>11.98</v>
      </c>
      <c r="M430" s="45">
        <v>52.21</v>
      </c>
      <c r="N430" s="69">
        <v>625.48</v>
      </c>
    </row>
    <row r="431" spans="1:14" hidden="1" x14ac:dyDescent="0.25">
      <c r="A431" s="40"/>
      <c r="B431" s="41" t="s">
        <v>88</v>
      </c>
      <c r="C431" s="354" t="s">
        <v>98</v>
      </c>
      <c r="D431" s="354"/>
      <c r="E431" s="354"/>
      <c r="F431" s="42"/>
      <c r="G431" s="43"/>
      <c r="H431" s="43"/>
      <c r="I431" s="43"/>
      <c r="J431" s="44">
        <v>812.09</v>
      </c>
      <c r="K431" s="43"/>
      <c r="L431" s="44">
        <v>812.09</v>
      </c>
      <c r="M431" s="63">
        <v>9.5</v>
      </c>
      <c r="N431" s="46">
        <v>7714.86</v>
      </c>
    </row>
    <row r="432" spans="1:14" hidden="1" x14ac:dyDescent="0.25">
      <c r="A432" s="47"/>
      <c r="B432" s="41"/>
      <c r="C432" s="354" t="s">
        <v>60</v>
      </c>
      <c r="D432" s="354"/>
      <c r="E432" s="354"/>
      <c r="F432" s="42" t="s">
        <v>61</v>
      </c>
      <c r="G432" s="63">
        <v>26.8</v>
      </c>
      <c r="H432" s="43"/>
      <c r="I432" s="63">
        <v>26.8</v>
      </c>
      <c r="J432" s="50"/>
      <c r="K432" s="43"/>
      <c r="L432" s="50"/>
      <c r="M432" s="43"/>
      <c r="N432" s="51"/>
    </row>
    <row r="433" spans="1:14" hidden="1" x14ac:dyDescent="0.25">
      <c r="A433" s="47"/>
      <c r="B433" s="41"/>
      <c r="C433" s="354" t="s">
        <v>77</v>
      </c>
      <c r="D433" s="354"/>
      <c r="E433" s="354"/>
      <c r="F433" s="42" t="s">
        <v>61</v>
      </c>
      <c r="G433" s="45">
        <v>0.92</v>
      </c>
      <c r="H433" s="43"/>
      <c r="I433" s="45">
        <v>0.92</v>
      </c>
      <c r="J433" s="50"/>
      <c r="K433" s="43"/>
      <c r="L433" s="50"/>
      <c r="M433" s="43"/>
      <c r="N433" s="51"/>
    </row>
    <row r="434" spans="1:14" hidden="1" x14ac:dyDescent="0.25">
      <c r="A434" s="52"/>
      <c r="B434" s="41"/>
      <c r="C434" s="355" t="s">
        <v>62</v>
      </c>
      <c r="D434" s="355"/>
      <c r="E434" s="355"/>
      <c r="F434" s="53"/>
      <c r="G434" s="54"/>
      <c r="H434" s="54"/>
      <c r="I434" s="54"/>
      <c r="J434" s="65">
        <v>1184.79</v>
      </c>
      <c r="K434" s="54"/>
      <c r="L434" s="65">
        <v>1184.79</v>
      </c>
      <c r="M434" s="54"/>
      <c r="N434" s="56">
        <v>22765.05</v>
      </c>
    </row>
    <row r="435" spans="1:14" hidden="1" x14ac:dyDescent="0.25">
      <c r="A435" s="47"/>
      <c r="B435" s="41"/>
      <c r="C435" s="354" t="s">
        <v>63</v>
      </c>
      <c r="D435" s="354"/>
      <c r="E435" s="354"/>
      <c r="F435" s="42"/>
      <c r="G435" s="43"/>
      <c r="H435" s="43"/>
      <c r="I435" s="43"/>
      <c r="J435" s="50"/>
      <c r="K435" s="43"/>
      <c r="L435" s="44">
        <v>263.89999999999998</v>
      </c>
      <c r="M435" s="43"/>
      <c r="N435" s="46">
        <v>13778.22</v>
      </c>
    </row>
    <row r="436" spans="1:14" hidden="1" x14ac:dyDescent="0.25">
      <c r="A436" s="47"/>
      <c r="B436" s="41" t="s">
        <v>255</v>
      </c>
      <c r="C436" s="354" t="s">
        <v>256</v>
      </c>
      <c r="D436" s="354"/>
      <c r="E436" s="354"/>
      <c r="F436" s="42" t="s">
        <v>66</v>
      </c>
      <c r="G436" s="48">
        <v>92</v>
      </c>
      <c r="H436" s="43"/>
      <c r="I436" s="48">
        <v>92</v>
      </c>
      <c r="J436" s="50"/>
      <c r="K436" s="43"/>
      <c r="L436" s="44">
        <v>242.79</v>
      </c>
      <c r="M436" s="43"/>
      <c r="N436" s="46">
        <v>12675.96</v>
      </c>
    </row>
    <row r="437" spans="1:14" hidden="1" x14ac:dyDescent="0.25">
      <c r="A437" s="47"/>
      <c r="B437" s="41" t="s">
        <v>257</v>
      </c>
      <c r="C437" s="354" t="s">
        <v>258</v>
      </c>
      <c r="D437" s="354"/>
      <c r="E437" s="354"/>
      <c r="F437" s="42" t="s">
        <v>66</v>
      </c>
      <c r="G437" s="48">
        <v>49</v>
      </c>
      <c r="H437" s="43"/>
      <c r="I437" s="48">
        <v>49</v>
      </c>
      <c r="J437" s="50"/>
      <c r="K437" s="43"/>
      <c r="L437" s="44">
        <v>129.31</v>
      </c>
      <c r="M437" s="43"/>
      <c r="N437" s="46">
        <v>6751.33</v>
      </c>
    </row>
    <row r="438" spans="1:14" hidden="1" x14ac:dyDescent="0.25">
      <c r="A438" s="57"/>
      <c r="B438" s="58"/>
      <c r="C438" s="350" t="s">
        <v>69</v>
      </c>
      <c r="D438" s="350"/>
      <c r="E438" s="350"/>
      <c r="F438" s="34"/>
      <c r="G438" s="35"/>
      <c r="H438" s="35"/>
      <c r="I438" s="35"/>
      <c r="J438" s="38"/>
      <c r="K438" s="35"/>
      <c r="L438" s="66">
        <v>1556.89</v>
      </c>
      <c r="M438" s="54"/>
      <c r="N438" s="60">
        <v>42192.34</v>
      </c>
    </row>
    <row r="439" spans="1:14" x14ac:dyDescent="0.25">
      <c r="A439" s="32" t="s">
        <v>259</v>
      </c>
      <c r="B439" s="33" t="s">
        <v>260</v>
      </c>
      <c r="C439" s="350" t="s">
        <v>261</v>
      </c>
      <c r="D439" s="350"/>
      <c r="E439" s="350"/>
      <c r="F439" s="34" t="s">
        <v>115</v>
      </c>
      <c r="G439" s="35">
        <v>-2</v>
      </c>
      <c r="H439" s="36">
        <v>1</v>
      </c>
      <c r="I439" s="36">
        <v>-2</v>
      </c>
      <c r="J439" s="59">
        <v>266.67</v>
      </c>
      <c r="K439" s="35"/>
      <c r="L439" s="59">
        <v>-533.34</v>
      </c>
      <c r="M439" s="70">
        <v>9.5</v>
      </c>
      <c r="N439" s="60">
        <v>-5066.7299999999996</v>
      </c>
    </row>
    <row r="440" spans="1:14" hidden="1" x14ac:dyDescent="0.25">
      <c r="A440" s="57"/>
      <c r="B440" s="58"/>
      <c r="C440" s="350" t="s">
        <v>69</v>
      </c>
      <c r="D440" s="350"/>
      <c r="E440" s="350"/>
      <c r="F440" s="34"/>
      <c r="G440" s="35"/>
      <c r="H440" s="35"/>
      <c r="I440" s="35"/>
      <c r="J440" s="38"/>
      <c r="K440" s="35"/>
      <c r="L440" s="59">
        <v>-533.34</v>
      </c>
      <c r="M440" s="54"/>
      <c r="N440" s="60">
        <v>-5066.7299999999996</v>
      </c>
    </row>
    <row r="441" spans="1:14" ht="22.5" x14ac:dyDescent="0.25">
      <c r="A441" s="32" t="s">
        <v>262</v>
      </c>
      <c r="B441" s="33" t="s">
        <v>263</v>
      </c>
      <c r="C441" s="350" t="s">
        <v>264</v>
      </c>
      <c r="D441" s="350"/>
      <c r="E441" s="350"/>
      <c r="F441" s="34" t="s">
        <v>115</v>
      </c>
      <c r="G441" s="35">
        <v>2</v>
      </c>
      <c r="H441" s="36">
        <v>1</v>
      </c>
      <c r="I441" s="36">
        <v>2</v>
      </c>
      <c r="J441" s="66">
        <v>4429.58</v>
      </c>
      <c r="K441" s="74">
        <v>1.04236</v>
      </c>
      <c r="L441" s="66">
        <v>9234.43</v>
      </c>
      <c r="M441" s="70">
        <v>9.5</v>
      </c>
      <c r="N441" s="60">
        <v>87727.09</v>
      </c>
    </row>
    <row r="442" spans="1:14" hidden="1" x14ac:dyDescent="0.25">
      <c r="A442" s="52"/>
      <c r="B442" s="71"/>
      <c r="C442" s="354" t="s">
        <v>265</v>
      </c>
      <c r="D442" s="354"/>
      <c r="E442" s="354"/>
      <c r="F442" s="354"/>
      <c r="G442" s="354"/>
      <c r="H442" s="354"/>
      <c r="I442" s="354"/>
      <c r="J442" s="354"/>
      <c r="K442" s="354"/>
      <c r="L442" s="354"/>
      <c r="M442" s="354"/>
      <c r="N442" s="356"/>
    </row>
    <row r="443" spans="1:14" hidden="1" x14ac:dyDescent="0.25">
      <c r="A443" s="72"/>
      <c r="B443" s="41"/>
      <c r="C443" s="344" t="s">
        <v>123</v>
      </c>
      <c r="D443" s="344"/>
      <c r="E443" s="344"/>
      <c r="F443" s="344"/>
      <c r="G443" s="344"/>
      <c r="H443" s="344"/>
      <c r="I443" s="344"/>
      <c r="J443" s="344"/>
      <c r="K443" s="344"/>
      <c r="L443" s="344"/>
      <c r="M443" s="344"/>
      <c r="N443" s="357"/>
    </row>
    <row r="444" spans="1:14" hidden="1" x14ac:dyDescent="0.25">
      <c r="A444" s="72"/>
      <c r="B444" s="41"/>
      <c r="C444" s="344" t="s">
        <v>108</v>
      </c>
      <c r="D444" s="344"/>
      <c r="E444" s="344"/>
      <c r="F444" s="344"/>
      <c r="G444" s="344"/>
      <c r="H444" s="344"/>
      <c r="I444" s="344"/>
      <c r="J444" s="344"/>
      <c r="K444" s="344"/>
      <c r="L444" s="344"/>
      <c r="M444" s="344"/>
      <c r="N444" s="357"/>
    </row>
    <row r="445" spans="1:14" hidden="1" x14ac:dyDescent="0.25">
      <c r="A445" s="57"/>
      <c r="B445" s="58"/>
      <c r="C445" s="350" t="s">
        <v>69</v>
      </c>
      <c r="D445" s="350"/>
      <c r="E445" s="350"/>
      <c r="F445" s="34"/>
      <c r="G445" s="35"/>
      <c r="H445" s="35"/>
      <c r="I445" s="35"/>
      <c r="J445" s="38"/>
      <c r="K445" s="35"/>
      <c r="L445" s="66">
        <v>9234.43</v>
      </c>
      <c r="M445" s="54"/>
      <c r="N445" s="60">
        <v>87727.09</v>
      </c>
    </row>
    <row r="446" spans="1:14" ht="22.5" x14ac:dyDescent="0.25">
      <c r="A446" s="32" t="s">
        <v>266</v>
      </c>
      <c r="B446" s="33" t="s">
        <v>267</v>
      </c>
      <c r="C446" s="350" t="s">
        <v>268</v>
      </c>
      <c r="D446" s="350"/>
      <c r="E446" s="350"/>
      <c r="F446" s="34" t="s">
        <v>115</v>
      </c>
      <c r="G446" s="35">
        <v>1</v>
      </c>
      <c r="H446" s="36">
        <v>1</v>
      </c>
      <c r="I446" s="36">
        <v>1</v>
      </c>
      <c r="J446" s="66">
        <v>15832.63</v>
      </c>
      <c r="K446" s="74">
        <v>1.04236</v>
      </c>
      <c r="L446" s="66">
        <v>16503.3</v>
      </c>
      <c r="M446" s="70">
        <v>9.5</v>
      </c>
      <c r="N446" s="60">
        <v>156781.35</v>
      </c>
    </row>
    <row r="447" spans="1:14" hidden="1" x14ac:dyDescent="0.25">
      <c r="A447" s="52"/>
      <c r="B447" s="71"/>
      <c r="C447" s="354" t="s">
        <v>269</v>
      </c>
      <c r="D447" s="354"/>
      <c r="E447" s="354"/>
      <c r="F447" s="354"/>
      <c r="G447" s="354"/>
      <c r="H447" s="354"/>
      <c r="I447" s="354"/>
      <c r="J447" s="354"/>
      <c r="K447" s="354"/>
      <c r="L447" s="354"/>
      <c r="M447" s="354"/>
      <c r="N447" s="356"/>
    </row>
    <row r="448" spans="1:14" hidden="1" x14ac:dyDescent="0.25">
      <c r="A448" s="72"/>
      <c r="B448" s="41"/>
      <c r="C448" s="344" t="s">
        <v>123</v>
      </c>
      <c r="D448" s="344"/>
      <c r="E448" s="344"/>
      <c r="F448" s="344"/>
      <c r="G448" s="344"/>
      <c r="H448" s="344"/>
      <c r="I448" s="344"/>
      <c r="J448" s="344"/>
      <c r="K448" s="344"/>
      <c r="L448" s="344"/>
      <c r="M448" s="344"/>
      <c r="N448" s="357"/>
    </row>
    <row r="449" spans="1:14" hidden="1" x14ac:dyDescent="0.25">
      <c r="A449" s="72"/>
      <c r="B449" s="41"/>
      <c r="C449" s="344" t="s">
        <v>108</v>
      </c>
      <c r="D449" s="344"/>
      <c r="E449" s="344"/>
      <c r="F449" s="344"/>
      <c r="G449" s="344"/>
      <c r="H449" s="344"/>
      <c r="I449" s="344"/>
      <c r="J449" s="344"/>
      <c r="K449" s="344"/>
      <c r="L449" s="344"/>
      <c r="M449" s="344"/>
      <c r="N449" s="357"/>
    </row>
    <row r="450" spans="1:14" hidden="1" x14ac:dyDescent="0.25">
      <c r="A450" s="57"/>
      <c r="B450" s="58"/>
      <c r="C450" s="350" t="s">
        <v>69</v>
      </c>
      <c r="D450" s="350"/>
      <c r="E450" s="350"/>
      <c r="F450" s="34"/>
      <c r="G450" s="35"/>
      <c r="H450" s="35"/>
      <c r="I450" s="35"/>
      <c r="J450" s="38"/>
      <c r="K450" s="35"/>
      <c r="L450" s="66">
        <v>16503.3</v>
      </c>
      <c r="M450" s="54"/>
      <c r="N450" s="60">
        <v>156781.35</v>
      </c>
    </row>
    <row r="451" spans="1:14" ht="22.5" x14ac:dyDescent="0.25">
      <c r="A451" s="32" t="s">
        <v>270</v>
      </c>
      <c r="B451" s="33" t="s">
        <v>120</v>
      </c>
      <c r="C451" s="350" t="s">
        <v>271</v>
      </c>
      <c r="D451" s="350"/>
      <c r="E451" s="350"/>
      <c r="F451" s="34" t="s">
        <v>115</v>
      </c>
      <c r="G451" s="35">
        <v>1</v>
      </c>
      <c r="H451" s="36">
        <v>1</v>
      </c>
      <c r="I451" s="36">
        <v>1</v>
      </c>
      <c r="J451" s="59">
        <v>421.93</v>
      </c>
      <c r="K451" s="74">
        <v>1.04236</v>
      </c>
      <c r="L451" s="59">
        <v>439.8</v>
      </c>
      <c r="M451" s="70">
        <v>9.5</v>
      </c>
      <c r="N451" s="60">
        <v>4178.1000000000004</v>
      </c>
    </row>
    <row r="452" spans="1:14" hidden="1" x14ac:dyDescent="0.25">
      <c r="A452" s="52"/>
      <c r="B452" s="71"/>
      <c r="C452" s="354" t="s">
        <v>272</v>
      </c>
      <c r="D452" s="354"/>
      <c r="E452" s="354"/>
      <c r="F452" s="354"/>
      <c r="G452" s="354"/>
      <c r="H452" s="354"/>
      <c r="I452" s="354"/>
      <c r="J452" s="354"/>
      <c r="K452" s="354"/>
      <c r="L452" s="354"/>
      <c r="M452" s="354"/>
      <c r="N452" s="356"/>
    </row>
    <row r="453" spans="1:14" hidden="1" x14ac:dyDescent="0.25">
      <c r="A453" s="72"/>
      <c r="B453" s="41"/>
      <c r="C453" s="344" t="s">
        <v>123</v>
      </c>
      <c r="D453" s="344"/>
      <c r="E453" s="344"/>
      <c r="F453" s="344"/>
      <c r="G453" s="344"/>
      <c r="H453" s="344"/>
      <c r="I453" s="344"/>
      <c r="J453" s="344"/>
      <c r="K453" s="344"/>
      <c r="L453" s="344"/>
      <c r="M453" s="344"/>
      <c r="N453" s="357"/>
    </row>
    <row r="454" spans="1:14" hidden="1" x14ac:dyDescent="0.25">
      <c r="A454" s="72"/>
      <c r="B454" s="41"/>
      <c r="C454" s="344" t="s">
        <v>108</v>
      </c>
      <c r="D454" s="344"/>
      <c r="E454" s="344"/>
      <c r="F454" s="344"/>
      <c r="G454" s="344"/>
      <c r="H454" s="344"/>
      <c r="I454" s="344"/>
      <c r="J454" s="344"/>
      <c r="K454" s="344"/>
      <c r="L454" s="344"/>
      <c r="M454" s="344"/>
      <c r="N454" s="357"/>
    </row>
    <row r="455" spans="1:14" hidden="1" x14ac:dyDescent="0.25">
      <c r="A455" s="57"/>
      <c r="B455" s="58"/>
      <c r="C455" s="350" t="s">
        <v>69</v>
      </c>
      <c r="D455" s="350"/>
      <c r="E455" s="350"/>
      <c r="F455" s="34"/>
      <c r="G455" s="35"/>
      <c r="H455" s="35"/>
      <c r="I455" s="35"/>
      <c r="J455" s="38"/>
      <c r="K455" s="35"/>
      <c r="L455" s="59">
        <v>439.8</v>
      </c>
      <c r="M455" s="54"/>
      <c r="N455" s="60">
        <v>4178.1000000000004</v>
      </c>
    </row>
    <row r="456" spans="1:14" ht="25.5" customHeight="1" x14ac:dyDescent="0.25">
      <c r="A456" s="32" t="s">
        <v>273</v>
      </c>
      <c r="B456" s="33" t="s">
        <v>274</v>
      </c>
      <c r="C456" s="350" t="s">
        <v>275</v>
      </c>
      <c r="D456" s="350"/>
      <c r="E456" s="350"/>
      <c r="F456" s="34" t="s">
        <v>276</v>
      </c>
      <c r="G456" s="35">
        <v>0.06</v>
      </c>
      <c r="H456" s="36">
        <v>1</v>
      </c>
      <c r="I456" s="61">
        <v>0.06</v>
      </c>
      <c r="J456" s="38"/>
      <c r="K456" s="35"/>
      <c r="L456" s="38"/>
      <c r="M456" s="35"/>
      <c r="N456" s="39"/>
    </row>
    <row r="457" spans="1:14" hidden="1" x14ac:dyDescent="0.25">
      <c r="A457" s="40"/>
      <c r="B457" s="41" t="s">
        <v>55</v>
      </c>
      <c r="C457" s="354" t="s">
        <v>59</v>
      </c>
      <c r="D457" s="354"/>
      <c r="E457" s="354"/>
      <c r="F457" s="42"/>
      <c r="G457" s="43"/>
      <c r="H457" s="43"/>
      <c r="I457" s="43"/>
      <c r="J457" s="62">
        <v>1183.68</v>
      </c>
      <c r="K457" s="43"/>
      <c r="L457" s="44">
        <v>71.02</v>
      </c>
      <c r="M457" s="45">
        <v>52.21</v>
      </c>
      <c r="N457" s="46">
        <v>3707.95</v>
      </c>
    </row>
    <row r="458" spans="1:14" hidden="1" x14ac:dyDescent="0.25">
      <c r="A458" s="40"/>
      <c r="B458" s="41" t="s">
        <v>70</v>
      </c>
      <c r="C458" s="354" t="s">
        <v>74</v>
      </c>
      <c r="D458" s="354"/>
      <c r="E458" s="354"/>
      <c r="F458" s="42"/>
      <c r="G458" s="43"/>
      <c r="H458" s="43"/>
      <c r="I458" s="43"/>
      <c r="J458" s="44">
        <v>946.33</v>
      </c>
      <c r="K458" s="43"/>
      <c r="L458" s="44">
        <v>56.78</v>
      </c>
      <c r="M458" s="45">
        <v>15.71</v>
      </c>
      <c r="N458" s="69">
        <v>892.01</v>
      </c>
    </row>
    <row r="459" spans="1:14" hidden="1" x14ac:dyDescent="0.25">
      <c r="A459" s="40"/>
      <c r="B459" s="41" t="s">
        <v>75</v>
      </c>
      <c r="C459" s="354" t="s">
        <v>76</v>
      </c>
      <c r="D459" s="354"/>
      <c r="E459" s="354"/>
      <c r="F459" s="42"/>
      <c r="G459" s="43"/>
      <c r="H459" s="43"/>
      <c r="I459" s="43"/>
      <c r="J459" s="44">
        <v>90.65</v>
      </c>
      <c r="K459" s="43"/>
      <c r="L459" s="44">
        <v>5.44</v>
      </c>
      <c r="M459" s="45">
        <v>52.21</v>
      </c>
      <c r="N459" s="69">
        <v>284.02</v>
      </c>
    </row>
    <row r="460" spans="1:14" hidden="1" x14ac:dyDescent="0.25">
      <c r="A460" s="40"/>
      <c r="B460" s="41" t="s">
        <v>88</v>
      </c>
      <c r="C460" s="354" t="s">
        <v>98</v>
      </c>
      <c r="D460" s="354"/>
      <c r="E460" s="354"/>
      <c r="F460" s="42"/>
      <c r="G460" s="43"/>
      <c r="H460" s="43"/>
      <c r="I460" s="43"/>
      <c r="J460" s="62">
        <v>8643.11</v>
      </c>
      <c r="K460" s="43"/>
      <c r="L460" s="44">
        <v>518.59</v>
      </c>
      <c r="M460" s="63">
        <v>9.5</v>
      </c>
      <c r="N460" s="46">
        <v>4926.6099999999997</v>
      </c>
    </row>
    <row r="461" spans="1:14" hidden="1" x14ac:dyDescent="0.25">
      <c r="A461" s="47"/>
      <c r="B461" s="41"/>
      <c r="C461" s="354" t="s">
        <v>60</v>
      </c>
      <c r="D461" s="354"/>
      <c r="E461" s="354"/>
      <c r="F461" s="42" t="s">
        <v>61</v>
      </c>
      <c r="G461" s="48">
        <v>137</v>
      </c>
      <c r="H461" s="43"/>
      <c r="I461" s="45">
        <v>8.2200000000000006</v>
      </c>
      <c r="J461" s="50"/>
      <c r="K461" s="43"/>
      <c r="L461" s="50"/>
      <c r="M461" s="43"/>
      <c r="N461" s="51"/>
    </row>
    <row r="462" spans="1:14" hidden="1" x14ac:dyDescent="0.25">
      <c r="A462" s="47"/>
      <c r="B462" s="41"/>
      <c r="C462" s="354" t="s">
        <v>77</v>
      </c>
      <c r="D462" s="354"/>
      <c r="E462" s="354"/>
      <c r="F462" s="42" t="s">
        <v>61</v>
      </c>
      <c r="G462" s="45">
        <v>8.01</v>
      </c>
      <c r="H462" s="43"/>
      <c r="I462" s="64">
        <v>0.48060000000000003</v>
      </c>
      <c r="J462" s="50"/>
      <c r="K462" s="43"/>
      <c r="L462" s="50"/>
      <c r="M462" s="43"/>
      <c r="N462" s="51"/>
    </row>
    <row r="463" spans="1:14" hidden="1" x14ac:dyDescent="0.25">
      <c r="A463" s="52"/>
      <c r="B463" s="41"/>
      <c r="C463" s="355" t="s">
        <v>62</v>
      </c>
      <c r="D463" s="355"/>
      <c r="E463" s="355"/>
      <c r="F463" s="53"/>
      <c r="G463" s="54"/>
      <c r="H463" s="54"/>
      <c r="I463" s="54"/>
      <c r="J463" s="65">
        <v>10773.12</v>
      </c>
      <c r="K463" s="54"/>
      <c r="L463" s="55">
        <v>646.39</v>
      </c>
      <c r="M463" s="54"/>
      <c r="N463" s="56">
        <v>9526.57</v>
      </c>
    </row>
    <row r="464" spans="1:14" hidden="1" x14ac:dyDescent="0.25">
      <c r="A464" s="47"/>
      <c r="B464" s="41"/>
      <c r="C464" s="354" t="s">
        <v>63</v>
      </c>
      <c r="D464" s="354"/>
      <c r="E464" s="354"/>
      <c r="F464" s="42"/>
      <c r="G464" s="43"/>
      <c r="H464" s="43"/>
      <c r="I464" s="43"/>
      <c r="J464" s="50"/>
      <c r="K464" s="43"/>
      <c r="L464" s="44">
        <v>76.459999999999994</v>
      </c>
      <c r="M464" s="43"/>
      <c r="N464" s="46">
        <v>3991.97</v>
      </c>
    </row>
    <row r="465" spans="1:14" hidden="1" x14ac:dyDescent="0.25">
      <c r="A465" s="47"/>
      <c r="B465" s="41" t="s">
        <v>277</v>
      </c>
      <c r="C465" s="354" t="s">
        <v>278</v>
      </c>
      <c r="D465" s="354"/>
      <c r="E465" s="354"/>
      <c r="F465" s="42" t="s">
        <v>66</v>
      </c>
      <c r="G465" s="48">
        <v>106</v>
      </c>
      <c r="H465" s="43"/>
      <c r="I465" s="48">
        <v>106</v>
      </c>
      <c r="J465" s="50"/>
      <c r="K465" s="43"/>
      <c r="L465" s="44">
        <v>81.05</v>
      </c>
      <c r="M465" s="43"/>
      <c r="N465" s="46">
        <v>4231.49</v>
      </c>
    </row>
    <row r="466" spans="1:14" ht="22.5" hidden="1" x14ac:dyDescent="0.25">
      <c r="A466" s="47"/>
      <c r="B466" s="41" t="s">
        <v>279</v>
      </c>
      <c r="C466" s="354" t="s">
        <v>280</v>
      </c>
      <c r="D466" s="354"/>
      <c r="E466" s="354"/>
      <c r="F466" s="42" t="s">
        <v>66</v>
      </c>
      <c r="G466" s="48">
        <v>56</v>
      </c>
      <c r="H466" s="45">
        <v>0.85</v>
      </c>
      <c r="I466" s="63">
        <v>47.6</v>
      </c>
      <c r="J466" s="50"/>
      <c r="K466" s="43"/>
      <c r="L466" s="44">
        <v>36.39</v>
      </c>
      <c r="M466" s="43"/>
      <c r="N466" s="46">
        <v>1900.18</v>
      </c>
    </row>
    <row r="467" spans="1:14" hidden="1" x14ac:dyDescent="0.25">
      <c r="A467" s="57"/>
      <c r="B467" s="58"/>
      <c r="C467" s="350" t="s">
        <v>69</v>
      </c>
      <c r="D467" s="350"/>
      <c r="E467" s="350"/>
      <c r="F467" s="34"/>
      <c r="G467" s="35"/>
      <c r="H467" s="35"/>
      <c r="I467" s="35"/>
      <c r="J467" s="38"/>
      <c r="K467" s="35"/>
      <c r="L467" s="59">
        <v>763.83</v>
      </c>
      <c r="M467" s="54"/>
      <c r="N467" s="60">
        <v>15658.24</v>
      </c>
    </row>
    <row r="468" spans="1:14" x14ac:dyDescent="0.25">
      <c r="A468" s="32" t="s">
        <v>281</v>
      </c>
      <c r="B468" s="33" t="s">
        <v>282</v>
      </c>
      <c r="C468" s="350" t="s">
        <v>283</v>
      </c>
      <c r="D468" s="350"/>
      <c r="E468" s="350"/>
      <c r="F468" s="34" t="s">
        <v>127</v>
      </c>
      <c r="G468" s="35">
        <v>-2.9000000000000001E-2</v>
      </c>
      <c r="H468" s="36">
        <v>1</v>
      </c>
      <c r="I468" s="67">
        <v>-2.9000000000000001E-2</v>
      </c>
      <c r="J468" s="66">
        <v>9727.3700000000008</v>
      </c>
      <c r="K468" s="35"/>
      <c r="L468" s="59">
        <v>-282.08999999999997</v>
      </c>
      <c r="M468" s="70">
        <v>9.5</v>
      </c>
      <c r="N468" s="60">
        <v>-2679.86</v>
      </c>
    </row>
    <row r="469" spans="1:14" hidden="1" x14ac:dyDescent="0.25">
      <c r="A469" s="57"/>
      <c r="B469" s="58"/>
      <c r="C469" s="350" t="s">
        <v>69</v>
      </c>
      <c r="D469" s="350"/>
      <c r="E469" s="350"/>
      <c r="F469" s="34"/>
      <c r="G469" s="35"/>
      <c r="H469" s="35"/>
      <c r="I469" s="35"/>
      <c r="J469" s="38"/>
      <c r="K469" s="35"/>
      <c r="L469" s="59">
        <v>-282.08999999999997</v>
      </c>
      <c r="M469" s="54"/>
      <c r="N469" s="60">
        <v>-2679.86</v>
      </c>
    </row>
    <row r="470" spans="1:14" ht="22.5" x14ac:dyDescent="0.25">
      <c r="A470" s="32" t="s">
        <v>284</v>
      </c>
      <c r="B470" s="33" t="s">
        <v>120</v>
      </c>
      <c r="C470" s="350" t="s">
        <v>285</v>
      </c>
      <c r="D470" s="350"/>
      <c r="E470" s="350"/>
      <c r="F470" s="34" t="s">
        <v>130</v>
      </c>
      <c r="G470" s="35">
        <v>0.36</v>
      </c>
      <c r="H470" s="36">
        <v>1</v>
      </c>
      <c r="I470" s="61">
        <v>0.36</v>
      </c>
      <c r="J470" s="66">
        <v>37646.32</v>
      </c>
      <c r="K470" s="74">
        <v>1.04236</v>
      </c>
      <c r="L470" s="66">
        <v>14126.77</v>
      </c>
      <c r="M470" s="70">
        <v>9.5</v>
      </c>
      <c r="N470" s="60">
        <v>134204.32</v>
      </c>
    </row>
    <row r="471" spans="1:14" hidden="1" x14ac:dyDescent="0.25">
      <c r="A471" s="52"/>
      <c r="B471" s="71"/>
      <c r="C471" s="354" t="s">
        <v>137</v>
      </c>
      <c r="D471" s="354"/>
      <c r="E471" s="354"/>
      <c r="F471" s="354"/>
      <c r="G471" s="354"/>
      <c r="H471" s="354"/>
      <c r="I471" s="354"/>
      <c r="J471" s="354"/>
      <c r="K471" s="354"/>
      <c r="L471" s="354"/>
      <c r="M471" s="354"/>
      <c r="N471" s="356"/>
    </row>
    <row r="472" spans="1:14" hidden="1" x14ac:dyDescent="0.25">
      <c r="A472" s="72"/>
      <c r="B472" s="41"/>
      <c r="C472" s="344" t="s">
        <v>123</v>
      </c>
      <c r="D472" s="344"/>
      <c r="E472" s="344"/>
      <c r="F472" s="344"/>
      <c r="G472" s="344"/>
      <c r="H472" s="344"/>
      <c r="I472" s="344"/>
      <c r="J472" s="344"/>
      <c r="K472" s="344"/>
      <c r="L472" s="344"/>
      <c r="M472" s="344"/>
      <c r="N472" s="357"/>
    </row>
    <row r="473" spans="1:14" hidden="1" x14ac:dyDescent="0.25">
      <c r="A473" s="72"/>
      <c r="B473" s="41"/>
      <c r="C473" s="344" t="s">
        <v>108</v>
      </c>
      <c r="D473" s="344"/>
      <c r="E473" s="344"/>
      <c r="F473" s="344"/>
      <c r="G473" s="344"/>
      <c r="H473" s="344"/>
      <c r="I473" s="344"/>
      <c r="J473" s="344"/>
      <c r="K473" s="344"/>
      <c r="L473" s="344"/>
      <c r="M473" s="344"/>
      <c r="N473" s="357"/>
    </row>
    <row r="474" spans="1:14" hidden="1" x14ac:dyDescent="0.25">
      <c r="A474" s="57"/>
      <c r="B474" s="58"/>
      <c r="C474" s="350" t="s">
        <v>69</v>
      </c>
      <c r="D474" s="350"/>
      <c r="E474" s="350"/>
      <c r="F474" s="34"/>
      <c r="G474" s="35"/>
      <c r="H474" s="35"/>
      <c r="I474" s="35"/>
      <c r="J474" s="38"/>
      <c r="K474" s="35"/>
      <c r="L474" s="66">
        <v>14126.77</v>
      </c>
      <c r="M474" s="54"/>
      <c r="N474" s="60">
        <v>134204.32</v>
      </c>
    </row>
    <row r="475" spans="1:14" ht="22.5" x14ac:dyDescent="0.25">
      <c r="A475" s="32" t="s">
        <v>286</v>
      </c>
      <c r="B475" s="33" t="s">
        <v>120</v>
      </c>
      <c r="C475" s="350" t="s">
        <v>129</v>
      </c>
      <c r="D475" s="350"/>
      <c r="E475" s="350"/>
      <c r="F475" s="34" t="s">
        <v>130</v>
      </c>
      <c r="G475" s="35">
        <v>2.9000000000000001E-2</v>
      </c>
      <c r="H475" s="36">
        <v>1</v>
      </c>
      <c r="I475" s="67">
        <v>2.9000000000000001E-2</v>
      </c>
      <c r="J475" s="66">
        <v>27894.74</v>
      </c>
      <c r="K475" s="74">
        <v>1.04236</v>
      </c>
      <c r="L475" s="59">
        <v>843.21</v>
      </c>
      <c r="M475" s="70">
        <v>9.5</v>
      </c>
      <c r="N475" s="60">
        <v>8010.5</v>
      </c>
    </row>
    <row r="476" spans="1:14" hidden="1" x14ac:dyDescent="0.25">
      <c r="A476" s="52"/>
      <c r="B476" s="71"/>
      <c r="C476" s="354" t="s">
        <v>131</v>
      </c>
      <c r="D476" s="354"/>
      <c r="E476" s="354"/>
      <c r="F476" s="354"/>
      <c r="G476" s="354"/>
      <c r="H476" s="354"/>
      <c r="I476" s="354"/>
      <c r="J476" s="354"/>
      <c r="K476" s="354"/>
      <c r="L476" s="354"/>
      <c r="M476" s="354"/>
      <c r="N476" s="356"/>
    </row>
    <row r="477" spans="1:14" hidden="1" x14ac:dyDescent="0.25">
      <c r="A477" s="72"/>
      <c r="B477" s="41"/>
      <c r="C477" s="344" t="s">
        <v>123</v>
      </c>
      <c r="D477" s="344"/>
      <c r="E477" s="344"/>
      <c r="F477" s="344"/>
      <c r="G477" s="344"/>
      <c r="H477" s="344"/>
      <c r="I477" s="344"/>
      <c r="J477" s="344"/>
      <c r="K477" s="344"/>
      <c r="L477" s="344"/>
      <c r="M477" s="344"/>
      <c r="N477" s="357"/>
    </row>
    <row r="478" spans="1:14" hidden="1" x14ac:dyDescent="0.25">
      <c r="A478" s="72"/>
      <c r="B478" s="41"/>
      <c r="C478" s="344" t="s">
        <v>108</v>
      </c>
      <c r="D478" s="344"/>
      <c r="E478" s="344"/>
      <c r="F478" s="344"/>
      <c r="G478" s="344"/>
      <c r="H478" s="344"/>
      <c r="I478" s="344"/>
      <c r="J478" s="344"/>
      <c r="K478" s="344"/>
      <c r="L478" s="344"/>
      <c r="M478" s="344"/>
      <c r="N478" s="357"/>
    </row>
    <row r="479" spans="1:14" hidden="1" x14ac:dyDescent="0.25">
      <c r="A479" s="57"/>
      <c r="B479" s="58"/>
      <c r="C479" s="350" t="s">
        <v>69</v>
      </c>
      <c r="D479" s="350"/>
      <c r="E479" s="350"/>
      <c r="F479" s="34"/>
      <c r="G479" s="35"/>
      <c r="H479" s="35"/>
      <c r="I479" s="35"/>
      <c r="J479" s="38"/>
      <c r="K479" s="35"/>
      <c r="L479" s="59">
        <v>843.21</v>
      </c>
      <c r="M479" s="54"/>
      <c r="N479" s="60">
        <v>8010.5</v>
      </c>
    </row>
    <row r="480" spans="1:14" ht="24" customHeight="1" x14ac:dyDescent="0.25">
      <c r="A480" s="32" t="s">
        <v>287</v>
      </c>
      <c r="B480" s="33" t="s">
        <v>288</v>
      </c>
      <c r="C480" s="350" t="s">
        <v>289</v>
      </c>
      <c r="D480" s="350"/>
      <c r="E480" s="350"/>
      <c r="F480" s="34" t="s">
        <v>160</v>
      </c>
      <c r="G480" s="35">
        <v>1.333E-2</v>
      </c>
      <c r="H480" s="36">
        <v>1</v>
      </c>
      <c r="I480" s="74">
        <v>1.333E-2</v>
      </c>
      <c r="J480" s="38"/>
      <c r="K480" s="35"/>
      <c r="L480" s="38"/>
      <c r="M480" s="35"/>
      <c r="N480" s="39"/>
    </row>
    <row r="481" spans="1:14" hidden="1" x14ac:dyDescent="0.25">
      <c r="A481" s="40"/>
      <c r="B481" s="41" t="s">
        <v>55</v>
      </c>
      <c r="C481" s="354" t="s">
        <v>59</v>
      </c>
      <c r="D481" s="354"/>
      <c r="E481" s="354"/>
      <c r="F481" s="42"/>
      <c r="G481" s="43"/>
      <c r="H481" s="43"/>
      <c r="I481" s="43"/>
      <c r="J481" s="62">
        <v>1107.95</v>
      </c>
      <c r="K481" s="43"/>
      <c r="L481" s="44">
        <v>14.77</v>
      </c>
      <c r="M481" s="45">
        <v>52.21</v>
      </c>
      <c r="N481" s="69">
        <v>771.14</v>
      </c>
    </row>
    <row r="482" spans="1:14" hidden="1" x14ac:dyDescent="0.25">
      <c r="A482" s="40"/>
      <c r="B482" s="41" t="s">
        <v>70</v>
      </c>
      <c r="C482" s="354" t="s">
        <v>74</v>
      </c>
      <c r="D482" s="354"/>
      <c r="E482" s="354"/>
      <c r="F482" s="42"/>
      <c r="G482" s="43"/>
      <c r="H482" s="43"/>
      <c r="I482" s="43"/>
      <c r="J482" s="62">
        <v>12533.99</v>
      </c>
      <c r="K482" s="43"/>
      <c r="L482" s="44">
        <v>167.08</v>
      </c>
      <c r="M482" s="45">
        <v>15.71</v>
      </c>
      <c r="N482" s="46">
        <v>2624.83</v>
      </c>
    </row>
    <row r="483" spans="1:14" hidden="1" x14ac:dyDescent="0.25">
      <c r="A483" s="40"/>
      <c r="B483" s="41" t="s">
        <v>75</v>
      </c>
      <c r="C483" s="354" t="s">
        <v>76</v>
      </c>
      <c r="D483" s="354"/>
      <c r="E483" s="354"/>
      <c r="F483" s="42"/>
      <c r="G483" s="43"/>
      <c r="H483" s="43"/>
      <c r="I483" s="43"/>
      <c r="J483" s="44">
        <v>820.22</v>
      </c>
      <c r="K483" s="43"/>
      <c r="L483" s="44">
        <v>10.93</v>
      </c>
      <c r="M483" s="45">
        <v>52.21</v>
      </c>
      <c r="N483" s="69">
        <v>570.66</v>
      </c>
    </row>
    <row r="484" spans="1:14" hidden="1" x14ac:dyDescent="0.25">
      <c r="A484" s="40"/>
      <c r="B484" s="41" t="s">
        <v>88</v>
      </c>
      <c r="C484" s="354" t="s">
        <v>98</v>
      </c>
      <c r="D484" s="354"/>
      <c r="E484" s="354"/>
      <c r="F484" s="42"/>
      <c r="G484" s="43"/>
      <c r="H484" s="43"/>
      <c r="I484" s="43"/>
      <c r="J484" s="62">
        <v>230267.7</v>
      </c>
      <c r="K484" s="43"/>
      <c r="L484" s="62">
        <v>3069.47</v>
      </c>
      <c r="M484" s="63">
        <v>9.5</v>
      </c>
      <c r="N484" s="46">
        <v>29159.97</v>
      </c>
    </row>
    <row r="485" spans="1:14" hidden="1" x14ac:dyDescent="0.25">
      <c r="A485" s="47"/>
      <c r="B485" s="41"/>
      <c r="C485" s="354" t="s">
        <v>60</v>
      </c>
      <c r="D485" s="354"/>
      <c r="E485" s="354"/>
      <c r="F485" s="42" t="s">
        <v>61</v>
      </c>
      <c r="G485" s="45">
        <v>134.46</v>
      </c>
      <c r="H485" s="43"/>
      <c r="I485" s="97">
        <v>1.7923518000000001</v>
      </c>
      <c r="J485" s="50"/>
      <c r="K485" s="43"/>
      <c r="L485" s="50"/>
      <c r="M485" s="43"/>
      <c r="N485" s="51"/>
    </row>
    <row r="486" spans="1:14" hidden="1" x14ac:dyDescent="0.25">
      <c r="A486" s="47"/>
      <c r="B486" s="41"/>
      <c r="C486" s="354" t="s">
        <v>77</v>
      </c>
      <c r="D486" s="354"/>
      <c r="E486" s="354"/>
      <c r="F486" s="42" t="s">
        <v>61</v>
      </c>
      <c r="G486" s="45">
        <v>54.89</v>
      </c>
      <c r="H486" s="43"/>
      <c r="I486" s="97">
        <v>0.73168370000000005</v>
      </c>
      <c r="J486" s="50"/>
      <c r="K486" s="43"/>
      <c r="L486" s="50"/>
      <c r="M486" s="43"/>
      <c r="N486" s="51"/>
    </row>
    <row r="487" spans="1:14" hidden="1" x14ac:dyDescent="0.25">
      <c r="A487" s="52"/>
      <c r="B487" s="41"/>
      <c r="C487" s="355" t="s">
        <v>62</v>
      </c>
      <c r="D487" s="355"/>
      <c r="E487" s="355"/>
      <c r="F487" s="53"/>
      <c r="G487" s="54"/>
      <c r="H487" s="54"/>
      <c r="I487" s="54"/>
      <c r="J487" s="65">
        <v>243909.64</v>
      </c>
      <c r="K487" s="54"/>
      <c r="L487" s="65">
        <v>3251.32</v>
      </c>
      <c r="M487" s="54"/>
      <c r="N487" s="56">
        <v>32555.94</v>
      </c>
    </row>
    <row r="488" spans="1:14" hidden="1" x14ac:dyDescent="0.25">
      <c r="A488" s="47"/>
      <c r="B488" s="41"/>
      <c r="C488" s="354" t="s">
        <v>63</v>
      </c>
      <c r="D488" s="354"/>
      <c r="E488" s="354"/>
      <c r="F488" s="42"/>
      <c r="G488" s="43"/>
      <c r="H488" s="43"/>
      <c r="I488" s="43"/>
      <c r="J488" s="50"/>
      <c r="K488" s="43"/>
      <c r="L488" s="44">
        <v>25.7</v>
      </c>
      <c r="M488" s="43"/>
      <c r="N488" s="46">
        <v>1341.8</v>
      </c>
    </row>
    <row r="489" spans="1:14" ht="22.5" hidden="1" x14ac:dyDescent="0.25">
      <c r="A489" s="47"/>
      <c r="B489" s="41" t="s">
        <v>78</v>
      </c>
      <c r="C489" s="354" t="s">
        <v>79</v>
      </c>
      <c r="D489" s="354"/>
      <c r="E489" s="354"/>
      <c r="F489" s="42" t="s">
        <v>66</v>
      </c>
      <c r="G489" s="48">
        <v>109</v>
      </c>
      <c r="H489" s="43"/>
      <c r="I489" s="48">
        <v>109</v>
      </c>
      <c r="J489" s="50"/>
      <c r="K489" s="43"/>
      <c r="L489" s="44">
        <v>28.01</v>
      </c>
      <c r="M489" s="43"/>
      <c r="N489" s="46">
        <v>1462.56</v>
      </c>
    </row>
    <row r="490" spans="1:14" ht="45" hidden="1" x14ac:dyDescent="0.25">
      <c r="A490" s="47"/>
      <c r="B490" s="41" t="s">
        <v>80</v>
      </c>
      <c r="C490" s="354" t="s">
        <v>81</v>
      </c>
      <c r="D490" s="354"/>
      <c r="E490" s="354"/>
      <c r="F490" s="42" t="s">
        <v>66</v>
      </c>
      <c r="G490" s="48">
        <v>65</v>
      </c>
      <c r="H490" s="45">
        <v>0.85</v>
      </c>
      <c r="I490" s="45">
        <v>55.25</v>
      </c>
      <c r="J490" s="50"/>
      <c r="K490" s="43"/>
      <c r="L490" s="44">
        <v>14.2</v>
      </c>
      <c r="M490" s="43"/>
      <c r="N490" s="69">
        <v>741.34</v>
      </c>
    </row>
    <row r="491" spans="1:14" hidden="1" x14ac:dyDescent="0.25">
      <c r="A491" s="57"/>
      <c r="B491" s="58"/>
      <c r="C491" s="350" t="s">
        <v>69</v>
      </c>
      <c r="D491" s="350"/>
      <c r="E491" s="350"/>
      <c r="F491" s="34"/>
      <c r="G491" s="35"/>
      <c r="H491" s="35"/>
      <c r="I491" s="35"/>
      <c r="J491" s="38"/>
      <c r="K491" s="35"/>
      <c r="L491" s="66">
        <v>3293.53</v>
      </c>
      <c r="M491" s="54"/>
      <c r="N491" s="60">
        <v>34759.839999999997</v>
      </c>
    </row>
    <row r="492" spans="1:14" x14ac:dyDescent="0.25">
      <c r="A492" s="351" t="s">
        <v>161</v>
      </c>
      <c r="B492" s="352"/>
      <c r="C492" s="352"/>
      <c r="D492" s="352"/>
      <c r="E492" s="352"/>
      <c r="F492" s="352"/>
      <c r="G492" s="352"/>
      <c r="H492" s="352"/>
      <c r="I492" s="352"/>
      <c r="J492" s="352"/>
      <c r="K492" s="352"/>
      <c r="L492" s="352"/>
      <c r="M492" s="352"/>
      <c r="N492" s="353"/>
    </row>
    <row r="493" spans="1:14" ht="37.5" customHeight="1" x14ac:dyDescent="0.25">
      <c r="A493" s="32" t="s">
        <v>290</v>
      </c>
      <c r="B493" s="33" t="s">
        <v>163</v>
      </c>
      <c r="C493" s="350" t="s">
        <v>164</v>
      </c>
      <c r="D493" s="350"/>
      <c r="E493" s="350"/>
      <c r="F493" s="34" t="s">
        <v>165</v>
      </c>
      <c r="G493" s="35">
        <v>59.55</v>
      </c>
      <c r="H493" s="36">
        <v>1</v>
      </c>
      <c r="I493" s="61">
        <v>59.55</v>
      </c>
      <c r="J493" s="59">
        <v>3.28</v>
      </c>
      <c r="K493" s="35"/>
      <c r="L493" s="59">
        <v>195.32</v>
      </c>
      <c r="M493" s="61">
        <v>15.71</v>
      </c>
      <c r="N493" s="60">
        <v>3068.48</v>
      </c>
    </row>
    <row r="494" spans="1:14" hidden="1" x14ac:dyDescent="0.25">
      <c r="A494" s="57"/>
      <c r="B494" s="58"/>
      <c r="C494" s="350" t="s">
        <v>69</v>
      </c>
      <c r="D494" s="350"/>
      <c r="E494" s="350"/>
      <c r="F494" s="34"/>
      <c r="G494" s="35"/>
      <c r="H494" s="35"/>
      <c r="I494" s="35"/>
      <c r="J494" s="38"/>
      <c r="K494" s="35"/>
      <c r="L494" s="59">
        <v>195.32</v>
      </c>
      <c r="M494" s="54"/>
      <c r="N494" s="60">
        <v>3068.48</v>
      </c>
    </row>
    <row r="495" spans="1:14" ht="47.25" customHeight="1" x14ac:dyDescent="0.25">
      <c r="A495" s="32" t="s">
        <v>291</v>
      </c>
      <c r="B495" s="33" t="s">
        <v>167</v>
      </c>
      <c r="C495" s="350" t="s">
        <v>292</v>
      </c>
      <c r="D495" s="350"/>
      <c r="E495" s="350"/>
      <c r="F495" s="34" t="s">
        <v>165</v>
      </c>
      <c r="G495" s="35">
        <v>9.9</v>
      </c>
      <c r="H495" s="36">
        <v>1</v>
      </c>
      <c r="I495" s="70">
        <v>9.9</v>
      </c>
      <c r="J495" s="59">
        <v>8.39</v>
      </c>
      <c r="K495" s="35"/>
      <c r="L495" s="59">
        <v>83.06</v>
      </c>
      <c r="M495" s="61">
        <v>15.71</v>
      </c>
      <c r="N495" s="60">
        <v>1304.8699999999999</v>
      </c>
    </row>
    <row r="496" spans="1:14" hidden="1" x14ac:dyDescent="0.25">
      <c r="A496" s="57"/>
      <c r="B496" s="58"/>
      <c r="C496" s="350" t="s">
        <v>69</v>
      </c>
      <c r="D496" s="350"/>
      <c r="E496" s="350"/>
      <c r="F496" s="34"/>
      <c r="G496" s="35"/>
      <c r="H496" s="35"/>
      <c r="I496" s="35"/>
      <c r="J496" s="38"/>
      <c r="K496" s="35"/>
      <c r="L496" s="59">
        <v>83.06</v>
      </c>
      <c r="M496" s="54"/>
      <c r="N496" s="60">
        <v>1304.8699999999999</v>
      </c>
    </row>
    <row r="497" spans="1:14" ht="31.5" customHeight="1" x14ac:dyDescent="0.25">
      <c r="A497" s="32" t="s">
        <v>293</v>
      </c>
      <c r="B497" s="33" t="s">
        <v>170</v>
      </c>
      <c r="C497" s="350" t="s">
        <v>294</v>
      </c>
      <c r="D497" s="350"/>
      <c r="E497" s="350"/>
      <c r="F497" s="34" t="s">
        <v>165</v>
      </c>
      <c r="G497" s="35">
        <v>5</v>
      </c>
      <c r="H497" s="36">
        <v>1</v>
      </c>
      <c r="I497" s="36">
        <v>5</v>
      </c>
      <c r="J497" s="59">
        <v>10.88</v>
      </c>
      <c r="K497" s="35"/>
      <c r="L497" s="59">
        <v>54.4</v>
      </c>
      <c r="M497" s="61">
        <v>15.71</v>
      </c>
      <c r="N497" s="94">
        <v>854.62</v>
      </c>
    </row>
    <row r="498" spans="1:14" hidden="1" x14ac:dyDescent="0.25">
      <c r="A498" s="57"/>
      <c r="B498" s="58"/>
      <c r="C498" s="350" t="s">
        <v>69</v>
      </c>
      <c r="D498" s="350"/>
      <c r="E498" s="350"/>
      <c r="F498" s="34"/>
      <c r="G498" s="35"/>
      <c r="H498" s="35"/>
      <c r="I498" s="35"/>
      <c r="J498" s="38"/>
      <c r="K498" s="35"/>
      <c r="L498" s="59">
        <v>54.4</v>
      </c>
      <c r="M498" s="54"/>
      <c r="N498" s="94">
        <v>854.62</v>
      </c>
    </row>
    <row r="499" spans="1:14" ht="30" customHeight="1" x14ac:dyDescent="0.25">
      <c r="A499" s="32" t="s">
        <v>295</v>
      </c>
      <c r="B499" s="33" t="s">
        <v>173</v>
      </c>
      <c r="C499" s="350" t="s">
        <v>174</v>
      </c>
      <c r="D499" s="350"/>
      <c r="E499" s="350"/>
      <c r="F499" s="34" t="s">
        <v>165</v>
      </c>
      <c r="G499" s="35">
        <v>74.45</v>
      </c>
      <c r="H499" s="36">
        <v>1</v>
      </c>
      <c r="I499" s="61">
        <v>74.45</v>
      </c>
      <c r="J499" s="59">
        <v>3.86</v>
      </c>
      <c r="K499" s="35"/>
      <c r="L499" s="59">
        <v>287.38</v>
      </c>
      <c r="M499" s="61">
        <v>16.22</v>
      </c>
      <c r="N499" s="60">
        <v>4661.3</v>
      </c>
    </row>
    <row r="500" spans="1:14" hidden="1" x14ac:dyDescent="0.25">
      <c r="A500" s="57"/>
      <c r="B500" s="58"/>
      <c r="C500" s="350" t="s">
        <v>69</v>
      </c>
      <c r="D500" s="350"/>
      <c r="E500" s="350"/>
      <c r="F500" s="34"/>
      <c r="G500" s="35"/>
      <c r="H500" s="35"/>
      <c r="I500" s="35"/>
      <c r="J500" s="38"/>
      <c r="K500" s="35"/>
      <c r="L500" s="59">
        <v>287.38</v>
      </c>
      <c r="M500" s="54"/>
      <c r="N500" s="60">
        <v>4661.3</v>
      </c>
    </row>
    <row r="501" spans="1:14" hidden="1" x14ac:dyDescent="0.25">
      <c r="A501" s="75"/>
      <c r="B501" s="76"/>
      <c r="C501" s="77"/>
      <c r="D501" s="77"/>
      <c r="E501" s="77"/>
      <c r="F501" s="77"/>
      <c r="G501" s="78"/>
      <c r="H501" s="78"/>
      <c r="I501" s="78"/>
      <c r="J501" s="78"/>
      <c r="K501" s="79"/>
      <c r="L501" s="78"/>
      <c r="M501" s="79"/>
      <c r="N501" s="80"/>
    </row>
    <row r="502" spans="1:14" hidden="1" x14ac:dyDescent="0.25">
      <c r="A502" s="57"/>
      <c r="B502" s="81"/>
      <c r="C502" s="349" t="s">
        <v>296</v>
      </c>
      <c r="D502" s="349"/>
      <c r="E502" s="349"/>
      <c r="F502" s="349"/>
      <c r="G502" s="349"/>
      <c r="H502" s="349"/>
      <c r="I502" s="349"/>
      <c r="J502" s="349"/>
      <c r="K502" s="349"/>
      <c r="L502" s="82"/>
      <c r="M502" s="83"/>
      <c r="N502" s="84"/>
    </row>
    <row r="503" spans="1:14" hidden="1" x14ac:dyDescent="0.25">
      <c r="A503" s="85"/>
      <c r="B503" s="41"/>
      <c r="C503" s="348" t="s">
        <v>176</v>
      </c>
      <c r="D503" s="348"/>
      <c r="E503" s="348"/>
      <c r="F503" s="348"/>
      <c r="G503" s="348"/>
      <c r="H503" s="348"/>
      <c r="I503" s="348"/>
      <c r="J503" s="348"/>
      <c r="K503" s="348"/>
      <c r="L503" s="86">
        <v>623280.41</v>
      </c>
      <c r="M503" s="87"/>
      <c r="N503" s="88">
        <v>6031330.0599999996</v>
      </c>
    </row>
    <row r="504" spans="1:14" hidden="1" x14ac:dyDescent="0.25">
      <c r="A504" s="85"/>
      <c r="B504" s="41"/>
      <c r="C504" s="348" t="s">
        <v>177</v>
      </c>
      <c r="D504" s="348"/>
      <c r="E504" s="348"/>
      <c r="F504" s="348"/>
      <c r="G504" s="348"/>
      <c r="H504" s="348"/>
      <c r="I504" s="348"/>
      <c r="J504" s="348"/>
      <c r="K504" s="348"/>
      <c r="L504" s="89"/>
      <c r="M504" s="87"/>
      <c r="N504" s="90"/>
    </row>
    <row r="505" spans="1:14" hidden="1" x14ac:dyDescent="0.25">
      <c r="A505" s="85"/>
      <c r="B505" s="41"/>
      <c r="C505" s="348" t="s">
        <v>178</v>
      </c>
      <c r="D505" s="348"/>
      <c r="E505" s="348"/>
      <c r="F505" s="348"/>
      <c r="G505" s="348"/>
      <c r="H505" s="348"/>
      <c r="I505" s="348"/>
      <c r="J505" s="348"/>
      <c r="K505" s="348"/>
      <c r="L505" s="86">
        <v>1027.92</v>
      </c>
      <c r="M505" s="87"/>
      <c r="N505" s="88">
        <v>53667.7</v>
      </c>
    </row>
    <row r="506" spans="1:14" hidden="1" x14ac:dyDescent="0.25">
      <c r="A506" s="85"/>
      <c r="B506" s="41"/>
      <c r="C506" s="348" t="s">
        <v>179</v>
      </c>
      <c r="D506" s="348"/>
      <c r="E506" s="348"/>
      <c r="F506" s="348"/>
      <c r="G506" s="348"/>
      <c r="H506" s="348"/>
      <c r="I506" s="348"/>
      <c r="J506" s="348"/>
      <c r="K506" s="348"/>
      <c r="L506" s="86">
        <v>10026.719999999999</v>
      </c>
      <c r="M506" s="87"/>
      <c r="N506" s="88">
        <v>157519.76</v>
      </c>
    </row>
    <row r="507" spans="1:14" hidden="1" x14ac:dyDescent="0.25">
      <c r="A507" s="85"/>
      <c r="B507" s="41"/>
      <c r="C507" s="348" t="s">
        <v>180</v>
      </c>
      <c r="D507" s="348"/>
      <c r="E507" s="348"/>
      <c r="F507" s="348"/>
      <c r="G507" s="348"/>
      <c r="H507" s="348"/>
      <c r="I507" s="348"/>
      <c r="J507" s="348"/>
      <c r="K507" s="348"/>
      <c r="L507" s="95">
        <v>434.9</v>
      </c>
      <c r="M507" s="87"/>
      <c r="N507" s="88">
        <v>22706.13</v>
      </c>
    </row>
    <row r="508" spans="1:14" hidden="1" x14ac:dyDescent="0.25">
      <c r="A508" s="85"/>
      <c r="B508" s="41"/>
      <c r="C508" s="348" t="s">
        <v>181</v>
      </c>
      <c r="D508" s="348"/>
      <c r="E508" s="348"/>
      <c r="F508" s="348"/>
      <c r="G508" s="348"/>
      <c r="H508" s="348"/>
      <c r="I508" s="348"/>
      <c r="J508" s="348"/>
      <c r="K508" s="348"/>
      <c r="L508" s="86">
        <v>611743.06999999995</v>
      </c>
      <c r="M508" s="87"/>
      <c r="N508" s="88">
        <v>5812412.8200000003</v>
      </c>
    </row>
    <row r="509" spans="1:14" hidden="1" x14ac:dyDescent="0.25">
      <c r="A509" s="85"/>
      <c r="B509" s="41"/>
      <c r="C509" s="348" t="s">
        <v>182</v>
      </c>
      <c r="D509" s="348"/>
      <c r="E509" s="348"/>
      <c r="F509" s="348"/>
      <c r="G509" s="348"/>
      <c r="H509" s="348"/>
      <c r="I509" s="348"/>
      <c r="J509" s="348"/>
      <c r="K509" s="348"/>
      <c r="L509" s="89"/>
      <c r="M509" s="87"/>
      <c r="N509" s="90"/>
    </row>
    <row r="510" spans="1:14" hidden="1" x14ac:dyDescent="0.25">
      <c r="A510" s="85"/>
      <c r="B510" s="41"/>
      <c r="C510" s="348" t="s">
        <v>183</v>
      </c>
      <c r="D510" s="348"/>
      <c r="E510" s="348"/>
      <c r="F510" s="348"/>
      <c r="G510" s="348"/>
      <c r="H510" s="348"/>
      <c r="I510" s="348"/>
      <c r="J510" s="348"/>
      <c r="K510" s="348"/>
      <c r="L510" s="86">
        <v>611688.67000000004</v>
      </c>
      <c r="M510" s="87"/>
      <c r="N510" s="88">
        <v>5811558.2000000002</v>
      </c>
    </row>
    <row r="511" spans="1:14" hidden="1" x14ac:dyDescent="0.25">
      <c r="A511" s="85"/>
      <c r="B511" s="41"/>
      <c r="C511" s="348" t="s">
        <v>184</v>
      </c>
      <c r="D511" s="348"/>
      <c r="E511" s="348"/>
      <c r="F511" s="348"/>
      <c r="G511" s="348"/>
      <c r="H511" s="348"/>
      <c r="I511" s="348"/>
      <c r="J511" s="348"/>
      <c r="K511" s="348"/>
      <c r="L511" s="95">
        <v>54.4</v>
      </c>
      <c r="M511" s="87"/>
      <c r="N511" s="96">
        <v>854.62</v>
      </c>
    </row>
    <row r="512" spans="1:14" hidden="1" x14ac:dyDescent="0.25">
      <c r="A512" s="85"/>
      <c r="B512" s="41"/>
      <c r="C512" s="348" t="s">
        <v>185</v>
      </c>
      <c r="D512" s="348"/>
      <c r="E512" s="348"/>
      <c r="F512" s="348"/>
      <c r="G512" s="348"/>
      <c r="H512" s="348"/>
      <c r="I512" s="348"/>
      <c r="J512" s="348"/>
      <c r="K512" s="348"/>
      <c r="L512" s="95">
        <v>482.7</v>
      </c>
      <c r="M512" s="87"/>
      <c r="N512" s="88">
        <v>7729.78</v>
      </c>
    </row>
    <row r="513" spans="1:14" hidden="1" x14ac:dyDescent="0.25">
      <c r="A513" s="85"/>
      <c r="B513" s="41"/>
      <c r="C513" s="348" t="s">
        <v>186</v>
      </c>
      <c r="D513" s="348"/>
      <c r="E513" s="348"/>
      <c r="F513" s="348"/>
      <c r="G513" s="348"/>
      <c r="H513" s="348"/>
      <c r="I513" s="348"/>
      <c r="J513" s="348"/>
      <c r="K513" s="348"/>
      <c r="L513" s="86">
        <v>624645.57999999996</v>
      </c>
      <c r="M513" s="87"/>
      <c r="N513" s="88">
        <v>6118920.0899999999</v>
      </c>
    </row>
    <row r="514" spans="1:14" hidden="1" x14ac:dyDescent="0.25">
      <c r="A514" s="85"/>
      <c r="B514" s="41"/>
      <c r="C514" s="348" t="s">
        <v>187</v>
      </c>
      <c r="D514" s="348"/>
      <c r="E514" s="348"/>
      <c r="F514" s="348"/>
      <c r="G514" s="348"/>
      <c r="H514" s="348"/>
      <c r="I514" s="348"/>
      <c r="J514" s="348"/>
      <c r="K514" s="348"/>
      <c r="L514" s="86">
        <v>624108.48</v>
      </c>
      <c r="M514" s="87"/>
      <c r="N514" s="88">
        <v>6110335.6900000004</v>
      </c>
    </row>
    <row r="515" spans="1:14" hidden="1" x14ac:dyDescent="0.25">
      <c r="A515" s="85"/>
      <c r="B515" s="41"/>
      <c r="C515" s="348" t="s">
        <v>188</v>
      </c>
      <c r="D515" s="348"/>
      <c r="E515" s="348"/>
      <c r="F515" s="348"/>
      <c r="G515" s="348"/>
      <c r="H515" s="348"/>
      <c r="I515" s="348"/>
      <c r="J515" s="348"/>
      <c r="K515" s="348"/>
      <c r="L515" s="89"/>
      <c r="M515" s="87"/>
      <c r="N515" s="90"/>
    </row>
    <row r="516" spans="1:14" hidden="1" x14ac:dyDescent="0.25">
      <c r="A516" s="85"/>
      <c r="B516" s="41"/>
      <c r="C516" s="348" t="s">
        <v>189</v>
      </c>
      <c r="D516" s="348"/>
      <c r="E516" s="348"/>
      <c r="F516" s="348"/>
      <c r="G516" s="348"/>
      <c r="H516" s="348"/>
      <c r="I516" s="348"/>
      <c r="J516" s="348"/>
      <c r="K516" s="348"/>
      <c r="L516" s="95">
        <v>776</v>
      </c>
      <c r="M516" s="87"/>
      <c r="N516" s="88">
        <v>40514.959999999999</v>
      </c>
    </row>
    <row r="517" spans="1:14" hidden="1" x14ac:dyDescent="0.25">
      <c r="A517" s="85"/>
      <c r="B517" s="41"/>
      <c r="C517" s="348" t="s">
        <v>190</v>
      </c>
      <c r="D517" s="348"/>
      <c r="E517" s="348"/>
      <c r="F517" s="348"/>
      <c r="G517" s="348"/>
      <c r="H517" s="348"/>
      <c r="I517" s="348"/>
      <c r="J517" s="348"/>
      <c r="K517" s="348"/>
      <c r="L517" s="86">
        <v>9905.94</v>
      </c>
      <c r="M517" s="87"/>
      <c r="N517" s="88">
        <v>155622.31</v>
      </c>
    </row>
    <row r="518" spans="1:14" hidden="1" x14ac:dyDescent="0.25">
      <c r="A518" s="85"/>
      <c r="B518" s="41"/>
      <c r="C518" s="348" t="s">
        <v>191</v>
      </c>
      <c r="D518" s="348"/>
      <c r="E518" s="348"/>
      <c r="F518" s="348"/>
      <c r="G518" s="348"/>
      <c r="H518" s="348"/>
      <c r="I518" s="348"/>
      <c r="J518" s="348"/>
      <c r="K518" s="348"/>
      <c r="L518" s="95">
        <v>422.92</v>
      </c>
      <c r="M518" s="87"/>
      <c r="N518" s="88">
        <v>22080.65</v>
      </c>
    </row>
    <row r="519" spans="1:14" hidden="1" x14ac:dyDescent="0.25">
      <c r="A519" s="85"/>
      <c r="B519" s="41"/>
      <c r="C519" s="348" t="s">
        <v>192</v>
      </c>
      <c r="D519" s="348"/>
      <c r="E519" s="348"/>
      <c r="F519" s="348"/>
      <c r="G519" s="348"/>
      <c r="H519" s="348"/>
      <c r="I519" s="348"/>
      <c r="J519" s="348"/>
      <c r="K519" s="348"/>
      <c r="L519" s="86">
        <v>611409.92000000004</v>
      </c>
      <c r="M519" s="87"/>
      <c r="N519" s="88">
        <v>5808910.0700000003</v>
      </c>
    </row>
    <row r="520" spans="1:14" hidden="1" x14ac:dyDescent="0.25">
      <c r="A520" s="85"/>
      <c r="B520" s="41"/>
      <c r="C520" s="348" t="s">
        <v>193</v>
      </c>
      <c r="D520" s="348"/>
      <c r="E520" s="348"/>
      <c r="F520" s="348"/>
      <c r="G520" s="348"/>
      <c r="H520" s="348"/>
      <c r="I520" s="348"/>
      <c r="J520" s="348"/>
      <c r="K520" s="348"/>
      <c r="L520" s="86">
        <v>1323.88</v>
      </c>
      <c r="M520" s="87"/>
      <c r="N520" s="88">
        <v>69120.399999999994</v>
      </c>
    </row>
    <row r="521" spans="1:14" hidden="1" x14ac:dyDescent="0.25">
      <c r="A521" s="85"/>
      <c r="B521" s="41"/>
      <c r="C521" s="348" t="s">
        <v>194</v>
      </c>
      <c r="D521" s="348"/>
      <c r="E521" s="348"/>
      <c r="F521" s="348"/>
      <c r="G521" s="348"/>
      <c r="H521" s="348"/>
      <c r="I521" s="348"/>
      <c r="J521" s="348"/>
      <c r="K521" s="348"/>
      <c r="L521" s="95">
        <v>692.74</v>
      </c>
      <c r="M521" s="87"/>
      <c r="N521" s="88">
        <v>36167.949999999997</v>
      </c>
    </row>
    <row r="522" spans="1:14" hidden="1" x14ac:dyDescent="0.25">
      <c r="A522" s="85"/>
      <c r="B522" s="41"/>
      <c r="C522" s="348" t="s">
        <v>195</v>
      </c>
      <c r="D522" s="348"/>
      <c r="E522" s="348"/>
      <c r="F522" s="348"/>
      <c r="G522" s="348"/>
      <c r="H522" s="348"/>
      <c r="I522" s="348"/>
      <c r="J522" s="348"/>
      <c r="K522" s="348"/>
      <c r="L522" s="95">
        <v>482.7</v>
      </c>
      <c r="M522" s="87"/>
      <c r="N522" s="88">
        <v>7729.78</v>
      </c>
    </row>
    <row r="523" spans="1:14" hidden="1" x14ac:dyDescent="0.25">
      <c r="A523" s="85"/>
      <c r="B523" s="41"/>
      <c r="C523" s="348" t="s">
        <v>196</v>
      </c>
      <c r="D523" s="348"/>
      <c r="E523" s="348"/>
      <c r="F523" s="348"/>
      <c r="G523" s="348"/>
      <c r="H523" s="348"/>
      <c r="I523" s="348"/>
      <c r="J523" s="348"/>
      <c r="K523" s="348"/>
      <c r="L523" s="95">
        <v>54.4</v>
      </c>
      <c r="M523" s="87"/>
      <c r="N523" s="96">
        <v>854.62</v>
      </c>
    </row>
    <row r="524" spans="1:14" hidden="1" x14ac:dyDescent="0.25">
      <c r="A524" s="85"/>
      <c r="B524" s="41"/>
      <c r="C524" s="348" t="s">
        <v>297</v>
      </c>
      <c r="D524" s="348"/>
      <c r="E524" s="348"/>
      <c r="F524" s="348"/>
      <c r="G524" s="348"/>
      <c r="H524" s="348"/>
      <c r="I524" s="348"/>
      <c r="J524" s="348"/>
      <c r="K524" s="348"/>
      <c r="L524" s="86">
        <v>1023.55</v>
      </c>
      <c r="M524" s="87"/>
      <c r="N524" s="88">
        <v>37125.61</v>
      </c>
    </row>
    <row r="525" spans="1:14" hidden="1" x14ac:dyDescent="0.25">
      <c r="A525" s="85"/>
      <c r="B525" s="41"/>
      <c r="C525" s="348" t="s">
        <v>177</v>
      </c>
      <c r="D525" s="348"/>
      <c r="E525" s="348"/>
      <c r="F525" s="348"/>
      <c r="G525" s="348"/>
      <c r="H525" s="348"/>
      <c r="I525" s="348"/>
      <c r="J525" s="348"/>
      <c r="K525" s="348"/>
      <c r="L525" s="89"/>
      <c r="M525" s="87"/>
      <c r="N525" s="90"/>
    </row>
    <row r="526" spans="1:14" hidden="1" x14ac:dyDescent="0.25">
      <c r="A526" s="85"/>
      <c r="B526" s="41"/>
      <c r="C526" s="348" t="s">
        <v>298</v>
      </c>
      <c r="D526" s="348"/>
      <c r="E526" s="348"/>
      <c r="F526" s="348"/>
      <c r="G526" s="348"/>
      <c r="H526" s="348"/>
      <c r="I526" s="348"/>
      <c r="J526" s="348"/>
      <c r="K526" s="348"/>
      <c r="L526" s="95">
        <v>251.92</v>
      </c>
      <c r="M526" s="87"/>
      <c r="N526" s="88">
        <v>13152.74</v>
      </c>
    </row>
    <row r="527" spans="1:14" hidden="1" x14ac:dyDescent="0.25">
      <c r="A527" s="85"/>
      <c r="B527" s="41"/>
      <c r="C527" s="348" t="s">
        <v>299</v>
      </c>
      <c r="D527" s="348"/>
      <c r="E527" s="348"/>
      <c r="F527" s="348"/>
      <c r="G527" s="348"/>
      <c r="H527" s="348"/>
      <c r="I527" s="348"/>
      <c r="J527" s="348"/>
      <c r="K527" s="348"/>
      <c r="L527" s="95">
        <v>120.78</v>
      </c>
      <c r="M527" s="87"/>
      <c r="N527" s="88">
        <v>1897.45</v>
      </c>
    </row>
    <row r="528" spans="1:14" hidden="1" x14ac:dyDescent="0.25">
      <c r="A528" s="85"/>
      <c r="B528" s="41"/>
      <c r="C528" s="348" t="s">
        <v>300</v>
      </c>
      <c r="D528" s="348"/>
      <c r="E528" s="348"/>
      <c r="F528" s="348"/>
      <c r="G528" s="348"/>
      <c r="H528" s="348"/>
      <c r="I528" s="348"/>
      <c r="J528" s="348"/>
      <c r="K528" s="348"/>
      <c r="L528" s="95">
        <v>11.98</v>
      </c>
      <c r="M528" s="87"/>
      <c r="N528" s="96">
        <v>625.48</v>
      </c>
    </row>
    <row r="529" spans="1:14" hidden="1" x14ac:dyDescent="0.25">
      <c r="A529" s="85"/>
      <c r="B529" s="41"/>
      <c r="C529" s="348" t="s">
        <v>301</v>
      </c>
      <c r="D529" s="348"/>
      <c r="E529" s="348"/>
      <c r="F529" s="348"/>
      <c r="G529" s="348"/>
      <c r="H529" s="348"/>
      <c r="I529" s="348"/>
      <c r="J529" s="348"/>
      <c r="K529" s="348"/>
      <c r="L529" s="95">
        <v>278.75</v>
      </c>
      <c r="M529" s="87"/>
      <c r="N529" s="88">
        <v>2648.13</v>
      </c>
    </row>
    <row r="530" spans="1:14" hidden="1" x14ac:dyDescent="0.25">
      <c r="A530" s="85"/>
      <c r="B530" s="41"/>
      <c r="C530" s="348" t="s">
        <v>302</v>
      </c>
      <c r="D530" s="348"/>
      <c r="E530" s="348"/>
      <c r="F530" s="348"/>
      <c r="G530" s="348"/>
      <c r="H530" s="348"/>
      <c r="I530" s="348"/>
      <c r="J530" s="348"/>
      <c r="K530" s="348"/>
      <c r="L530" s="95">
        <v>242.79</v>
      </c>
      <c r="M530" s="87"/>
      <c r="N530" s="88">
        <v>12675.96</v>
      </c>
    </row>
    <row r="531" spans="1:14" hidden="1" x14ac:dyDescent="0.25">
      <c r="A531" s="85"/>
      <c r="B531" s="41"/>
      <c r="C531" s="348" t="s">
        <v>303</v>
      </c>
      <c r="D531" s="348"/>
      <c r="E531" s="348"/>
      <c r="F531" s="348"/>
      <c r="G531" s="348"/>
      <c r="H531" s="348"/>
      <c r="I531" s="348"/>
      <c r="J531" s="348"/>
      <c r="K531" s="348"/>
      <c r="L531" s="95">
        <v>129.31</v>
      </c>
      <c r="M531" s="87"/>
      <c r="N531" s="88">
        <v>6751.33</v>
      </c>
    </row>
    <row r="532" spans="1:14" hidden="1" x14ac:dyDescent="0.25">
      <c r="A532" s="85"/>
      <c r="B532" s="41"/>
      <c r="C532" s="348" t="s">
        <v>197</v>
      </c>
      <c r="D532" s="348"/>
      <c r="E532" s="348"/>
      <c r="F532" s="348"/>
      <c r="G532" s="348"/>
      <c r="H532" s="348"/>
      <c r="I532" s="348"/>
      <c r="J532" s="348"/>
      <c r="K532" s="348"/>
      <c r="L532" s="86">
        <v>1462.82</v>
      </c>
      <c r="M532" s="87"/>
      <c r="N532" s="88">
        <v>76373.83</v>
      </c>
    </row>
    <row r="533" spans="1:14" hidden="1" x14ac:dyDescent="0.25">
      <c r="A533" s="85"/>
      <c r="B533" s="41"/>
      <c r="C533" s="348" t="s">
        <v>198</v>
      </c>
      <c r="D533" s="348"/>
      <c r="E533" s="348"/>
      <c r="F533" s="348"/>
      <c r="G533" s="348"/>
      <c r="H533" s="348"/>
      <c r="I533" s="348"/>
      <c r="J533" s="348"/>
      <c r="K533" s="348"/>
      <c r="L533" s="86">
        <v>1566.67</v>
      </c>
      <c r="M533" s="87"/>
      <c r="N533" s="88">
        <v>81796.36</v>
      </c>
    </row>
    <row r="534" spans="1:14" hidden="1" x14ac:dyDescent="0.25">
      <c r="A534" s="85"/>
      <c r="B534" s="41"/>
      <c r="C534" s="348" t="s">
        <v>199</v>
      </c>
      <c r="D534" s="348"/>
      <c r="E534" s="348"/>
      <c r="F534" s="348"/>
      <c r="G534" s="348"/>
      <c r="H534" s="348"/>
      <c r="I534" s="348"/>
      <c r="J534" s="348"/>
      <c r="K534" s="348"/>
      <c r="L534" s="95">
        <v>822.05</v>
      </c>
      <c r="M534" s="87"/>
      <c r="N534" s="88">
        <v>42919.28</v>
      </c>
    </row>
    <row r="535" spans="1:14" hidden="1" x14ac:dyDescent="0.25">
      <c r="A535" s="85"/>
      <c r="B535" s="81"/>
      <c r="C535" s="349" t="s">
        <v>304</v>
      </c>
      <c r="D535" s="349"/>
      <c r="E535" s="349"/>
      <c r="F535" s="349"/>
      <c r="G535" s="349"/>
      <c r="H535" s="349"/>
      <c r="I535" s="349"/>
      <c r="J535" s="349"/>
      <c r="K535" s="349"/>
      <c r="L535" s="91">
        <v>625669.13</v>
      </c>
      <c r="M535" s="83"/>
      <c r="N535" s="92">
        <v>6156045.7000000002</v>
      </c>
    </row>
    <row r="536" spans="1:14" hidden="1" x14ac:dyDescent="0.25">
      <c r="A536" s="85"/>
      <c r="B536" s="41"/>
      <c r="C536" s="348" t="s">
        <v>201</v>
      </c>
      <c r="D536" s="348"/>
      <c r="E536" s="348"/>
      <c r="F536" s="348"/>
      <c r="G536" s="348"/>
      <c r="H536" s="348"/>
      <c r="I536" s="348"/>
      <c r="J536" s="348"/>
      <c r="K536" s="348"/>
      <c r="L536" s="89"/>
      <c r="M536" s="87"/>
      <c r="N536" s="90"/>
    </row>
    <row r="537" spans="1:14" hidden="1" x14ac:dyDescent="0.25">
      <c r="A537" s="85"/>
      <c r="B537" s="41"/>
      <c r="C537" s="348" t="s">
        <v>202</v>
      </c>
      <c r="D537" s="348"/>
      <c r="E537" s="348"/>
      <c r="F537" s="348"/>
      <c r="G537" s="348"/>
      <c r="H537" s="348"/>
      <c r="I537" s="42" t="s">
        <v>305</v>
      </c>
      <c r="J537" s="93"/>
      <c r="K537" s="93"/>
      <c r="L537" s="89"/>
      <c r="M537" s="87"/>
      <c r="N537" s="90"/>
    </row>
    <row r="538" spans="1:14" hidden="1" x14ac:dyDescent="0.25">
      <c r="A538" s="85"/>
      <c r="B538" s="41"/>
      <c r="C538" s="348" t="s">
        <v>204</v>
      </c>
      <c r="D538" s="348"/>
      <c r="E538" s="348"/>
      <c r="F538" s="348"/>
      <c r="G538" s="348"/>
      <c r="H538" s="348"/>
      <c r="I538" s="42" t="s">
        <v>306</v>
      </c>
      <c r="J538" s="93"/>
      <c r="K538" s="93"/>
      <c r="L538" s="89"/>
      <c r="M538" s="87"/>
      <c r="N538" s="90"/>
    </row>
    <row r="539" spans="1:14" x14ac:dyDescent="0.25">
      <c r="A539" s="358" t="s">
        <v>307</v>
      </c>
      <c r="B539" s="359"/>
      <c r="C539" s="359"/>
      <c r="D539" s="359"/>
      <c r="E539" s="359"/>
      <c r="F539" s="359"/>
      <c r="G539" s="359"/>
      <c r="H539" s="359"/>
      <c r="I539" s="359"/>
      <c r="J539" s="359"/>
      <c r="K539" s="359"/>
      <c r="L539" s="359"/>
      <c r="M539" s="359"/>
      <c r="N539" s="360"/>
    </row>
    <row r="540" spans="1:14" ht="29.25" customHeight="1" x14ac:dyDescent="0.25">
      <c r="A540" s="32" t="s">
        <v>308</v>
      </c>
      <c r="B540" s="33" t="s">
        <v>208</v>
      </c>
      <c r="C540" s="350" t="s">
        <v>209</v>
      </c>
      <c r="D540" s="350"/>
      <c r="E540" s="350"/>
      <c r="F540" s="34" t="s">
        <v>210</v>
      </c>
      <c r="G540" s="35">
        <v>1</v>
      </c>
      <c r="H540" s="36">
        <v>1</v>
      </c>
      <c r="I540" s="36">
        <v>1</v>
      </c>
      <c r="J540" s="38"/>
      <c r="K540" s="35"/>
      <c r="L540" s="38"/>
      <c r="M540" s="35"/>
      <c r="N540" s="39"/>
    </row>
    <row r="541" spans="1:14" hidden="1" x14ac:dyDescent="0.25">
      <c r="A541" s="40"/>
      <c r="B541" s="41" t="s">
        <v>55</v>
      </c>
      <c r="C541" s="354" t="s">
        <v>59</v>
      </c>
      <c r="D541" s="354"/>
      <c r="E541" s="354"/>
      <c r="F541" s="42"/>
      <c r="G541" s="43"/>
      <c r="H541" s="43"/>
      <c r="I541" s="43"/>
      <c r="J541" s="44">
        <v>298.64</v>
      </c>
      <c r="K541" s="43"/>
      <c r="L541" s="44">
        <v>298.64</v>
      </c>
      <c r="M541" s="45">
        <v>52.21</v>
      </c>
      <c r="N541" s="46">
        <v>15591.99</v>
      </c>
    </row>
    <row r="542" spans="1:14" hidden="1" x14ac:dyDescent="0.25">
      <c r="A542" s="40"/>
      <c r="B542" s="41" t="s">
        <v>70</v>
      </c>
      <c r="C542" s="354" t="s">
        <v>74</v>
      </c>
      <c r="D542" s="354"/>
      <c r="E542" s="354"/>
      <c r="F542" s="42"/>
      <c r="G542" s="43"/>
      <c r="H542" s="43"/>
      <c r="I542" s="43"/>
      <c r="J542" s="44">
        <v>128.02000000000001</v>
      </c>
      <c r="K542" s="43"/>
      <c r="L542" s="44">
        <v>128.02000000000001</v>
      </c>
      <c r="M542" s="45">
        <v>15.71</v>
      </c>
      <c r="N542" s="46">
        <v>2011.19</v>
      </c>
    </row>
    <row r="543" spans="1:14" hidden="1" x14ac:dyDescent="0.25">
      <c r="A543" s="40"/>
      <c r="B543" s="41" t="s">
        <v>75</v>
      </c>
      <c r="C543" s="354" t="s">
        <v>76</v>
      </c>
      <c r="D543" s="354"/>
      <c r="E543" s="354"/>
      <c r="F543" s="42"/>
      <c r="G543" s="43"/>
      <c r="H543" s="43"/>
      <c r="I543" s="43"/>
      <c r="J543" s="44">
        <v>19.84</v>
      </c>
      <c r="K543" s="43"/>
      <c r="L543" s="44">
        <v>19.84</v>
      </c>
      <c r="M543" s="45">
        <v>52.21</v>
      </c>
      <c r="N543" s="46">
        <v>1035.8499999999999</v>
      </c>
    </row>
    <row r="544" spans="1:14" hidden="1" x14ac:dyDescent="0.25">
      <c r="A544" s="47"/>
      <c r="B544" s="41"/>
      <c r="C544" s="354" t="s">
        <v>60</v>
      </c>
      <c r="D544" s="354"/>
      <c r="E544" s="354"/>
      <c r="F544" s="42" t="s">
        <v>61</v>
      </c>
      <c r="G544" s="45">
        <v>35.01</v>
      </c>
      <c r="H544" s="43"/>
      <c r="I544" s="45">
        <v>35.01</v>
      </c>
      <c r="J544" s="50"/>
      <c r="K544" s="43"/>
      <c r="L544" s="50"/>
      <c r="M544" s="43"/>
      <c r="N544" s="51"/>
    </row>
    <row r="545" spans="1:14" hidden="1" x14ac:dyDescent="0.25">
      <c r="A545" s="47"/>
      <c r="B545" s="41"/>
      <c r="C545" s="354" t="s">
        <v>77</v>
      </c>
      <c r="D545" s="354"/>
      <c r="E545" s="354"/>
      <c r="F545" s="42" t="s">
        <v>61</v>
      </c>
      <c r="G545" s="45">
        <v>1.71</v>
      </c>
      <c r="H545" s="43"/>
      <c r="I545" s="45">
        <v>1.71</v>
      </c>
      <c r="J545" s="50"/>
      <c r="K545" s="43"/>
      <c r="L545" s="50"/>
      <c r="M545" s="43"/>
      <c r="N545" s="51"/>
    </row>
    <row r="546" spans="1:14" hidden="1" x14ac:dyDescent="0.25">
      <c r="A546" s="52"/>
      <c r="B546" s="41"/>
      <c r="C546" s="355" t="s">
        <v>62</v>
      </c>
      <c r="D546" s="355"/>
      <c r="E546" s="355"/>
      <c r="F546" s="53"/>
      <c r="G546" s="54"/>
      <c r="H546" s="54"/>
      <c r="I546" s="54"/>
      <c r="J546" s="55">
        <v>426.66</v>
      </c>
      <c r="K546" s="54"/>
      <c r="L546" s="55">
        <v>426.66</v>
      </c>
      <c r="M546" s="54"/>
      <c r="N546" s="56">
        <v>17603.18</v>
      </c>
    </row>
    <row r="547" spans="1:14" hidden="1" x14ac:dyDescent="0.25">
      <c r="A547" s="47"/>
      <c r="B547" s="41"/>
      <c r="C547" s="354" t="s">
        <v>63</v>
      </c>
      <c r="D547" s="354"/>
      <c r="E547" s="354"/>
      <c r="F547" s="42"/>
      <c r="G547" s="43"/>
      <c r="H547" s="43"/>
      <c r="I547" s="43"/>
      <c r="J547" s="50"/>
      <c r="K547" s="43"/>
      <c r="L547" s="44">
        <v>318.48</v>
      </c>
      <c r="M547" s="43"/>
      <c r="N547" s="46">
        <v>16627.84</v>
      </c>
    </row>
    <row r="548" spans="1:14" ht="22.5" hidden="1" x14ac:dyDescent="0.25">
      <c r="A548" s="47"/>
      <c r="B548" s="41" t="s">
        <v>78</v>
      </c>
      <c r="C548" s="354" t="s">
        <v>79</v>
      </c>
      <c r="D548" s="354"/>
      <c r="E548" s="354"/>
      <c r="F548" s="42" t="s">
        <v>66</v>
      </c>
      <c r="G548" s="48">
        <v>109</v>
      </c>
      <c r="H548" s="43"/>
      <c r="I548" s="48">
        <v>109</v>
      </c>
      <c r="J548" s="50"/>
      <c r="K548" s="43"/>
      <c r="L548" s="44">
        <v>347.14</v>
      </c>
      <c r="M548" s="43"/>
      <c r="N548" s="46">
        <v>18124.349999999999</v>
      </c>
    </row>
    <row r="549" spans="1:14" ht="45" hidden="1" x14ac:dyDescent="0.25">
      <c r="A549" s="47"/>
      <c r="B549" s="41" t="s">
        <v>80</v>
      </c>
      <c r="C549" s="354" t="s">
        <v>81</v>
      </c>
      <c r="D549" s="354"/>
      <c r="E549" s="354"/>
      <c r="F549" s="42" t="s">
        <v>66</v>
      </c>
      <c r="G549" s="48">
        <v>65</v>
      </c>
      <c r="H549" s="45">
        <v>0.85</v>
      </c>
      <c r="I549" s="45">
        <v>55.25</v>
      </c>
      <c r="J549" s="50"/>
      <c r="K549" s="43"/>
      <c r="L549" s="44">
        <v>175.96</v>
      </c>
      <c r="M549" s="43"/>
      <c r="N549" s="46">
        <v>9186.8799999999992</v>
      </c>
    </row>
    <row r="550" spans="1:14" hidden="1" x14ac:dyDescent="0.25">
      <c r="A550" s="57"/>
      <c r="B550" s="58"/>
      <c r="C550" s="350" t="s">
        <v>69</v>
      </c>
      <c r="D550" s="350"/>
      <c r="E550" s="350"/>
      <c r="F550" s="34"/>
      <c r="G550" s="35"/>
      <c r="H550" s="35"/>
      <c r="I550" s="35"/>
      <c r="J550" s="38"/>
      <c r="K550" s="35"/>
      <c r="L550" s="59">
        <v>949.76</v>
      </c>
      <c r="M550" s="54"/>
      <c r="N550" s="60">
        <v>44914.41</v>
      </c>
    </row>
    <row r="551" spans="1:14" ht="31.5" customHeight="1" x14ac:dyDescent="0.25">
      <c r="A551" s="32" t="s">
        <v>309</v>
      </c>
      <c r="B551" s="33" t="s">
        <v>82</v>
      </c>
      <c r="C551" s="350" t="s">
        <v>83</v>
      </c>
      <c r="D551" s="350"/>
      <c r="E551" s="350"/>
      <c r="F551" s="34" t="s">
        <v>58</v>
      </c>
      <c r="G551" s="35">
        <v>0.28999999999999998</v>
      </c>
      <c r="H551" s="36">
        <v>1</v>
      </c>
      <c r="I551" s="61">
        <v>0.28999999999999998</v>
      </c>
      <c r="J551" s="38"/>
      <c r="K551" s="35"/>
      <c r="L551" s="38"/>
      <c r="M551" s="35"/>
      <c r="N551" s="39"/>
    </row>
    <row r="552" spans="1:14" hidden="1" x14ac:dyDescent="0.25">
      <c r="A552" s="40"/>
      <c r="B552" s="41" t="s">
        <v>55</v>
      </c>
      <c r="C552" s="354" t="s">
        <v>59</v>
      </c>
      <c r="D552" s="354"/>
      <c r="E552" s="354"/>
      <c r="F552" s="42"/>
      <c r="G552" s="43"/>
      <c r="H552" s="43"/>
      <c r="I552" s="43"/>
      <c r="J552" s="44">
        <v>92.08</v>
      </c>
      <c r="K552" s="43"/>
      <c r="L552" s="44">
        <v>26.7</v>
      </c>
      <c r="M552" s="45">
        <v>52.21</v>
      </c>
      <c r="N552" s="46">
        <v>1394.01</v>
      </c>
    </row>
    <row r="553" spans="1:14" hidden="1" x14ac:dyDescent="0.25">
      <c r="A553" s="40"/>
      <c r="B553" s="41" t="s">
        <v>70</v>
      </c>
      <c r="C553" s="354" t="s">
        <v>74</v>
      </c>
      <c r="D553" s="354"/>
      <c r="E553" s="354"/>
      <c r="F553" s="42"/>
      <c r="G553" s="43"/>
      <c r="H553" s="43"/>
      <c r="I553" s="43"/>
      <c r="J553" s="44">
        <v>287.60000000000002</v>
      </c>
      <c r="K553" s="43"/>
      <c r="L553" s="44">
        <v>83.4</v>
      </c>
      <c r="M553" s="45">
        <v>15.71</v>
      </c>
      <c r="N553" s="46">
        <v>1310.21</v>
      </c>
    </row>
    <row r="554" spans="1:14" hidden="1" x14ac:dyDescent="0.25">
      <c r="A554" s="40"/>
      <c r="B554" s="41" t="s">
        <v>75</v>
      </c>
      <c r="C554" s="354" t="s">
        <v>76</v>
      </c>
      <c r="D554" s="354"/>
      <c r="E554" s="354"/>
      <c r="F554" s="42"/>
      <c r="G554" s="43"/>
      <c r="H554" s="43"/>
      <c r="I554" s="43"/>
      <c r="J554" s="44">
        <v>37.57</v>
      </c>
      <c r="K554" s="43"/>
      <c r="L554" s="44">
        <v>10.9</v>
      </c>
      <c r="M554" s="45">
        <v>52.21</v>
      </c>
      <c r="N554" s="69">
        <v>569.09</v>
      </c>
    </row>
    <row r="555" spans="1:14" hidden="1" x14ac:dyDescent="0.25">
      <c r="A555" s="47"/>
      <c r="B555" s="41"/>
      <c r="C555" s="354" t="s">
        <v>60</v>
      </c>
      <c r="D555" s="354"/>
      <c r="E555" s="354"/>
      <c r="F555" s="42" t="s">
        <v>61</v>
      </c>
      <c r="G555" s="63">
        <v>11.7</v>
      </c>
      <c r="H555" s="43"/>
      <c r="I555" s="49">
        <v>3.3929999999999998</v>
      </c>
      <c r="J555" s="50"/>
      <c r="K555" s="43"/>
      <c r="L555" s="50"/>
      <c r="M555" s="43"/>
      <c r="N555" s="51"/>
    </row>
    <row r="556" spans="1:14" hidden="1" x14ac:dyDescent="0.25">
      <c r="A556" s="47"/>
      <c r="B556" s="41"/>
      <c r="C556" s="354" t="s">
        <v>77</v>
      </c>
      <c r="D556" s="354"/>
      <c r="E556" s="354"/>
      <c r="F556" s="42" t="s">
        <v>61</v>
      </c>
      <c r="G556" s="45">
        <v>2.96</v>
      </c>
      <c r="H556" s="43"/>
      <c r="I556" s="64">
        <v>0.85840000000000005</v>
      </c>
      <c r="J556" s="50"/>
      <c r="K556" s="43"/>
      <c r="L556" s="50"/>
      <c r="M556" s="43"/>
      <c r="N556" s="51"/>
    </row>
    <row r="557" spans="1:14" hidden="1" x14ac:dyDescent="0.25">
      <c r="A557" s="52"/>
      <c r="B557" s="41"/>
      <c r="C557" s="355" t="s">
        <v>62</v>
      </c>
      <c r="D557" s="355"/>
      <c r="E557" s="355"/>
      <c r="F557" s="53"/>
      <c r="G557" s="54"/>
      <c r="H557" s="54"/>
      <c r="I557" s="54"/>
      <c r="J557" s="55">
        <v>379.68</v>
      </c>
      <c r="K557" s="54"/>
      <c r="L557" s="55">
        <v>110.1</v>
      </c>
      <c r="M557" s="54"/>
      <c r="N557" s="56">
        <v>2704.22</v>
      </c>
    </row>
    <row r="558" spans="1:14" hidden="1" x14ac:dyDescent="0.25">
      <c r="A558" s="47"/>
      <c r="B558" s="41"/>
      <c r="C558" s="354" t="s">
        <v>63</v>
      </c>
      <c r="D558" s="354"/>
      <c r="E558" s="354"/>
      <c r="F558" s="42"/>
      <c r="G558" s="43"/>
      <c r="H558" s="43"/>
      <c r="I558" s="43"/>
      <c r="J558" s="50"/>
      <c r="K558" s="43"/>
      <c r="L558" s="44">
        <v>37.6</v>
      </c>
      <c r="M558" s="43"/>
      <c r="N558" s="46">
        <v>1963.1</v>
      </c>
    </row>
    <row r="559" spans="1:14" hidden="1" x14ac:dyDescent="0.25">
      <c r="A559" s="47"/>
      <c r="B559" s="41" t="s">
        <v>84</v>
      </c>
      <c r="C559" s="354" t="s">
        <v>85</v>
      </c>
      <c r="D559" s="354"/>
      <c r="E559" s="354"/>
      <c r="F559" s="42" t="s">
        <v>66</v>
      </c>
      <c r="G559" s="48">
        <v>102</v>
      </c>
      <c r="H559" s="43"/>
      <c r="I559" s="48">
        <v>102</v>
      </c>
      <c r="J559" s="50"/>
      <c r="K559" s="43"/>
      <c r="L559" s="44">
        <v>38.35</v>
      </c>
      <c r="M559" s="43"/>
      <c r="N559" s="46">
        <v>2002.36</v>
      </c>
    </row>
    <row r="560" spans="1:14" hidden="1" x14ac:dyDescent="0.25">
      <c r="A560" s="47"/>
      <c r="B560" s="41" t="s">
        <v>86</v>
      </c>
      <c r="C560" s="354" t="s">
        <v>87</v>
      </c>
      <c r="D560" s="354"/>
      <c r="E560" s="354"/>
      <c r="F560" s="42" t="s">
        <v>66</v>
      </c>
      <c r="G560" s="48">
        <v>54</v>
      </c>
      <c r="H560" s="43"/>
      <c r="I560" s="48">
        <v>54</v>
      </c>
      <c r="J560" s="50"/>
      <c r="K560" s="43"/>
      <c r="L560" s="44">
        <v>20.3</v>
      </c>
      <c r="M560" s="43"/>
      <c r="N560" s="46">
        <v>1060.07</v>
      </c>
    </row>
    <row r="561" spans="1:14" hidden="1" x14ac:dyDescent="0.25">
      <c r="A561" s="57"/>
      <c r="B561" s="58"/>
      <c r="C561" s="350" t="s">
        <v>69</v>
      </c>
      <c r="D561" s="350"/>
      <c r="E561" s="350"/>
      <c r="F561" s="34"/>
      <c r="G561" s="35"/>
      <c r="H561" s="35"/>
      <c r="I561" s="35"/>
      <c r="J561" s="38"/>
      <c r="K561" s="35"/>
      <c r="L561" s="59">
        <v>168.75</v>
      </c>
      <c r="M561" s="54"/>
      <c r="N561" s="60">
        <v>5766.65</v>
      </c>
    </row>
    <row r="562" spans="1:14" ht="29.25" customHeight="1" x14ac:dyDescent="0.25">
      <c r="A562" s="32" t="s">
        <v>310</v>
      </c>
      <c r="B562" s="33" t="s">
        <v>89</v>
      </c>
      <c r="C562" s="350" t="s">
        <v>90</v>
      </c>
      <c r="D562" s="350"/>
      <c r="E562" s="350"/>
      <c r="F562" s="34" t="s">
        <v>58</v>
      </c>
      <c r="G562" s="35">
        <v>0.1361</v>
      </c>
      <c r="H562" s="36">
        <v>1</v>
      </c>
      <c r="I562" s="37">
        <v>0.1361</v>
      </c>
      <c r="J562" s="38"/>
      <c r="K562" s="35"/>
      <c r="L562" s="38"/>
      <c r="M562" s="35"/>
      <c r="N562" s="39"/>
    </row>
    <row r="563" spans="1:14" hidden="1" x14ac:dyDescent="0.25">
      <c r="A563" s="40"/>
      <c r="B563" s="41" t="s">
        <v>55</v>
      </c>
      <c r="C563" s="354" t="s">
        <v>59</v>
      </c>
      <c r="D563" s="354"/>
      <c r="E563" s="354"/>
      <c r="F563" s="42"/>
      <c r="G563" s="43"/>
      <c r="H563" s="43"/>
      <c r="I563" s="43"/>
      <c r="J563" s="44">
        <v>106.88</v>
      </c>
      <c r="K563" s="43"/>
      <c r="L563" s="44">
        <v>14.55</v>
      </c>
      <c r="M563" s="45">
        <v>52.21</v>
      </c>
      <c r="N563" s="69">
        <v>759.66</v>
      </c>
    </row>
    <row r="564" spans="1:14" hidden="1" x14ac:dyDescent="0.25">
      <c r="A564" s="40"/>
      <c r="B564" s="41" t="s">
        <v>70</v>
      </c>
      <c r="C564" s="354" t="s">
        <v>74</v>
      </c>
      <c r="D564" s="354"/>
      <c r="E564" s="354"/>
      <c r="F564" s="42"/>
      <c r="G564" s="43"/>
      <c r="H564" s="43"/>
      <c r="I564" s="43"/>
      <c r="J564" s="44">
        <v>241.58</v>
      </c>
      <c r="K564" s="43"/>
      <c r="L564" s="44">
        <v>32.880000000000003</v>
      </c>
      <c r="M564" s="45">
        <v>15.71</v>
      </c>
      <c r="N564" s="69">
        <v>516.54</v>
      </c>
    </row>
    <row r="565" spans="1:14" hidden="1" x14ac:dyDescent="0.25">
      <c r="A565" s="40"/>
      <c r="B565" s="41" t="s">
        <v>75</v>
      </c>
      <c r="C565" s="354" t="s">
        <v>76</v>
      </c>
      <c r="D565" s="354"/>
      <c r="E565" s="354"/>
      <c r="F565" s="42"/>
      <c r="G565" s="43"/>
      <c r="H565" s="43"/>
      <c r="I565" s="43"/>
      <c r="J565" s="44">
        <v>26.36</v>
      </c>
      <c r="K565" s="43"/>
      <c r="L565" s="44">
        <v>3.59</v>
      </c>
      <c r="M565" s="45">
        <v>52.21</v>
      </c>
      <c r="N565" s="69">
        <v>187.43</v>
      </c>
    </row>
    <row r="566" spans="1:14" hidden="1" x14ac:dyDescent="0.25">
      <c r="A566" s="47"/>
      <c r="B566" s="41"/>
      <c r="C566" s="354" t="s">
        <v>60</v>
      </c>
      <c r="D566" s="354"/>
      <c r="E566" s="354"/>
      <c r="F566" s="42" t="s">
        <v>61</v>
      </c>
      <c r="G566" s="45">
        <v>12.53</v>
      </c>
      <c r="H566" s="43"/>
      <c r="I566" s="73">
        <v>1.705333</v>
      </c>
      <c r="J566" s="50"/>
      <c r="K566" s="43"/>
      <c r="L566" s="50"/>
      <c r="M566" s="43"/>
      <c r="N566" s="51"/>
    </row>
    <row r="567" spans="1:14" hidden="1" x14ac:dyDescent="0.25">
      <c r="A567" s="47"/>
      <c r="B567" s="41"/>
      <c r="C567" s="354" t="s">
        <v>77</v>
      </c>
      <c r="D567" s="354"/>
      <c r="E567" s="354"/>
      <c r="F567" s="42" t="s">
        <v>61</v>
      </c>
      <c r="G567" s="45">
        <v>2.62</v>
      </c>
      <c r="H567" s="43"/>
      <c r="I567" s="73">
        <v>0.35658200000000001</v>
      </c>
      <c r="J567" s="50"/>
      <c r="K567" s="43"/>
      <c r="L567" s="50"/>
      <c r="M567" s="43"/>
      <c r="N567" s="51"/>
    </row>
    <row r="568" spans="1:14" hidden="1" x14ac:dyDescent="0.25">
      <c r="A568" s="52"/>
      <c r="B568" s="41"/>
      <c r="C568" s="355" t="s">
        <v>62</v>
      </c>
      <c r="D568" s="355"/>
      <c r="E568" s="355"/>
      <c r="F568" s="53"/>
      <c r="G568" s="54"/>
      <c r="H568" s="54"/>
      <c r="I568" s="54"/>
      <c r="J568" s="55">
        <v>348.46</v>
      </c>
      <c r="K568" s="54"/>
      <c r="L568" s="55">
        <v>47.43</v>
      </c>
      <c r="M568" s="54"/>
      <c r="N568" s="56">
        <v>1276.2</v>
      </c>
    </row>
    <row r="569" spans="1:14" hidden="1" x14ac:dyDescent="0.25">
      <c r="A569" s="47"/>
      <c r="B569" s="41"/>
      <c r="C569" s="354" t="s">
        <v>63</v>
      </c>
      <c r="D569" s="354"/>
      <c r="E569" s="354"/>
      <c r="F569" s="42"/>
      <c r="G569" s="43"/>
      <c r="H569" s="43"/>
      <c r="I569" s="43"/>
      <c r="J569" s="50"/>
      <c r="K569" s="43"/>
      <c r="L569" s="44">
        <v>18.14</v>
      </c>
      <c r="M569" s="43"/>
      <c r="N569" s="69">
        <v>947.09</v>
      </c>
    </row>
    <row r="570" spans="1:14" ht="22.5" hidden="1" x14ac:dyDescent="0.25">
      <c r="A570" s="47"/>
      <c r="B570" s="41" t="s">
        <v>91</v>
      </c>
      <c r="C570" s="354" t="s">
        <v>92</v>
      </c>
      <c r="D570" s="354"/>
      <c r="E570" s="354"/>
      <c r="F570" s="42" t="s">
        <v>66</v>
      </c>
      <c r="G570" s="48">
        <v>92</v>
      </c>
      <c r="H570" s="43"/>
      <c r="I570" s="48">
        <v>92</v>
      </c>
      <c r="J570" s="50"/>
      <c r="K570" s="43"/>
      <c r="L570" s="44">
        <v>16.690000000000001</v>
      </c>
      <c r="M570" s="43"/>
      <c r="N570" s="69">
        <v>871.32</v>
      </c>
    </row>
    <row r="571" spans="1:14" ht="45" hidden="1" x14ac:dyDescent="0.25">
      <c r="A571" s="47"/>
      <c r="B571" s="41" t="s">
        <v>93</v>
      </c>
      <c r="C571" s="354" t="s">
        <v>94</v>
      </c>
      <c r="D571" s="354"/>
      <c r="E571" s="354"/>
      <c r="F571" s="42" t="s">
        <v>66</v>
      </c>
      <c r="G571" s="48">
        <v>46</v>
      </c>
      <c r="H571" s="45">
        <v>0.85</v>
      </c>
      <c r="I571" s="63">
        <v>39.1</v>
      </c>
      <c r="J571" s="50"/>
      <c r="K571" s="43"/>
      <c r="L571" s="44">
        <v>7.09</v>
      </c>
      <c r="M571" s="43"/>
      <c r="N571" s="69">
        <v>370.31</v>
      </c>
    </row>
    <row r="572" spans="1:14" hidden="1" x14ac:dyDescent="0.25">
      <c r="A572" s="57"/>
      <c r="B572" s="58"/>
      <c r="C572" s="350" t="s">
        <v>69</v>
      </c>
      <c r="D572" s="350"/>
      <c r="E572" s="350"/>
      <c r="F572" s="34"/>
      <c r="G572" s="35"/>
      <c r="H572" s="35"/>
      <c r="I572" s="35"/>
      <c r="J572" s="38"/>
      <c r="K572" s="35"/>
      <c r="L572" s="59">
        <v>71.209999999999994</v>
      </c>
      <c r="M572" s="54"/>
      <c r="N572" s="60">
        <v>2517.83</v>
      </c>
    </row>
    <row r="573" spans="1:14" x14ac:dyDescent="0.25">
      <c r="A573" s="32" t="s">
        <v>311</v>
      </c>
      <c r="B573" s="33" t="s">
        <v>96</v>
      </c>
      <c r="C573" s="350" t="s">
        <v>97</v>
      </c>
      <c r="D573" s="350"/>
      <c r="E573" s="350"/>
      <c r="F573" s="34" t="s">
        <v>58</v>
      </c>
      <c r="G573" s="35">
        <v>0.13600000000000001</v>
      </c>
      <c r="H573" s="36">
        <v>1</v>
      </c>
      <c r="I573" s="67">
        <v>0.13600000000000001</v>
      </c>
      <c r="J573" s="38"/>
      <c r="K573" s="35"/>
      <c r="L573" s="38"/>
      <c r="M573" s="35"/>
      <c r="N573" s="39"/>
    </row>
    <row r="574" spans="1:14" hidden="1" x14ac:dyDescent="0.25">
      <c r="A574" s="40"/>
      <c r="B574" s="41" t="s">
        <v>55</v>
      </c>
      <c r="C574" s="354" t="s">
        <v>59</v>
      </c>
      <c r="D574" s="354"/>
      <c r="E574" s="354"/>
      <c r="F574" s="42"/>
      <c r="G574" s="43"/>
      <c r="H574" s="43"/>
      <c r="I574" s="43"/>
      <c r="J574" s="44">
        <v>173.23</v>
      </c>
      <c r="K574" s="43"/>
      <c r="L574" s="44">
        <v>23.56</v>
      </c>
      <c r="M574" s="45">
        <v>52.21</v>
      </c>
      <c r="N574" s="46">
        <v>1230.07</v>
      </c>
    </row>
    <row r="575" spans="1:14" hidden="1" x14ac:dyDescent="0.25">
      <c r="A575" s="40"/>
      <c r="B575" s="41" t="s">
        <v>70</v>
      </c>
      <c r="C575" s="354" t="s">
        <v>74</v>
      </c>
      <c r="D575" s="354"/>
      <c r="E575" s="354"/>
      <c r="F575" s="42"/>
      <c r="G575" s="43"/>
      <c r="H575" s="43"/>
      <c r="I575" s="43"/>
      <c r="J575" s="62">
        <v>5268.76</v>
      </c>
      <c r="K575" s="43"/>
      <c r="L575" s="44">
        <v>716.55</v>
      </c>
      <c r="M575" s="45">
        <v>15.71</v>
      </c>
      <c r="N575" s="46">
        <v>11257</v>
      </c>
    </row>
    <row r="576" spans="1:14" hidden="1" x14ac:dyDescent="0.25">
      <c r="A576" s="40"/>
      <c r="B576" s="41" t="s">
        <v>75</v>
      </c>
      <c r="C576" s="354" t="s">
        <v>76</v>
      </c>
      <c r="D576" s="354"/>
      <c r="E576" s="354"/>
      <c r="F576" s="42"/>
      <c r="G576" s="43"/>
      <c r="H576" s="43"/>
      <c r="I576" s="43"/>
      <c r="J576" s="44">
        <v>267.67</v>
      </c>
      <c r="K576" s="43"/>
      <c r="L576" s="44">
        <v>36.4</v>
      </c>
      <c r="M576" s="45">
        <v>52.21</v>
      </c>
      <c r="N576" s="46">
        <v>1900.44</v>
      </c>
    </row>
    <row r="577" spans="1:14" hidden="1" x14ac:dyDescent="0.25">
      <c r="A577" s="40"/>
      <c r="B577" s="41" t="s">
        <v>88</v>
      </c>
      <c r="C577" s="354" t="s">
        <v>98</v>
      </c>
      <c r="D577" s="354"/>
      <c r="E577" s="354"/>
      <c r="F577" s="42"/>
      <c r="G577" s="43"/>
      <c r="H577" s="43"/>
      <c r="I577" s="43"/>
      <c r="J577" s="44">
        <v>17.079999999999998</v>
      </c>
      <c r="K577" s="43"/>
      <c r="L577" s="44">
        <v>2.3199999999999998</v>
      </c>
      <c r="M577" s="63">
        <v>9.5</v>
      </c>
      <c r="N577" s="69">
        <v>22.04</v>
      </c>
    </row>
    <row r="578" spans="1:14" hidden="1" x14ac:dyDescent="0.25">
      <c r="A578" s="47"/>
      <c r="B578" s="41"/>
      <c r="C578" s="354" t="s">
        <v>60</v>
      </c>
      <c r="D578" s="354"/>
      <c r="E578" s="354"/>
      <c r="F578" s="42" t="s">
        <v>61</v>
      </c>
      <c r="G578" s="63">
        <v>21.6</v>
      </c>
      <c r="H578" s="43"/>
      <c r="I578" s="64">
        <v>2.9376000000000002</v>
      </c>
      <c r="J578" s="50"/>
      <c r="K578" s="43"/>
      <c r="L578" s="50"/>
      <c r="M578" s="43"/>
      <c r="N578" s="51"/>
    </row>
    <row r="579" spans="1:14" hidden="1" x14ac:dyDescent="0.25">
      <c r="A579" s="47"/>
      <c r="B579" s="41"/>
      <c r="C579" s="354" t="s">
        <v>77</v>
      </c>
      <c r="D579" s="354"/>
      <c r="E579" s="354"/>
      <c r="F579" s="42" t="s">
        <v>61</v>
      </c>
      <c r="G579" s="63">
        <v>20.6</v>
      </c>
      <c r="H579" s="43"/>
      <c r="I579" s="64">
        <v>2.8016000000000001</v>
      </c>
      <c r="J579" s="50"/>
      <c r="K579" s="43"/>
      <c r="L579" s="50"/>
      <c r="M579" s="43"/>
      <c r="N579" s="51"/>
    </row>
    <row r="580" spans="1:14" hidden="1" x14ac:dyDescent="0.25">
      <c r="A580" s="52"/>
      <c r="B580" s="41"/>
      <c r="C580" s="355" t="s">
        <v>62</v>
      </c>
      <c r="D580" s="355"/>
      <c r="E580" s="355"/>
      <c r="F580" s="53"/>
      <c r="G580" s="54"/>
      <c r="H580" s="54"/>
      <c r="I580" s="54"/>
      <c r="J580" s="65">
        <v>5459.07</v>
      </c>
      <c r="K580" s="54"/>
      <c r="L580" s="55">
        <v>742.43</v>
      </c>
      <c r="M580" s="54"/>
      <c r="N580" s="56">
        <v>12509.11</v>
      </c>
    </row>
    <row r="581" spans="1:14" hidden="1" x14ac:dyDescent="0.25">
      <c r="A581" s="47"/>
      <c r="B581" s="41"/>
      <c r="C581" s="354" t="s">
        <v>63</v>
      </c>
      <c r="D581" s="354"/>
      <c r="E581" s="354"/>
      <c r="F581" s="42"/>
      <c r="G581" s="43"/>
      <c r="H581" s="43"/>
      <c r="I581" s="43"/>
      <c r="J581" s="50"/>
      <c r="K581" s="43"/>
      <c r="L581" s="44">
        <v>59.96</v>
      </c>
      <c r="M581" s="43"/>
      <c r="N581" s="46">
        <v>3130.51</v>
      </c>
    </row>
    <row r="582" spans="1:14" ht="45" hidden="1" x14ac:dyDescent="0.25">
      <c r="A582" s="47"/>
      <c r="B582" s="41" t="s">
        <v>99</v>
      </c>
      <c r="C582" s="354" t="s">
        <v>100</v>
      </c>
      <c r="D582" s="354"/>
      <c r="E582" s="354"/>
      <c r="F582" s="42" t="s">
        <v>66</v>
      </c>
      <c r="G582" s="48">
        <v>147</v>
      </c>
      <c r="H582" s="43"/>
      <c r="I582" s="48">
        <v>147</v>
      </c>
      <c r="J582" s="50"/>
      <c r="K582" s="43"/>
      <c r="L582" s="44">
        <v>88.14</v>
      </c>
      <c r="M582" s="43"/>
      <c r="N582" s="46">
        <v>4601.8500000000004</v>
      </c>
    </row>
    <row r="583" spans="1:14" ht="67.5" hidden="1" x14ac:dyDescent="0.25">
      <c r="A583" s="47"/>
      <c r="B583" s="41" t="s">
        <v>101</v>
      </c>
      <c r="C583" s="354" t="s">
        <v>102</v>
      </c>
      <c r="D583" s="354"/>
      <c r="E583" s="354"/>
      <c r="F583" s="42" t="s">
        <v>66</v>
      </c>
      <c r="G583" s="48">
        <v>134</v>
      </c>
      <c r="H583" s="45">
        <v>0.85</v>
      </c>
      <c r="I583" s="63">
        <v>113.9</v>
      </c>
      <c r="J583" s="50"/>
      <c r="K583" s="43"/>
      <c r="L583" s="44">
        <v>68.290000000000006</v>
      </c>
      <c r="M583" s="43"/>
      <c r="N583" s="46">
        <v>3565.65</v>
      </c>
    </row>
    <row r="584" spans="1:14" hidden="1" x14ac:dyDescent="0.25">
      <c r="A584" s="57"/>
      <c r="B584" s="58"/>
      <c r="C584" s="350" t="s">
        <v>69</v>
      </c>
      <c r="D584" s="350"/>
      <c r="E584" s="350"/>
      <c r="F584" s="34"/>
      <c r="G584" s="35"/>
      <c r="H584" s="35"/>
      <c r="I584" s="35"/>
      <c r="J584" s="38"/>
      <c r="K584" s="35"/>
      <c r="L584" s="59">
        <v>898.86</v>
      </c>
      <c r="M584" s="54"/>
      <c r="N584" s="60">
        <v>20676.61</v>
      </c>
    </row>
    <row r="585" spans="1:14" ht="22.5" x14ac:dyDescent="0.25">
      <c r="A585" s="32" t="s">
        <v>312</v>
      </c>
      <c r="B585" s="33" t="s">
        <v>104</v>
      </c>
      <c r="C585" s="350" t="s">
        <v>105</v>
      </c>
      <c r="D585" s="350"/>
      <c r="E585" s="350"/>
      <c r="F585" s="34" t="s">
        <v>106</v>
      </c>
      <c r="G585" s="35">
        <v>17.14</v>
      </c>
      <c r="H585" s="36">
        <v>1</v>
      </c>
      <c r="I585" s="61">
        <v>17.14</v>
      </c>
      <c r="J585" s="59">
        <v>646.32000000000005</v>
      </c>
      <c r="K585" s="67">
        <v>1.012</v>
      </c>
      <c r="L585" s="66">
        <v>11210.86</v>
      </c>
      <c r="M585" s="70">
        <v>9.5</v>
      </c>
      <c r="N585" s="60">
        <v>106503.17</v>
      </c>
    </row>
    <row r="586" spans="1:14" hidden="1" x14ac:dyDescent="0.25">
      <c r="A586" s="52"/>
      <c r="B586" s="71"/>
      <c r="C586" s="354" t="s">
        <v>107</v>
      </c>
      <c r="D586" s="354"/>
      <c r="E586" s="354"/>
      <c r="F586" s="354"/>
      <c r="G586" s="354"/>
      <c r="H586" s="354"/>
      <c r="I586" s="354"/>
      <c r="J586" s="354"/>
      <c r="K586" s="354"/>
      <c r="L586" s="354"/>
      <c r="M586" s="354"/>
      <c r="N586" s="356"/>
    </row>
    <row r="587" spans="1:14" hidden="1" x14ac:dyDescent="0.25">
      <c r="A587" s="72"/>
      <c r="B587" s="41"/>
      <c r="C587" s="344" t="s">
        <v>108</v>
      </c>
      <c r="D587" s="344"/>
      <c r="E587" s="344"/>
      <c r="F587" s="344"/>
      <c r="G587" s="344"/>
      <c r="H587" s="344"/>
      <c r="I587" s="344"/>
      <c r="J587" s="344"/>
      <c r="K587" s="344"/>
      <c r="L587" s="344"/>
      <c r="M587" s="344"/>
      <c r="N587" s="357"/>
    </row>
    <row r="588" spans="1:14" hidden="1" x14ac:dyDescent="0.25">
      <c r="A588" s="57"/>
      <c r="B588" s="58"/>
      <c r="C588" s="350" t="s">
        <v>69</v>
      </c>
      <c r="D588" s="350"/>
      <c r="E588" s="350"/>
      <c r="F588" s="34"/>
      <c r="G588" s="35"/>
      <c r="H588" s="35"/>
      <c r="I588" s="35"/>
      <c r="J588" s="38"/>
      <c r="K588" s="35"/>
      <c r="L588" s="66">
        <v>11210.86</v>
      </c>
      <c r="M588" s="54"/>
      <c r="N588" s="60">
        <v>106503.17</v>
      </c>
    </row>
    <row r="589" spans="1:14" ht="38.25" customHeight="1" x14ac:dyDescent="0.25">
      <c r="A589" s="32" t="s">
        <v>313</v>
      </c>
      <c r="B589" s="33" t="s">
        <v>241</v>
      </c>
      <c r="C589" s="350" t="s">
        <v>242</v>
      </c>
      <c r="D589" s="350"/>
      <c r="E589" s="350"/>
      <c r="F589" s="34" t="s">
        <v>210</v>
      </c>
      <c r="G589" s="35">
        <v>1</v>
      </c>
      <c r="H589" s="36">
        <v>1</v>
      </c>
      <c r="I589" s="36">
        <v>1</v>
      </c>
      <c r="J589" s="38"/>
      <c r="K589" s="35"/>
      <c r="L589" s="38"/>
      <c r="M589" s="35"/>
      <c r="N589" s="39"/>
    </row>
    <row r="590" spans="1:14" hidden="1" x14ac:dyDescent="0.25">
      <c r="A590" s="40"/>
      <c r="B590" s="41" t="s">
        <v>55</v>
      </c>
      <c r="C590" s="354" t="s">
        <v>59</v>
      </c>
      <c r="D590" s="354"/>
      <c r="E590" s="354"/>
      <c r="F590" s="42"/>
      <c r="G590" s="43"/>
      <c r="H590" s="43"/>
      <c r="I590" s="43"/>
      <c r="J590" s="44">
        <v>316.8</v>
      </c>
      <c r="K590" s="43"/>
      <c r="L590" s="44">
        <v>316.8</v>
      </c>
      <c r="M590" s="45">
        <v>52.21</v>
      </c>
      <c r="N590" s="46">
        <v>16540.13</v>
      </c>
    </row>
    <row r="591" spans="1:14" hidden="1" x14ac:dyDescent="0.25">
      <c r="A591" s="40"/>
      <c r="B591" s="41" t="s">
        <v>70</v>
      </c>
      <c r="C591" s="354" t="s">
        <v>74</v>
      </c>
      <c r="D591" s="354"/>
      <c r="E591" s="354"/>
      <c r="F591" s="42"/>
      <c r="G591" s="43"/>
      <c r="H591" s="43"/>
      <c r="I591" s="43"/>
      <c r="J591" s="62">
        <v>8602.08</v>
      </c>
      <c r="K591" s="43"/>
      <c r="L591" s="62">
        <v>8602.08</v>
      </c>
      <c r="M591" s="45">
        <v>15.71</v>
      </c>
      <c r="N591" s="46">
        <v>135138.68</v>
      </c>
    </row>
    <row r="592" spans="1:14" hidden="1" x14ac:dyDescent="0.25">
      <c r="A592" s="40"/>
      <c r="B592" s="41" t="s">
        <v>75</v>
      </c>
      <c r="C592" s="354" t="s">
        <v>76</v>
      </c>
      <c r="D592" s="354"/>
      <c r="E592" s="354"/>
      <c r="F592" s="42"/>
      <c r="G592" s="43"/>
      <c r="H592" s="43"/>
      <c r="I592" s="43"/>
      <c r="J592" s="44">
        <v>328.35</v>
      </c>
      <c r="K592" s="43"/>
      <c r="L592" s="44">
        <v>328.35</v>
      </c>
      <c r="M592" s="45">
        <v>52.21</v>
      </c>
      <c r="N592" s="46">
        <v>17143.150000000001</v>
      </c>
    </row>
    <row r="593" spans="1:14" hidden="1" x14ac:dyDescent="0.25">
      <c r="A593" s="47"/>
      <c r="B593" s="41"/>
      <c r="C593" s="354" t="s">
        <v>60</v>
      </c>
      <c r="D593" s="354"/>
      <c r="E593" s="354"/>
      <c r="F593" s="42" t="s">
        <v>61</v>
      </c>
      <c r="G593" s="45">
        <v>34.51</v>
      </c>
      <c r="H593" s="43"/>
      <c r="I593" s="45">
        <v>34.51</v>
      </c>
      <c r="J593" s="50"/>
      <c r="K593" s="43"/>
      <c r="L593" s="50"/>
      <c r="M593" s="43"/>
      <c r="N593" s="51"/>
    </row>
    <row r="594" spans="1:14" hidden="1" x14ac:dyDescent="0.25">
      <c r="A594" s="47"/>
      <c r="B594" s="41"/>
      <c r="C594" s="354" t="s">
        <v>77</v>
      </c>
      <c r="D594" s="354"/>
      <c r="E594" s="354"/>
      <c r="F594" s="42" t="s">
        <v>61</v>
      </c>
      <c r="G594" s="45">
        <v>25.66</v>
      </c>
      <c r="H594" s="43"/>
      <c r="I594" s="45">
        <v>25.66</v>
      </c>
      <c r="J594" s="50"/>
      <c r="K594" s="43"/>
      <c r="L594" s="50"/>
      <c r="M594" s="43"/>
      <c r="N594" s="51"/>
    </row>
    <row r="595" spans="1:14" hidden="1" x14ac:dyDescent="0.25">
      <c r="A595" s="52"/>
      <c r="B595" s="41"/>
      <c r="C595" s="355" t="s">
        <v>62</v>
      </c>
      <c r="D595" s="355"/>
      <c r="E595" s="355"/>
      <c r="F595" s="53"/>
      <c r="G595" s="54"/>
      <c r="H595" s="54"/>
      <c r="I595" s="54"/>
      <c r="J595" s="65">
        <v>8918.8799999999992</v>
      </c>
      <c r="K595" s="54"/>
      <c r="L595" s="65">
        <v>8918.8799999999992</v>
      </c>
      <c r="M595" s="54"/>
      <c r="N595" s="56">
        <v>151678.81</v>
      </c>
    </row>
    <row r="596" spans="1:14" hidden="1" x14ac:dyDescent="0.25">
      <c r="A596" s="47"/>
      <c r="B596" s="41"/>
      <c r="C596" s="354" t="s">
        <v>63</v>
      </c>
      <c r="D596" s="354"/>
      <c r="E596" s="354"/>
      <c r="F596" s="42"/>
      <c r="G596" s="43"/>
      <c r="H596" s="43"/>
      <c r="I596" s="43"/>
      <c r="J596" s="50"/>
      <c r="K596" s="43"/>
      <c r="L596" s="44">
        <v>645.15</v>
      </c>
      <c r="M596" s="43"/>
      <c r="N596" s="46">
        <v>33683.279999999999</v>
      </c>
    </row>
    <row r="597" spans="1:14" ht="22.5" hidden="1" x14ac:dyDescent="0.25">
      <c r="A597" s="47"/>
      <c r="B597" s="41" t="s">
        <v>78</v>
      </c>
      <c r="C597" s="354" t="s">
        <v>79</v>
      </c>
      <c r="D597" s="354"/>
      <c r="E597" s="354"/>
      <c r="F597" s="42" t="s">
        <v>66</v>
      </c>
      <c r="G597" s="48">
        <v>109</v>
      </c>
      <c r="H597" s="43"/>
      <c r="I597" s="48">
        <v>109</v>
      </c>
      <c r="J597" s="50"/>
      <c r="K597" s="43"/>
      <c r="L597" s="44">
        <v>703.21</v>
      </c>
      <c r="M597" s="43"/>
      <c r="N597" s="46">
        <v>36714.78</v>
      </c>
    </row>
    <row r="598" spans="1:14" ht="45" hidden="1" x14ac:dyDescent="0.25">
      <c r="A598" s="47"/>
      <c r="B598" s="41" t="s">
        <v>80</v>
      </c>
      <c r="C598" s="354" t="s">
        <v>81</v>
      </c>
      <c r="D598" s="354"/>
      <c r="E598" s="354"/>
      <c r="F598" s="42" t="s">
        <v>66</v>
      </c>
      <c r="G598" s="48">
        <v>65</v>
      </c>
      <c r="H598" s="45">
        <v>0.85</v>
      </c>
      <c r="I598" s="45">
        <v>55.25</v>
      </c>
      <c r="J598" s="50"/>
      <c r="K598" s="43"/>
      <c r="L598" s="44">
        <v>356.45</v>
      </c>
      <c r="M598" s="43"/>
      <c r="N598" s="46">
        <v>18610.009999999998</v>
      </c>
    </row>
    <row r="599" spans="1:14" hidden="1" x14ac:dyDescent="0.25">
      <c r="A599" s="57"/>
      <c r="B599" s="58"/>
      <c r="C599" s="350" t="s">
        <v>69</v>
      </c>
      <c r="D599" s="350"/>
      <c r="E599" s="350"/>
      <c r="F599" s="34"/>
      <c r="G599" s="35"/>
      <c r="H599" s="35"/>
      <c r="I599" s="35"/>
      <c r="J599" s="38"/>
      <c r="K599" s="35"/>
      <c r="L599" s="66">
        <v>9978.5400000000009</v>
      </c>
      <c r="M599" s="54"/>
      <c r="N599" s="60">
        <v>207003.6</v>
      </c>
    </row>
    <row r="600" spans="1:14" ht="22.5" x14ac:dyDescent="0.25">
      <c r="A600" s="32" t="s">
        <v>314</v>
      </c>
      <c r="B600" s="33" t="s">
        <v>244</v>
      </c>
      <c r="C600" s="350" t="s">
        <v>245</v>
      </c>
      <c r="D600" s="350"/>
      <c r="E600" s="350"/>
      <c r="F600" s="34" t="s">
        <v>246</v>
      </c>
      <c r="G600" s="35">
        <v>1</v>
      </c>
      <c r="H600" s="36">
        <v>1</v>
      </c>
      <c r="I600" s="36">
        <v>1</v>
      </c>
      <c r="J600" s="66">
        <v>168421.05</v>
      </c>
      <c r="K600" s="74">
        <v>1.04236</v>
      </c>
      <c r="L600" s="66">
        <v>175555.37</v>
      </c>
      <c r="M600" s="70">
        <v>9.5</v>
      </c>
      <c r="N600" s="60">
        <v>1667776.02</v>
      </c>
    </row>
    <row r="601" spans="1:14" hidden="1" x14ac:dyDescent="0.25">
      <c r="A601" s="52"/>
      <c r="B601" s="71"/>
      <c r="C601" s="354" t="s">
        <v>247</v>
      </c>
      <c r="D601" s="354"/>
      <c r="E601" s="354"/>
      <c r="F601" s="354"/>
      <c r="G601" s="354"/>
      <c r="H601" s="354"/>
      <c r="I601" s="354"/>
      <c r="J601" s="354"/>
      <c r="K601" s="354"/>
      <c r="L601" s="354"/>
      <c r="M601" s="354"/>
      <c r="N601" s="356"/>
    </row>
    <row r="602" spans="1:14" hidden="1" x14ac:dyDescent="0.25">
      <c r="A602" s="72"/>
      <c r="B602" s="41"/>
      <c r="C602" s="344" t="s">
        <v>123</v>
      </c>
      <c r="D602" s="344"/>
      <c r="E602" s="344"/>
      <c r="F602" s="344"/>
      <c r="G602" s="344"/>
      <c r="H602" s="344"/>
      <c r="I602" s="344"/>
      <c r="J602" s="344"/>
      <c r="K602" s="344"/>
      <c r="L602" s="344"/>
      <c r="M602" s="344"/>
      <c r="N602" s="357"/>
    </row>
    <row r="603" spans="1:14" hidden="1" x14ac:dyDescent="0.25">
      <c r="A603" s="72"/>
      <c r="B603" s="41"/>
      <c r="C603" s="344" t="s">
        <v>108</v>
      </c>
      <c r="D603" s="344"/>
      <c r="E603" s="344"/>
      <c r="F603" s="344"/>
      <c r="G603" s="344"/>
      <c r="H603" s="344"/>
      <c r="I603" s="344"/>
      <c r="J603" s="344"/>
      <c r="K603" s="344"/>
      <c r="L603" s="344"/>
      <c r="M603" s="344"/>
      <c r="N603" s="357"/>
    </row>
    <row r="604" spans="1:14" hidden="1" x14ac:dyDescent="0.25">
      <c r="A604" s="57"/>
      <c r="B604" s="58"/>
      <c r="C604" s="350" t="s">
        <v>69</v>
      </c>
      <c r="D604" s="350"/>
      <c r="E604" s="350"/>
      <c r="F604" s="34"/>
      <c r="G604" s="35"/>
      <c r="H604" s="35"/>
      <c r="I604" s="35"/>
      <c r="J604" s="38"/>
      <c r="K604" s="35"/>
      <c r="L604" s="66">
        <v>175555.37</v>
      </c>
      <c r="M604" s="54"/>
      <c r="N604" s="60">
        <v>1667776.02</v>
      </c>
    </row>
    <row r="605" spans="1:14" ht="22.5" x14ac:dyDescent="0.25">
      <c r="A605" s="32" t="s">
        <v>315</v>
      </c>
      <c r="B605" s="33" t="s">
        <v>249</v>
      </c>
      <c r="C605" s="350" t="s">
        <v>250</v>
      </c>
      <c r="D605" s="350"/>
      <c r="E605" s="350"/>
      <c r="F605" s="34" t="s">
        <v>246</v>
      </c>
      <c r="G605" s="35">
        <v>1</v>
      </c>
      <c r="H605" s="36">
        <v>1</v>
      </c>
      <c r="I605" s="36">
        <v>1</v>
      </c>
      <c r="J605" s="66">
        <v>363157.89</v>
      </c>
      <c r="K605" s="74">
        <v>1.04236</v>
      </c>
      <c r="L605" s="66">
        <v>378541.26</v>
      </c>
      <c r="M605" s="70">
        <v>9.5</v>
      </c>
      <c r="N605" s="60">
        <v>3596141.97</v>
      </c>
    </row>
    <row r="606" spans="1:14" hidden="1" x14ac:dyDescent="0.25">
      <c r="A606" s="52"/>
      <c r="B606" s="71"/>
      <c r="C606" s="354" t="s">
        <v>251</v>
      </c>
      <c r="D606" s="354"/>
      <c r="E606" s="354"/>
      <c r="F606" s="354"/>
      <c r="G606" s="354"/>
      <c r="H606" s="354"/>
      <c r="I606" s="354"/>
      <c r="J606" s="354"/>
      <c r="K606" s="354"/>
      <c r="L606" s="354"/>
      <c r="M606" s="354"/>
      <c r="N606" s="356"/>
    </row>
    <row r="607" spans="1:14" hidden="1" x14ac:dyDescent="0.25">
      <c r="A607" s="72"/>
      <c r="B607" s="41"/>
      <c r="C607" s="344" t="s">
        <v>123</v>
      </c>
      <c r="D607" s="344"/>
      <c r="E607" s="344"/>
      <c r="F607" s="344"/>
      <c r="G607" s="344"/>
      <c r="H607" s="344"/>
      <c r="I607" s="344"/>
      <c r="J607" s="344"/>
      <c r="K607" s="344"/>
      <c r="L607" s="344"/>
      <c r="M607" s="344"/>
      <c r="N607" s="357"/>
    </row>
    <row r="608" spans="1:14" hidden="1" x14ac:dyDescent="0.25">
      <c r="A608" s="72"/>
      <c r="B608" s="41"/>
      <c r="C608" s="344" t="s">
        <v>108</v>
      </c>
      <c r="D608" s="344"/>
      <c r="E608" s="344"/>
      <c r="F608" s="344"/>
      <c r="G608" s="344"/>
      <c r="H608" s="344"/>
      <c r="I608" s="344"/>
      <c r="J608" s="344"/>
      <c r="K608" s="344"/>
      <c r="L608" s="344"/>
      <c r="M608" s="344"/>
      <c r="N608" s="357"/>
    </row>
    <row r="609" spans="1:14" hidden="1" x14ac:dyDescent="0.25">
      <c r="A609" s="57"/>
      <c r="B609" s="58"/>
      <c r="C609" s="350" t="s">
        <v>69</v>
      </c>
      <c r="D609" s="350"/>
      <c r="E609" s="350"/>
      <c r="F609" s="34"/>
      <c r="G609" s="35"/>
      <c r="H609" s="35"/>
      <c r="I609" s="35"/>
      <c r="J609" s="38"/>
      <c r="K609" s="35"/>
      <c r="L609" s="66">
        <v>378541.26</v>
      </c>
      <c r="M609" s="54"/>
      <c r="N609" s="60">
        <v>3596141.97</v>
      </c>
    </row>
    <row r="610" spans="1:14" ht="33.75" customHeight="1" x14ac:dyDescent="0.25">
      <c r="A610" s="32" t="s">
        <v>316</v>
      </c>
      <c r="B610" s="33" t="s">
        <v>253</v>
      </c>
      <c r="C610" s="350" t="s">
        <v>254</v>
      </c>
      <c r="D610" s="350"/>
      <c r="E610" s="350"/>
      <c r="F610" s="34" t="s">
        <v>115</v>
      </c>
      <c r="G610" s="35">
        <v>1</v>
      </c>
      <c r="H610" s="36">
        <v>1</v>
      </c>
      <c r="I610" s="36">
        <v>1</v>
      </c>
      <c r="J610" s="38"/>
      <c r="K610" s="35"/>
      <c r="L610" s="38"/>
      <c r="M610" s="35"/>
      <c r="N610" s="39"/>
    </row>
    <row r="611" spans="1:14" hidden="1" x14ac:dyDescent="0.25">
      <c r="A611" s="40"/>
      <c r="B611" s="41" t="s">
        <v>55</v>
      </c>
      <c r="C611" s="354" t="s">
        <v>59</v>
      </c>
      <c r="D611" s="354"/>
      <c r="E611" s="354"/>
      <c r="F611" s="42"/>
      <c r="G611" s="43"/>
      <c r="H611" s="43"/>
      <c r="I611" s="43"/>
      <c r="J611" s="44">
        <v>251.92</v>
      </c>
      <c r="K611" s="43"/>
      <c r="L611" s="44">
        <v>251.92</v>
      </c>
      <c r="M611" s="45">
        <v>52.21</v>
      </c>
      <c r="N611" s="46">
        <v>13152.74</v>
      </c>
    </row>
    <row r="612" spans="1:14" hidden="1" x14ac:dyDescent="0.25">
      <c r="A612" s="40"/>
      <c r="B612" s="41" t="s">
        <v>70</v>
      </c>
      <c r="C612" s="354" t="s">
        <v>74</v>
      </c>
      <c r="D612" s="354"/>
      <c r="E612" s="354"/>
      <c r="F612" s="42"/>
      <c r="G612" s="43"/>
      <c r="H612" s="43"/>
      <c r="I612" s="43"/>
      <c r="J612" s="44">
        <v>120.78</v>
      </c>
      <c r="K612" s="43"/>
      <c r="L612" s="44">
        <v>120.78</v>
      </c>
      <c r="M612" s="45">
        <v>15.71</v>
      </c>
      <c r="N612" s="46">
        <v>1897.45</v>
      </c>
    </row>
    <row r="613" spans="1:14" hidden="1" x14ac:dyDescent="0.25">
      <c r="A613" s="40"/>
      <c r="B613" s="41" t="s">
        <v>75</v>
      </c>
      <c r="C613" s="354" t="s">
        <v>76</v>
      </c>
      <c r="D613" s="354"/>
      <c r="E613" s="354"/>
      <c r="F613" s="42"/>
      <c r="G613" s="43"/>
      <c r="H613" s="43"/>
      <c r="I613" s="43"/>
      <c r="J613" s="44">
        <v>11.98</v>
      </c>
      <c r="K613" s="43"/>
      <c r="L613" s="44">
        <v>11.98</v>
      </c>
      <c r="M613" s="45">
        <v>52.21</v>
      </c>
      <c r="N613" s="69">
        <v>625.48</v>
      </c>
    </row>
    <row r="614" spans="1:14" hidden="1" x14ac:dyDescent="0.25">
      <c r="A614" s="40"/>
      <c r="B614" s="41" t="s">
        <v>88</v>
      </c>
      <c r="C614" s="354" t="s">
        <v>98</v>
      </c>
      <c r="D614" s="354"/>
      <c r="E614" s="354"/>
      <c r="F614" s="42"/>
      <c r="G614" s="43"/>
      <c r="H614" s="43"/>
      <c r="I614" s="43"/>
      <c r="J614" s="44">
        <v>812.09</v>
      </c>
      <c r="K614" s="43"/>
      <c r="L614" s="44">
        <v>812.09</v>
      </c>
      <c r="M614" s="63">
        <v>9.5</v>
      </c>
      <c r="N614" s="46">
        <v>7714.86</v>
      </c>
    </row>
    <row r="615" spans="1:14" hidden="1" x14ac:dyDescent="0.25">
      <c r="A615" s="47"/>
      <c r="B615" s="41"/>
      <c r="C615" s="354" t="s">
        <v>60</v>
      </c>
      <c r="D615" s="354"/>
      <c r="E615" s="354"/>
      <c r="F615" s="42" t="s">
        <v>61</v>
      </c>
      <c r="G615" s="63">
        <v>26.8</v>
      </c>
      <c r="H615" s="43"/>
      <c r="I615" s="63">
        <v>26.8</v>
      </c>
      <c r="J615" s="50"/>
      <c r="K615" s="43"/>
      <c r="L615" s="50"/>
      <c r="M615" s="43"/>
      <c r="N615" s="51"/>
    </row>
    <row r="616" spans="1:14" hidden="1" x14ac:dyDescent="0.25">
      <c r="A616" s="47"/>
      <c r="B616" s="41"/>
      <c r="C616" s="354" t="s">
        <v>77</v>
      </c>
      <c r="D616" s="354"/>
      <c r="E616" s="354"/>
      <c r="F616" s="42" t="s">
        <v>61</v>
      </c>
      <c r="G616" s="45">
        <v>0.92</v>
      </c>
      <c r="H616" s="43"/>
      <c r="I616" s="45">
        <v>0.92</v>
      </c>
      <c r="J616" s="50"/>
      <c r="K616" s="43"/>
      <c r="L616" s="50"/>
      <c r="M616" s="43"/>
      <c r="N616" s="51"/>
    </row>
    <row r="617" spans="1:14" hidden="1" x14ac:dyDescent="0.25">
      <c r="A617" s="52"/>
      <c r="B617" s="41"/>
      <c r="C617" s="355" t="s">
        <v>62</v>
      </c>
      <c r="D617" s="355"/>
      <c r="E617" s="355"/>
      <c r="F617" s="53"/>
      <c r="G617" s="54"/>
      <c r="H617" s="54"/>
      <c r="I617" s="54"/>
      <c r="J617" s="65">
        <v>1184.79</v>
      </c>
      <c r="K617" s="54"/>
      <c r="L617" s="65">
        <v>1184.79</v>
      </c>
      <c r="M617" s="54"/>
      <c r="N617" s="56">
        <v>22765.05</v>
      </c>
    </row>
    <row r="618" spans="1:14" hidden="1" x14ac:dyDescent="0.25">
      <c r="A618" s="47"/>
      <c r="B618" s="41"/>
      <c r="C618" s="354" t="s">
        <v>63</v>
      </c>
      <c r="D618" s="354"/>
      <c r="E618" s="354"/>
      <c r="F618" s="42"/>
      <c r="G618" s="43"/>
      <c r="H618" s="43"/>
      <c r="I618" s="43"/>
      <c r="J618" s="50"/>
      <c r="K618" s="43"/>
      <c r="L618" s="44">
        <v>263.89999999999998</v>
      </c>
      <c r="M618" s="43"/>
      <c r="N618" s="46">
        <v>13778.22</v>
      </c>
    </row>
    <row r="619" spans="1:14" hidden="1" x14ac:dyDescent="0.25">
      <c r="A619" s="47"/>
      <c r="B619" s="41" t="s">
        <v>255</v>
      </c>
      <c r="C619" s="354" t="s">
        <v>256</v>
      </c>
      <c r="D619" s="354"/>
      <c r="E619" s="354"/>
      <c r="F619" s="42" t="s">
        <v>66</v>
      </c>
      <c r="G619" s="48">
        <v>92</v>
      </c>
      <c r="H619" s="43"/>
      <c r="I619" s="48">
        <v>92</v>
      </c>
      <c r="J619" s="50"/>
      <c r="K619" s="43"/>
      <c r="L619" s="44">
        <v>242.79</v>
      </c>
      <c r="M619" s="43"/>
      <c r="N619" s="46">
        <v>12675.96</v>
      </c>
    </row>
    <row r="620" spans="1:14" hidden="1" x14ac:dyDescent="0.25">
      <c r="A620" s="47"/>
      <c r="B620" s="41" t="s">
        <v>257</v>
      </c>
      <c r="C620" s="354" t="s">
        <v>258</v>
      </c>
      <c r="D620" s="354"/>
      <c r="E620" s="354"/>
      <c r="F620" s="42" t="s">
        <v>66</v>
      </c>
      <c r="G620" s="48">
        <v>49</v>
      </c>
      <c r="H620" s="43"/>
      <c r="I620" s="48">
        <v>49</v>
      </c>
      <c r="J620" s="50"/>
      <c r="K620" s="43"/>
      <c r="L620" s="44">
        <v>129.31</v>
      </c>
      <c r="M620" s="43"/>
      <c r="N620" s="46">
        <v>6751.33</v>
      </c>
    </row>
    <row r="621" spans="1:14" hidden="1" x14ac:dyDescent="0.25">
      <c r="A621" s="57"/>
      <c r="B621" s="58"/>
      <c r="C621" s="350" t="s">
        <v>69</v>
      </c>
      <c r="D621" s="350"/>
      <c r="E621" s="350"/>
      <c r="F621" s="34"/>
      <c r="G621" s="35"/>
      <c r="H621" s="35"/>
      <c r="I621" s="35"/>
      <c r="J621" s="38"/>
      <c r="K621" s="35"/>
      <c r="L621" s="66">
        <v>1556.89</v>
      </c>
      <c r="M621" s="54"/>
      <c r="N621" s="60">
        <v>42192.34</v>
      </c>
    </row>
    <row r="622" spans="1:14" x14ac:dyDescent="0.25">
      <c r="A622" s="32" t="s">
        <v>317</v>
      </c>
      <c r="B622" s="33" t="s">
        <v>260</v>
      </c>
      <c r="C622" s="350" t="s">
        <v>261</v>
      </c>
      <c r="D622" s="350"/>
      <c r="E622" s="350"/>
      <c r="F622" s="34" t="s">
        <v>115</v>
      </c>
      <c r="G622" s="35">
        <v>-2</v>
      </c>
      <c r="H622" s="36">
        <v>1</v>
      </c>
      <c r="I622" s="36">
        <v>-2</v>
      </c>
      <c r="J622" s="59">
        <v>266.67</v>
      </c>
      <c r="K622" s="35"/>
      <c r="L622" s="59">
        <v>-533.34</v>
      </c>
      <c r="M622" s="70">
        <v>9.5</v>
      </c>
      <c r="N622" s="60">
        <v>-5066.7299999999996</v>
      </c>
    </row>
    <row r="623" spans="1:14" hidden="1" x14ac:dyDescent="0.25">
      <c r="A623" s="57"/>
      <c r="B623" s="58"/>
      <c r="C623" s="350" t="s">
        <v>69</v>
      </c>
      <c r="D623" s="350"/>
      <c r="E623" s="350"/>
      <c r="F623" s="34"/>
      <c r="G623" s="35"/>
      <c r="H623" s="35"/>
      <c r="I623" s="35"/>
      <c r="J623" s="38"/>
      <c r="K623" s="35"/>
      <c r="L623" s="59">
        <v>-533.34</v>
      </c>
      <c r="M623" s="54"/>
      <c r="N623" s="60">
        <v>-5066.7299999999996</v>
      </c>
    </row>
    <row r="624" spans="1:14" ht="22.5" x14ac:dyDescent="0.25">
      <c r="A624" s="32" t="s">
        <v>318</v>
      </c>
      <c r="B624" s="33" t="s">
        <v>263</v>
      </c>
      <c r="C624" s="350" t="s">
        <v>264</v>
      </c>
      <c r="D624" s="350"/>
      <c r="E624" s="350"/>
      <c r="F624" s="34" t="s">
        <v>115</v>
      </c>
      <c r="G624" s="35">
        <v>2</v>
      </c>
      <c r="H624" s="36">
        <v>1</v>
      </c>
      <c r="I624" s="36">
        <v>2</v>
      </c>
      <c r="J624" s="66">
        <v>4429.58</v>
      </c>
      <c r="K624" s="74">
        <v>1.04236</v>
      </c>
      <c r="L624" s="66">
        <v>9234.43</v>
      </c>
      <c r="M624" s="70">
        <v>9.5</v>
      </c>
      <c r="N624" s="60">
        <v>87727.09</v>
      </c>
    </row>
    <row r="625" spans="1:14" hidden="1" x14ac:dyDescent="0.25">
      <c r="A625" s="52"/>
      <c r="B625" s="71"/>
      <c r="C625" s="354" t="s">
        <v>265</v>
      </c>
      <c r="D625" s="354"/>
      <c r="E625" s="354"/>
      <c r="F625" s="354"/>
      <c r="G625" s="354"/>
      <c r="H625" s="354"/>
      <c r="I625" s="354"/>
      <c r="J625" s="354"/>
      <c r="K625" s="354"/>
      <c r="L625" s="354"/>
      <c r="M625" s="354"/>
      <c r="N625" s="356"/>
    </row>
    <row r="626" spans="1:14" hidden="1" x14ac:dyDescent="0.25">
      <c r="A626" s="72"/>
      <c r="B626" s="41"/>
      <c r="C626" s="344" t="s">
        <v>123</v>
      </c>
      <c r="D626" s="344"/>
      <c r="E626" s="344"/>
      <c r="F626" s="344"/>
      <c r="G626" s="344"/>
      <c r="H626" s="344"/>
      <c r="I626" s="344"/>
      <c r="J626" s="344"/>
      <c r="K626" s="344"/>
      <c r="L626" s="344"/>
      <c r="M626" s="344"/>
      <c r="N626" s="357"/>
    </row>
    <row r="627" spans="1:14" hidden="1" x14ac:dyDescent="0.25">
      <c r="A627" s="72"/>
      <c r="B627" s="41"/>
      <c r="C627" s="344" t="s">
        <v>108</v>
      </c>
      <c r="D627" s="344"/>
      <c r="E627" s="344"/>
      <c r="F627" s="344"/>
      <c r="G627" s="344"/>
      <c r="H627" s="344"/>
      <c r="I627" s="344"/>
      <c r="J627" s="344"/>
      <c r="K627" s="344"/>
      <c r="L627" s="344"/>
      <c r="M627" s="344"/>
      <c r="N627" s="357"/>
    </row>
    <row r="628" spans="1:14" hidden="1" x14ac:dyDescent="0.25">
      <c r="A628" s="57"/>
      <c r="B628" s="58"/>
      <c r="C628" s="350" t="s">
        <v>69</v>
      </c>
      <c r="D628" s="350"/>
      <c r="E628" s="350"/>
      <c r="F628" s="34"/>
      <c r="G628" s="35"/>
      <c r="H628" s="35"/>
      <c r="I628" s="35"/>
      <c r="J628" s="38"/>
      <c r="K628" s="35"/>
      <c r="L628" s="66">
        <v>9234.43</v>
      </c>
      <c r="M628" s="54"/>
      <c r="N628" s="60">
        <v>87727.09</v>
      </c>
    </row>
    <row r="629" spans="1:14" ht="22.5" x14ac:dyDescent="0.25">
      <c r="A629" s="32" t="s">
        <v>319</v>
      </c>
      <c r="B629" s="33" t="s">
        <v>267</v>
      </c>
      <c r="C629" s="350" t="s">
        <v>268</v>
      </c>
      <c r="D629" s="350"/>
      <c r="E629" s="350"/>
      <c r="F629" s="34" t="s">
        <v>115</v>
      </c>
      <c r="G629" s="35">
        <v>1</v>
      </c>
      <c r="H629" s="36">
        <v>1</v>
      </c>
      <c r="I629" s="36">
        <v>1</v>
      </c>
      <c r="J629" s="66">
        <v>15832.63</v>
      </c>
      <c r="K629" s="74">
        <v>1.04236</v>
      </c>
      <c r="L629" s="66">
        <v>16503.3</v>
      </c>
      <c r="M629" s="70">
        <v>9.5</v>
      </c>
      <c r="N629" s="60">
        <v>156781.35</v>
      </c>
    </row>
    <row r="630" spans="1:14" hidden="1" x14ac:dyDescent="0.25">
      <c r="A630" s="52"/>
      <c r="B630" s="71"/>
      <c r="C630" s="354" t="s">
        <v>269</v>
      </c>
      <c r="D630" s="354"/>
      <c r="E630" s="354"/>
      <c r="F630" s="354"/>
      <c r="G630" s="354"/>
      <c r="H630" s="354"/>
      <c r="I630" s="354"/>
      <c r="J630" s="354"/>
      <c r="K630" s="354"/>
      <c r="L630" s="354"/>
      <c r="M630" s="354"/>
      <c r="N630" s="356"/>
    </row>
    <row r="631" spans="1:14" hidden="1" x14ac:dyDescent="0.25">
      <c r="A631" s="72"/>
      <c r="B631" s="41"/>
      <c r="C631" s="344" t="s">
        <v>123</v>
      </c>
      <c r="D631" s="344"/>
      <c r="E631" s="344"/>
      <c r="F631" s="344"/>
      <c r="G631" s="344"/>
      <c r="H631" s="344"/>
      <c r="I631" s="344"/>
      <c r="J631" s="344"/>
      <c r="K631" s="344"/>
      <c r="L631" s="344"/>
      <c r="M631" s="344"/>
      <c r="N631" s="357"/>
    </row>
    <row r="632" spans="1:14" hidden="1" x14ac:dyDescent="0.25">
      <c r="A632" s="72"/>
      <c r="B632" s="41"/>
      <c r="C632" s="344" t="s">
        <v>108</v>
      </c>
      <c r="D632" s="344"/>
      <c r="E632" s="344"/>
      <c r="F632" s="344"/>
      <c r="G632" s="344"/>
      <c r="H632" s="344"/>
      <c r="I632" s="344"/>
      <c r="J632" s="344"/>
      <c r="K632" s="344"/>
      <c r="L632" s="344"/>
      <c r="M632" s="344"/>
      <c r="N632" s="357"/>
    </row>
    <row r="633" spans="1:14" hidden="1" x14ac:dyDescent="0.25">
      <c r="A633" s="57"/>
      <c r="B633" s="58"/>
      <c r="C633" s="350" t="s">
        <v>69</v>
      </c>
      <c r="D633" s="350"/>
      <c r="E633" s="350"/>
      <c r="F633" s="34"/>
      <c r="G633" s="35"/>
      <c r="H633" s="35"/>
      <c r="I633" s="35"/>
      <c r="J633" s="38"/>
      <c r="K633" s="35"/>
      <c r="L633" s="66">
        <v>16503.3</v>
      </c>
      <c r="M633" s="54"/>
      <c r="N633" s="60">
        <v>156781.35</v>
      </c>
    </row>
    <row r="634" spans="1:14" ht="22.5" x14ac:dyDescent="0.25">
      <c r="A634" s="32" t="s">
        <v>320</v>
      </c>
      <c r="B634" s="33" t="s">
        <v>120</v>
      </c>
      <c r="C634" s="350" t="s">
        <v>271</v>
      </c>
      <c r="D634" s="350"/>
      <c r="E634" s="350"/>
      <c r="F634" s="34" t="s">
        <v>115</v>
      </c>
      <c r="G634" s="35">
        <v>1</v>
      </c>
      <c r="H634" s="36">
        <v>1</v>
      </c>
      <c r="I634" s="36">
        <v>1</v>
      </c>
      <c r="J634" s="59">
        <v>421.93</v>
      </c>
      <c r="K634" s="74">
        <v>1.04236</v>
      </c>
      <c r="L634" s="59">
        <v>439.8</v>
      </c>
      <c r="M634" s="70">
        <v>9.5</v>
      </c>
      <c r="N634" s="60">
        <v>4178.1000000000004</v>
      </c>
    </row>
    <row r="635" spans="1:14" hidden="1" x14ac:dyDescent="0.25">
      <c r="A635" s="52"/>
      <c r="B635" s="71"/>
      <c r="C635" s="354" t="s">
        <v>272</v>
      </c>
      <c r="D635" s="354"/>
      <c r="E635" s="354"/>
      <c r="F635" s="354"/>
      <c r="G635" s="354"/>
      <c r="H635" s="354"/>
      <c r="I635" s="354"/>
      <c r="J635" s="354"/>
      <c r="K635" s="354"/>
      <c r="L635" s="354"/>
      <c r="M635" s="354"/>
      <c r="N635" s="356"/>
    </row>
    <row r="636" spans="1:14" hidden="1" x14ac:dyDescent="0.25">
      <c r="A636" s="72"/>
      <c r="B636" s="41"/>
      <c r="C636" s="344" t="s">
        <v>123</v>
      </c>
      <c r="D636" s="344"/>
      <c r="E636" s="344"/>
      <c r="F636" s="344"/>
      <c r="G636" s="344"/>
      <c r="H636" s="344"/>
      <c r="I636" s="344"/>
      <c r="J636" s="344"/>
      <c r="K636" s="344"/>
      <c r="L636" s="344"/>
      <c r="M636" s="344"/>
      <c r="N636" s="357"/>
    </row>
    <row r="637" spans="1:14" hidden="1" x14ac:dyDescent="0.25">
      <c r="A637" s="72"/>
      <c r="B637" s="41"/>
      <c r="C637" s="344" t="s">
        <v>108</v>
      </c>
      <c r="D637" s="344"/>
      <c r="E637" s="344"/>
      <c r="F637" s="344"/>
      <c r="G637" s="344"/>
      <c r="H637" s="344"/>
      <c r="I637" s="344"/>
      <c r="J637" s="344"/>
      <c r="K637" s="344"/>
      <c r="L637" s="344"/>
      <c r="M637" s="344"/>
      <c r="N637" s="357"/>
    </row>
    <row r="638" spans="1:14" hidden="1" x14ac:dyDescent="0.25">
      <c r="A638" s="57"/>
      <c r="B638" s="58"/>
      <c r="C638" s="350" t="s">
        <v>69</v>
      </c>
      <c r="D638" s="350"/>
      <c r="E638" s="350"/>
      <c r="F638" s="34"/>
      <c r="G638" s="35"/>
      <c r="H638" s="35"/>
      <c r="I638" s="35"/>
      <c r="J638" s="38"/>
      <c r="K638" s="35"/>
      <c r="L638" s="59">
        <v>439.8</v>
      </c>
      <c r="M638" s="54"/>
      <c r="N638" s="60">
        <v>4178.1000000000004</v>
      </c>
    </row>
    <row r="639" spans="1:14" ht="39" customHeight="1" x14ac:dyDescent="0.25">
      <c r="A639" s="32" t="s">
        <v>321</v>
      </c>
      <c r="B639" s="33" t="s">
        <v>274</v>
      </c>
      <c r="C639" s="350" t="s">
        <v>275</v>
      </c>
      <c r="D639" s="350"/>
      <c r="E639" s="350"/>
      <c r="F639" s="34" t="s">
        <v>276</v>
      </c>
      <c r="G639" s="35">
        <v>0.06</v>
      </c>
      <c r="H639" s="36">
        <v>1</v>
      </c>
      <c r="I639" s="61">
        <v>0.06</v>
      </c>
      <c r="J639" s="38"/>
      <c r="K639" s="35"/>
      <c r="L639" s="38"/>
      <c r="M639" s="35"/>
      <c r="N639" s="39"/>
    </row>
    <row r="640" spans="1:14" hidden="1" x14ac:dyDescent="0.25">
      <c r="A640" s="40"/>
      <c r="B640" s="41" t="s">
        <v>55</v>
      </c>
      <c r="C640" s="354" t="s">
        <v>59</v>
      </c>
      <c r="D640" s="354"/>
      <c r="E640" s="354"/>
      <c r="F640" s="42"/>
      <c r="G640" s="43"/>
      <c r="H640" s="43"/>
      <c r="I640" s="43"/>
      <c r="J640" s="62">
        <v>1183.68</v>
      </c>
      <c r="K640" s="43"/>
      <c r="L640" s="44">
        <v>71.02</v>
      </c>
      <c r="M640" s="45">
        <v>52.21</v>
      </c>
      <c r="N640" s="46">
        <v>3707.95</v>
      </c>
    </row>
    <row r="641" spans="1:14" hidden="1" x14ac:dyDescent="0.25">
      <c r="A641" s="40"/>
      <c r="B641" s="41" t="s">
        <v>70</v>
      </c>
      <c r="C641" s="354" t="s">
        <v>74</v>
      </c>
      <c r="D641" s="354"/>
      <c r="E641" s="354"/>
      <c r="F641" s="42"/>
      <c r="G641" s="43"/>
      <c r="H641" s="43"/>
      <c r="I641" s="43"/>
      <c r="J641" s="44">
        <v>946.33</v>
      </c>
      <c r="K641" s="43"/>
      <c r="L641" s="44">
        <v>56.78</v>
      </c>
      <c r="M641" s="45">
        <v>15.71</v>
      </c>
      <c r="N641" s="69">
        <v>892.01</v>
      </c>
    </row>
    <row r="642" spans="1:14" hidden="1" x14ac:dyDescent="0.25">
      <c r="A642" s="40"/>
      <c r="B642" s="41" t="s">
        <v>75</v>
      </c>
      <c r="C642" s="354" t="s">
        <v>76</v>
      </c>
      <c r="D642" s="354"/>
      <c r="E642" s="354"/>
      <c r="F642" s="42"/>
      <c r="G642" s="43"/>
      <c r="H642" s="43"/>
      <c r="I642" s="43"/>
      <c r="J642" s="44">
        <v>90.65</v>
      </c>
      <c r="K642" s="43"/>
      <c r="L642" s="44">
        <v>5.44</v>
      </c>
      <c r="M642" s="45">
        <v>52.21</v>
      </c>
      <c r="N642" s="69">
        <v>284.02</v>
      </c>
    </row>
    <row r="643" spans="1:14" hidden="1" x14ac:dyDescent="0.25">
      <c r="A643" s="40"/>
      <c r="B643" s="41" t="s">
        <v>88</v>
      </c>
      <c r="C643" s="354" t="s">
        <v>98</v>
      </c>
      <c r="D643" s="354"/>
      <c r="E643" s="354"/>
      <c r="F643" s="42"/>
      <c r="G643" s="43"/>
      <c r="H643" s="43"/>
      <c r="I643" s="43"/>
      <c r="J643" s="62">
        <v>8643.11</v>
      </c>
      <c r="K643" s="43"/>
      <c r="L643" s="44">
        <v>518.59</v>
      </c>
      <c r="M643" s="63">
        <v>9.5</v>
      </c>
      <c r="N643" s="46">
        <v>4926.6099999999997</v>
      </c>
    </row>
    <row r="644" spans="1:14" hidden="1" x14ac:dyDescent="0.25">
      <c r="A644" s="47"/>
      <c r="B644" s="41"/>
      <c r="C644" s="354" t="s">
        <v>60</v>
      </c>
      <c r="D644" s="354"/>
      <c r="E644" s="354"/>
      <c r="F644" s="42" t="s">
        <v>61</v>
      </c>
      <c r="G644" s="48">
        <v>137</v>
      </c>
      <c r="H644" s="43"/>
      <c r="I644" s="45">
        <v>8.2200000000000006</v>
      </c>
      <c r="J644" s="50"/>
      <c r="K644" s="43"/>
      <c r="L644" s="50"/>
      <c r="M644" s="43"/>
      <c r="N644" s="51"/>
    </row>
    <row r="645" spans="1:14" hidden="1" x14ac:dyDescent="0.25">
      <c r="A645" s="47"/>
      <c r="B645" s="41"/>
      <c r="C645" s="354" t="s">
        <v>77</v>
      </c>
      <c r="D645" s="354"/>
      <c r="E645" s="354"/>
      <c r="F645" s="42" t="s">
        <v>61</v>
      </c>
      <c r="G645" s="45">
        <v>8.01</v>
      </c>
      <c r="H645" s="43"/>
      <c r="I645" s="64">
        <v>0.48060000000000003</v>
      </c>
      <c r="J645" s="50"/>
      <c r="K645" s="43"/>
      <c r="L645" s="50"/>
      <c r="M645" s="43"/>
      <c r="N645" s="51"/>
    </row>
    <row r="646" spans="1:14" hidden="1" x14ac:dyDescent="0.25">
      <c r="A646" s="52"/>
      <c r="B646" s="41"/>
      <c r="C646" s="355" t="s">
        <v>62</v>
      </c>
      <c r="D646" s="355"/>
      <c r="E646" s="355"/>
      <c r="F646" s="53"/>
      <c r="G646" s="54"/>
      <c r="H646" s="54"/>
      <c r="I646" s="54"/>
      <c r="J646" s="65">
        <v>10773.12</v>
      </c>
      <c r="K646" s="54"/>
      <c r="L646" s="55">
        <v>646.39</v>
      </c>
      <c r="M646" s="54"/>
      <c r="N646" s="56">
        <v>9526.57</v>
      </c>
    </row>
    <row r="647" spans="1:14" hidden="1" x14ac:dyDescent="0.25">
      <c r="A647" s="47"/>
      <c r="B647" s="41"/>
      <c r="C647" s="354" t="s">
        <v>63</v>
      </c>
      <c r="D647" s="354"/>
      <c r="E647" s="354"/>
      <c r="F647" s="42"/>
      <c r="G647" s="43"/>
      <c r="H647" s="43"/>
      <c r="I647" s="43"/>
      <c r="J647" s="50"/>
      <c r="K647" s="43"/>
      <c r="L647" s="44">
        <v>76.459999999999994</v>
      </c>
      <c r="M647" s="43"/>
      <c r="N647" s="46">
        <v>3991.97</v>
      </c>
    </row>
    <row r="648" spans="1:14" hidden="1" x14ac:dyDescent="0.25">
      <c r="A648" s="47"/>
      <c r="B648" s="41" t="s">
        <v>277</v>
      </c>
      <c r="C648" s="354" t="s">
        <v>278</v>
      </c>
      <c r="D648" s="354"/>
      <c r="E648" s="354"/>
      <c r="F648" s="42" t="s">
        <v>66</v>
      </c>
      <c r="G648" s="48">
        <v>106</v>
      </c>
      <c r="H648" s="43"/>
      <c r="I648" s="48">
        <v>106</v>
      </c>
      <c r="J648" s="50"/>
      <c r="K648" s="43"/>
      <c r="L648" s="44">
        <v>81.05</v>
      </c>
      <c r="M648" s="43"/>
      <c r="N648" s="46">
        <v>4231.49</v>
      </c>
    </row>
    <row r="649" spans="1:14" ht="33.75" hidden="1" x14ac:dyDescent="0.25">
      <c r="A649" s="47"/>
      <c r="B649" s="41" t="s">
        <v>279</v>
      </c>
      <c r="C649" s="354" t="s">
        <v>280</v>
      </c>
      <c r="D649" s="354"/>
      <c r="E649" s="354"/>
      <c r="F649" s="42" t="s">
        <v>66</v>
      </c>
      <c r="G649" s="48">
        <v>56</v>
      </c>
      <c r="H649" s="45">
        <v>0.85</v>
      </c>
      <c r="I649" s="63">
        <v>47.6</v>
      </c>
      <c r="J649" s="50"/>
      <c r="K649" s="43"/>
      <c r="L649" s="44">
        <v>36.39</v>
      </c>
      <c r="M649" s="43"/>
      <c r="N649" s="46">
        <v>1900.18</v>
      </c>
    </row>
    <row r="650" spans="1:14" hidden="1" x14ac:dyDescent="0.25">
      <c r="A650" s="57"/>
      <c r="B650" s="58"/>
      <c r="C650" s="350" t="s">
        <v>69</v>
      </c>
      <c r="D650" s="350"/>
      <c r="E650" s="350"/>
      <c r="F650" s="34"/>
      <c r="G650" s="35"/>
      <c r="H650" s="35"/>
      <c r="I650" s="35"/>
      <c r="J650" s="38"/>
      <c r="K650" s="35"/>
      <c r="L650" s="59">
        <v>763.83</v>
      </c>
      <c r="M650" s="54"/>
      <c r="N650" s="60">
        <v>15658.24</v>
      </c>
    </row>
    <row r="651" spans="1:14" x14ac:dyDescent="0.25">
      <c r="A651" s="32" t="s">
        <v>322</v>
      </c>
      <c r="B651" s="33" t="s">
        <v>282</v>
      </c>
      <c r="C651" s="350" t="s">
        <v>283</v>
      </c>
      <c r="D651" s="350"/>
      <c r="E651" s="350"/>
      <c r="F651" s="34" t="s">
        <v>127</v>
      </c>
      <c r="G651" s="35">
        <v>-2.9000000000000001E-2</v>
      </c>
      <c r="H651" s="36">
        <v>1</v>
      </c>
      <c r="I651" s="67">
        <v>-2.9000000000000001E-2</v>
      </c>
      <c r="J651" s="66">
        <v>9727.3700000000008</v>
      </c>
      <c r="K651" s="35"/>
      <c r="L651" s="59">
        <v>-282.08999999999997</v>
      </c>
      <c r="M651" s="70">
        <v>9.5</v>
      </c>
      <c r="N651" s="60">
        <v>-2679.86</v>
      </c>
    </row>
    <row r="652" spans="1:14" hidden="1" x14ac:dyDescent="0.25">
      <c r="A652" s="57"/>
      <c r="B652" s="58"/>
      <c r="C652" s="350" t="s">
        <v>69</v>
      </c>
      <c r="D652" s="350"/>
      <c r="E652" s="350"/>
      <c r="F652" s="34"/>
      <c r="G652" s="35"/>
      <c r="H652" s="35"/>
      <c r="I652" s="35"/>
      <c r="J652" s="38"/>
      <c r="K652" s="35"/>
      <c r="L652" s="59">
        <v>-282.08999999999997</v>
      </c>
      <c r="M652" s="54"/>
      <c r="N652" s="60">
        <v>-2679.86</v>
      </c>
    </row>
    <row r="653" spans="1:14" ht="22.5" x14ac:dyDescent="0.25">
      <c r="A653" s="32" t="s">
        <v>323</v>
      </c>
      <c r="B653" s="33" t="s">
        <v>120</v>
      </c>
      <c r="C653" s="350" t="s">
        <v>285</v>
      </c>
      <c r="D653" s="350"/>
      <c r="E653" s="350"/>
      <c r="F653" s="34" t="s">
        <v>130</v>
      </c>
      <c r="G653" s="35">
        <v>0.36</v>
      </c>
      <c r="H653" s="36">
        <v>1</v>
      </c>
      <c r="I653" s="61">
        <v>0.36</v>
      </c>
      <c r="J653" s="66">
        <v>37646.32</v>
      </c>
      <c r="K653" s="74">
        <v>1.04236</v>
      </c>
      <c r="L653" s="66">
        <v>14126.77</v>
      </c>
      <c r="M653" s="70">
        <v>9.5</v>
      </c>
      <c r="N653" s="60">
        <v>134204.32</v>
      </c>
    </row>
    <row r="654" spans="1:14" hidden="1" x14ac:dyDescent="0.25">
      <c r="A654" s="52"/>
      <c r="B654" s="71"/>
      <c r="C654" s="354" t="s">
        <v>137</v>
      </c>
      <c r="D654" s="354"/>
      <c r="E654" s="354"/>
      <c r="F654" s="354"/>
      <c r="G654" s="354"/>
      <c r="H654" s="354"/>
      <c r="I654" s="354"/>
      <c r="J654" s="354"/>
      <c r="K654" s="354"/>
      <c r="L654" s="354"/>
      <c r="M654" s="354"/>
      <c r="N654" s="356"/>
    </row>
    <row r="655" spans="1:14" hidden="1" x14ac:dyDescent="0.25">
      <c r="A655" s="72"/>
      <c r="B655" s="41"/>
      <c r="C655" s="344" t="s">
        <v>123</v>
      </c>
      <c r="D655" s="344"/>
      <c r="E655" s="344"/>
      <c r="F655" s="344"/>
      <c r="G655" s="344"/>
      <c r="H655" s="344"/>
      <c r="I655" s="344"/>
      <c r="J655" s="344"/>
      <c r="K655" s="344"/>
      <c r="L655" s="344"/>
      <c r="M655" s="344"/>
      <c r="N655" s="357"/>
    </row>
    <row r="656" spans="1:14" hidden="1" x14ac:dyDescent="0.25">
      <c r="A656" s="72"/>
      <c r="B656" s="41"/>
      <c r="C656" s="344" t="s">
        <v>108</v>
      </c>
      <c r="D656" s="344"/>
      <c r="E656" s="344"/>
      <c r="F656" s="344"/>
      <c r="G656" s="344"/>
      <c r="H656" s="344"/>
      <c r="I656" s="344"/>
      <c r="J656" s="344"/>
      <c r="K656" s="344"/>
      <c r="L656" s="344"/>
      <c r="M656" s="344"/>
      <c r="N656" s="357"/>
    </row>
    <row r="657" spans="1:14" hidden="1" x14ac:dyDescent="0.25">
      <c r="A657" s="57"/>
      <c r="B657" s="58"/>
      <c r="C657" s="350" t="s">
        <v>69</v>
      </c>
      <c r="D657" s="350"/>
      <c r="E657" s="350"/>
      <c r="F657" s="34"/>
      <c r="G657" s="35"/>
      <c r="H657" s="35"/>
      <c r="I657" s="35"/>
      <c r="J657" s="38"/>
      <c r="K657" s="35"/>
      <c r="L657" s="66">
        <v>14126.77</v>
      </c>
      <c r="M657" s="54"/>
      <c r="N657" s="60">
        <v>134204.32</v>
      </c>
    </row>
    <row r="658" spans="1:14" ht="22.5" x14ac:dyDescent="0.25">
      <c r="A658" s="32" t="s">
        <v>324</v>
      </c>
      <c r="B658" s="33" t="s">
        <v>120</v>
      </c>
      <c r="C658" s="350" t="s">
        <v>129</v>
      </c>
      <c r="D658" s="350"/>
      <c r="E658" s="350"/>
      <c r="F658" s="34" t="s">
        <v>130</v>
      </c>
      <c r="G658" s="35">
        <v>2.9000000000000001E-2</v>
      </c>
      <c r="H658" s="36">
        <v>1</v>
      </c>
      <c r="I658" s="67">
        <v>2.9000000000000001E-2</v>
      </c>
      <c r="J658" s="66">
        <v>27894.74</v>
      </c>
      <c r="K658" s="74">
        <v>1.04236</v>
      </c>
      <c r="L658" s="59">
        <v>843.21</v>
      </c>
      <c r="M658" s="70">
        <v>9.5</v>
      </c>
      <c r="N658" s="60">
        <v>8010.5</v>
      </c>
    </row>
    <row r="659" spans="1:14" hidden="1" x14ac:dyDescent="0.25">
      <c r="A659" s="52"/>
      <c r="B659" s="71"/>
      <c r="C659" s="354" t="s">
        <v>131</v>
      </c>
      <c r="D659" s="354"/>
      <c r="E659" s="354"/>
      <c r="F659" s="354"/>
      <c r="G659" s="354"/>
      <c r="H659" s="354"/>
      <c r="I659" s="354"/>
      <c r="J659" s="354"/>
      <c r="K659" s="354"/>
      <c r="L659" s="354"/>
      <c r="M659" s="354"/>
      <c r="N659" s="356"/>
    </row>
    <row r="660" spans="1:14" hidden="1" x14ac:dyDescent="0.25">
      <c r="A660" s="72"/>
      <c r="B660" s="41"/>
      <c r="C660" s="344" t="s">
        <v>123</v>
      </c>
      <c r="D660" s="344"/>
      <c r="E660" s="344"/>
      <c r="F660" s="344"/>
      <c r="G660" s="344"/>
      <c r="H660" s="344"/>
      <c r="I660" s="344"/>
      <c r="J660" s="344"/>
      <c r="K660" s="344"/>
      <c r="L660" s="344"/>
      <c r="M660" s="344"/>
      <c r="N660" s="357"/>
    </row>
    <row r="661" spans="1:14" hidden="1" x14ac:dyDescent="0.25">
      <c r="A661" s="72"/>
      <c r="B661" s="41"/>
      <c r="C661" s="344" t="s">
        <v>108</v>
      </c>
      <c r="D661" s="344"/>
      <c r="E661" s="344"/>
      <c r="F661" s="344"/>
      <c r="G661" s="344"/>
      <c r="H661" s="344"/>
      <c r="I661" s="344"/>
      <c r="J661" s="344"/>
      <c r="K661" s="344"/>
      <c r="L661" s="344"/>
      <c r="M661" s="344"/>
      <c r="N661" s="357"/>
    </row>
    <row r="662" spans="1:14" hidden="1" x14ac:dyDescent="0.25">
      <c r="A662" s="57"/>
      <c r="B662" s="58"/>
      <c r="C662" s="350" t="s">
        <v>69</v>
      </c>
      <c r="D662" s="350"/>
      <c r="E662" s="350"/>
      <c r="F662" s="34"/>
      <c r="G662" s="35"/>
      <c r="H662" s="35"/>
      <c r="I662" s="35"/>
      <c r="J662" s="38"/>
      <c r="K662" s="35"/>
      <c r="L662" s="59">
        <v>843.21</v>
      </c>
      <c r="M662" s="54"/>
      <c r="N662" s="60">
        <v>8010.5</v>
      </c>
    </row>
    <row r="663" spans="1:14" ht="29.25" customHeight="1" x14ac:dyDescent="0.25">
      <c r="A663" s="32" t="s">
        <v>325</v>
      </c>
      <c r="B663" s="33" t="s">
        <v>288</v>
      </c>
      <c r="C663" s="350" t="s">
        <v>289</v>
      </c>
      <c r="D663" s="350"/>
      <c r="E663" s="350"/>
      <c r="F663" s="34" t="s">
        <v>160</v>
      </c>
      <c r="G663" s="35">
        <v>1.3299999999999999E-2</v>
      </c>
      <c r="H663" s="36">
        <v>1</v>
      </c>
      <c r="I663" s="37">
        <v>1.3299999999999999E-2</v>
      </c>
      <c r="J663" s="38"/>
      <c r="K663" s="35"/>
      <c r="L663" s="38"/>
      <c r="M663" s="35"/>
      <c r="N663" s="39"/>
    </row>
    <row r="664" spans="1:14" hidden="1" x14ac:dyDescent="0.25">
      <c r="A664" s="40"/>
      <c r="B664" s="41" t="s">
        <v>55</v>
      </c>
      <c r="C664" s="354" t="s">
        <v>59</v>
      </c>
      <c r="D664" s="354"/>
      <c r="E664" s="354"/>
      <c r="F664" s="42"/>
      <c r="G664" s="43"/>
      <c r="H664" s="43"/>
      <c r="I664" s="43"/>
      <c r="J664" s="62">
        <v>1107.95</v>
      </c>
      <c r="K664" s="43"/>
      <c r="L664" s="44">
        <v>14.74</v>
      </c>
      <c r="M664" s="45">
        <v>52.21</v>
      </c>
      <c r="N664" s="69">
        <v>769.58</v>
      </c>
    </row>
    <row r="665" spans="1:14" hidden="1" x14ac:dyDescent="0.25">
      <c r="A665" s="40"/>
      <c r="B665" s="41" t="s">
        <v>70</v>
      </c>
      <c r="C665" s="354" t="s">
        <v>74</v>
      </c>
      <c r="D665" s="354"/>
      <c r="E665" s="354"/>
      <c r="F665" s="42"/>
      <c r="G665" s="43"/>
      <c r="H665" s="43"/>
      <c r="I665" s="43"/>
      <c r="J665" s="62">
        <v>12533.99</v>
      </c>
      <c r="K665" s="43"/>
      <c r="L665" s="44">
        <v>166.7</v>
      </c>
      <c r="M665" s="45">
        <v>15.71</v>
      </c>
      <c r="N665" s="46">
        <v>2618.86</v>
      </c>
    </row>
    <row r="666" spans="1:14" hidden="1" x14ac:dyDescent="0.25">
      <c r="A666" s="40"/>
      <c r="B666" s="41" t="s">
        <v>75</v>
      </c>
      <c r="C666" s="354" t="s">
        <v>76</v>
      </c>
      <c r="D666" s="354"/>
      <c r="E666" s="354"/>
      <c r="F666" s="42"/>
      <c r="G666" s="43"/>
      <c r="H666" s="43"/>
      <c r="I666" s="43"/>
      <c r="J666" s="44">
        <v>820.22</v>
      </c>
      <c r="K666" s="43"/>
      <c r="L666" s="44">
        <v>10.91</v>
      </c>
      <c r="M666" s="45">
        <v>52.21</v>
      </c>
      <c r="N666" s="69">
        <v>569.61</v>
      </c>
    </row>
    <row r="667" spans="1:14" hidden="1" x14ac:dyDescent="0.25">
      <c r="A667" s="40"/>
      <c r="B667" s="41" t="s">
        <v>88</v>
      </c>
      <c r="C667" s="354" t="s">
        <v>98</v>
      </c>
      <c r="D667" s="354"/>
      <c r="E667" s="354"/>
      <c r="F667" s="42"/>
      <c r="G667" s="43"/>
      <c r="H667" s="43"/>
      <c r="I667" s="43"/>
      <c r="J667" s="62">
        <v>230267.7</v>
      </c>
      <c r="K667" s="43"/>
      <c r="L667" s="62">
        <v>3062.56</v>
      </c>
      <c r="M667" s="63">
        <v>9.5</v>
      </c>
      <c r="N667" s="46">
        <v>29094.32</v>
      </c>
    </row>
    <row r="668" spans="1:14" hidden="1" x14ac:dyDescent="0.25">
      <c r="A668" s="47"/>
      <c r="B668" s="41"/>
      <c r="C668" s="354" t="s">
        <v>60</v>
      </c>
      <c r="D668" s="354"/>
      <c r="E668" s="354"/>
      <c r="F668" s="42" t="s">
        <v>61</v>
      </c>
      <c r="G668" s="45">
        <v>134.46</v>
      </c>
      <c r="H668" s="43"/>
      <c r="I668" s="73">
        <v>1.7883180000000001</v>
      </c>
      <c r="J668" s="50"/>
      <c r="K668" s="43"/>
      <c r="L668" s="50"/>
      <c r="M668" s="43"/>
      <c r="N668" s="51"/>
    </row>
    <row r="669" spans="1:14" hidden="1" x14ac:dyDescent="0.25">
      <c r="A669" s="47"/>
      <c r="B669" s="41"/>
      <c r="C669" s="354" t="s">
        <v>77</v>
      </c>
      <c r="D669" s="354"/>
      <c r="E669" s="354"/>
      <c r="F669" s="42" t="s">
        <v>61</v>
      </c>
      <c r="G669" s="45">
        <v>54.89</v>
      </c>
      <c r="H669" s="43"/>
      <c r="I669" s="73">
        <v>0.73003700000000005</v>
      </c>
      <c r="J669" s="50"/>
      <c r="K669" s="43"/>
      <c r="L669" s="50"/>
      <c r="M669" s="43"/>
      <c r="N669" s="51"/>
    </row>
    <row r="670" spans="1:14" hidden="1" x14ac:dyDescent="0.25">
      <c r="A670" s="52"/>
      <c r="B670" s="41"/>
      <c r="C670" s="355" t="s">
        <v>62</v>
      </c>
      <c r="D670" s="355"/>
      <c r="E670" s="355"/>
      <c r="F670" s="53"/>
      <c r="G670" s="54"/>
      <c r="H670" s="54"/>
      <c r="I670" s="54"/>
      <c r="J670" s="65">
        <v>243909.64</v>
      </c>
      <c r="K670" s="54"/>
      <c r="L670" s="65">
        <v>3244</v>
      </c>
      <c r="M670" s="54"/>
      <c r="N670" s="56">
        <v>32482.76</v>
      </c>
    </row>
    <row r="671" spans="1:14" hidden="1" x14ac:dyDescent="0.25">
      <c r="A671" s="47"/>
      <c r="B671" s="41"/>
      <c r="C671" s="354" t="s">
        <v>63</v>
      </c>
      <c r="D671" s="354"/>
      <c r="E671" s="354"/>
      <c r="F671" s="42"/>
      <c r="G671" s="43"/>
      <c r="H671" s="43"/>
      <c r="I671" s="43"/>
      <c r="J671" s="50"/>
      <c r="K671" s="43"/>
      <c r="L671" s="44">
        <v>25.65</v>
      </c>
      <c r="M671" s="43"/>
      <c r="N671" s="46">
        <v>1339.19</v>
      </c>
    </row>
    <row r="672" spans="1:14" ht="22.5" hidden="1" x14ac:dyDescent="0.25">
      <c r="A672" s="47"/>
      <c r="B672" s="41" t="s">
        <v>78</v>
      </c>
      <c r="C672" s="354" t="s">
        <v>79</v>
      </c>
      <c r="D672" s="354"/>
      <c r="E672" s="354"/>
      <c r="F672" s="42" t="s">
        <v>66</v>
      </c>
      <c r="G672" s="48">
        <v>109</v>
      </c>
      <c r="H672" s="43"/>
      <c r="I672" s="48">
        <v>109</v>
      </c>
      <c r="J672" s="50"/>
      <c r="K672" s="43"/>
      <c r="L672" s="44">
        <v>27.96</v>
      </c>
      <c r="M672" s="43"/>
      <c r="N672" s="46">
        <v>1459.72</v>
      </c>
    </row>
    <row r="673" spans="1:14" ht="45" hidden="1" x14ac:dyDescent="0.25">
      <c r="A673" s="47"/>
      <c r="B673" s="41" t="s">
        <v>80</v>
      </c>
      <c r="C673" s="354" t="s">
        <v>81</v>
      </c>
      <c r="D673" s="354"/>
      <c r="E673" s="354"/>
      <c r="F673" s="42" t="s">
        <v>66</v>
      </c>
      <c r="G673" s="48">
        <v>65</v>
      </c>
      <c r="H673" s="45">
        <v>0.85</v>
      </c>
      <c r="I673" s="45">
        <v>55.25</v>
      </c>
      <c r="J673" s="50"/>
      <c r="K673" s="43"/>
      <c r="L673" s="44">
        <v>14.17</v>
      </c>
      <c r="M673" s="43"/>
      <c r="N673" s="69">
        <v>739.9</v>
      </c>
    </row>
    <row r="674" spans="1:14" hidden="1" x14ac:dyDescent="0.25">
      <c r="A674" s="57"/>
      <c r="B674" s="58"/>
      <c r="C674" s="350" t="s">
        <v>69</v>
      </c>
      <c r="D674" s="350"/>
      <c r="E674" s="350"/>
      <c r="F674" s="34"/>
      <c r="G674" s="35"/>
      <c r="H674" s="35"/>
      <c r="I674" s="35"/>
      <c r="J674" s="38"/>
      <c r="K674" s="35"/>
      <c r="L674" s="66">
        <v>3286.13</v>
      </c>
      <c r="M674" s="54"/>
      <c r="N674" s="60">
        <v>34682.379999999997</v>
      </c>
    </row>
    <row r="675" spans="1:14" x14ac:dyDescent="0.25">
      <c r="A675" s="351" t="s">
        <v>161</v>
      </c>
      <c r="B675" s="352"/>
      <c r="C675" s="352"/>
      <c r="D675" s="352"/>
      <c r="E675" s="352"/>
      <c r="F675" s="352"/>
      <c r="G675" s="352"/>
      <c r="H675" s="352"/>
      <c r="I675" s="352"/>
      <c r="J675" s="352"/>
      <c r="K675" s="352"/>
      <c r="L675" s="352"/>
      <c r="M675" s="352"/>
      <c r="N675" s="353"/>
    </row>
    <row r="676" spans="1:14" ht="40.5" customHeight="1" x14ac:dyDescent="0.25">
      <c r="A676" s="32" t="s">
        <v>326</v>
      </c>
      <c r="B676" s="33" t="s">
        <v>163</v>
      </c>
      <c r="C676" s="350" t="s">
        <v>164</v>
      </c>
      <c r="D676" s="350"/>
      <c r="E676" s="350"/>
      <c r="F676" s="34" t="s">
        <v>165</v>
      </c>
      <c r="G676" s="35">
        <v>50.7</v>
      </c>
      <c r="H676" s="36">
        <v>1</v>
      </c>
      <c r="I676" s="70">
        <v>50.7</v>
      </c>
      <c r="J676" s="59">
        <v>3.28</v>
      </c>
      <c r="K676" s="35"/>
      <c r="L676" s="59">
        <v>166.3</v>
      </c>
      <c r="M676" s="61">
        <v>15.71</v>
      </c>
      <c r="N676" s="60">
        <v>2612.5700000000002</v>
      </c>
    </row>
    <row r="677" spans="1:14" ht="24.75" hidden="1" customHeight="1" x14ac:dyDescent="0.25">
      <c r="A677" s="57"/>
      <c r="B677" s="58"/>
      <c r="C677" s="350" t="s">
        <v>69</v>
      </c>
      <c r="D677" s="350"/>
      <c r="E677" s="350"/>
      <c r="F677" s="34"/>
      <c r="G677" s="35"/>
      <c r="H677" s="35"/>
      <c r="I677" s="35"/>
      <c r="J677" s="38"/>
      <c r="K677" s="35"/>
      <c r="L677" s="59">
        <v>166.3</v>
      </c>
      <c r="M677" s="54"/>
      <c r="N677" s="60">
        <v>2612.5700000000002</v>
      </c>
    </row>
    <row r="678" spans="1:14" ht="47.25" customHeight="1" x14ac:dyDescent="0.25">
      <c r="A678" s="32" t="s">
        <v>327</v>
      </c>
      <c r="B678" s="33" t="s">
        <v>167</v>
      </c>
      <c r="C678" s="350" t="s">
        <v>292</v>
      </c>
      <c r="D678" s="350"/>
      <c r="E678" s="350"/>
      <c r="F678" s="34" t="s">
        <v>165</v>
      </c>
      <c r="G678" s="35">
        <v>9.9</v>
      </c>
      <c r="H678" s="36">
        <v>1</v>
      </c>
      <c r="I678" s="70">
        <v>9.9</v>
      </c>
      <c r="J678" s="59">
        <v>8.39</v>
      </c>
      <c r="K678" s="35"/>
      <c r="L678" s="59">
        <v>83.06</v>
      </c>
      <c r="M678" s="61">
        <v>15.71</v>
      </c>
      <c r="N678" s="60">
        <v>1304.8699999999999</v>
      </c>
    </row>
    <row r="679" spans="1:14" hidden="1" x14ac:dyDescent="0.25">
      <c r="A679" s="57"/>
      <c r="B679" s="58"/>
      <c r="C679" s="350" t="s">
        <v>69</v>
      </c>
      <c r="D679" s="350"/>
      <c r="E679" s="350"/>
      <c r="F679" s="34"/>
      <c r="G679" s="35"/>
      <c r="H679" s="35"/>
      <c r="I679" s="35"/>
      <c r="J679" s="38"/>
      <c r="K679" s="35"/>
      <c r="L679" s="59">
        <v>83.06</v>
      </c>
      <c r="M679" s="54"/>
      <c r="N679" s="60">
        <v>1304.8699999999999</v>
      </c>
    </row>
    <row r="680" spans="1:14" ht="37.5" customHeight="1" x14ac:dyDescent="0.25">
      <c r="A680" s="32" t="s">
        <v>328</v>
      </c>
      <c r="B680" s="33" t="s">
        <v>170</v>
      </c>
      <c r="C680" s="350" t="s">
        <v>294</v>
      </c>
      <c r="D680" s="350"/>
      <c r="E680" s="350"/>
      <c r="F680" s="34" t="s">
        <v>165</v>
      </c>
      <c r="G680" s="35">
        <v>5</v>
      </c>
      <c r="H680" s="36">
        <v>1</v>
      </c>
      <c r="I680" s="36">
        <v>5</v>
      </c>
      <c r="J680" s="59">
        <v>10.88</v>
      </c>
      <c r="K680" s="35"/>
      <c r="L680" s="59">
        <v>54.4</v>
      </c>
      <c r="M680" s="61">
        <v>15.71</v>
      </c>
      <c r="N680" s="94">
        <v>854.62</v>
      </c>
    </row>
    <row r="681" spans="1:14" hidden="1" x14ac:dyDescent="0.25">
      <c r="A681" s="57"/>
      <c r="B681" s="58"/>
      <c r="C681" s="350" t="s">
        <v>69</v>
      </c>
      <c r="D681" s="350"/>
      <c r="E681" s="350"/>
      <c r="F681" s="34"/>
      <c r="G681" s="35"/>
      <c r="H681" s="35"/>
      <c r="I681" s="35"/>
      <c r="J681" s="38"/>
      <c r="K681" s="35"/>
      <c r="L681" s="59">
        <v>54.4</v>
      </c>
      <c r="M681" s="54"/>
      <c r="N681" s="94">
        <v>854.62</v>
      </c>
    </row>
    <row r="682" spans="1:14" ht="33" customHeight="1" x14ac:dyDescent="0.25">
      <c r="A682" s="32" t="s">
        <v>329</v>
      </c>
      <c r="B682" s="33" t="s">
        <v>173</v>
      </c>
      <c r="C682" s="350" t="s">
        <v>174</v>
      </c>
      <c r="D682" s="350"/>
      <c r="E682" s="350"/>
      <c r="F682" s="34" t="s">
        <v>165</v>
      </c>
      <c r="G682" s="35">
        <v>65.599999999999994</v>
      </c>
      <c r="H682" s="36">
        <v>1</v>
      </c>
      <c r="I682" s="70">
        <v>65.599999999999994</v>
      </c>
      <c r="J682" s="59">
        <v>3.86</v>
      </c>
      <c r="K682" s="35"/>
      <c r="L682" s="59">
        <v>253.22</v>
      </c>
      <c r="M682" s="61">
        <v>16.22</v>
      </c>
      <c r="N682" s="60">
        <v>4107.2299999999996</v>
      </c>
    </row>
    <row r="683" spans="1:14" hidden="1" x14ac:dyDescent="0.25">
      <c r="A683" s="57"/>
      <c r="B683" s="58"/>
      <c r="C683" s="350" t="s">
        <v>69</v>
      </c>
      <c r="D683" s="350"/>
      <c r="E683" s="350"/>
      <c r="F683" s="34"/>
      <c r="G683" s="35"/>
      <c r="H683" s="35"/>
      <c r="I683" s="35"/>
      <c r="J683" s="38"/>
      <c r="K683" s="35"/>
      <c r="L683" s="59">
        <v>253.22</v>
      </c>
      <c r="M683" s="54"/>
      <c r="N683" s="60">
        <v>4107.2299999999996</v>
      </c>
    </row>
    <row r="684" spans="1:14" hidden="1" x14ac:dyDescent="0.25">
      <c r="A684" s="75"/>
      <c r="B684" s="76"/>
      <c r="C684" s="77"/>
      <c r="D684" s="77"/>
      <c r="E684" s="77"/>
      <c r="F684" s="77"/>
      <c r="G684" s="78"/>
      <c r="H684" s="78"/>
      <c r="I684" s="78"/>
      <c r="J684" s="78"/>
      <c r="K684" s="79"/>
      <c r="L684" s="78"/>
      <c r="M684" s="79"/>
      <c r="N684" s="80"/>
    </row>
    <row r="685" spans="1:14" hidden="1" x14ac:dyDescent="0.25">
      <c r="A685" s="57"/>
      <c r="B685" s="81"/>
      <c r="C685" s="349" t="s">
        <v>330</v>
      </c>
      <c r="D685" s="349"/>
      <c r="E685" s="349"/>
      <c r="F685" s="349"/>
      <c r="G685" s="349"/>
      <c r="H685" s="349"/>
      <c r="I685" s="349"/>
      <c r="J685" s="349"/>
      <c r="K685" s="349"/>
      <c r="L685" s="82"/>
      <c r="M685" s="83"/>
      <c r="N685" s="84"/>
    </row>
    <row r="686" spans="1:14" hidden="1" x14ac:dyDescent="0.25">
      <c r="A686" s="85"/>
      <c r="B686" s="41"/>
      <c r="C686" s="348" t="s">
        <v>176</v>
      </c>
      <c r="D686" s="348"/>
      <c r="E686" s="348"/>
      <c r="F686" s="348"/>
      <c r="G686" s="348"/>
      <c r="H686" s="348"/>
      <c r="I686" s="348"/>
      <c r="J686" s="348"/>
      <c r="K686" s="348"/>
      <c r="L686" s="86">
        <v>621517.23</v>
      </c>
      <c r="M686" s="87"/>
      <c r="N686" s="88">
        <v>6013001.1200000001</v>
      </c>
    </row>
    <row r="687" spans="1:14" hidden="1" x14ac:dyDescent="0.25">
      <c r="A687" s="85"/>
      <c r="B687" s="41"/>
      <c r="C687" s="348" t="s">
        <v>177</v>
      </c>
      <c r="D687" s="348"/>
      <c r="E687" s="348"/>
      <c r="F687" s="348"/>
      <c r="G687" s="348"/>
      <c r="H687" s="348"/>
      <c r="I687" s="348"/>
      <c r="J687" s="348"/>
      <c r="K687" s="348"/>
      <c r="L687" s="89"/>
      <c r="M687" s="87"/>
      <c r="N687" s="90"/>
    </row>
    <row r="688" spans="1:14" hidden="1" x14ac:dyDescent="0.25">
      <c r="A688" s="85"/>
      <c r="B688" s="41"/>
      <c r="C688" s="348" t="s">
        <v>178</v>
      </c>
      <c r="D688" s="348"/>
      <c r="E688" s="348"/>
      <c r="F688" s="348"/>
      <c r="G688" s="348"/>
      <c r="H688" s="348"/>
      <c r="I688" s="348"/>
      <c r="J688" s="348"/>
      <c r="K688" s="348"/>
      <c r="L688" s="86">
        <v>1017.93</v>
      </c>
      <c r="M688" s="87"/>
      <c r="N688" s="88">
        <v>53146.13</v>
      </c>
    </row>
    <row r="689" spans="1:14" hidden="1" x14ac:dyDescent="0.25">
      <c r="A689" s="85"/>
      <c r="B689" s="41"/>
      <c r="C689" s="348" t="s">
        <v>179</v>
      </c>
      <c r="D689" s="348"/>
      <c r="E689" s="348"/>
      <c r="F689" s="348"/>
      <c r="G689" s="348"/>
      <c r="H689" s="348"/>
      <c r="I689" s="348"/>
      <c r="J689" s="348"/>
      <c r="K689" s="348"/>
      <c r="L689" s="86">
        <v>9907.19</v>
      </c>
      <c r="M689" s="87"/>
      <c r="N689" s="88">
        <v>155641.94</v>
      </c>
    </row>
    <row r="690" spans="1:14" hidden="1" x14ac:dyDescent="0.25">
      <c r="A690" s="85"/>
      <c r="B690" s="41"/>
      <c r="C690" s="348" t="s">
        <v>180</v>
      </c>
      <c r="D690" s="348"/>
      <c r="E690" s="348"/>
      <c r="F690" s="348"/>
      <c r="G690" s="348"/>
      <c r="H690" s="348"/>
      <c r="I690" s="348"/>
      <c r="J690" s="348"/>
      <c r="K690" s="348"/>
      <c r="L690" s="95">
        <v>427.41</v>
      </c>
      <c r="M690" s="87"/>
      <c r="N690" s="88">
        <v>22315.07</v>
      </c>
    </row>
    <row r="691" spans="1:14" hidden="1" x14ac:dyDescent="0.25">
      <c r="A691" s="85"/>
      <c r="B691" s="41"/>
      <c r="C691" s="348" t="s">
        <v>181</v>
      </c>
      <c r="D691" s="348"/>
      <c r="E691" s="348"/>
      <c r="F691" s="348"/>
      <c r="G691" s="348"/>
      <c r="H691" s="348"/>
      <c r="I691" s="348"/>
      <c r="J691" s="348"/>
      <c r="K691" s="348"/>
      <c r="L691" s="86">
        <v>610172.59</v>
      </c>
      <c r="M691" s="87"/>
      <c r="N691" s="88">
        <v>5797493.25</v>
      </c>
    </row>
    <row r="692" spans="1:14" hidden="1" x14ac:dyDescent="0.25">
      <c r="A692" s="85"/>
      <c r="B692" s="41"/>
      <c r="C692" s="348" t="s">
        <v>182</v>
      </c>
      <c r="D692" s="348"/>
      <c r="E692" s="348"/>
      <c r="F692" s="348"/>
      <c r="G692" s="348"/>
      <c r="H692" s="348"/>
      <c r="I692" s="348"/>
      <c r="J692" s="348"/>
      <c r="K692" s="348"/>
      <c r="L692" s="89"/>
      <c r="M692" s="87"/>
      <c r="N692" s="90"/>
    </row>
    <row r="693" spans="1:14" hidden="1" x14ac:dyDescent="0.25">
      <c r="A693" s="85"/>
      <c r="B693" s="41"/>
      <c r="C693" s="348" t="s">
        <v>183</v>
      </c>
      <c r="D693" s="348"/>
      <c r="E693" s="348"/>
      <c r="F693" s="348"/>
      <c r="G693" s="348"/>
      <c r="H693" s="348"/>
      <c r="I693" s="348"/>
      <c r="J693" s="348"/>
      <c r="K693" s="348"/>
      <c r="L693" s="86">
        <v>610118.18999999994</v>
      </c>
      <c r="M693" s="87"/>
      <c r="N693" s="88">
        <v>5796638.6299999999</v>
      </c>
    </row>
    <row r="694" spans="1:14" hidden="1" x14ac:dyDescent="0.25">
      <c r="A694" s="85"/>
      <c r="B694" s="41"/>
      <c r="C694" s="348" t="s">
        <v>184</v>
      </c>
      <c r="D694" s="348"/>
      <c r="E694" s="348"/>
      <c r="F694" s="348"/>
      <c r="G694" s="348"/>
      <c r="H694" s="348"/>
      <c r="I694" s="348"/>
      <c r="J694" s="348"/>
      <c r="K694" s="348"/>
      <c r="L694" s="95">
        <v>54.4</v>
      </c>
      <c r="M694" s="87"/>
      <c r="N694" s="96">
        <v>854.62</v>
      </c>
    </row>
    <row r="695" spans="1:14" hidden="1" x14ac:dyDescent="0.25">
      <c r="A695" s="85"/>
      <c r="B695" s="41"/>
      <c r="C695" s="348" t="s">
        <v>185</v>
      </c>
      <c r="D695" s="348"/>
      <c r="E695" s="348"/>
      <c r="F695" s="348"/>
      <c r="G695" s="348"/>
      <c r="H695" s="348"/>
      <c r="I695" s="348"/>
      <c r="J695" s="348"/>
      <c r="K695" s="348"/>
      <c r="L695" s="95">
        <v>419.52</v>
      </c>
      <c r="M695" s="87"/>
      <c r="N695" s="88">
        <v>6719.8</v>
      </c>
    </row>
    <row r="696" spans="1:14" hidden="1" x14ac:dyDescent="0.25">
      <c r="A696" s="85"/>
      <c r="B696" s="41"/>
      <c r="C696" s="348" t="s">
        <v>186</v>
      </c>
      <c r="D696" s="348"/>
      <c r="E696" s="348"/>
      <c r="F696" s="348"/>
      <c r="G696" s="348"/>
      <c r="H696" s="348"/>
      <c r="I696" s="348"/>
      <c r="J696" s="348"/>
      <c r="K696" s="348"/>
      <c r="L696" s="86">
        <v>622846.97</v>
      </c>
      <c r="M696" s="87"/>
      <c r="N696" s="88">
        <v>6098741.6699999999</v>
      </c>
    </row>
    <row r="697" spans="1:14" hidden="1" x14ac:dyDescent="0.25">
      <c r="A697" s="85"/>
      <c r="B697" s="41"/>
      <c r="C697" s="348" t="s">
        <v>187</v>
      </c>
      <c r="D697" s="348"/>
      <c r="E697" s="348"/>
      <c r="F697" s="348"/>
      <c r="G697" s="348"/>
      <c r="H697" s="348"/>
      <c r="I697" s="348"/>
      <c r="J697" s="348"/>
      <c r="K697" s="348"/>
      <c r="L697" s="86">
        <v>622373.05000000005</v>
      </c>
      <c r="M697" s="87"/>
      <c r="N697" s="88">
        <v>6091167.25</v>
      </c>
    </row>
    <row r="698" spans="1:14" hidden="1" x14ac:dyDescent="0.25">
      <c r="A698" s="85"/>
      <c r="B698" s="41"/>
      <c r="C698" s="348" t="s">
        <v>188</v>
      </c>
      <c r="D698" s="348"/>
      <c r="E698" s="348"/>
      <c r="F698" s="348"/>
      <c r="G698" s="348"/>
      <c r="H698" s="348"/>
      <c r="I698" s="348"/>
      <c r="J698" s="348"/>
      <c r="K698" s="348"/>
      <c r="L698" s="89"/>
      <c r="M698" s="87"/>
      <c r="N698" s="90"/>
    </row>
    <row r="699" spans="1:14" hidden="1" x14ac:dyDescent="0.25">
      <c r="A699" s="85"/>
      <c r="B699" s="41"/>
      <c r="C699" s="348" t="s">
        <v>189</v>
      </c>
      <c r="D699" s="348"/>
      <c r="E699" s="348"/>
      <c r="F699" s="348"/>
      <c r="G699" s="348"/>
      <c r="H699" s="348"/>
      <c r="I699" s="348"/>
      <c r="J699" s="348"/>
      <c r="K699" s="348"/>
      <c r="L699" s="95">
        <v>766.01</v>
      </c>
      <c r="M699" s="87"/>
      <c r="N699" s="88">
        <v>39993.39</v>
      </c>
    </row>
    <row r="700" spans="1:14" hidden="1" x14ac:dyDescent="0.25">
      <c r="A700" s="85"/>
      <c r="B700" s="41"/>
      <c r="C700" s="348" t="s">
        <v>190</v>
      </c>
      <c r="D700" s="348"/>
      <c r="E700" s="348"/>
      <c r="F700" s="348"/>
      <c r="G700" s="348"/>
      <c r="H700" s="348"/>
      <c r="I700" s="348"/>
      <c r="J700" s="348"/>
      <c r="K700" s="348"/>
      <c r="L700" s="86">
        <v>9786.41</v>
      </c>
      <c r="M700" s="87"/>
      <c r="N700" s="88">
        <v>153744.49</v>
      </c>
    </row>
    <row r="701" spans="1:14" hidden="1" x14ac:dyDescent="0.25">
      <c r="A701" s="85"/>
      <c r="B701" s="41"/>
      <c r="C701" s="348" t="s">
        <v>191</v>
      </c>
      <c r="D701" s="348"/>
      <c r="E701" s="348"/>
      <c r="F701" s="348"/>
      <c r="G701" s="348"/>
      <c r="H701" s="348"/>
      <c r="I701" s="348"/>
      <c r="J701" s="348"/>
      <c r="K701" s="348"/>
      <c r="L701" s="95">
        <v>415.43</v>
      </c>
      <c r="M701" s="87"/>
      <c r="N701" s="88">
        <v>21689.59</v>
      </c>
    </row>
    <row r="702" spans="1:14" hidden="1" x14ac:dyDescent="0.25">
      <c r="A702" s="85"/>
      <c r="B702" s="41"/>
      <c r="C702" s="348" t="s">
        <v>192</v>
      </c>
      <c r="D702" s="348"/>
      <c r="E702" s="348"/>
      <c r="F702" s="348"/>
      <c r="G702" s="348"/>
      <c r="H702" s="348"/>
      <c r="I702" s="348"/>
      <c r="J702" s="348"/>
      <c r="K702" s="348"/>
      <c r="L702" s="86">
        <v>609839.43999999994</v>
      </c>
      <c r="M702" s="87"/>
      <c r="N702" s="88">
        <v>5793990.5</v>
      </c>
    </row>
    <row r="703" spans="1:14" hidden="1" x14ac:dyDescent="0.25">
      <c r="A703" s="85"/>
      <c r="B703" s="41"/>
      <c r="C703" s="348" t="s">
        <v>193</v>
      </c>
      <c r="D703" s="348"/>
      <c r="E703" s="348"/>
      <c r="F703" s="348"/>
      <c r="G703" s="348"/>
      <c r="H703" s="348"/>
      <c r="I703" s="348"/>
      <c r="J703" s="348"/>
      <c r="K703" s="348"/>
      <c r="L703" s="86">
        <v>1302.54</v>
      </c>
      <c r="M703" s="87"/>
      <c r="N703" s="88">
        <v>68005.87</v>
      </c>
    </row>
    <row r="704" spans="1:14" hidden="1" x14ac:dyDescent="0.25">
      <c r="A704" s="85"/>
      <c r="B704" s="41"/>
      <c r="C704" s="348" t="s">
        <v>194</v>
      </c>
      <c r="D704" s="348"/>
      <c r="E704" s="348"/>
      <c r="F704" s="348"/>
      <c r="G704" s="348"/>
      <c r="H704" s="348"/>
      <c r="I704" s="348"/>
      <c r="J704" s="348"/>
      <c r="K704" s="348"/>
      <c r="L704" s="95">
        <v>678.65</v>
      </c>
      <c r="M704" s="87"/>
      <c r="N704" s="88">
        <v>35433</v>
      </c>
    </row>
    <row r="705" spans="1:14" hidden="1" x14ac:dyDescent="0.25">
      <c r="A705" s="85"/>
      <c r="B705" s="41"/>
      <c r="C705" s="348" t="s">
        <v>195</v>
      </c>
      <c r="D705" s="348"/>
      <c r="E705" s="348"/>
      <c r="F705" s="348"/>
      <c r="G705" s="348"/>
      <c r="H705" s="348"/>
      <c r="I705" s="348"/>
      <c r="J705" s="348"/>
      <c r="K705" s="348"/>
      <c r="L705" s="95">
        <v>419.52</v>
      </c>
      <c r="M705" s="87"/>
      <c r="N705" s="88">
        <v>6719.8</v>
      </c>
    </row>
    <row r="706" spans="1:14" hidden="1" x14ac:dyDescent="0.25">
      <c r="A706" s="85"/>
      <c r="B706" s="41"/>
      <c r="C706" s="348" t="s">
        <v>196</v>
      </c>
      <c r="D706" s="348"/>
      <c r="E706" s="348"/>
      <c r="F706" s="348"/>
      <c r="G706" s="348"/>
      <c r="H706" s="348"/>
      <c r="I706" s="348"/>
      <c r="J706" s="348"/>
      <c r="K706" s="348"/>
      <c r="L706" s="95">
        <v>54.4</v>
      </c>
      <c r="M706" s="87"/>
      <c r="N706" s="96">
        <v>854.62</v>
      </c>
    </row>
    <row r="707" spans="1:14" hidden="1" x14ac:dyDescent="0.25">
      <c r="A707" s="85"/>
      <c r="B707" s="41"/>
      <c r="C707" s="348" t="s">
        <v>297</v>
      </c>
      <c r="D707" s="348"/>
      <c r="E707" s="348"/>
      <c r="F707" s="348"/>
      <c r="G707" s="348"/>
      <c r="H707" s="348"/>
      <c r="I707" s="348"/>
      <c r="J707" s="348"/>
      <c r="K707" s="348"/>
      <c r="L707" s="86">
        <v>1023.55</v>
      </c>
      <c r="M707" s="87"/>
      <c r="N707" s="88">
        <v>37125.61</v>
      </c>
    </row>
    <row r="708" spans="1:14" hidden="1" x14ac:dyDescent="0.25">
      <c r="A708" s="85"/>
      <c r="B708" s="41"/>
      <c r="C708" s="348" t="s">
        <v>177</v>
      </c>
      <c r="D708" s="348"/>
      <c r="E708" s="348"/>
      <c r="F708" s="348"/>
      <c r="G708" s="348"/>
      <c r="H708" s="348"/>
      <c r="I708" s="348"/>
      <c r="J708" s="348"/>
      <c r="K708" s="348"/>
      <c r="L708" s="89"/>
      <c r="M708" s="87"/>
      <c r="N708" s="90"/>
    </row>
    <row r="709" spans="1:14" hidden="1" x14ac:dyDescent="0.25">
      <c r="A709" s="85"/>
      <c r="B709" s="41"/>
      <c r="C709" s="348" t="s">
        <v>298</v>
      </c>
      <c r="D709" s="348"/>
      <c r="E709" s="348"/>
      <c r="F709" s="348"/>
      <c r="G709" s="348"/>
      <c r="H709" s="348"/>
      <c r="I709" s="348"/>
      <c r="J709" s="348"/>
      <c r="K709" s="348"/>
      <c r="L709" s="95">
        <v>251.92</v>
      </c>
      <c r="M709" s="87"/>
      <c r="N709" s="88">
        <v>13152.74</v>
      </c>
    </row>
    <row r="710" spans="1:14" hidden="1" x14ac:dyDescent="0.25">
      <c r="A710" s="85"/>
      <c r="B710" s="41"/>
      <c r="C710" s="348" t="s">
        <v>299</v>
      </c>
      <c r="D710" s="348"/>
      <c r="E710" s="348"/>
      <c r="F710" s="348"/>
      <c r="G710" s="348"/>
      <c r="H710" s="348"/>
      <c r="I710" s="348"/>
      <c r="J710" s="348"/>
      <c r="K710" s="348"/>
      <c r="L710" s="95">
        <v>120.78</v>
      </c>
      <c r="M710" s="87"/>
      <c r="N710" s="88">
        <v>1897.45</v>
      </c>
    </row>
    <row r="711" spans="1:14" hidden="1" x14ac:dyDescent="0.25">
      <c r="A711" s="85"/>
      <c r="B711" s="41"/>
      <c r="C711" s="348" t="s">
        <v>300</v>
      </c>
      <c r="D711" s="348"/>
      <c r="E711" s="348"/>
      <c r="F711" s="348"/>
      <c r="G711" s="348"/>
      <c r="H711" s="348"/>
      <c r="I711" s="348"/>
      <c r="J711" s="348"/>
      <c r="K711" s="348"/>
      <c r="L711" s="95">
        <v>11.98</v>
      </c>
      <c r="M711" s="87"/>
      <c r="N711" s="96">
        <v>625.48</v>
      </c>
    </row>
    <row r="712" spans="1:14" hidden="1" x14ac:dyDescent="0.25">
      <c r="A712" s="85"/>
      <c r="B712" s="41"/>
      <c r="C712" s="348" t="s">
        <v>301</v>
      </c>
      <c r="D712" s="348"/>
      <c r="E712" s="348"/>
      <c r="F712" s="348"/>
      <c r="G712" s="348"/>
      <c r="H712" s="348"/>
      <c r="I712" s="348"/>
      <c r="J712" s="348"/>
      <c r="K712" s="348"/>
      <c r="L712" s="95">
        <v>278.75</v>
      </c>
      <c r="M712" s="87"/>
      <c r="N712" s="88">
        <v>2648.13</v>
      </c>
    </row>
    <row r="713" spans="1:14" hidden="1" x14ac:dyDescent="0.25">
      <c r="A713" s="85"/>
      <c r="B713" s="41"/>
      <c r="C713" s="348" t="s">
        <v>302</v>
      </c>
      <c r="D713" s="348"/>
      <c r="E713" s="348"/>
      <c r="F713" s="348"/>
      <c r="G713" s="348"/>
      <c r="H713" s="348"/>
      <c r="I713" s="348"/>
      <c r="J713" s="348"/>
      <c r="K713" s="348"/>
      <c r="L713" s="95">
        <v>242.79</v>
      </c>
      <c r="M713" s="87"/>
      <c r="N713" s="88">
        <v>12675.96</v>
      </c>
    </row>
    <row r="714" spans="1:14" hidden="1" x14ac:dyDescent="0.25">
      <c r="A714" s="85"/>
      <c r="B714" s="41"/>
      <c r="C714" s="348" t="s">
        <v>303</v>
      </c>
      <c r="D714" s="348"/>
      <c r="E714" s="348"/>
      <c r="F714" s="348"/>
      <c r="G714" s="348"/>
      <c r="H714" s="348"/>
      <c r="I714" s="348"/>
      <c r="J714" s="348"/>
      <c r="K714" s="348"/>
      <c r="L714" s="95">
        <v>129.31</v>
      </c>
      <c r="M714" s="87"/>
      <c r="N714" s="88">
        <v>6751.33</v>
      </c>
    </row>
    <row r="715" spans="1:14" hidden="1" x14ac:dyDescent="0.25">
      <c r="A715" s="85"/>
      <c r="B715" s="41"/>
      <c r="C715" s="348" t="s">
        <v>197</v>
      </c>
      <c r="D715" s="348"/>
      <c r="E715" s="348"/>
      <c r="F715" s="348"/>
      <c r="G715" s="348"/>
      <c r="H715" s="348"/>
      <c r="I715" s="348"/>
      <c r="J715" s="348"/>
      <c r="K715" s="348"/>
      <c r="L715" s="86">
        <v>1445.34</v>
      </c>
      <c r="M715" s="87"/>
      <c r="N715" s="88">
        <v>75461.2</v>
      </c>
    </row>
    <row r="716" spans="1:14" hidden="1" x14ac:dyDescent="0.25">
      <c r="A716" s="85"/>
      <c r="B716" s="41"/>
      <c r="C716" s="348" t="s">
        <v>198</v>
      </c>
      <c r="D716" s="348"/>
      <c r="E716" s="348"/>
      <c r="F716" s="348"/>
      <c r="G716" s="348"/>
      <c r="H716" s="348"/>
      <c r="I716" s="348"/>
      <c r="J716" s="348"/>
      <c r="K716" s="348"/>
      <c r="L716" s="86">
        <v>1545.33</v>
      </c>
      <c r="M716" s="87"/>
      <c r="N716" s="88">
        <v>80681.83</v>
      </c>
    </row>
    <row r="717" spans="1:14" hidden="1" x14ac:dyDescent="0.25">
      <c r="A717" s="85"/>
      <c r="B717" s="41"/>
      <c r="C717" s="348" t="s">
        <v>199</v>
      </c>
      <c r="D717" s="348"/>
      <c r="E717" s="348"/>
      <c r="F717" s="348"/>
      <c r="G717" s="348"/>
      <c r="H717" s="348"/>
      <c r="I717" s="348"/>
      <c r="J717" s="348"/>
      <c r="K717" s="348"/>
      <c r="L717" s="95">
        <v>807.96</v>
      </c>
      <c r="M717" s="87"/>
      <c r="N717" s="88">
        <v>42184.33</v>
      </c>
    </row>
    <row r="718" spans="1:14" hidden="1" x14ac:dyDescent="0.25">
      <c r="A718" s="85"/>
      <c r="B718" s="81"/>
      <c r="C718" s="349" t="s">
        <v>331</v>
      </c>
      <c r="D718" s="349"/>
      <c r="E718" s="349"/>
      <c r="F718" s="349"/>
      <c r="G718" s="349"/>
      <c r="H718" s="349"/>
      <c r="I718" s="349"/>
      <c r="J718" s="349"/>
      <c r="K718" s="349"/>
      <c r="L718" s="91">
        <v>623870.52</v>
      </c>
      <c r="M718" s="83"/>
      <c r="N718" s="92">
        <v>6135867.2800000003</v>
      </c>
    </row>
    <row r="719" spans="1:14" hidden="1" x14ac:dyDescent="0.25">
      <c r="A719" s="85"/>
      <c r="B719" s="41"/>
      <c r="C719" s="348" t="s">
        <v>201</v>
      </c>
      <c r="D719" s="348"/>
      <c r="E719" s="348"/>
      <c r="F719" s="348"/>
      <c r="G719" s="348"/>
      <c r="H719" s="348"/>
      <c r="I719" s="348"/>
      <c r="J719" s="348"/>
      <c r="K719" s="348"/>
      <c r="L719" s="89"/>
      <c r="M719" s="87"/>
      <c r="N719" s="90"/>
    </row>
    <row r="720" spans="1:14" hidden="1" x14ac:dyDescent="0.25">
      <c r="A720" s="85"/>
      <c r="B720" s="41"/>
      <c r="C720" s="348" t="s">
        <v>202</v>
      </c>
      <c r="D720" s="348"/>
      <c r="E720" s="348"/>
      <c r="F720" s="348"/>
      <c r="G720" s="348"/>
      <c r="H720" s="348"/>
      <c r="I720" s="42" t="s">
        <v>332</v>
      </c>
      <c r="J720" s="93"/>
      <c r="K720" s="93"/>
      <c r="L720" s="89"/>
      <c r="M720" s="87"/>
      <c r="N720" s="90"/>
    </row>
    <row r="721" spans="1:14" hidden="1" x14ac:dyDescent="0.25">
      <c r="A721" s="85"/>
      <c r="B721" s="41"/>
      <c r="C721" s="348" t="s">
        <v>204</v>
      </c>
      <c r="D721" s="348"/>
      <c r="E721" s="348"/>
      <c r="F721" s="348"/>
      <c r="G721" s="348"/>
      <c r="H721" s="348"/>
      <c r="I721" s="42" t="s">
        <v>333</v>
      </c>
      <c r="J721" s="93"/>
      <c r="K721" s="93"/>
      <c r="L721" s="89"/>
      <c r="M721" s="87"/>
      <c r="N721" s="90"/>
    </row>
    <row r="722" spans="1:14" x14ac:dyDescent="0.25">
      <c r="A722" s="358" t="s">
        <v>334</v>
      </c>
      <c r="B722" s="359"/>
      <c r="C722" s="359"/>
      <c r="D722" s="359"/>
      <c r="E722" s="359"/>
      <c r="F722" s="359"/>
      <c r="G722" s="359"/>
      <c r="H722" s="359"/>
      <c r="I722" s="359"/>
      <c r="J722" s="359"/>
      <c r="K722" s="359"/>
      <c r="L722" s="359"/>
      <c r="M722" s="359"/>
      <c r="N722" s="360"/>
    </row>
    <row r="723" spans="1:14" ht="32.25" customHeight="1" x14ac:dyDescent="0.25">
      <c r="A723" s="32" t="s">
        <v>335</v>
      </c>
      <c r="B723" s="33" t="s">
        <v>208</v>
      </c>
      <c r="C723" s="350" t="s">
        <v>209</v>
      </c>
      <c r="D723" s="350"/>
      <c r="E723" s="350"/>
      <c r="F723" s="34" t="s">
        <v>210</v>
      </c>
      <c r="G723" s="35">
        <v>1</v>
      </c>
      <c r="H723" s="36">
        <v>1</v>
      </c>
      <c r="I723" s="36">
        <v>1</v>
      </c>
      <c r="J723" s="38"/>
      <c r="K723" s="35"/>
      <c r="L723" s="38"/>
      <c r="M723" s="35"/>
      <c r="N723" s="39"/>
    </row>
    <row r="724" spans="1:14" hidden="1" x14ac:dyDescent="0.25">
      <c r="A724" s="40"/>
      <c r="B724" s="41" t="s">
        <v>55</v>
      </c>
      <c r="C724" s="354" t="s">
        <v>59</v>
      </c>
      <c r="D724" s="354"/>
      <c r="E724" s="354"/>
      <c r="F724" s="42"/>
      <c r="G724" s="43"/>
      <c r="H724" s="43"/>
      <c r="I724" s="43"/>
      <c r="J724" s="44">
        <v>298.64</v>
      </c>
      <c r="K724" s="43"/>
      <c r="L724" s="44">
        <v>298.64</v>
      </c>
      <c r="M724" s="45">
        <v>52.21</v>
      </c>
      <c r="N724" s="46">
        <v>15591.99</v>
      </c>
    </row>
    <row r="725" spans="1:14" hidden="1" x14ac:dyDescent="0.25">
      <c r="A725" s="40"/>
      <c r="B725" s="41" t="s">
        <v>70</v>
      </c>
      <c r="C725" s="354" t="s">
        <v>74</v>
      </c>
      <c r="D725" s="354"/>
      <c r="E725" s="354"/>
      <c r="F725" s="42"/>
      <c r="G725" s="43"/>
      <c r="H725" s="43"/>
      <c r="I725" s="43"/>
      <c r="J725" s="44">
        <v>128.02000000000001</v>
      </c>
      <c r="K725" s="43"/>
      <c r="L725" s="44">
        <v>128.02000000000001</v>
      </c>
      <c r="M725" s="45">
        <v>15.71</v>
      </c>
      <c r="N725" s="46">
        <v>2011.19</v>
      </c>
    </row>
    <row r="726" spans="1:14" hidden="1" x14ac:dyDescent="0.25">
      <c r="A726" s="40"/>
      <c r="B726" s="41" t="s">
        <v>75</v>
      </c>
      <c r="C726" s="354" t="s">
        <v>76</v>
      </c>
      <c r="D726" s="354"/>
      <c r="E726" s="354"/>
      <c r="F726" s="42"/>
      <c r="G726" s="43"/>
      <c r="H726" s="43"/>
      <c r="I726" s="43"/>
      <c r="J726" s="44">
        <v>19.84</v>
      </c>
      <c r="K726" s="43"/>
      <c r="L726" s="44">
        <v>19.84</v>
      </c>
      <c r="M726" s="45">
        <v>52.21</v>
      </c>
      <c r="N726" s="46">
        <v>1035.8499999999999</v>
      </c>
    </row>
    <row r="727" spans="1:14" hidden="1" x14ac:dyDescent="0.25">
      <c r="A727" s="47"/>
      <c r="B727" s="41"/>
      <c r="C727" s="354" t="s">
        <v>60</v>
      </c>
      <c r="D727" s="354"/>
      <c r="E727" s="354"/>
      <c r="F727" s="42" t="s">
        <v>61</v>
      </c>
      <c r="G727" s="45">
        <v>35.01</v>
      </c>
      <c r="H727" s="43"/>
      <c r="I727" s="45">
        <v>35.01</v>
      </c>
      <c r="J727" s="50"/>
      <c r="K727" s="43"/>
      <c r="L727" s="50"/>
      <c r="M727" s="43"/>
      <c r="N727" s="51"/>
    </row>
    <row r="728" spans="1:14" hidden="1" x14ac:dyDescent="0.25">
      <c r="A728" s="47"/>
      <c r="B728" s="41"/>
      <c r="C728" s="354" t="s">
        <v>77</v>
      </c>
      <c r="D728" s="354"/>
      <c r="E728" s="354"/>
      <c r="F728" s="42" t="s">
        <v>61</v>
      </c>
      <c r="G728" s="45">
        <v>1.71</v>
      </c>
      <c r="H728" s="43"/>
      <c r="I728" s="45">
        <v>1.71</v>
      </c>
      <c r="J728" s="50"/>
      <c r="K728" s="43"/>
      <c r="L728" s="50"/>
      <c r="M728" s="43"/>
      <c r="N728" s="51"/>
    </row>
    <row r="729" spans="1:14" hidden="1" x14ac:dyDescent="0.25">
      <c r="A729" s="52"/>
      <c r="B729" s="41"/>
      <c r="C729" s="355" t="s">
        <v>62</v>
      </c>
      <c r="D729" s="355"/>
      <c r="E729" s="355"/>
      <c r="F729" s="53"/>
      <c r="G729" s="54"/>
      <c r="H729" s="54"/>
      <c r="I729" s="54"/>
      <c r="J729" s="55">
        <v>426.66</v>
      </c>
      <c r="K729" s="54"/>
      <c r="L729" s="55">
        <v>426.66</v>
      </c>
      <c r="M729" s="54"/>
      <c r="N729" s="56">
        <v>17603.18</v>
      </c>
    </row>
    <row r="730" spans="1:14" hidden="1" x14ac:dyDescent="0.25">
      <c r="A730" s="47"/>
      <c r="B730" s="41"/>
      <c r="C730" s="354" t="s">
        <v>63</v>
      </c>
      <c r="D730" s="354"/>
      <c r="E730" s="354"/>
      <c r="F730" s="42"/>
      <c r="G730" s="43"/>
      <c r="H730" s="43"/>
      <c r="I730" s="43"/>
      <c r="J730" s="50"/>
      <c r="K730" s="43"/>
      <c r="L730" s="44">
        <v>318.48</v>
      </c>
      <c r="M730" s="43"/>
      <c r="N730" s="46">
        <v>16627.84</v>
      </c>
    </row>
    <row r="731" spans="1:14" ht="22.5" hidden="1" x14ac:dyDescent="0.25">
      <c r="A731" s="47"/>
      <c r="B731" s="41" t="s">
        <v>78</v>
      </c>
      <c r="C731" s="354" t="s">
        <v>79</v>
      </c>
      <c r="D731" s="354"/>
      <c r="E731" s="354"/>
      <c r="F731" s="42" t="s">
        <v>66</v>
      </c>
      <c r="G731" s="48">
        <v>109</v>
      </c>
      <c r="H731" s="43"/>
      <c r="I731" s="48">
        <v>109</v>
      </c>
      <c r="J731" s="50"/>
      <c r="K731" s="43"/>
      <c r="L731" s="44">
        <v>347.14</v>
      </c>
      <c r="M731" s="43"/>
      <c r="N731" s="46">
        <v>18124.349999999999</v>
      </c>
    </row>
    <row r="732" spans="1:14" ht="45" hidden="1" x14ac:dyDescent="0.25">
      <c r="A732" s="47"/>
      <c r="B732" s="41" t="s">
        <v>80</v>
      </c>
      <c r="C732" s="354" t="s">
        <v>81</v>
      </c>
      <c r="D732" s="354"/>
      <c r="E732" s="354"/>
      <c r="F732" s="42" t="s">
        <v>66</v>
      </c>
      <c r="G732" s="48">
        <v>65</v>
      </c>
      <c r="H732" s="45">
        <v>0.85</v>
      </c>
      <c r="I732" s="45">
        <v>55.25</v>
      </c>
      <c r="J732" s="50"/>
      <c r="K732" s="43"/>
      <c r="L732" s="44">
        <v>175.96</v>
      </c>
      <c r="M732" s="43"/>
      <c r="N732" s="46">
        <v>9186.8799999999992</v>
      </c>
    </row>
    <row r="733" spans="1:14" hidden="1" x14ac:dyDescent="0.25">
      <c r="A733" s="57"/>
      <c r="B733" s="58"/>
      <c r="C733" s="350" t="s">
        <v>69</v>
      </c>
      <c r="D733" s="350"/>
      <c r="E733" s="350"/>
      <c r="F733" s="34"/>
      <c r="G733" s="35"/>
      <c r="H733" s="35"/>
      <c r="I733" s="35"/>
      <c r="J733" s="38"/>
      <c r="K733" s="35"/>
      <c r="L733" s="59">
        <v>949.76</v>
      </c>
      <c r="M733" s="54"/>
      <c r="N733" s="60">
        <v>44914.41</v>
      </c>
    </row>
    <row r="734" spans="1:14" ht="27" customHeight="1" x14ac:dyDescent="0.25">
      <c r="A734" s="32" t="s">
        <v>336</v>
      </c>
      <c r="B734" s="33" t="s">
        <v>82</v>
      </c>
      <c r="C734" s="350" t="s">
        <v>83</v>
      </c>
      <c r="D734" s="350"/>
      <c r="E734" s="350"/>
      <c r="F734" s="34" t="s">
        <v>58</v>
      </c>
      <c r="G734" s="35">
        <v>0.25800000000000001</v>
      </c>
      <c r="H734" s="36">
        <v>1</v>
      </c>
      <c r="I734" s="67">
        <v>0.25800000000000001</v>
      </c>
      <c r="J734" s="38"/>
      <c r="K734" s="35"/>
      <c r="L734" s="38"/>
      <c r="M734" s="35"/>
      <c r="N734" s="39"/>
    </row>
    <row r="735" spans="1:14" hidden="1" x14ac:dyDescent="0.25">
      <c r="A735" s="40"/>
      <c r="B735" s="41" t="s">
        <v>55</v>
      </c>
      <c r="C735" s="354" t="s">
        <v>59</v>
      </c>
      <c r="D735" s="354"/>
      <c r="E735" s="354"/>
      <c r="F735" s="42"/>
      <c r="G735" s="43"/>
      <c r="H735" s="43"/>
      <c r="I735" s="43"/>
      <c r="J735" s="44">
        <v>92.08</v>
      </c>
      <c r="K735" s="43"/>
      <c r="L735" s="44">
        <v>23.76</v>
      </c>
      <c r="M735" s="45">
        <v>52.21</v>
      </c>
      <c r="N735" s="46">
        <v>1240.51</v>
      </c>
    </row>
    <row r="736" spans="1:14" hidden="1" x14ac:dyDescent="0.25">
      <c r="A736" s="40"/>
      <c r="B736" s="41" t="s">
        <v>70</v>
      </c>
      <c r="C736" s="354" t="s">
        <v>74</v>
      </c>
      <c r="D736" s="354"/>
      <c r="E736" s="354"/>
      <c r="F736" s="42"/>
      <c r="G736" s="43"/>
      <c r="H736" s="43"/>
      <c r="I736" s="43"/>
      <c r="J736" s="44">
        <v>287.60000000000002</v>
      </c>
      <c r="K736" s="43"/>
      <c r="L736" s="44">
        <v>74.2</v>
      </c>
      <c r="M736" s="45">
        <v>15.71</v>
      </c>
      <c r="N736" s="46">
        <v>1165.68</v>
      </c>
    </row>
    <row r="737" spans="1:14" hidden="1" x14ac:dyDescent="0.25">
      <c r="A737" s="40"/>
      <c r="B737" s="41" t="s">
        <v>75</v>
      </c>
      <c r="C737" s="354" t="s">
        <v>76</v>
      </c>
      <c r="D737" s="354"/>
      <c r="E737" s="354"/>
      <c r="F737" s="42"/>
      <c r="G737" s="43"/>
      <c r="H737" s="43"/>
      <c r="I737" s="43"/>
      <c r="J737" s="44">
        <v>37.57</v>
      </c>
      <c r="K737" s="43"/>
      <c r="L737" s="44">
        <v>9.69</v>
      </c>
      <c r="M737" s="45">
        <v>52.21</v>
      </c>
      <c r="N737" s="69">
        <v>505.91</v>
      </c>
    </row>
    <row r="738" spans="1:14" hidden="1" x14ac:dyDescent="0.25">
      <c r="A738" s="47"/>
      <c r="B738" s="41"/>
      <c r="C738" s="354" t="s">
        <v>60</v>
      </c>
      <c r="D738" s="354"/>
      <c r="E738" s="354"/>
      <c r="F738" s="42" t="s">
        <v>61</v>
      </c>
      <c r="G738" s="63">
        <v>11.7</v>
      </c>
      <c r="H738" s="43"/>
      <c r="I738" s="64">
        <v>3.0186000000000002</v>
      </c>
      <c r="J738" s="50"/>
      <c r="K738" s="43"/>
      <c r="L738" s="50"/>
      <c r="M738" s="43"/>
      <c r="N738" s="51"/>
    </row>
    <row r="739" spans="1:14" hidden="1" x14ac:dyDescent="0.25">
      <c r="A739" s="47"/>
      <c r="B739" s="41"/>
      <c r="C739" s="354" t="s">
        <v>77</v>
      </c>
      <c r="D739" s="354"/>
      <c r="E739" s="354"/>
      <c r="F739" s="42" t="s">
        <v>61</v>
      </c>
      <c r="G739" s="45">
        <v>2.96</v>
      </c>
      <c r="H739" s="43"/>
      <c r="I739" s="68">
        <v>0.76368000000000003</v>
      </c>
      <c r="J739" s="50"/>
      <c r="K739" s="43"/>
      <c r="L739" s="50"/>
      <c r="M739" s="43"/>
      <c r="N739" s="51"/>
    </row>
    <row r="740" spans="1:14" hidden="1" x14ac:dyDescent="0.25">
      <c r="A740" s="52"/>
      <c r="B740" s="41"/>
      <c r="C740" s="355" t="s">
        <v>62</v>
      </c>
      <c r="D740" s="355"/>
      <c r="E740" s="355"/>
      <c r="F740" s="53"/>
      <c r="G740" s="54"/>
      <c r="H740" s="54"/>
      <c r="I740" s="54"/>
      <c r="J740" s="55">
        <v>379.68</v>
      </c>
      <c r="K740" s="54"/>
      <c r="L740" s="55">
        <v>97.96</v>
      </c>
      <c r="M740" s="54"/>
      <c r="N740" s="56">
        <v>2406.19</v>
      </c>
    </row>
    <row r="741" spans="1:14" hidden="1" x14ac:dyDescent="0.25">
      <c r="A741" s="47"/>
      <c r="B741" s="41"/>
      <c r="C741" s="354" t="s">
        <v>63</v>
      </c>
      <c r="D741" s="354"/>
      <c r="E741" s="354"/>
      <c r="F741" s="42"/>
      <c r="G741" s="43"/>
      <c r="H741" s="43"/>
      <c r="I741" s="43"/>
      <c r="J741" s="50"/>
      <c r="K741" s="43"/>
      <c r="L741" s="44">
        <v>33.450000000000003</v>
      </c>
      <c r="M741" s="43"/>
      <c r="N741" s="46">
        <v>1746.42</v>
      </c>
    </row>
    <row r="742" spans="1:14" hidden="1" x14ac:dyDescent="0.25">
      <c r="A742" s="47"/>
      <c r="B742" s="41" t="s">
        <v>84</v>
      </c>
      <c r="C742" s="354" t="s">
        <v>85</v>
      </c>
      <c r="D742" s="354"/>
      <c r="E742" s="354"/>
      <c r="F742" s="42" t="s">
        <v>66</v>
      </c>
      <c r="G742" s="48">
        <v>102</v>
      </c>
      <c r="H742" s="43"/>
      <c r="I742" s="48">
        <v>102</v>
      </c>
      <c r="J742" s="50"/>
      <c r="K742" s="43"/>
      <c r="L742" s="44">
        <v>34.119999999999997</v>
      </c>
      <c r="M742" s="43"/>
      <c r="N742" s="46">
        <v>1781.35</v>
      </c>
    </row>
    <row r="743" spans="1:14" hidden="1" x14ac:dyDescent="0.25">
      <c r="A743" s="47"/>
      <c r="B743" s="41" t="s">
        <v>86</v>
      </c>
      <c r="C743" s="354" t="s">
        <v>87</v>
      </c>
      <c r="D743" s="354"/>
      <c r="E743" s="354"/>
      <c r="F743" s="42" t="s">
        <v>66</v>
      </c>
      <c r="G743" s="48">
        <v>54</v>
      </c>
      <c r="H743" s="43"/>
      <c r="I743" s="48">
        <v>54</v>
      </c>
      <c r="J743" s="50"/>
      <c r="K743" s="43"/>
      <c r="L743" s="44">
        <v>18.059999999999999</v>
      </c>
      <c r="M743" s="43"/>
      <c r="N743" s="69">
        <v>943.07</v>
      </c>
    </row>
    <row r="744" spans="1:14" hidden="1" x14ac:dyDescent="0.25">
      <c r="A744" s="57"/>
      <c r="B744" s="58"/>
      <c r="C744" s="350" t="s">
        <v>69</v>
      </c>
      <c r="D744" s="350"/>
      <c r="E744" s="350"/>
      <c r="F744" s="34"/>
      <c r="G744" s="35"/>
      <c r="H744" s="35"/>
      <c r="I744" s="35"/>
      <c r="J744" s="38"/>
      <c r="K744" s="35"/>
      <c r="L744" s="59">
        <v>150.13999999999999</v>
      </c>
      <c r="M744" s="54"/>
      <c r="N744" s="60">
        <v>5130.6099999999997</v>
      </c>
    </row>
    <row r="745" spans="1:14" ht="29.25" customHeight="1" x14ac:dyDescent="0.25">
      <c r="A745" s="32" t="s">
        <v>337</v>
      </c>
      <c r="B745" s="33" t="s">
        <v>89</v>
      </c>
      <c r="C745" s="350" t="s">
        <v>90</v>
      </c>
      <c r="D745" s="350"/>
      <c r="E745" s="350"/>
      <c r="F745" s="34" t="s">
        <v>58</v>
      </c>
      <c r="G745" s="35">
        <v>0.1237</v>
      </c>
      <c r="H745" s="36">
        <v>1</v>
      </c>
      <c r="I745" s="37">
        <v>0.1237</v>
      </c>
      <c r="J745" s="38"/>
      <c r="K745" s="35"/>
      <c r="L745" s="38"/>
      <c r="M745" s="35"/>
      <c r="N745" s="39"/>
    </row>
    <row r="746" spans="1:14" hidden="1" x14ac:dyDescent="0.25">
      <c r="A746" s="40"/>
      <c r="B746" s="41" t="s">
        <v>55</v>
      </c>
      <c r="C746" s="354" t="s">
        <v>59</v>
      </c>
      <c r="D746" s="354"/>
      <c r="E746" s="354"/>
      <c r="F746" s="42"/>
      <c r="G746" s="43"/>
      <c r="H746" s="43"/>
      <c r="I746" s="43"/>
      <c r="J746" s="44">
        <v>106.88</v>
      </c>
      <c r="K746" s="43"/>
      <c r="L746" s="44">
        <v>13.22</v>
      </c>
      <c r="M746" s="45">
        <v>52.21</v>
      </c>
      <c r="N746" s="69">
        <v>690.22</v>
      </c>
    </row>
    <row r="747" spans="1:14" hidden="1" x14ac:dyDescent="0.25">
      <c r="A747" s="40"/>
      <c r="B747" s="41" t="s">
        <v>70</v>
      </c>
      <c r="C747" s="354" t="s">
        <v>74</v>
      </c>
      <c r="D747" s="354"/>
      <c r="E747" s="354"/>
      <c r="F747" s="42"/>
      <c r="G747" s="43"/>
      <c r="H747" s="43"/>
      <c r="I747" s="43"/>
      <c r="J747" s="44">
        <v>241.58</v>
      </c>
      <c r="K747" s="43"/>
      <c r="L747" s="44">
        <v>29.88</v>
      </c>
      <c r="M747" s="45">
        <v>15.71</v>
      </c>
      <c r="N747" s="69">
        <v>469.41</v>
      </c>
    </row>
    <row r="748" spans="1:14" hidden="1" x14ac:dyDescent="0.25">
      <c r="A748" s="40"/>
      <c r="B748" s="41" t="s">
        <v>75</v>
      </c>
      <c r="C748" s="354" t="s">
        <v>76</v>
      </c>
      <c r="D748" s="354"/>
      <c r="E748" s="354"/>
      <c r="F748" s="42"/>
      <c r="G748" s="43"/>
      <c r="H748" s="43"/>
      <c r="I748" s="43"/>
      <c r="J748" s="44">
        <v>26.36</v>
      </c>
      <c r="K748" s="43"/>
      <c r="L748" s="44">
        <v>3.26</v>
      </c>
      <c r="M748" s="45">
        <v>52.21</v>
      </c>
      <c r="N748" s="69">
        <v>170.2</v>
      </c>
    </row>
    <row r="749" spans="1:14" hidden="1" x14ac:dyDescent="0.25">
      <c r="A749" s="47"/>
      <c r="B749" s="41"/>
      <c r="C749" s="354" t="s">
        <v>60</v>
      </c>
      <c r="D749" s="354"/>
      <c r="E749" s="354"/>
      <c r="F749" s="42" t="s">
        <v>61</v>
      </c>
      <c r="G749" s="45">
        <v>12.53</v>
      </c>
      <c r="H749" s="43"/>
      <c r="I749" s="73">
        <v>1.5499609999999999</v>
      </c>
      <c r="J749" s="50"/>
      <c r="K749" s="43"/>
      <c r="L749" s="50"/>
      <c r="M749" s="43"/>
      <c r="N749" s="51"/>
    </row>
    <row r="750" spans="1:14" hidden="1" x14ac:dyDescent="0.25">
      <c r="A750" s="47"/>
      <c r="B750" s="41"/>
      <c r="C750" s="354" t="s">
        <v>77</v>
      </c>
      <c r="D750" s="354"/>
      <c r="E750" s="354"/>
      <c r="F750" s="42" t="s">
        <v>61</v>
      </c>
      <c r="G750" s="45">
        <v>2.62</v>
      </c>
      <c r="H750" s="43"/>
      <c r="I750" s="73">
        <v>0.32409399999999999</v>
      </c>
      <c r="J750" s="50"/>
      <c r="K750" s="43"/>
      <c r="L750" s="50"/>
      <c r="M750" s="43"/>
      <c r="N750" s="51"/>
    </row>
    <row r="751" spans="1:14" hidden="1" x14ac:dyDescent="0.25">
      <c r="A751" s="52"/>
      <c r="B751" s="41"/>
      <c r="C751" s="355" t="s">
        <v>62</v>
      </c>
      <c r="D751" s="355"/>
      <c r="E751" s="355"/>
      <c r="F751" s="53"/>
      <c r="G751" s="54"/>
      <c r="H751" s="54"/>
      <c r="I751" s="54"/>
      <c r="J751" s="55">
        <v>348.46</v>
      </c>
      <c r="K751" s="54"/>
      <c r="L751" s="55">
        <v>43.1</v>
      </c>
      <c r="M751" s="54"/>
      <c r="N751" s="56">
        <v>1159.6300000000001</v>
      </c>
    </row>
    <row r="752" spans="1:14" hidden="1" x14ac:dyDescent="0.25">
      <c r="A752" s="47"/>
      <c r="B752" s="41"/>
      <c r="C752" s="354" t="s">
        <v>63</v>
      </c>
      <c r="D752" s="354"/>
      <c r="E752" s="354"/>
      <c r="F752" s="42"/>
      <c r="G752" s="43"/>
      <c r="H752" s="43"/>
      <c r="I752" s="43"/>
      <c r="J752" s="50"/>
      <c r="K752" s="43"/>
      <c r="L752" s="44">
        <v>16.48</v>
      </c>
      <c r="M752" s="43"/>
      <c r="N752" s="69">
        <v>860.42</v>
      </c>
    </row>
    <row r="753" spans="1:14" ht="22.5" hidden="1" x14ac:dyDescent="0.25">
      <c r="A753" s="47"/>
      <c r="B753" s="41" t="s">
        <v>91</v>
      </c>
      <c r="C753" s="354" t="s">
        <v>92</v>
      </c>
      <c r="D753" s="354"/>
      <c r="E753" s="354"/>
      <c r="F753" s="42" t="s">
        <v>66</v>
      </c>
      <c r="G753" s="48">
        <v>92</v>
      </c>
      <c r="H753" s="43"/>
      <c r="I753" s="48">
        <v>92</v>
      </c>
      <c r="J753" s="50"/>
      <c r="K753" s="43"/>
      <c r="L753" s="44">
        <v>15.16</v>
      </c>
      <c r="M753" s="43"/>
      <c r="N753" s="69">
        <v>791.59</v>
      </c>
    </row>
    <row r="754" spans="1:14" ht="45" hidden="1" x14ac:dyDescent="0.25">
      <c r="A754" s="47"/>
      <c r="B754" s="41" t="s">
        <v>93</v>
      </c>
      <c r="C754" s="354" t="s">
        <v>94</v>
      </c>
      <c r="D754" s="354"/>
      <c r="E754" s="354"/>
      <c r="F754" s="42" t="s">
        <v>66</v>
      </c>
      <c r="G754" s="48">
        <v>46</v>
      </c>
      <c r="H754" s="45">
        <v>0.85</v>
      </c>
      <c r="I754" s="63">
        <v>39.1</v>
      </c>
      <c r="J754" s="50"/>
      <c r="K754" s="43"/>
      <c r="L754" s="44">
        <v>6.44</v>
      </c>
      <c r="M754" s="43"/>
      <c r="N754" s="69">
        <v>336.42</v>
      </c>
    </row>
    <row r="755" spans="1:14" hidden="1" x14ac:dyDescent="0.25">
      <c r="A755" s="57"/>
      <c r="B755" s="58"/>
      <c r="C755" s="350" t="s">
        <v>69</v>
      </c>
      <c r="D755" s="350"/>
      <c r="E755" s="350"/>
      <c r="F755" s="34"/>
      <c r="G755" s="35"/>
      <c r="H755" s="35"/>
      <c r="I755" s="35"/>
      <c r="J755" s="38"/>
      <c r="K755" s="35"/>
      <c r="L755" s="59">
        <v>64.7</v>
      </c>
      <c r="M755" s="54"/>
      <c r="N755" s="60">
        <v>2287.64</v>
      </c>
    </row>
    <row r="756" spans="1:14" x14ac:dyDescent="0.25">
      <c r="A756" s="32" t="s">
        <v>338</v>
      </c>
      <c r="B756" s="33" t="s">
        <v>96</v>
      </c>
      <c r="C756" s="350" t="s">
        <v>97</v>
      </c>
      <c r="D756" s="350"/>
      <c r="E756" s="350"/>
      <c r="F756" s="34" t="s">
        <v>58</v>
      </c>
      <c r="G756" s="35">
        <v>0.124</v>
      </c>
      <c r="H756" s="36">
        <v>1</v>
      </c>
      <c r="I756" s="67">
        <v>0.124</v>
      </c>
      <c r="J756" s="38"/>
      <c r="K756" s="35"/>
      <c r="L756" s="38"/>
      <c r="M756" s="35"/>
      <c r="N756" s="39"/>
    </row>
    <row r="757" spans="1:14" hidden="1" x14ac:dyDescent="0.25">
      <c r="A757" s="40"/>
      <c r="B757" s="41" t="s">
        <v>55</v>
      </c>
      <c r="C757" s="354" t="s">
        <v>59</v>
      </c>
      <c r="D757" s="354"/>
      <c r="E757" s="354"/>
      <c r="F757" s="42"/>
      <c r="G757" s="43"/>
      <c r="H757" s="43"/>
      <c r="I757" s="43"/>
      <c r="J757" s="44">
        <v>173.23</v>
      </c>
      <c r="K757" s="43"/>
      <c r="L757" s="44">
        <v>21.48</v>
      </c>
      <c r="M757" s="45">
        <v>52.21</v>
      </c>
      <c r="N757" s="46">
        <v>1121.47</v>
      </c>
    </row>
    <row r="758" spans="1:14" hidden="1" x14ac:dyDescent="0.25">
      <c r="A758" s="40"/>
      <c r="B758" s="41" t="s">
        <v>70</v>
      </c>
      <c r="C758" s="354" t="s">
        <v>74</v>
      </c>
      <c r="D758" s="354"/>
      <c r="E758" s="354"/>
      <c r="F758" s="42"/>
      <c r="G758" s="43"/>
      <c r="H758" s="43"/>
      <c r="I758" s="43"/>
      <c r="J758" s="62">
        <v>5268.76</v>
      </c>
      <c r="K758" s="43"/>
      <c r="L758" s="44">
        <v>653.33000000000004</v>
      </c>
      <c r="M758" s="45">
        <v>15.71</v>
      </c>
      <c r="N758" s="46">
        <v>10263.81</v>
      </c>
    </row>
    <row r="759" spans="1:14" hidden="1" x14ac:dyDescent="0.25">
      <c r="A759" s="40"/>
      <c r="B759" s="41" t="s">
        <v>75</v>
      </c>
      <c r="C759" s="354" t="s">
        <v>76</v>
      </c>
      <c r="D759" s="354"/>
      <c r="E759" s="354"/>
      <c r="F759" s="42"/>
      <c r="G759" s="43"/>
      <c r="H759" s="43"/>
      <c r="I759" s="43"/>
      <c r="J759" s="44">
        <v>267.67</v>
      </c>
      <c r="K759" s="43"/>
      <c r="L759" s="44">
        <v>33.19</v>
      </c>
      <c r="M759" s="45">
        <v>52.21</v>
      </c>
      <c r="N759" s="46">
        <v>1732.85</v>
      </c>
    </row>
    <row r="760" spans="1:14" hidden="1" x14ac:dyDescent="0.25">
      <c r="A760" s="40"/>
      <c r="B760" s="41" t="s">
        <v>88</v>
      </c>
      <c r="C760" s="354" t="s">
        <v>98</v>
      </c>
      <c r="D760" s="354"/>
      <c r="E760" s="354"/>
      <c r="F760" s="42"/>
      <c r="G760" s="43"/>
      <c r="H760" s="43"/>
      <c r="I760" s="43"/>
      <c r="J760" s="44">
        <v>17.079999999999998</v>
      </c>
      <c r="K760" s="43"/>
      <c r="L760" s="44">
        <v>2.12</v>
      </c>
      <c r="M760" s="63">
        <v>9.5</v>
      </c>
      <c r="N760" s="69">
        <v>20.14</v>
      </c>
    </row>
    <row r="761" spans="1:14" hidden="1" x14ac:dyDescent="0.25">
      <c r="A761" s="47"/>
      <c r="B761" s="41"/>
      <c r="C761" s="354" t="s">
        <v>60</v>
      </c>
      <c r="D761" s="354"/>
      <c r="E761" s="354"/>
      <c r="F761" s="42" t="s">
        <v>61</v>
      </c>
      <c r="G761" s="63">
        <v>21.6</v>
      </c>
      <c r="H761" s="43"/>
      <c r="I761" s="64">
        <v>2.6783999999999999</v>
      </c>
      <c r="J761" s="50"/>
      <c r="K761" s="43"/>
      <c r="L761" s="50"/>
      <c r="M761" s="43"/>
      <c r="N761" s="51"/>
    </row>
    <row r="762" spans="1:14" hidden="1" x14ac:dyDescent="0.25">
      <c r="A762" s="47"/>
      <c r="B762" s="41"/>
      <c r="C762" s="354" t="s">
        <v>77</v>
      </c>
      <c r="D762" s="354"/>
      <c r="E762" s="354"/>
      <c r="F762" s="42" t="s">
        <v>61</v>
      </c>
      <c r="G762" s="63">
        <v>20.6</v>
      </c>
      <c r="H762" s="43"/>
      <c r="I762" s="64">
        <v>2.5543999999999998</v>
      </c>
      <c r="J762" s="50"/>
      <c r="K762" s="43"/>
      <c r="L762" s="50"/>
      <c r="M762" s="43"/>
      <c r="N762" s="51"/>
    </row>
    <row r="763" spans="1:14" hidden="1" x14ac:dyDescent="0.25">
      <c r="A763" s="52"/>
      <c r="B763" s="41"/>
      <c r="C763" s="355" t="s">
        <v>62</v>
      </c>
      <c r="D763" s="355"/>
      <c r="E763" s="355"/>
      <c r="F763" s="53"/>
      <c r="G763" s="54"/>
      <c r="H763" s="54"/>
      <c r="I763" s="54"/>
      <c r="J763" s="65">
        <v>5459.07</v>
      </c>
      <c r="K763" s="54"/>
      <c r="L763" s="55">
        <v>676.93</v>
      </c>
      <c r="M763" s="54"/>
      <c r="N763" s="56">
        <v>11405.42</v>
      </c>
    </row>
    <row r="764" spans="1:14" hidden="1" x14ac:dyDescent="0.25">
      <c r="A764" s="47"/>
      <c r="B764" s="41"/>
      <c r="C764" s="354" t="s">
        <v>63</v>
      </c>
      <c r="D764" s="354"/>
      <c r="E764" s="354"/>
      <c r="F764" s="42"/>
      <c r="G764" s="43"/>
      <c r="H764" s="43"/>
      <c r="I764" s="43"/>
      <c r="J764" s="50"/>
      <c r="K764" s="43"/>
      <c r="L764" s="44">
        <v>54.67</v>
      </c>
      <c r="M764" s="43"/>
      <c r="N764" s="46">
        <v>2854.32</v>
      </c>
    </row>
    <row r="765" spans="1:14" ht="45" hidden="1" x14ac:dyDescent="0.25">
      <c r="A765" s="47"/>
      <c r="B765" s="41" t="s">
        <v>99</v>
      </c>
      <c r="C765" s="354" t="s">
        <v>100</v>
      </c>
      <c r="D765" s="354"/>
      <c r="E765" s="354"/>
      <c r="F765" s="42" t="s">
        <v>66</v>
      </c>
      <c r="G765" s="48">
        <v>147</v>
      </c>
      <c r="H765" s="43"/>
      <c r="I765" s="48">
        <v>147</v>
      </c>
      <c r="J765" s="50"/>
      <c r="K765" s="43"/>
      <c r="L765" s="44">
        <v>80.36</v>
      </c>
      <c r="M765" s="43"/>
      <c r="N765" s="46">
        <v>4195.8500000000004</v>
      </c>
    </row>
    <row r="766" spans="1:14" ht="67.5" hidden="1" x14ac:dyDescent="0.25">
      <c r="A766" s="47"/>
      <c r="B766" s="41" t="s">
        <v>101</v>
      </c>
      <c r="C766" s="354" t="s">
        <v>102</v>
      </c>
      <c r="D766" s="354"/>
      <c r="E766" s="354"/>
      <c r="F766" s="42" t="s">
        <v>66</v>
      </c>
      <c r="G766" s="48">
        <v>134</v>
      </c>
      <c r="H766" s="45">
        <v>0.85</v>
      </c>
      <c r="I766" s="63">
        <v>113.9</v>
      </c>
      <c r="J766" s="50"/>
      <c r="K766" s="43"/>
      <c r="L766" s="44">
        <v>62.27</v>
      </c>
      <c r="M766" s="43"/>
      <c r="N766" s="46">
        <v>3251.07</v>
      </c>
    </row>
    <row r="767" spans="1:14" hidden="1" x14ac:dyDescent="0.25">
      <c r="A767" s="57"/>
      <c r="B767" s="58"/>
      <c r="C767" s="350" t="s">
        <v>69</v>
      </c>
      <c r="D767" s="350"/>
      <c r="E767" s="350"/>
      <c r="F767" s="34"/>
      <c r="G767" s="35"/>
      <c r="H767" s="35"/>
      <c r="I767" s="35"/>
      <c r="J767" s="38"/>
      <c r="K767" s="35"/>
      <c r="L767" s="59">
        <v>819.56</v>
      </c>
      <c r="M767" s="54"/>
      <c r="N767" s="60">
        <v>18852.34</v>
      </c>
    </row>
    <row r="768" spans="1:14" ht="22.5" x14ac:dyDescent="0.25">
      <c r="A768" s="32" t="s">
        <v>339</v>
      </c>
      <c r="B768" s="33" t="s">
        <v>104</v>
      </c>
      <c r="C768" s="350" t="s">
        <v>105</v>
      </c>
      <c r="D768" s="350"/>
      <c r="E768" s="350"/>
      <c r="F768" s="34" t="s">
        <v>106</v>
      </c>
      <c r="G768" s="35">
        <v>15.62</v>
      </c>
      <c r="H768" s="36">
        <v>1</v>
      </c>
      <c r="I768" s="61">
        <v>15.62</v>
      </c>
      <c r="J768" s="59">
        <v>646.32000000000005</v>
      </c>
      <c r="K768" s="67">
        <v>1.012</v>
      </c>
      <c r="L768" s="66">
        <v>10216.66</v>
      </c>
      <c r="M768" s="70">
        <v>9.5</v>
      </c>
      <c r="N768" s="60">
        <v>97058.27</v>
      </c>
    </row>
    <row r="769" spans="1:14" hidden="1" x14ac:dyDescent="0.25">
      <c r="A769" s="52"/>
      <c r="B769" s="71"/>
      <c r="C769" s="354" t="s">
        <v>107</v>
      </c>
      <c r="D769" s="354"/>
      <c r="E769" s="354"/>
      <c r="F769" s="354"/>
      <c r="G769" s="354"/>
      <c r="H769" s="354"/>
      <c r="I769" s="354"/>
      <c r="J769" s="354"/>
      <c r="K769" s="354"/>
      <c r="L769" s="354"/>
      <c r="M769" s="354"/>
      <c r="N769" s="356"/>
    </row>
    <row r="770" spans="1:14" hidden="1" x14ac:dyDescent="0.25">
      <c r="A770" s="72"/>
      <c r="B770" s="41"/>
      <c r="C770" s="344" t="s">
        <v>108</v>
      </c>
      <c r="D770" s="344"/>
      <c r="E770" s="344"/>
      <c r="F770" s="344"/>
      <c r="G770" s="344"/>
      <c r="H770" s="344"/>
      <c r="I770" s="344"/>
      <c r="J770" s="344"/>
      <c r="K770" s="344"/>
      <c r="L770" s="344"/>
      <c r="M770" s="344"/>
      <c r="N770" s="357"/>
    </row>
    <row r="771" spans="1:14" hidden="1" x14ac:dyDescent="0.25">
      <c r="A771" s="57"/>
      <c r="B771" s="58"/>
      <c r="C771" s="350" t="s">
        <v>69</v>
      </c>
      <c r="D771" s="350"/>
      <c r="E771" s="350"/>
      <c r="F771" s="34"/>
      <c r="G771" s="35"/>
      <c r="H771" s="35"/>
      <c r="I771" s="35"/>
      <c r="J771" s="38"/>
      <c r="K771" s="35"/>
      <c r="L771" s="66">
        <v>10216.66</v>
      </c>
      <c r="M771" s="54"/>
      <c r="N771" s="60">
        <v>97058.27</v>
      </c>
    </row>
    <row r="772" spans="1:14" ht="43.5" customHeight="1" x14ac:dyDescent="0.25">
      <c r="A772" s="32" t="s">
        <v>340</v>
      </c>
      <c r="B772" s="33" t="s">
        <v>241</v>
      </c>
      <c r="C772" s="350" t="s">
        <v>242</v>
      </c>
      <c r="D772" s="350"/>
      <c r="E772" s="350"/>
      <c r="F772" s="34" t="s">
        <v>210</v>
      </c>
      <c r="G772" s="35">
        <v>1</v>
      </c>
      <c r="H772" s="36">
        <v>1</v>
      </c>
      <c r="I772" s="36">
        <v>1</v>
      </c>
      <c r="J772" s="38"/>
      <c r="K772" s="35"/>
      <c r="L772" s="38"/>
      <c r="M772" s="35"/>
      <c r="N772" s="39"/>
    </row>
    <row r="773" spans="1:14" hidden="1" x14ac:dyDescent="0.25">
      <c r="A773" s="40"/>
      <c r="B773" s="41" t="s">
        <v>55</v>
      </c>
      <c r="C773" s="354" t="s">
        <v>59</v>
      </c>
      <c r="D773" s="354"/>
      <c r="E773" s="354"/>
      <c r="F773" s="42"/>
      <c r="G773" s="43"/>
      <c r="H773" s="43"/>
      <c r="I773" s="43"/>
      <c r="J773" s="44">
        <v>316.8</v>
      </c>
      <c r="K773" s="43"/>
      <c r="L773" s="44">
        <v>316.8</v>
      </c>
      <c r="M773" s="45">
        <v>52.21</v>
      </c>
      <c r="N773" s="46">
        <v>16540.13</v>
      </c>
    </row>
    <row r="774" spans="1:14" hidden="1" x14ac:dyDescent="0.25">
      <c r="A774" s="40"/>
      <c r="B774" s="41" t="s">
        <v>70</v>
      </c>
      <c r="C774" s="354" t="s">
        <v>74</v>
      </c>
      <c r="D774" s="354"/>
      <c r="E774" s="354"/>
      <c r="F774" s="42"/>
      <c r="G774" s="43"/>
      <c r="H774" s="43"/>
      <c r="I774" s="43"/>
      <c r="J774" s="62">
        <v>8602.08</v>
      </c>
      <c r="K774" s="43"/>
      <c r="L774" s="62">
        <v>8602.08</v>
      </c>
      <c r="M774" s="45">
        <v>15.71</v>
      </c>
      <c r="N774" s="46">
        <v>135138.68</v>
      </c>
    </row>
    <row r="775" spans="1:14" hidden="1" x14ac:dyDescent="0.25">
      <c r="A775" s="40"/>
      <c r="B775" s="41" t="s">
        <v>75</v>
      </c>
      <c r="C775" s="354" t="s">
        <v>76</v>
      </c>
      <c r="D775" s="354"/>
      <c r="E775" s="354"/>
      <c r="F775" s="42"/>
      <c r="G775" s="43"/>
      <c r="H775" s="43"/>
      <c r="I775" s="43"/>
      <c r="J775" s="44">
        <v>328.35</v>
      </c>
      <c r="K775" s="43"/>
      <c r="L775" s="44">
        <v>328.35</v>
      </c>
      <c r="M775" s="45">
        <v>52.21</v>
      </c>
      <c r="N775" s="46">
        <v>17143.150000000001</v>
      </c>
    </row>
    <row r="776" spans="1:14" hidden="1" x14ac:dyDescent="0.25">
      <c r="A776" s="47"/>
      <c r="B776" s="41"/>
      <c r="C776" s="354" t="s">
        <v>60</v>
      </c>
      <c r="D776" s="354"/>
      <c r="E776" s="354"/>
      <c r="F776" s="42" t="s">
        <v>61</v>
      </c>
      <c r="G776" s="45">
        <v>34.51</v>
      </c>
      <c r="H776" s="43"/>
      <c r="I776" s="45">
        <v>34.51</v>
      </c>
      <c r="J776" s="50"/>
      <c r="K776" s="43"/>
      <c r="L776" s="50"/>
      <c r="M776" s="43"/>
      <c r="N776" s="51"/>
    </row>
    <row r="777" spans="1:14" hidden="1" x14ac:dyDescent="0.25">
      <c r="A777" s="47"/>
      <c r="B777" s="41"/>
      <c r="C777" s="354" t="s">
        <v>77</v>
      </c>
      <c r="D777" s="354"/>
      <c r="E777" s="354"/>
      <c r="F777" s="42" t="s">
        <v>61</v>
      </c>
      <c r="G777" s="45">
        <v>25.66</v>
      </c>
      <c r="H777" s="43"/>
      <c r="I777" s="45">
        <v>25.66</v>
      </c>
      <c r="J777" s="50"/>
      <c r="K777" s="43"/>
      <c r="L777" s="50"/>
      <c r="M777" s="43"/>
      <c r="N777" s="51"/>
    </row>
    <row r="778" spans="1:14" hidden="1" x14ac:dyDescent="0.25">
      <c r="A778" s="52"/>
      <c r="B778" s="41"/>
      <c r="C778" s="355" t="s">
        <v>62</v>
      </c>
      <c r="D778" s="355"/>
      <c r="E778" s="355"/>
      <c r="F778" s="53"/>
      <c r="G778" s="54"/>
      <c r="H778" s="54"/>
      <c r="I778" s="54"/>
      <c r="J778" s="65">
        <v>8918.8799999999992</v>
      </c>
      <c r="K778" s="54"/>
      <c r="L778" s="65">
        <v>8918.8799999999992</v>
      </c>
      <c r="M778" s="54"/>
      <c r="N778" s="56">
        <v>151678.81</v>
      </c>
    </row>
    <row r="779" spans="1:14" hidden="1" x14ac:dyDescent="0.25">
      <c r="A779" s="47"/>
      <c r="B779" s="41"/>
      <c r="C779" s="354" t="s">
        <v>63</v>
      </c>
      <c r="D779" s="354"/>
      <c r="E779" s="354"/>
      <c r="F779" s="42"/>
      <c r="G779" s="43"/>
      <c r="H779" s="43"/>
      <c r="I779" s="43"/>
      <c r="J779" s="50"/>
      <c r="K779" s="43"/>
      <c r="L779" s="44">
        <v>645.15</v>
      </c>
      <c r="M779" s="43"/>
      <c r="N779" s="46">
        <v>33683.279999999999</v>
      </c>
    </row>
    <row r="780" spans="1:14" ht="22.5" hidden="1" x14ac:dyDescent="0.25">
      <c r="A780" s="47"/>
      <c r="B780" s="41" t="s">
        <v>78</v>
      </c>
      <c r="C780" s="354" t="s">
        <v>79</v>
      </c>
      <c r="D780" s="354"/>
      <c r="E780" s="354"/>
      <c r="F780" s="42" t="s">
        <v>66</v>
      </c>
      <c r="G780" s="48">
        <v>109</v>
      </c>
      <c r="H780" s="43"/>
      <c r="I780" s="48">
        <v>109</v>
      </c>
      <c r="J780" s="50"/>
      <c r="K780" s="43"/>
      <c r="L780" s="44">
        <v>703.21</v>
      </c>
      <c r="M780" s="43"/>
      <c r="N780" s="46">
        <v>36714.78</v>
      </c>
    </row>
    <row r="781" spans="1:14" ht="45" hidden="1" x14ac:dyDescent="0.25">
      <c r="A781" s="47"/>
      <c r="B781" s="41" t="s">
        <v>80</v>
      </c>
      <c r="C781" s="354" t="s">
        <v>81</v>
      </c>
      <c r="D781" s="354"/>
      <c r="E781" s="354"/>
      <c r="F781" s="42" t="s">
        <v>66</v>
      </c>
      <c r="G781" s="48">
        <v>65</v>
      </c>
      <c r="H781" s="45">
        <v>0.85</v>
      </c>
      <c r="I781" s="45">
        <v>55.25</v>
      </c>
      <c r="J781" s="50"/>
      <c r="K781" s="43"/>
      <c r="L781" s="44">
        <v>356.45</v>
      </c>
      <c r="M781" s="43"/>
      <c r="N781" s="46">
        <v>18610.009999999998</v>
      </c>
    </row>
    <row r="782" spans="1:14" hidden="1" x14ac:dyDescent="0.25">
      <c r="A782" s="57"/>
      <c r="B782" s="58"/>
      <c r="C782" s="350" t="s">
        <v>69</v>
      </c>
      <c r="D782" s="350"/>
      <c r="E782" s="350"/>
      <c r="F782" s="34"/>
      <c r="G782" s="35"/>
      <c r="H782" s="35"/>
      <c r="I782" s="35"/>
      <c r="J782" s="38"/>
      <c r="K782" s="35"/>
      <c r="L782" s="66">
        <v>9978.5400000000009</v>
      </c>
      <c r="M782" s="54"/>
      <c r="N782" s="60">
        <v>207003.6</v>
      </c>
    </row>
    <row r="783" spans="1:14" ht="22.5" x14ac:dyDescent="0.25">
      <c r="A783" s="32" t="s">
        <v>341</v>
      </c>
      <c r="B783" s="33" t="s">
        <v>244</v>
      </c>
      <c r="C783" s="350" t="s">
        <v>245</v>
      </c>
      <c r="D783" s="350"/>
      <c r="E783" s="350"/>
      <c r="F783" s="34" t="s">
        <v>246</v>
      </c>
      <c r="G783" s="35">
        <v>1</v>
      </c>
      <c r="H783" s="36">
        <v>1</v>
      </c>
      <c r="I783" s="36">
        <v>1</v>
      </c>
      <c r="J783" s="66">
        <v>168421.05</v>
      </c>
      <c r="K783" s="74">
        <v>1.04236</v>
      </c>
      <c r="L783" s="66">
        <v>175555.37</v>
      </c>
      <c r="M783" s="70">
        <v>9.5</v>
      </c>
      <c r="N783" s="60">
        <v>1667776.02</v>
      </c>
    </row>
    <row r="784" spans="1:14" hidden="1" x14ac:dyDescent="0.25">
      <c r="A784" s="52"/>
      <c r="B784" s="71"/>
      <c r="C784" s="354" t="s">
        <v>247</v>
      </c>
      <c r="D784" s="354"/>
      <c r="E784" s="354"/>
      <c r="F784" s="354"/>
      <c r="G784" s="354"/>
      <c r="H784" s="354"/>
      <c r="I784" s="354"/>
      <c r="J784" s="354"/>
      <c r="K784" s="354"/>
      <c r="L784" s="354"/>
      <c r="M784" s="354"/>
      <c r="N784" s="356"/>
    </row>
    <row r="785" spans="1:14" hidden="1" x14ac:dyDescent="0.25">
      <c r="A785" s="72"/>
      <c r="B785" s="41"/>
      <c r="C785" s="344" t="s">
        <v>123</v>
      </c>
      <c r="D785" s="344"/>
      <c r="E785" s="344"/>
      <c r="F785" s="344"/>
      <c r="G785" s="344"/>
      <c r="H785" s="344"/>
      <c r="I785" s="344"/>
      <c r="J785" s="344"/>
      <c r="K785" s="344"/>
      <c r="L785" s="344"/>
      <c r="M785" s="344"/>
      <c r="N785" s="357"/>
    </row>
    <row r="786" spans="1:14" hidden="1" x14ac:dyDescent="0.25">
      <c r="A786" s="72"/>
      <c r="B786" s="41"/>
      <c r="C786" s="344" t="s">
        <v>108</v>
      </c>
      <c r="D786" s="344"/>
      <c r="E786" s="344"/>
      <c r="F786" s="344"/>
      <c r="G786" s="344"/>
      <c r="H786" s="344"/>
      <c r="I786" s="344"/>
      <c r="J786" s="344"/>
      <c r="K786" s="344"/>
      <c r="L786" s="344"/>
      <c r="M786" s="344"/>
      <c r="N786" s="357"/>
    </row>
    <row r="787" spans="1:14" hidden="1" x14ac:dyDescent="0.25">
      <c r="A787" s="57"/>
      <c r="B787" s="58"/>
      <c r="C787" s="350" t="s">
        <v>69</v>
      </c>
      <c r="D787" s="350"/>
      <c r="E787" s="350"/>
      <c r="F787" s="34"/>
      <c r="G787" s="35"/>
      <c r="H787" s="35"/>
      <c r="I787" s="35"/>
      <c r="J787" s="38"/>
      <c r="K787" s="35"/>
      <c r="L787" s="66">
        <v>175555.37</v>
      </c>
      <c r="M787" s="54"/>
      <c r="N787" s="60">
        <v>1667776.02</v>
      </c>
    </row>
    <row r="788" spans="1:14" ht="22.5" x14ac:dyDescent="0.25">
      <c r="A788" s="32" t="s">
        <v>342</v>
      </c>
      <c r="B788" s="33" t="s">
        <v>249</v>
      </c>
      <c r="C788" s="350" t="s">
        <v>250</v>
      </c>
      <c r="D788" s="350"/>
      <c r="E788" s="350"/>
      <c r="F788" s="34" t="s">
        <v>246</v>
      </c>
      <c r="G788" s="35">
        <v>1</v>
      </c>
      <c r="H788" s="36">
        <v>1</v>
      </c>
      <c r="I788" s="36">
        <v>1</v>
      </c>
      <c r="J788" s="66">
        <v>363157.89</v>
      </c>
      <c r="K788" s="74">
        <v>1.04236</v>
      </c>
      <c r="L788" s="66">
        <v>378541.26</v>
      </c>
      <c r="M788" s="70">
        <v>9.5</v>
      </c>
      <c r="N788" s="60">
        <v>3596141.97</v>
      </c>
    </row>
    <row r="789" spans="1:14" hidden="1" x14ac:dyDescent="0.25">
      <c r="A789" s="52"/>
      <c r="B789" s="71"/>
      <c r="C789" s="354" t="s">
        <v>251</v>
      </c>
      <c r="D789" s="354"/>
      <c r="E789" s="354"/>
      <c r="F789" s="354"/>
      <c r="G789" s="354"/>
      <c r="H789" s="354"/>
      <c r="I789" s="354"/>
      <c r="J789" s="354"/>
      <c r="K789" s="354"/>
      <c r="L789" s="354"/>
      <c r="M789" s="354"/>
      <c r="N789" s="356"/>
    </row>
    <row r="790" spans="1:14" hidden="1" x14ac:dyDescent="0.25">
      <c r="A790" s="72"/>
      <c r="B790" s="41"/>
      <c r="C790" s="344" t="s">
        <v>123</v>
      </c>
      <c r="D790" s="344"/>
      <c r="E790" s="344"/>
      <c r="F790" s="344"/>
      <c r="G790" s="344"/>
      <c r="H790" s="344"/>
      <c r="I790" s="344"/>
      <c r="J790" s="344"/>
      <c r="K790" s="344"/>
      <c r="L790" s="344"/>
      <c r="M790" s="344"/>
      <c r="N790" s="357"/>
    </row>
    <row r="791" spans="1:14" hidden="1" x14ac:dyDescent="0.25">
      <c r="A791" s="72"/>
      <c r="B791" s="41"/>
      <c r="C791" s="344" t="s">
        <v>108</v>
      </c>
      <c r="D791" s="344"/>
      <c r="E791" s="344"/>
      <c r="F791" s="344"/>
      <c r="G791" s="344"/>
      <c r="H791" s="344"/>
      <c r="I791" s="344"/>
      <c r="J791" s="344"/>
      <c r="K791" s="344"/>
      <c r="L791" s="344"/>
      <c r="M791" s="344"/>
      <c r="N791" s="357"/>
    </row>
    <row r="792" spans="1:14" hidden="1" x14ac:dyDescent="0.25">
      <c r="A792" s="57"/>
      <c r="B792" s="58"/>
      <c r="C792" s="350" t="s">
        <v>69</v>
      </c>
      <c r="D792" s="350"/>
      <c r="E792" s="350"/>
      <c r="F792" s="34"/>
      <c r="G792" s="35"/>
      <c r="H792" s="35"/>
      <c r="I792" s="35"/>
      <c r="J792" s="38"/>
      <c r="K792" s="35"/>
      <c r="L792" s="66">
        <v>378541.26</v>
      </c>
      <c r="M792" s="54"/>
      <c r="N792" s="60">
        <v>3596141.97</v>
      </c>
    </row>
    <row r="793" spans="1:14" ht="30.75" customHeight="1" x14ac:dyDescent="0.25">
      <c r="A793" s="32" t="s">
        <v>343</v>
      </c>
      <c r="B793" s="33" t="s">
        <v>253</v>
      </c>
      <c r="C793" s="350" t="s">
        <v>254</v>
      </c>
      <c r="D793" s="350"/>
      <c r="E793" s="350"/>
      <c r="F793" s="34" t="s">
        <v>115</v>
      </c>
      <c r="G793" s="35">
        <v>1</v>
      </c>
      <c r="H793" s="36">
        <v>1</v>
      </c>
      <c r="I793" s="36">
        <v>1</v>
      </c>
      <c r="J793" s="38"/>
      <c r="K793" s="35"/>
      <c r="L793" s="38"/>
      <c r="M793" s="35"/>
      <c r="N793" s="39"/>
    </row>
    <row r="794" spans="1:14" hidden="1" x14ac:dyDescent="0.25">
      <c r="A794" s="40"/>
      <c r="B794" s="41" t="s">
        <v>55</v>
      </c>
      <c r="C794" s="354" t="s">
        <v>59</v>
      </c>
      <c r="D794" s="354"/>
      <c r="E794" s="354"/>
      <c r="F794" s="42"/>
      <c r="G794" s="43"/>
      <c r="H794" s="43"/>
      <c r="I794" s="43"/>
      <c r="J794" s="44">
        <v>251.92</v>
      </c>
      <c r="K794" s="43"/>
      <c r="L794" s="44">
        <v>251.92</v>
      </c>
      <c r="M794" s="45">
        <v>52.21</v>
      </c>
      <c r="N794" s="46">
        <v>13152.74</v>
      </c>
    </row>
    <row r="795" spans="1:14" hidden="1" x14ac:dyDescent="0.25">
      <c r="A795" s="40"/>
      <c r="B795" s="41" t="s">
        <v>70</v>
      </c>
      <c r="C795" s="354" t="s">
        <v>74</v>
      </c>
      <c r="D795" s="354"/>
      <c r="E795" s="354"/>
      <c r="F795" s="42"/>
      <c r="G795" s="43"/>
      <c r="H795" s="43"/>
      <c r="I795" s="43"/>
      <c r="J795" s="44">
        <v>120.78</v>
      </c>
      <c r="K795" s="43"/>
      <c r="L795" s="44">
        <v>120.78</v>
      </c>
      <c r="M795" s="45">
        <v>15.71</v>
      </c>
      <c r="N795" s="46">
        <v>1897.45</v>
      </c>
    </row>
    <row r="796" spans="1:14" hidden="1" x14ac:dyDescent="0.25">
      <c r="A796" s="40"/>
      <c r="B796" s="41" t="s">
        <v>75</v>
      </c>
      <c r="C796" s="354" t="s">
        <v>76</v>
      </c>
      <c r="D796" s="354"/>
      <c r="E796" s="354"/>
      <c r="F796" s="42"/>
      <c r="G796" s="43"/>
      <c r="H796" s="43"/>
      <c r="I796" s="43"/>
      <c r="J796" s="44">
        <v>11.98</v>
      </c>
      <c r="K796" s="43"/>
      <c r="L796" s="44">
        <v>11.98</v>
      </c>
      <c r="M796" s="45">
        <v>52.21</v>
      </c>
      <c r="N796" s="69">
        <v>625.48</v>
      </c>
    </row>
    <row r="797" spans="1:14" hidden="1" x14ac:dyDescent="0.25">
      <c r="A797" s="40"/>
      <c r="B797" s="41" t="s">
        <v>88</v>
      </c>
      <c r="C797" s="354" t="s">
        <v>98</v>
      </c>
      <c r="D797" s="354"/>
      <c r="E797" s="354"/>
      <c r="F797" s="42"/>
      <c r="G797" s="43"/>
      <c r="H797" s="43"/>
      <c r="I797" s="43"/>
      <c r="J797" s="44">
        <v>812.09</v>
      </c>
      <c r="K797" s="43"/>
      <c r="L797" s="44">
        <v>812.09</v>
      </c>
      <c r="M797" s="63">
        <v>9.5</v>
      </c>
      <c r="N797" s="46">
        <v>7714.86</v>
      </c>
    </row>
    <row r="798" spans="1:14" hidden="1" x14ac:dyDescent="0.25">
      <c r="A798" s="47"/>
      <c r="B798" s="41"/>
      <c r="C798" s="354" t="s">
        <v>60</v>
      </c>
      <c r="D798" s="354"/>
      <c r="E798" s="354"/>
      <c r="F798" s="42" t="s">
        <v>61</v>
      </c>
      <c r="G798" s="63">
        <v>26.8</v>
      </c>
      <c r="H798" s="43"/>
      <c r="I798" s="63">
        <v>26.8</v>
      </c>
      <c r="J798" s="50"/>
      <c r="K798" s="43"/>
      <c r="L798" s="50"/>
      <c r="M798" s="43"/>
      <c r="N798" s="51"/>
    </row>
    <row r="799" spans="1:14" hidden="1" x14ac:dyDescent="0.25">
      <c r="A799" s="47"/>
      <c r="B799" s="41"/>
      <c r="C799" s="354" t="s">
        <v>77</v>
      </c>
      <c r="D799" s="354"/>
      <c r="E799" s="354"/>
      <c r="F799" s="42" t="s">
        <v>61</v>
      </c>
      <c r="G799" s="45">
        <v>0.92</v>
      </c>
      <c r="H799" s="43"/>
      <c r="I799" s="45">
        <v>0.92</v>
      </c>
      <c r="J799" s="50"/>
      <c r="K799" s="43"/>
      <c r="L799" s="50"/>
      <c r="M799" s="43"/>
      <c r="N799" s="51"/>
    </row>
    <row r="800" spans="1:14" hidden="1" x14ac:dyDescent="0.25">
      <c r="A800" s="52"/>
      <c r="B800" s="41"/>
      <c r="C800" s="355" t="s">
        <v>62</v>
      </c>
      <c r="D800" s="355"/>
      <c r="E800" s="355"/>
      <c r="F800" s="53"/>
      <c r="G800" s="54"/>
      <c r="H800" s="54"/>
      <c r="I800" s="54"/>
      <c r="J800" s="65">
        <v>1184.79</v>
      </c>
      <c r="K800" s="54"/>
      <c r="L800" s="65">
        <v>1184.79</v>
      </c>
      <c r="M800" s="54"/>
      <c r="N800" s="56">
        <v>22765.05</v>
      </c>
    </row>
    <row r="801" spans="1:14" hidden="1" x14ac:dyDescent="0.25">
      <c r="A801" s="47"/>
      <c r="B801" s="41"/>
      <c r="C801" s="354" t="s">
        <v>63</v>
      </c>
      <c r="D801" s="354"/>
      <c r="E801" s="354"/>
      <c r="F801" s="42"/>
      <c r="G801" s="43"/>
      <c r="H801" s="43"/>
      <c r="I801" s="43"/>
      <c r="J801" s="50"/>
      <c r="K801" s="43"/>
      <c r="L801" s="44">
        <v>263.89999999999998</v>
      </c>
      <c r="M801" s="43"/>
      <c r="N801" s="46">
        <v>13778.22</v>
      </c>
    </row>
    <row r="802" spans="1:14" hidden="1" x14ac:dyDescent="0.25">
      <c r="A802" s="47"/>
      <c r="B802" s="41" t="s">
        <v>255</v>
      </c>
      <c r="C802" s="354" t="s">
        <v>256</v>
      </c>
      <c r="D802" s="354"/>
      <c r="E802" s="354"/>
      <c r="F802" s="42" t="s">
        <v>66</v>
      </c>
      <c r="G802" s="48">
        <v>92</v>
      </c>
      <c r="H802" s="43"/>
      <c r="I802" s="48">
        <v>92</v>
      </c>
      <c r="J802" s="50"/>
      <c r="K802" s="43"/>
      <c r="L802" s="44">
        <v>242.79</v>
      </c>
      <c r="M802" s="43"/>
      <c r="N802" s="46">
        <v>12675.96</v>
      </c>
    </row>
    <row r="803" spans="1:14" hidden="1" x14ac:dyDescent="0.25">
      <c r="A803" s="47"/>
      <c r="B803" s="41" t="s">
        <v>257</v>
      </c>
      <c r="C803" s="354" t="s">
        <v>258</v>
      </c>
      <c r="D803" s="354"/>
      <c r="E803" s="354"/>
      <c r="F803" s="42" t="s">
        <v>66</v>
      </c>
      <c r="G803" s="48">
        <v>49</v>
      </c>
      <c r="H803" s="43"/>
      <c r="I803" s="48">
        <v>49</v>
      </c>
      <c r="J803" s="50"/>
      <c r="K803" s="43"/>
      <c r="L803" s="44">
        <v>129.31</v>
      </c>
      <c r="M803" s="43"/>
      <c r="N803" s="46">
        <v>6751.33</v>
      </c>
    </row>
    <row r="804" spans="1:14" hidden="1" x14ac:dyDescent="0.25">
      <c r="A804" s="57"/>
      <c r="B804" s="58"/>
      <c r="C804" s="350" t="s">
        <v>69</v>
      </c>
      <c r="D804" s="350"/>
      <c r="E804" s="350"/>
      <c r="F804" s="34"/>
      <c r="G804" s="35"/>
      <c r="H804" s="35"/>
      <c r="I804" s="35"/>
      <c r="J804" s="38"/>
      <c r="K804" s="35"/>
      <c r="L804" s="66">
        <v>1556.89</v>
      </c>
      <c r="M804" s="54"/>
      <c r="N804" s="60">
        <v>42192.34</v>
      </c>
    </row>
    <row r="805" spans="1:14" x14ac:dyDescent="0.25">
      <c r="A805" s="32" t="s">
        <v>344</v>
      </c>
      <c r="B805" s="33" t="s">
        <v>260</v>
      </c>
      <c r="C805" s="350" t="s">
        <v>261</v>
      </c>
      <c r="D805" s="350"/>
      <c r="E805" s="350"/>
      <c r="F805" s="34" t="s">
        <v>115</v>
      </c>
      <c r="G805" s="35">
        <v>-2</v>
      </c>
      <c r="H805" s="36">
        <v>1</v>
      </c>
      <c r="I805" s="36">
        <v>-2</v>
      </c>
      <c r="J805" s="59">
        <v>266.67</v>
      </c>
      <c r="K805" s="35"/>
      <c r="L805" s="59">
        <v>-533.34</v>
      </c>
      <c r="M805" s="70">
        <v>9.5</v>
      </c>
      <c r="N805" s="60">
        <v>-5066.7299999999996</v>
      </c>
    </row>
    <row r="806" spans="1:14" hidden="1" x14ac:dyDescent="0.25">
      <c r="A806" s="57"/>
      <c r="B806" s="58"/>
      <c r="C806" s="350" t="s">
        <v>69</v>
      </c>
      <c r="D806" s="350"/>
      <c r="E806" s="350"/>
      <c r="F806" s="34"/>
      <c r="G806" s="35"/>
      <c r="H806" s="35"/>
      <c r="I806" s="35"/>
      <c r="J806" s="38"/>
      <c r="K806" s="35"/>
      <c r="L806" s="59">
        <v>-533.34</v>
      </c>
      <c r="M806" s="54"/>
      <c r="N806" s="60">
        <v>-5066.7299999999996</v>
      </c>
    </row>
    <row r="807" spans="1:14" ht="22.5" x14ac:dyDescent="0.25">
      <c r="A807" s="32" t="s">
        <v>345</v>
      </c>
      <c r="B807" s="33" t="s">
        <v>263</v>
      </c>
      <c r="C807" s="350" t="s">
        <v>264</v>
      </c>
      <c r="D807" s="350"/>
      <c r="E807" s="350"/>
      <c r="F807" s="34" t="s">
        <v>115</v>
      </c>
      <c r="G807" s="35">
        <v>2</v>
      </c>
      <c r="H807" s="36">
        <v>1</v>
      </c>
      <c r="I807" s="36">
        <v>2</v>
      </c>
      <c r="J807" s="66">
        <v>4429.58</v>
      </c>
      <c r="K807" s="74">
        <v>1.04236</v>
      </c>
      <c r="L807" s="66">
        <v>9234.43</v>
      </c>
      <c r="M807" s="70">
        <v>9.5</v>
      </c>
      <c r="N807" s="60">
        <v>87727.09</v>
      </c>
    </row>
    <row r="808" spans="1:14" hidden="1" x14ac:dyDescent="0.25">
      <c r="A808" s="52"/>
      <c r="B808" s="71"/>
      <c r="C808" s="354" t="s">
        <v>265</v>
      </c>
      <c r="D808" s="354"/>
      <c r="E808" s="354"/>
      <c r="F808" s="354"/>
      <c r="G808" s="354"/>
      <c r="H808" s="354"/>
      <c r="I808" s="354"/>
      <c r="J808" s="354"/>
      <c r="K808" s="354"/>
      <c r="L808" s="354"/>
      <c r="M808" s="354"/>
      <c r="N808" s="356"/>
    </row>
    <row r="809" spans="1:14" hidden="1" x14ac:dyDescent="0.25">
      <c r="A809" s="72"/>
      <c r="B809" s="41"/>
      <c r="C809" s="344" t="s">
        <v>123</v>
      </c>
      <c r="D809" s="344"/>
      <c r="E809" s="344"/>
      <c r="F809" s="344"/>
      <c r="G809" s="344"/>
      <c r="H809" s="344"/>
      <c r="I809" s="344"/>
      <c r="J809" s="344"/>
      <c r="K809" s="344"/>
      <c r="L809" s="344"/>
      <c r="M809" s="344"/>
      <c r="N809" s="357"/>
    </row>
    <row r="810" spans="1:14" hidden="1" x14ac:dyDescent="0.25">
      <c r="A810" s="72"/>
      <c r="B810" s="41"/>
      <c r="C810" s="344" t="s">
        <v>108</v>
      </c>
      <c r="D810" s="344"/>
      <c r="E810" s="344"/>
      <c r="F810" s="344"/>
      <c r="G810" s="344"/>
      <c r="H810" s="344"/>
      <c r="I810" s="344"/>
      <c r="J810" s="344"/>
      <c r="K810" s="344"/>
      <c r="L810" s="344"/>
      <c r="M810" s="344"/>
      <c r="N810" s="357"/>
    </row>
    <row r="811" spans="1:14" hidden="1" x14ac:dyDescent="0.25">
      <c r="A811" s="57"/>
      <c r="B811" s="58"/>
      <c r="C811" s="350" t="s">
        <v>69</v>
      </c>
      <c r="D811" s="350"/>
      <c r="E811" s="350"/>
      <c r="F811" s="34"/>
      <c r="G811" s="35"/>
      <c r="H811" s="35"/>
      <c r="I811" s="35"/>
      <c r="J811" s="38"/>
      <c r="K811" s="35"/>
      <c r="L811" s="66">
        <v>9234.43</v>
      </c>
      <c r="M811" s="54"/>
      <c r="N811" s="60">
        <v>87727.09</v>
      </c>
    </row>
    <row r="812" spans="1:14" ht="22.5" x14ac:dyDescent="0.25">
      <c r="A812" s="32" t="s">
        <v>346</v>
      </c>
      <c r="B812" s="33" t="s">
        <v>267</v>
      </c>
      <c r="C812" s="350" t="s">
        <v>268</v>
      </c>
      <c r="D812" s="350"/>
      <c r="E812" s="350"/>
      <c r="F812" s="34" t="s">
        <v>115</v>
      </c>
      <c r="G812" s="35">
        <v>1</v>
      </c>
      <c r="H812" s="36">
        <v>1</v>
      </c>
      <c r="I812" s="36">
        <v>1</v>
      </c>
      <c r="J812" s="66">
        <v>15832.63</v>
      </c>
      <c r="K812" s="74">
        <v>1.04236</v>
      </c>
      <c r="L812" s="66">
        <v>16503.3</v>
      </c>
      <c r="M812" s="70">
        <v>9.5</v>
      </c>
      <c r="N812" s="60">
        <v>156781.35</v>
      </c>
    </row>
    <row r="813" spans="1:14" hidden="1" x14ac:dyDescent="0.25">
      <c r="A813" s="52"/>
      <c r="B813" s="71"/>
      <c r="C813" s="354" t="s">
        <v>269</v>
      </c>
      <c r="D813" s="354"/>
      <c r="E813" s="354"/>
      <c r="F813" s="354"/>
      <c r="G813" s="354"/>
      <c r="H813" s="354"/>
      <c r="I813" s="354"/>
      <c r="J813" s="354"/>
      <c r="K813" s="354"/>
      <c r="L813" s="354"/>
      <c r="M813" s="354"/>
      <c r="N813" s="356"/>
    </row>
    <row r="814" spans="1:14" hidden="1" x14ac:dyDescent="0.25">
      <c r="A814" s="72"/>
      <c r="B814" s="41"/>
      <c r="C814" s="344" t="s">
        <v>123</v>
      </c>
      <c r="D814" s="344"/>
      <c r="E814" s="344"/>
      <c r="F814" s="344"/>
      <c r="G814" s="344"/>
      <c r="H814" s="344"/>
      <c r="I814" s="344"/>
      <c r="J814" s="344"/>
      <c r="K814" s="344"/>
      <c r="L814" s="344"/>
      <c r="M814" s="344"/>
      <c r="N814" s="357"/>
    </row>
    <row r="815" spans="1:14" hidden="1" x14ac:dyDescent="0.25">
      <c r="A815" s="72"/>
      <c r="B815" s="41"/>
      <c r="C815" s="344" t="s">
        <v>108</v>
      </c>
      <c r="D815" s="344"/>
      <c r="E815" s="344"/>
      <c r="F815" s="344"/>
      <c r="G815" s="344"/>
      <c r="H815" s="344"/>
      <c r="I815" s="344"/>
      <c r="J815" s="344"/>
      <c r="K815" s="344"/>
      <c r="L815" s="344"/>
      <c r="M815" s="344"/>
      <c r="N815" s="357"/>
    </row>
    <row r="816" spans="1:14" hidden="1" x14ac:dyDescent="0.25">
      <c r="A816" s="57"/>
      <c r="B816" s="58"/>
      <c r="C816" s="350" t="s">
        <v>69</v>
      </c>
      <c r="D816" s="350"/>
      <c r="E816" s="350"/>
      <c r="F816" s="34"/>
      <c r="G816" s="35"/>
      <c r="H816" s="35"/>
      <c r="I816" s="35"/>
      <c r="J816" s="38"/>
      <c r="K816" s="35"/>
      <c r="L816" s="66">
        <v>16503.3</v>
      </c>
      <c r="M816" s="54"/>
      <c r="N816" s="60">
        <v>156781.35</v>
      </c>
    </row>
    <row r="817" spans="1:14" ht="22.5" x14ac:dyDescent="0.25">
      <c r="A817" s="32" t="s">
        <v>347</v>
      </c>
      <c r="B817" s="33" t="s">
        <v>120</v>
      </c>
      <c r="C817" s="350" t="s">
        <v>271</v>
      </c>
      <c r="D817" s="350"/>
      <c r="E817" s="350"/>
      <c r="F817" s="34" t="s">
        <v>115</v>
      </c>
      <c r="G817" s="35">
        <v>1</v>
      </c>
      <c r="H817" s="36">
        <v>1</v>
      </c>
      <c r="I817" s="36">
        <v>1</v>
      </c>
      <c r="J817" s="59">
        <v>421.93</v>
      </c>
      <c r="K817" s="74">
        <v>1.04236</v>
      </c>
      <c r="L817" s="59">
        <v>439.8</v>
      </c>
      <c r="M817" s="70">
        <v>9.5</v>
      </c>
      <c r="N817" s="60">
        <v>4178.1000000000004</v>
      </c>
    </row>
    <row r="818" spans="1:14" hidden="1" x14ac:dyDescent="0.25">
      <c r="A818" s="52"/>
      <c r="B818" s="71"/>
      <c r="C818" s="354" t="s">
        <v>272</v>
      </c>
      <c r="D818" s="354"/>
      <c r="E818" s="354"/>
      <c r="F818" s="354"/>
      <c r="G818" s="354"/>
      <c r="H818" s="354"/>
      <c r="I818" s="354"/>
      <c r="J818" s="354"/>
      <c r="K818" s="354"/>
      <c r="L818" s="354"/>
      <c r="M818" s="354"/>
      <c r="N818" s="356"/>
    </row>
    <row r="819" spans="1:14" hidden="1" x14ac:dyDescent="0.25">
      <c r="A819" s="72"/>
      <c r="B819" s="41"/>
      <c r="C819" s="344" t="s">
        <v>123</v>
      </c>
      <c r="D819" s="344"/>
      <c r="E819" s="344"/>
      <c r="F819" s="344"/>
      <c r="G819" s="344"/>
      <c r="H819" s="344"/>
      <c r="I819" s="344"/>
      <c r="J819" s="344"/>
      <c r="K819" s="344"/>
      <c r="L819" s="344"/>
      <c r="M819" s="344"/>
      <c r="N819" s="357"/>
    </row>
    <row r="820" spans="1:14" hidden="1" x14ac:dyDescent="0.25">
      <c r="A820" s="72"/>
      <c r="B820" s="41"/>
      <c r="C820" s="344" t="s">
        <v>108</v>
      </c>
      <c r="D820" s="344"/>
      <c r="E820" s="344"/>
      <c r="F820" s="344"/>
      <c r="G820" s="344"/>
      <c r="H820" s="344"/>
      <c r="I820" s="344"/>
      <c r="J820" s="344"/>
      <c r="K820" s="344"/>
      <c r="L820" s="344"/>
      <c r="M820" s="344"/>
      <c r="N820" s="357"/>
    </row>
    <row r="821" spans="1:14" hidden="1" x14ac:dyDescent="0.25">
      <c r="A821" s="57"/>
      <c r="B821" s="58"/>
      <c r="C821" s="350" t="s">
        <v>69</v>
      </c>
      <c r="D821" s="350"/>
      <c r="E821" s="350"/>
      <c r="F821" s="34"/>
      <c r="G821" s="35"/>
      <c r="H821" s="35"/>
      <c r="I821" s="35"/>
      <c r="J821" s="38"/>
      <c r="K821" s="35"/>
      <c r="L821" s="59">
        <v>439.8</v>
      </c>
      <c r="M821" s="54"/>
      <c r="N821" s="60">
        <v>4178.1000000000004</v>
      </c>
    </row>
    <row r="822" spans="1:14" x14ac:dyDescent="0.25">
      <c r="A822" s="32" t="s">
        <v>348</v>
      </c>
      <c r="B822" s="33" t="s">
        <v>274</v>
      </c>
      <c r="C822" s="350" t="s">
        <v>275</v>
      </c>
      <c r="D822" s="350"/>
      <c r="E822" s="350"/>
      <c r="F822" s="34" t="s">
        <v>276</v>
      </c>
      <c r="G822" s="35">
        <v>0.06</v>
      </c>
      <c r="H822" s="36">
        <v>1</v>
      </c>
      <c r="I822" s="61">
        <v>0.06</v>
      </c>
      <c r="J822" s="38"/>
      <c r="K822" s="35"/>
      <c r="L822" s="38"/>
      <c r="M822" s="35"/>
      <c r="N822" s="39"/>
    </row>
    <row r="823" spans="1:14" hidden="1" x14ac:dyDescent="0.25">
      <c r="A823" s="40"/>
      <c r="B823" s="41" t="s">
        <v>55</v>
      </c>
      <c r="C823" s="354" t="s">
        <v>59</v>
      </c>
      <c r="D823" s="354"/>
      <c r="E823" s="354"/>
      <c r="F823" s="42"/>
      <c r="G823" s="43"/>
      <c r="H823" s="43"/>
      <c r="I823" s="43"/>
      <c r="J823" s="62">
        <v>1183.68</v>
      </c>
      <c r="K823" s="43"/>
      <c r="L823" s="44">
        <v>71.02</v>
      </c>
      <c r="M823" s="45">
        <v>52.21</v>
      </c>
      <c r="N823" s="46">
        <v>3707.95</v>
      </c>
    </row>
    <row r="824" spans="1:14" hidden="1" x14ac:dyDescent="0.25">
      <c r="A824" s="40"/>
      <c r="B824" s="41" t="s">
        <v>70</v>
      </c>
      <c r="C824" s="354" t="s">
        <v>74</v>
      </c>
      <c r="D824" s="354"/>
      <c r="E824" s="354"/>
      <c r="F824" s="42"/>
      <c r="G824" s="43"/>
      <c r="H824" s="43"/>
      <c r="I824" s="43"/>
      <c r="J824" s="44">
        <v>946.33</v>
      </c>
      <c r="K824" s="43"/>
      <c r="L824" s="44">
        <v>56.78</v>
      </c>
      <c r="M824" s="45">
        <v>15.71</v>
      </c>
      <c r="N824" s="69">
        <v>892.01</v>
      </c>
    </row>
    <row r="825" spans="1:14" hidden="1" x14ac:dyDescent="0.25">
      <c r="A825" s="40"/>
      <c r="B825" s="41" t="s">
        <v>75</v>
      </c>
      <c r="C825" s="354" t="s">
        <v>76</v>
      </c>
      <c r="D825" s="354"/>
      <c r="E825" s="354"/>
      <c r="F825" s="42"/>
      <c r="G825" s="43"/>
      <c r="H825" s="43"/>
      <c r="I825" s="43"/>
      <c r="J825" s="44">
        <v>90.65</v>
      </c>
      <c r="K825" s="43"/>
      <c r="L825" s="44">
        <v>5.44</v>
      </c>
      <c r="M825" s="45">
        <v>52.21</v>
      </c>
      <c r="N825" s="69">
        <v>284.02</v>
      </c>
    </row>
    <row r="826" spans="1:14" hidden="1" x14ac:dyDescent="0.25">
      <c r="A826" s="40"/>
      <c r="B826" s="41" t="s">
        <v>88</v>
      </c>
      <c r="C826" s="354" t="s">
        <v>98</v>
      </c>
      <c r="D826" s="354"/>
      <c r="E826" s="354"/>
      <c r="F826" s="42"/>
      <c r="G826" s="43"/>
      <c r="H826" s="43"/>
      <c r="I826" s="43"/>
      <c r="J826" s="62">
        <v>8643.11</v>
      </c>
      <c r="K826" s="43"/>
      <c r="L826" s="44">
        <v>518.59</v>
      </c>
      <c r="M826" s="63">
        <v>9.5</v>
      </c>
      <c r="N826" s="46">
        <v>4926.6099999999997</v>
      </c>
    </row>
    <row r="827" spans="1:14" hidden="1" x14ac:dyDescent="0.25">
      <c r="A827" s="47"/>
      <c r="B827" s="41"/>
      <c r="C827" s="354" t="s">
        <v>60</v>
      </c>
      <c r="D827" s="354"/>
      <c r="E827" s="354"/>
      <c r="F827" s="42" t="s">
        <v>61</v>
      </c>
      <c r="G827" s="48">
        <v>137</v>
      </c>
      <c r="H827" s="43"/>
      <c r="I827" s="45">
        <v>8.2200000000000006</v>
      </c>
      <c r="J827" s="50"/>
      <c r="K827" s="43"/>
      <c r="L827" s="50"/>
      <c r="M827" s="43"/>
      <c r="N827" s="51"/>
    </row>
    <row r="828" spans="1:14" hidden="1" x14ac:dyDescent="0.25">
      <c r="A828" s="47"/>
      <c r="B828" s="41"/>
      <c r="C828" s="354" t="s">
        <v>77</v>
      </c>
      <c r="D828" s="354"/>
      <c r="E828" s="354"/>
      <c r="F828" s="42" t="s">
        <v>61</v>
      </c>
      <c r="G828" s="45">
        <v>8.01</v>
      </c>
      <c r="H828" s="43"/>
      <c r="I828" s="64">
        <v>0.48060000000000003</v>
      </c>
      <c r="J828" s="50"/>
      <c r="K828" s="43"/>
      <c r="L828" s="50"/>
      <c r="M828" s="43"/>
      <c r="N828" s="51"/>
    </row>
    <row r="829" spans="1:14" hidden="1" x14ac:dyDescent="0.25">
      <c r="A829" s="52"/>
      <c r="B829" s="41"/>
      <c r="C829" s="355" t="s">
        <v>62</v>
      </c>
      <c r="D829" s="355"/>
      <c r="E829" s="355"/>
      <c r="F829" s="53"/>
      <c r="G829" s="54"/>
      <c r="H829" s="54"/>
      <c r="I829" s="54"/>
      <c r="J829" s="65">
        <v>10773.12</v>
      </c>
      <c r="K829" s="54"/>
      <c r="L829" s="55">
        <v>646.39</v>
      </c>
      <c r="M829" s="54"/>
      <c r="N829" s="56">
        <v>9526.57</v>
      </c>
    </row>
    <row r="830" spans="1:14" hidden="1" x14ac:dyDescent="0.25">
      <c r="A830" s="47"/>
      <c r="B830" s="41"/>
      <c r="C830" s="354" t="s">
        <v>63</v>
      </c>
      <c r="D830" s="354"/>
      <c r="E830" s="354"/>
      <c r="F830" s="42"/>
      <c r="G830" s="43"/>
      <c r="H830" s="43"/>
      <c r="I830" s="43"/>
      <c r="J830" s="50"/>
      <c r="K830" s="43"/>
      <c r="L830" s="44">
        <v>76.459999999999994</v>
      </c>
      <c r="M830" s="43"/>
      <c r="N830" s="46">
        <v>3991.97</v>
      </c>
    </row>
    <row r="831" spans="1:14" hidden="1" x14ac:dyDescent="0.25">
      <c r="A831" s="47"/>
      <c r="B831" s="41" t="s">
        <v>277</v>
      </c>
      <c r="C831" s="354" t="s">
        <v>278</v>
      </c>
      <c r="D831" s="354"/>
      <c r="E831" s="354"/>
      <c r="F831" s="42" t="s">
        <v>66</v>
      </c>
      <c r="G831" s="48">
        <v>106</v>
      </c>
      <c r="H831" s="43"/>
      <c r="I831" s="48">
        <v>106</v>
      </c>
      <c r="J831" s="50"/>
      <c r="K831" s="43"/>
      <c r="L831" s="44">
        <v>81.05</v>
      </c>
      <c r="M831" s="43"/>
      <c r="N831" s="46">
        <v>4231.49</v>
      </c>
    </row>
    <row r="832" spans="1:14" ht="33.75" hidden="1" x14ac:dyDescent="0.25">
      <c r="A832" s="47"/>
      <c r="B832" s="41" t="s">
        <v>279</v>
      </c>
      <c r="C832" s="354" t="s">
        <v>280</v>
      </c>
      <c r="D832" s="354"/>
      <c r="E832" s="354"/>
      <c r="F832" s="42" t="s">
        <v>66</v>
      </c>
      <c r="G832" s="48">
        <v>56</v>
      </c>
      <c r="H832" s="45">
        <v>0.85</v>
      </c>
      <c r="I832" s="63">
        <v>47.6</v>
      </c>
      <c r="J832" s="50"/>
      <c r="K832" s="43"/>
      <c r="L832" s="44">
        <v>36.39</v>
      </c>
      <c r="M832" s="43"/>
      <c r="N832" s="46">
        <v>1900.18</v>
      </c>
    </row>
    <row r="833" spans="1:14" hidden="1" x14ac:dyDescent="0.25">
      <c r="A833" s="57"/>
      <c r="B833" s="58"/>
      <c r="C833" s="350" t="s">
        <v>69</v>
      </c>
      <c r="D833" s="350"/>
      <c r="E833" s="350"/>
      <c r="F833" s="34"/>
      <c r="G833" s="35"/>
      <c r="H833" s="35"/>
      <c r="I833" s="35"/>
      <c r="J833" s="38"/>
      <c r="K833" s="35"/>
      <c r="L833" s="59">
        <v>763.83</v>
      </c>
      <c r="M833" s="54"/>
      <c r="N833" s="60">
        <v>15658.24</v>
      </c>
    </row>
    <row r="834" spans="1:14" x14ac:dyDescent="0.25">
      <c r="A834" s="32" t="s">
        <v>349</v>
      </c>
      <c r="B834" s="33" t="s">
        <v>282</v>
      </c>
      <c r="C834" s="350" t="s">
        <v>283</v>
      </c>
      <c r="D834" s="350"/>
      <c r="E834" s="350"/>
      <c r="F834" s="34" t="s">
        <v>127</v>
      </c>
      <c r="G834" s="35">
        <v>-2.9000000000000001E-2</v>
      </c>
      <c r="H834" s="36">
        <v>1</v>
      </c>
      <c r="I834" s="67">
        <v>-2.9000000000000001E-2</v>
      </c>
      <c r="J834" s="66">
        <v>9727.3700000000008</v>
      </c>
      <c r="K834" s="35"/>
      <c r="L834" s="59">
        <v>-282.08999999999997</v>
      </c>
      <c r="M834" s="70">
        <v>9.5</v>
      </c>
      <c r="N834" s="60">
        <v>-2679.86</v>
      </c>
    </row>
    <row r="835" spans="1:14" hidden="1" x14ac:dyDescent="0.25">
      <c r="A835" s="57"/>
      <c r="B835" s="58"/>
      <c r="C835" s="350" t="s">
        <v>69</v>
      </c>
      <c r="D835" s="350"/>
      <c r="E835" s="350"/>
      <c r="F835" s="34"/>
      <c r="G835" s="35"/>
      <c r="H835" s="35"/>
      <c r="I835" s="35"/>
      <c r="J835" s="38"/>
      <c r="K835" s="35"/>
      <c r="L835" s="59">
        <v>-282.08999999999997</v>
      </c>
      <c r="M835" s="54"/>
      <c r="N835" s="60">
        <v>-2679.86</v>
      </c>
    </row>
    <row r="836" spans="1:14" ht="22.5" x14ac:dyDescent="0.25">
      <c r="A836" s="32" t="s">
        <v>350</v>
      </c>
      <c r="B836" s="33" t="s">
        <v>120</v>
      </c>
      <c r="C836" s="350" t="s">
        <v>285</v>
      </c>
      <c r="D836" s="350"/>
      <c r="E836" s="350"/>
      <c r="F836" s="34" t="s">
        <v>130</v>
      </c>
      <c r="G836" s="35">
        <v>0.36</v>
      </c>
      <c r="H836" s="36">
        <v>1</v>
      </c>
      <c r="I836" s="61">
        <v>0.36</v>
      </c>
      <c r="J836" s="66">
        <v>37646.32</v>
      </c>
      <c r="K836" s="74">
        <v>1.04236</v>
      </c>
      <c r="L836" s="66">
        <v>14126.77</v>
      </c>
      <c r="M836" s="70">
        <v>9.5</v>
      </c>
      <c r="N836" s="60">
        <v>134204.32</v>
      </c>
    </row>
    <row r="837" spans="1:14" hidden="1" x14ac:dyDescent="0.25">
      <c r="A837" s="52"/>
      <c r="B837" s="71"/>
      <c r="C837" s="354" t="s">
        <v>137</v>
      </c>
      <c r="D837" s="354"/>
      <c r="E837" s="354"/>
      <c r="F837" s="354"/>
      <c r="G837" s="354"/>
      <c r="H837" s="354"/>
      <c r="I837" s="354"/>
      <c r="J837" s="354"/>
      <c r="K837" s="354"/>
      <c r="L837" s="354"/>
      <c r="M837" s="354"/>
      <c r="N837" s="356"/>
    </row>
    <row r="838" spans="1:14" hidden="1" x14ac:dyDescent="0.25">
      <c r="A838" s="72"/>
      <c r="B838" s="41"/>
      <c r="C838" s="344" t="s">
        <v>123</v>
      </c>
      <c r="D838" s="344"/>
      <c r="E838" s="344"/>
      <c r="F838" s="344"/>
      <c r="G838" s="344"/>
      <c r="H838" s="344"/>
      <c r="I838" s="344"/>
      <c r="J838" s="344"/>
      <c r="K838" s="344"/>
      <c r="L838" s="344"/>
      <c r="M838" s="344"/>
      <c r="N838" s="357"/>
    </row>
    <row r="839" spans="1:14" hidden="1" x14ac:dyDescent="0.25">
      <c r="A839" s="72"/>
      <c r="B839" s="41"/>
      <c r="C839" s="344" t="s">
        <v>108</v>
      </c>
      <c r="D839" s="344"/>
      <c r="E839" s="344"/>
      <c r="F839" s="344"/>
      <c r="G839" s="344"/>
      <c r="H839" s="344"/>
      <c r="I839" s="344"/>
      <c r="J839" s="344"/>
      <c r="K839" s="344"/>
      <c r="L839" s="344"/>
      <c r="M839" s="344"/>
      <c r="N839" s="357"/>
    </row>
    <row r="840" spans="1:14" hidden="1" x14ac:dyDescent="0.25">
      <c r="A840" s="57"/>
      <c r="B840" s="58"/>
      <c r="C840" s="350" t="s">
        <v>69</v>
      </c>
      <c r="D840" s="350"/>
      <c r="E840" s="350"/>
      <c r="F840" s="34"/>
      <c r="G840" s="35"/>
      <c r="H840" s="35"/>
      <c r="I840" s="35"/>
      <c r="J840" s="38"/>
      <c r="K840" s="35"/>
      <c r="L840" s="66">
        <v>14126.77</v>
      </c>
      <c r="M840" s="54"/>
      <c r="N840" s="60">
        <v>134204.32</v>
      </c>
    </row>
    <row r="841" spans="1:14" ht="22.5" x14ac:dyDescent="0.25">
      <c r="A841" s="32" t="s">
        <v>351</v>
      </c>
      <c r="B841" s="33" t="s">
        <v>120</v>
      </c>
      <c r="C841" s="350" t="s">
        <v>129</v>
      </c>
      <c r="D841" s="350"/>
      <c r="E841" s="350"/>
      <c r="F841" s="34" t="s">
        <v>130</v>
      </c>
      <c r="G841" s="35">
        <v>2.9000000000000001E-2</v>
      </c>
      <c r="H841" s="36">
        <v>1</v>
      </c>
      <c r="I841" s="67">
        <v>2.9000000000000001E-2</v>
      </c>
      <c r="J841" s="66">
        <v>27894.74</v>
      </c>
      <c r="K841" s="74">
        <v>1.04236</v>
      </c>
      <c r="L841" s="59">
        <v>843.21</v>
      </c>
      <c r="M841" s="70">
        <v>9.5</v>
      </c>
      <c r="N841" s="60">
        <v>8010.5</v>
      </c>
    </row>
    <row r="842" spans="1:14" hidden="1" x14ac:dyDescent="0.25">
      <c r="A842" s="52"/>
      <c r="B842" s="71"/>
      <c r="C842" s="354" t="s">
        <v>131</v>
      </c>
      <c r="D842" s="354"/>
      <c r="E842" s="354"/>
      <c r="F842" s="354"/>
      <c r="G842" s="354"/>
      <c r="H842" s="354"/>
      <c r="I842" s="354"/>
      <c r="J842" s="354"/>
      <c r="K842" s="354"/>
      <c r="L842" s="354"/>
      <c r="M842" s="354"/>
      <c r="N842" s="356"/>
    </row>
    <row r="843" spans="1:14" hidden="1" x14ac:dyDescent="0.25">
      <c r="A843" s="72"/>
      <c r="B843" s="41"/>
      <c r="C843" s="344" t="s">
        <v>123</v>
      </c>
      <c r="D843" s="344"/>
      <c r="E843" s="344"/>
      <c r="F843" s="344"/>
      <c r="G843" s="344"/>
      <c r="H843" s="344"/>
      <c r="I843" s="344"/>
      <c r="J843" s="344"/>
      <c r="K843" s="344"/>
      <c r="L843" s="344"/>
      <c r="M843" s="344"/>
      <c r="N843" s="357"/>
    </row>
    <row r="844" spans="1:14" hidden="1" x14ac:dyDescent="0.25">
      <c r="A844" s="72"/>
      <c r="B844" s="41"/>
      <c r="C844" s="344" t="s">
        <v>108</v>
      </c>
      <c r="D844" s="344"/>
      <c r="E844" s="344"/>
      <c r="F844" s="344"/>
      <c r="G844" s="344"/>
      <c r="H844" s="344"/>
      <c r="I844" s="344"/>
      <c r="J844" s="344"/>
      <c r="K844" s="344"/>
      <c r="L844" s="344"/>
      <c r="M844" s="344"/>
      <c r="N844" s="357"/>
    </row>
    <row r="845" spans="1:14" hidden="1" x14ac:dyDescent="0.25">
      <c r="A845" s="57"/>
      <c r="B845" s="58"/>
      <c r="C845" s="350" t="s">
        <v>69</v>
      </c>
      <c r="D845" s="350"/>
      <c r="E845" s="350"/>
      <c r="F845" s="34"/>
      <c r="G845" s="35"/>
      <c r="H845" s="35"/>
      <c r="I845" s="35"/>
      <c r="J845" s="38"/>
      <c r="K845" s="35"/>
      <c r="L845" s="59">
        <v>843.21</v>
      </c>
      <c r="M845" s="54"/>
      <c r="N845" s="60">
        <v>8010.5</v>
      </c>
    </row>
    <row r="846" spans="1:14" ht="43.5" customHeight="1" x14ac:dyDescent="0.25">
      <c r="A846" s="32" t="s">
        <v>352</v>
      </c>
      <c r="B846" s="33" t="s">
        <v>288</v>
      </c>
      <c r="C846" s="350" t="s">
        <v>289</v>
      </c>
      <c r="D846" s="350"/>
      <c r="E846" s="350"/>
      <c r="F846" s="34" t="s">
        <v>160</v>
      </c>
      <c r="G846" s="35">
        <v>1.3299999999999999E-2</v>
      </c>
      <c r="H846" s="36">
        <v>1</v>
      </c>
      <c r="I846" s="37">
        <v>1.3299999999999999E-2</v>
      </c>
      <c r="J846" s="38"/>
      <c r="K846" s="35"/>
      <c r="L846" s="38"/>
      <c r="M846" s="35"/>
      <c r="N846" s="39"/>
    </row>
    <row r="847" spans="1:14" hidden="1" x14ac:dyDescent="0.25">
      <c r="A847" s="40"/>
      <c r="B847" s="41" t="s">
        <v>55</v>
      </c>
      <c r="C847" s="354" t="s">
        <v>59</v>
      </c>
      <c r="D847" s="354"/>
      <c r="E847" s="354"/>
      <c r="F847" s="42"/>
      <c r="G847" s="43"/>
      <c r="H847" s="43"/>
      <c r="I847" s="43"/>
      <c r="J847" s="62">
        <v>1107.95</v>
      </c>
      <c r="K847" s="43"/>
      <c r="L847" s="44">
        <v>14.74</v>
      </c>
      <c r="M847" s="45">
        <v>52.21</v>
      </c>
      <c r="N847" s="69">
        <v>769.58</v>
      </c>
    </row>
    <row r="848" spans="1:14" hidden="1" x14ac:dyDescent="0.25">
      <c r="A848" s="40"/>
      <c r="B848" s="41" t="s">
        <v>70</v>
      </c>
      <c r="C848" s="354" t="s">
        <v>74</v>
      </c>
      <c r="D848" s="354"/>
      <c r="E848" s="354"/>
      <c r="F848" s="42"/>
      <c r="G848" s="43"/>
      <c r="H848" s="43"/>
      <c r="I848" s="43"/>
      <c r="J848" s="62">
        <v>12533.99</v>
      </c>
      <c r="K848" s="43"/>
      <c r="L848" s="44">
        <v>166.7</v>
      </c>
      <c r="M848" s="45">
        <v>15.71</v>
      </c>
      <c r="N848" s="46">
        <v>2618.86</v>
      </c>
    </row>
    <row r="849" spans="1:14" hidden="1" x14ac:dyDescent="0.25">
      <c r="A849" s="40"/>
      <c r="B849" s="41" t="s">
        <v>75</v>
      </c>
      <c r="C849" s="354" t="s">
        <v>76</v>
      </c>
      <c r="D849" s="354"/>
      <c r="E849" s="354"/>
      <c r="F849" s="42"/>
      <c r="G849" s="43"/>
      <c r="H849" s="43"/>
      <c r="I849" s="43"/>
      <c r="J849" s="44">
        <v>820.22</v>
      </c>
      <c r="K849" s="43"/>
      <c r="L849" s="44">
        <v>10.91</v>
      </c>
      <c r="M849" s="45">
        <v>52.21</v>
      </c>
      <c r="N849" s="69">
        <v>569.61</v>
      </c>
    </row>
    <row r="850" spans="1:14" hidden="1" x14ac:dyDescent="0.25">
      <c r="A850" s="40"/>
      <c r="B850" s="41" t="s">
        <v>88</v>
      </c>
      <c r="C850" s="354" t="s">
        <v>98</v>
      </c>
      <c r="D850" s="354"/>
      <c r="E850" s="354"/>
      <c r="F850" s="42"/>
      <c r="G850" s="43"/>
      <c r="H850" s="43"/>
      <c r="I850" s="43"/>
      <c r="J850" s="62">
        <v>230267.7</v>
      </c>
      <c r="K850" s="43"/>
      <c r="L850" s="62">
        <v>3062.56</v>
      </c>
      <c r="M850" s="63">
        <v>9.5</v>
      </c>
      <c r="N850" s="46">
        <v>29094.32</v>
      </c>
    </row>
    <row r="851" spans="1:14" hidden="1" x14ac:dyDescent="0.25">
      <c r="A851" s="47"/>
      <c r="B851" s="41"/>
      <c r="C851" s="354" t="s">
        <v>60</v>
      </c>
      <c r="D851" s="354"/>
      <c r="E851" s="354"/>
      <c r="F851" s="42" t="s">
        <v>61</v>
      </c>
      <c r="G851" s="45">
        <v>134.46</v>
      </c>
      <c r="H851" s="43"/>
      <c r="I851" s="73">
        <v>1.7883180000000001</v>
      </c>
      <c r="J851" s="50"/>
      <c r="K851" s="43"/>
      <c r="L851" s="50"/>
      <c r="M851" s="43"/>
      <c r="N851" s="51"/>
    </row>
    <row r="852" spans="1:14" hidden="1" x14ac:dyDescent="0.25">
      <c r="A852" s="47"/>
      <c r="B852" s="41"/>
      <c r="C852" s="354" t="s">
        <v>77</v>
      </c>
      <c r="D852" s="354"/>
      <c r="E852" s="354"/>
      <c r="F852" s="42" t="s">
        <v>61</v>
      </c>
      <c r="G852" s="45">
        <v>54.89</v>
      </c>
      <c r="H852" s="43"/>
      <c r="I852" s="73">
        <v>0.73003700000000005</v>
      </c>
      <c r="J852" s="50"/>
      <c r="K852" s="43"/>
      <c r="L852" s="50"/>
      <c r="M852" s="43"/>
      <c r="N852" s="51"/>
    </row>
    <row r="853" spans="1:14" hidden="1" x14ac:dyDescent="0.25">
      <c r="A853" s="52"/>
      <c r="B853" s="41"/>
      <c r="C853" s="355" t="s">
        <v>62</v>
      </c>
      <c r="D853" s="355"/>
      <c r="E853" s="355"/>
      <c r="F853" s="53"/>
      <c r="G853" s="54"/>
      <c r="H853" s="54"/>
      <c r="I853" s="54"/>
      <c r="J853" s="65">
        <v>243909.64</v>
      </c>
      <c r="K853" s="54"/>
      <c r="L853" s="65">
        <v>3244</v>
      </c>
      <c r="M853" s="54"/>
      <c r="N853" s="56">
        <v>32482.76</v>
      </c>
    </row>
    <row r="854" spans="1:14" hidden="1" x14ac:dyDescent="0.25">
      <c r="A854" s="47"/>
      <c r="B854" s="41"/>
      <c r="C854" s="354" t="s">
        <v>63</v>
      </c>
      <c r="D854" s="354"/>
      <c r="E854" s="354"/>
      <c r="F854" s="42"/>
      <c r="G854" s="43"/>
      <c r="H854" s="43"/>
      <c r="I854" s="43"/>
      <c r="J854" s="50"/>
      <c r="K854" s="43"/>
      <c r="L854" s="44">
        <v>25.65</v>
      </c>
      <c r="M854" s="43"/>
      <c r="N854" s="46">
        <v>1339.19</v>
      </c>
    </row>
    <row r="855" spans="1:14" ht="22.5" hidden="1" x14ac:dyDescent="0.25">
      <c r="A855" s="47"/>
      <c r="B855" s="41" t="s">
        <v>78</v>
      </c>
      <c r="C855" s="354" t="s">
        <v>79</v>
      </c>
      <c r="D855" s="354"/>
      <c r="E855" s="354"/>
      <c r="F855" s="42" t="s">
        <v>66</v>
      </c>
      <c r="G855" s="48">
        <v>109</v>
      </c>
      <c r="H855" s="43"/>
      <c r="I855" s="48">
        <v>109</v>
      </c>
      <c r="J855" s="50"/>
      <c r="K855" s="43"/>
      <c r="L855" s="44">
        <v>27.96</v>
      </c>
      <c r="M855" s="43"/>
      <c r="N855" s="46">
        <v>1459.72</v>
      </c>
    </row>
    <row r="856" spans="1:14" ht="45" hidden="1" x14ac:dyDescent="0.25">
      <c r="A856" s="47"/>
      <c r="B856" s="41" t="s">
        <v>80</v>
      </c>
      <c r="C856" s="354" t="s">
        <v>81</v>
      </c>
      <c r="D856" s="354"/>
      <c r="E856" s="354"/>
      <c r="F856" s="42" t="s">
        <v>66</v>
      </c>
      <c r="G856" s="48">
        <v>65</v>
      </c>
      <c r="H856" s="45">
        <v>0.85</v>
      </c>
      <c r="I856" s="45">
        <v>55.25</v>
      </c>
      <c r="J856" s="50"/>
      <c r="K856" s="43"/>
      <c r="L856" s="44">
        <v>14.17</v>
      </c>
      <c r="M856" s="43"/>
      <c r="N856" s="69">
        <v>739.9</v>
      </c>
    </row>
    <row r="857" spans="1:14" hidden="1" x14ac:dyDescent="0.25">
      <c r="A857" s="57"/>
      <c r="B857" s="58"/>
      <c r="C857" s="350" t="s">
        <v>69</v>
      </c>
      <c r="D857" s="350"/>
      <c r="E857" s="350"/>
      <c r="F857" s="34"/>
      <c r="G857" s="35"/>
      <c r="H857" s="35"/>
      <c r="I857" s="35"/>
      <c r="J857" s="38"/>
      <c r="K857" s="35"/>
      <c r="L857" s="66">
        <v>3286.13</v>
      </c>
      <c r="M857" s="54"/>
      <c r="N857" s="60">
        <v>34682.379999999997</v>
      </c>
    </row>
    <row r="858" spans="1:14" x14ac:dyDescent="0.25">
      <c r="A858" s="351" t="s">
        <v>161</v>
      </c>
      <c r="B858" s="352"/>
      <c r="C858" s="352"/>
      <c r="D858" s="352"/>
      <c r="E858" s="352"/>
      <c r="F858" s="352"/>
      <c r="G858" s="352"/>
      <c r="H858" s="352"/>
      <c r="I858" s="352"/>
      <c r="J858" s="352"/>
      <c r="K858" s="352"/>
      <c r="L858" s="352"/>
      <c r="M858" s="352"/>
      <c r="N858" s="353"/>
    </row>
    <row r="859" spans="1:14" ht="37.5" customHeight="1" x14ac:dyDescent="0.25">
      <c r="A859" s="32" t="s">
        <v>353</v>
      </c>
      <c r="B859" s="33" t="s">
        <v>163</v>
      </c>
      <c r="C859" s="350" t="s">
        <v>164</v>
      </c>
      <c r="D859" s="350"/>
      <c r="E859" s="350"/>
      <c r="F859" s="34" t="s">
        <v>165</v>
      </c>
      <c r="G859" s="35">
        <v>45.2</v>
      </c>
      <c r="H859" s="36">
        <v>1</v>
      </c>
      <c r="I859" s="70">
        <v>45.2</v>
      </c>
      <c r="J859" s="59">
        <v>3.28</v>
      </c>
      <c r="K859" s="35"/>
      <c r="L859" s="59">
        <v>148.26</v>
      </c>
      <c r="M859" s="61">
        <v>15.71</v>
      </c>
      <c r="N859" s="60">
        <v>2329.16</v>
      </c>
    </row>
    <row r="860" spans="1:14" hidden="1" x14ac:dyDescent="0.25">
      <c r="A860" s="57"/>
      <c r="B860" s="58"/>
      <c r="C860" s="350" t="s">
        <v>69</v>
      </c>
      <c r="D860" s="350"/>
      <c r="E860" s="350"/>
      <c r="F860" s="34"/>
      <c r="G860" s="35"/>
      <c r="H860" s="35"/>
      <c r="I860" s="35"/>
      <c r="J860" s="38"/>
      <c r="K860" s="35"/>
      <c r="L860" s="59">
        <v>148.26</v>
      </c>
      <c r="M860" s="54"/>
      <c r="N860" s="60">
        <v>2329.16</v>
      </c>
    </row>
    <row r="861" spans="1:14" ht="38.25" customHeight="1" x14ac:dyDescent="0.25">
      <c r="A861" s="32" t="s">
        <v>354</v>
      </c>
      <c r="B861" s="33" t="s">
        <v>167</v>
      </c>
      <c r="C861" s="350" t="s">
        <v>292</v>
      </c>
      <c r="D861" s="350"/>
      <c r="E861" s="350"/>
      <c r="F861" s="34" t="s">
        <v>165</v>
      </c>
      <c r="G861" s="35">
        <v>9.9</v>
      </c>
      <c r="H861" s="36">
        <v>1</v>
      </c>
      <c r="I861" s="70">
        <v>9.9</v>
      </c>
      <c r="J861" s="59">
        <v>8.39</v>
      </c>
      <c r="K861" s="35"/>
      <c r="L861" s="59">
        <v>83.06</v>
      </c>
      <c r="M861" s="61">
        <v>15.71</v>
      </c>
      <c r="N861" s="60">
        <v>1304.8699999999999</v>
      </c>
    </row>
    <row r="862" spans="1:14" hidden="1" x14ac:dyDescent="0.25">
      <c r="A862" s="57"/>
      <c r="B862" s="58"/>
      <c r="C862" s="350" t="s">
        <v>69</v>
      </c>
      <c r="D862" s="350"/>
      <c r="E862" s="350"/>
      <c r="F862" s="34"/>
      <c r="G862" s="35"/>
      <c r="H862" s="35"/>
      <c r="I862" s="35"/>
      <c r="J862" s="38"/>
      <c r="K862" s="35"/>
      <c r="L862" s="59">
        <v>83.06</v>
      </c>
      <c r="M862" s="54"/>
      <c r="N862" s="60">
        <v>1304.8699999999999</v>
      </c>
    </row>
    <row r="863" spans="1:14" ht="30" customHeight="1" x14ac:dyDescent="0.25">
      <c r="A863" s="32" t="s">
        <v>355</v>
      </c>
      <c r="B863" s="33" t="s">
        <v>170</v>
      </c>
      <c r="C863" s="350" t="s">
        <v>294</v>
      </c>
      <c r="D863" s="350"/>
      <c r="E863" s="350"/>
      <c r="F863" s="34" t="s">
        <v>165</v>
      </c>
      <c r="G863" s="35">
        <v>5</v>
      </c>
      <c r="H863" s="36">
        <v>1</v>
      </c>
      <c r="I863" s="36">
        <v>5</v>
      </c>
      <c r="J863" s="59">
        <v>10.88</v>
      </c>
      <c r="K863" s="35"/>
      <c r="L863" s="59">
        <v>54.4</v>
      </c>
      <c r="M863" s="61">
        <v>15.71</v>
      </c>
      <c r="N863" s="94">
        <v>854.62</v>
      </c>
    </row>
    <row r="864" spans="1:14" hidden="1" x14ac:dyDescent="0.25">
      <c r="A864" s="57"/>
      <c r="B864" s="58"/>
      <c r="C864" s="350" t="s">
        <v>69</v>
      </c>
      <c r="D864" s="350"/>
      <c r="E864" s="350"/>
      <c r="F864" s="34"/>
      <c r="G864" s="35"/>
      <c r="H864" s="35"/>
      <c r="I864" s="35"/>
      <c r="J864" s="38"/>
      <c r="K864" s="35"/>
      <c r="L864" s="59">
        <v>54.4</v>
      </c>
      <c r="M864" s="54"/>
      <c r="N864" s="94">
        <v>854.62</v>
      </c>
    </row>
    <row r="865" spans="1:14" ht="29.25" customHeight="1" x14ac:dyDescent="0.25">
      <c r="A865" s="32" t="s">
        <v>356</v>
      </c>
      <c r="B865" s="33" t="s">
        <v>173</v>
      </c>
      <c r="C865" s="350" t="s">
        <v>174</v>
      </c>
      <c r="D865" s="350"/>
      <c r="E865" s="350"/>
      <c r="F865" s="34" t="s">
        <v>165</v>
      </c>
      <c r="G865" s="35">
        <v>60.1</v>
      </c>
      <c r="H865" s="36">
        <v>1</v>
      </c>
      <c r="I865" s="70">
        <v>60.1</v>
      </c>
      <c r="J865" s="59">
        <v>3.86</v>
      </c>
      <c r="K865" s="35"/>
      <c r="L865" s="59">
        <v>231.99</v>
      </c>
      <c r="M865" s="61">
        <v>16.22</v>
      </c>
      <c r="N865" s="60">
        <v>3762.88</v>
      </c>
    </row>
    <row r="866" spans="1:14" hidden="1" x14ac:dyDescent="0.25">
      <c r="A866" s="57"/>
      <c r="B866" s="58"/>
      <c r="C866" s="350" t="s">
        <v>69</v>
      </c>
      <c r="D866" s="350"/>
      <c r="E866" s="350"/>
      <c r="F866" s="34"/>
      <c r="G866" s="35"/>
      <c r="H866" s="35"/>
      <c r="I866" s="35"/>
      <c r="J866" s="38"/>
      <c r="K866" s="35"/>
      <c r="L866" s="59">
        <v>231.99</v>
      </c>
      <c r="M866" s="54"/>
      <c r="N866" s="60">
        <v>3762.88</v>
      </c>
    </row>
    <row r="867" spans="1:14" hidden="1" x14ac:dyDescent="0.25">
      <c r="A867" s="75"/>
      <c r="B867" s="76"/>
      <c r="C867" s="77"/>
      <c r="D867" s="77"/>
      <c r="E867" s="77"/>
      <c r="F867" s="77"/>
      <c r="G867" s="78"/>
      <c r="H867" s="78"/>
      <c r="I867" s="78"/>
      <c r="J867" s="78"/>
      <c r="K867" s="79"/>
      <c r="L867" s="78"/>
      <c r="M867" s="79"/>
      <c r="N867" s="80"/>
    </row>
    <row r="868" spans="1:14" hidden="1" x14ac:dyDescent="0.25">
      <c r="A868" s="57"/>
      <c r="B868" s="81"/>
      <c r="C868" s="349" t="s">
        <v>357</v>
      </c>
      <c r="D868" s="349"/>
      <c r="E868" s="349"/>
      <c r="F868" s="349"/>
      <c r="G868" s="349"/>
      <c r="H868" s="349"/>
      <c r="I868" s="349"/>
      <c r="J868" s="349"/>
      <c r="K868" s="349"/>
      <c r="L868" s="82"/>
      <c r="M868" s="83"/>
      <c r="N868" s="84"/>
    </row>
    <row r="869" spans="1:14" hidden="1" x14ac:dyDescent="0.25">
      <c r="A869" s="85"/>
      <c r="B869" s="41"/>
      <c r="C869" s="348" t="s">
        <v>176</v>
      </c>
      <c r="D869" s="348"/>
      <c r="E869" s="348"/>
      <c r="F869" s="348"/>
      <c r="G869" s="348"/>
      <c r="H869" s="348"/>
      <c r="I869" s="348"/>
      <c r="J869" s="348"/>
      <c r="K869" s="348"/>
      <c r="L869" s="86">
        <v>620401.79</v>
      </c>
      <c r="M869" s="87"/>
      <c r="N869" s="88">
        <v>6001410.1699999999</v>
      </c>
    </row>
    <row r="870" spans="1:14" hidden="1" x14ac:dyDescent="0.25">
      <c r="A870" s="85"/>
      <c r="B870" s="41"/>
      <c r="C870" s="348" t="s">
        <v>177</v>
      </c>
      <c r="D870" s="348"/>
      <c r="E870" s="348"/>
      <c r="F870" s="348"/>
      <c r="G870" s="348"/>
      <c r="H870" s="348"/>
      <c r="I870" s="348"/>
      <c r="J870" s="348"/>
      <c r="K870" s="348"/>
      <c r="L870" s="89"/>
      <c r="M870" s="87"/>
      <c r="N870" s="90"/>
    </row>
    <row r="871" spans="1:14" hidden="1" x14ac:dyDescent="0.25">
      <c r="A871" s="85"/>
      <c r="B871" s="41"/>
      <c r="C871" s="348" t="s">
        <v>178</v>
      </c>
      <c r="D871" s="348"/>
      <c r="E871" s="348"/>
      <c r="F871" s="348"/>
      <c r="G871" s="348"/>
      <c r="H871" s="348"/>
      <c r="I871" s="348"/>
      <c r="J871" s="348"/>
      <c r="K871" s="348"/>
      <c r="L871" s="86">
        <v>1011.58</v>
      </c>
      <c r="M871" s="87"/>
      <c r="N871" s="88">
        <v>52814.59</v>
      </c>
    </row>
    <row r="872" spans="1:14" hidden="1" x14ac:dyDescent="0.25">
      <c r="A872" s="85"/>
      <c r="B872" s="41"/>
      <c r="C872" s="348" t="s">
        <v>179</v>
      </c>
      <c r="D872" s="348"/>
      <c r="E872" s="348"/>
      <c r="F872" s="348"/>
      <c r="G872" s="348"/>
      <c r="H872" s="348"/>
      <c r="I872" s="348"/>
      <c r="J872" s="348"/>
      <c r="K872" s="348"/>
      <c r="L872" s="86">
        <v>9831.77</v>
      </c>
      <c r="M872" s="87"/>
      <c r="N872" s="88">
        <v>154457.09</v>
      </c>
    </row>
    <row r="873" spans="1:14" hidden="1" x14ac:dyDescent="0.25">
      <c r="A873" s="85"/>
      <c r="B873" s="41"/>
      <c r="C873" s="348" t="s">
        <v>180</v>
      </c>
      <c r="D873" s="348"/>
      <c r="E873" s="348"/>
      <c r="F873" s="348"/>
      <c r="G873" s="348"/>
      <c r="H873" s="348"/>
      <c r="I873" s="348"/>
      <c r="J873" s="348"/>
      <c r="K873" s="348"/>
      <c r="L873" s="95">
        <v>422.66</v>
      </c>
      <c r="M873" s="87"/>
      <c r="N873" s="88">
        <v>22067.07</v>
      </c>
    </row>
    <row r="874" spans="1:14" hidden="1" x14ac:dyDescent="0.25">
      <c r="A874" s="85"/>
      <c r="B874" s="41"/>
      <c r="C874" s="348" t="s">
        <v>181</v>
      </c>
      <c r="D874" s="348"/>
      <c r="E874" s="348"/>
      <c r="F874" s="348"/>
      <c r="G874" s="348"/>
      <c r="H874" s="348"/>
      <c r="I874" s="348"/>
      <c r="J874" s="348"/>
      <c r="K874" s="348"/>
      <c r="L874" s="86">
        <v>609178.18999999994</v>
      </c>
      <c r="M874" s="87"/>
      <c r="N874" s="88">
        <v>5788046.4500000002</v>
      </c>
    </row>
    <row r="875" spans="1:14" hidden="1" x14ac:dyDescent="0.25">
      <c r="A875" s="85"/>
      <c r="B875" s="41"/>
      <c r="C875" s="348" t="s">
        <v>182</v>
      </c>
      <c r="D875" s="348"/>
      <c r="E875" s="348"/>
      <c r="F875" s="348"/>
      <c r="G875" s="348"/>
      <c r="H875" s="348"/>
      <c r="I875" s="348"/>
      <c r="J875" s="348"/>
      <c r="K875" s="348"/>
      <c r="L875" s="89"/>
      <c r="M875" s="87"/>
      <c r="N875" s="90"/>
    </row>
    <row r="876" spans="1:14" hidden="1" x14ac:dyDescent="0.25">
      <c r="A876" s="85"/>
      <c r="B876" s="41"/>
      <c r="C876" s="348" t="s">
        <v>183</v>
      </c>
      <c r="D876" s="348"/>
      <c r="E876" s="348"/>
      <c r="F876" s="348"/>
      <c r="G876" s="348"/>
      <c r="H876" s="348"/>
      <c r="I876" s="348"/>
      <c r="J876" s="348"/>
      <c r="K876" s="348"/>
      <c r="L876" s="86">
        <v>609123.79</v>
      </c>
      <c r="M876" s="87"/>
      <c r="N876" s="88">
        <v>5787191.8300000001</v>
      </c>
    </row>
    <row r="877" spans="1:14" hidden="1" x14ac:dyDescent="0.25">
      <c r="A877" s="85"/>
      <c r="B877" s="41"/>
      <c r="C877" s="348" t="s">
        <v>184</v>
      </c>
      <c r="D877" s="348"/>
      <c r="E877" s="348"/>
      <c r="F877" s="348"/>
      <c r="G877" s="348"/>
      <c r="H877" s="348"/>
      <c r="I877" s="348"/>
      <c r="J877" s="348"/>
      <c r="K877" s="348"/>
      <c r="L877" s="95">
        <v>54.4</v>
      </c>
      <c r="M877" s="87"/>
      <c r="N877" s="96">
        <v>854.62</v>
      </c>
    </row>
    <row r="878" spans="1:14" hidden="1" x14ac:dyDescent="0.25">
      <c r="A878" s="85"/>
      <c r="B878" s="41"/>
      <c r="C878" s="348" t="s">
        <v>185</v>
      </c>
      <c r="D878" s="348"/>
      <c r="E878" s="348"/>
      <c r="F878" s="348"/>
      <c r="G878" s="348"/>
      <c r="H878" s="348"/>
      <c r="I878" s="348"/>
      <c r="J878" s="348"/>
      <c r="K878" s="348"/>
      <c r="L878" s="95">
        <v>380.25</v>
      </c>
      <c r="M878" s="87"/>
      <c r="N878" s="88">
        <v>6092.04</v>
      </c>
    </row>
    <row r="879" spans="1:14" hidden="1" x14ac:dyDescent="0.25">
      <c r="A879" s="85"/>
      <c r="B879" s="41"/>
      <c r="C879" s="348" t="s">
        <v>186</v>
      </c>
      <c r="D879" s="348"/>
      <c r="E879" s="348"/>
      <c r="F879" s="348"/>
      <c r="G879" s="348"/>
      <c r="H879" s="348"/>
      <c r="I879" s="348"/>
      <c r="J879" s="348"/>
      <c r="K879" s="348"/>
      <c r="L879" s="86">
        <v>621709.07999999996</v>
      </c>
      <c r="M879" s="87"/>
      <c r="N879" s="88">
        <v>6085978.5099999998</v>
      </c>
    </row>
    <row r="880" spans="1:14" hidden="1" x14ac:dyDescent="0.25">
      <c r="A880" s="85"/>
      <c r="B880" s="41"/>
      <c r="C880" s="348" t="s">
        <v>187</v>
      </c>
      <c r="D880" s="348"/>
      <c r="E880" s="348"/>
      <c r="F880" s="348"/>
      <c r="G880" s="348"/>
      <c r="H880" s="348"/>
      <c r="I880" s="348"/>
      <c r="J880" s="348"/>
      <c r="K880" s="348"/>
      <c r="L880" s="86">
        <v>621274.43000000005</v>
      </c>
      <c r="M880" s="87"/>
      <c r="N880" s="88">
        <v>6079031.8499999996</v>
      </c>
    </row>
    <row r="881" spans="1:14" hidden="1" x14ac:dyDescent="0.25">
      <c r="A881" s="85"/>
      <c r="B881" s="41"/>
      <c r="C881" s="348" t="s">
        <v>188</v>
      </c>
      <c r="D881" s="348"/>
      <c r="E881" s="348"/>
      <c r="F881" s="348"/>
      <c r="G881" s="348"/>
      <c r="H881" s="348"/>
      <c r="I881" s="348"/>
      <c r="J881" s="348"/>
      <c r="K881" s="348"/>
      <c r="L881" s="89"/>
      <c r="M881" s="87"/>
      <c r="N881" s="90"/>
    </row>
    <row r="882" spans="1:14" hidden="1" x14ac:dyDescent="0.25">
      <c r="A882" s="85"/>
      <c r="B882" s="41"/>
      <c r="C882" s="348" t="s">
        <v>189</v>
      </c>
      <c r="D882" s="348"/>
      <c r="E882" s="348"/>
      <c r="F882" s="348"/>
      <c r="G882" s="348"/>
      <c r="H882" s="348"/>
      <c r="I882" s="348"/>
      <c r="J882" s="348"/>
      <c r="K882" s="348"/>
      <c r="L882" s="95">
        <v>759.66</v>
      </c>
      <c r="M882" s="87"/>
      <c r="N882" s="88">
        <v>39661.85</v>
      </c>
    </row>
    <row r="883" spans="1:14" hidden="1" x14ac:dyDescent="0.25">
      <c r="A883" s="85"/>
      <c r="B883" s="41"/>
      <c r="C883" s="348" t="s">
        <v>190</v>
      </c>
      <c r="D883" s="348"/>
      <c r="E883" s="348"/>
      <c r="F883" s="348"/>
      <c r="G883" s="348"/>
      <c r="H883" s="348"/>
      <c r="I883" s="348"/>
      <c r="J883" s="348"/>
      <c r="K883" s="348"/>
      <c r="L883" s="86">
        <v>9710.99</v>
      </c>
      <c r="M883" s="87"/>
      <c r="N883" s="88">
        <v>152559.64000000001</v>
      </c>
    </row>
    <row r="884" spans="1:14" hidden="1" x14ac:dyDescent="0.25">
      <c r="A884" s="85"/>
      <c r="B884" s="41"/>
      <c r="C884" s="348" t="s">
        <v>191</v>
      </c>
      <c r="D884" s="348"/>
      <c r="E884" s="348"/>
      <c r="F884" s="348"/>
      <c r="G884" s="348"/>
      <c r="H884" s="348"/>
      <c r="I884" s="348"/>
      <c r="J884" s="348"/>
      <c r="K884" s="348"/>
      <c r="L884" s="95">
        <v>410.68</v>
      </c>
      <c r="M884" s="87"/>
      <c r="N884" s="88">
        <v>21441.59</v>
      </c>
    </row>
    <row r="885" spans="1:14" hidden="1" x14ac:dyDescent="0.25">
      <c r="A885" s="85"/>
      <c r="B885" s="41"/>
      <c r="C885" s="348" t="s">
        <v>192</v>
      </c>
      <c r="D885" s="348"/>
      <c r="E885" s="348"/>
      <c r="F885" s="348"/>
      <c r="G885" s="348"/>
      <c r="H885" s="348"/>
      <c r="I885" s="348"/>
      <c r="J885" s="348"/>
      <c r="K885" s="348"/>
      <c r="L885" s="86">
        <v>608845.04</v>
      </c>
      <c r="M885" s="87"/>
      <c r="N885" s="88">
        <v>5784543.7000000002</v>
      </c>
    </row>
    <row r="886" spans="1:14" hidden="1" x14ac:dyDescent="0.25">
      <c r="A886" s="85"/>
      <c r="B886" s="41"/>
      <c r="C886" s="348" t="s">
        <v>193</v>
      </c>
      <c r="D886" s="348"/>
      <c r="E886" s="348"/>
      <c r="F886" s="348"/>
      <c r="G886" s="348"/>
      <c r="H886" s="348"/>
      <c r="I886" s="348"/>
      <c r="J886" s="348"/>
      <c r="K886" s="348"/>
      <c r="L886" s="86">
        <v>1289</v>
      </c>
      <c r="M886" s="87"/>
      <c r="N886" s="88">
        <v>67299.13</v>
      </c>
    </row>
    <row r="887" spans="1:14" hidden="1" x14ac:dyDescent="0.25">
      <c r="A887" s="85"/>
      <c r="B887" s="41"/>
      <c r="C887" s="348" t="s">
        <v>194</v>
      </c>
      <c r="D887" s="348"/>
      <c r="E887" s="348"/>
      <c r="F887" s="348"/>
      <c r="G887" s="348"/>
      <c r="H887" s="348"/>
      <c r="I887" s="348"/>
      <c r="J887" s="348"/>
      <c r="K887" s="348"/>
      <c r="L887" s="95">
        <v>669.74</v>
      </c>
      <c r="M887" s="87"/>
      <c r="N887" s="88">
        <v>34967.53</v>
      </c>
    </row>
    <row r="888" spans="1:14" hidden="1" x14ac:dyDescent="0.25">
      <c r="A888" s="85"/>
      <c r="B888" s="41"/>
      <c r="C888" s="348" t="s">
        <v>195</v>
      </c>
      <c r="D888" s="348"/>
      <c r="E888" s="348"/>
      <c r="F888" s="348"/>
      <c r="G888" s="348"/>
      <c r="H888" s="348"/>
      <c r="I888" s="348"/>
      <c r="J888" s="348"/>
      <c r="K888" s="348"/>
      <c r="L888" s="95">
        <v>380.25</v>
      </c>
      <c r="M888" s="87"/>
      <c r="N888" s="88">
        <v>6092.04</v>
      </c>
    </row>
    <row r="889" spans="1:14" hidden="1" x14ac:dyDescent="0.25">
      <c r="A889" s="85"/>
      <c r="B889" s="41"/>
      <c r="C889" s="348" t="s">
        <v>196</v>
      </c>
      <c r="D889" s="348"/>
      <c r="E889" s="348"/>
      <c r="F889" s="348"/>
      <c r="G889" s="348"/>
      <c r="H889" s="348"/>
      <c r="I889" s="348"/>
      <c r="J889" s="348"/>
      <c r="K889" s="348"/>
      <c r="L889" s="95">
        <v>54.4</v>
      </c>
      <c r="M889" s="87"/>
      <c r="N889" s="96">
        <v>854.62</v>
      </c>
    </row>
    <row r="890" spans="1:14" hidden="1" x14ac:dyDescent="0.25">
      <c r="A890" s="85"/>
      <c r="B890" s="41"/>
      <c r="C890" s="348" t="s">
        <v>297</v>
      </c>
      <c r="D890" s="348"/>
      <c r="E890" s="348"/>
      <c r="F890" s="348"/>
      <c r="G890" s="348"/>
      <c r="H890" s="348"/>
      <c r="I890" s="348"/>
      <c r="J890" s="348"/>
      <c r="K890" s="348"/>
      <c r="L890" s="86">
        <v>1023.55</v>
      </c>
      <c r="M890" s="87"/>
      <c r="N890" s="88">
        <v>37125.61</v>
      </c>
    </row>
    <row r="891" spans="1:14" hidden="1" x14ac:dyDescent="0.25">
      <c r="A891" s="85"/>
      <c r="B891" s="41"/>
      <c r="C891" s="348" t="s">
        <v>177</v>
      </c>
      <c r="D891" s="348"/>
      <c r="E891" s="348"/>
      <c r="F891" s="348"/>
      <c r="G891" s="348"/>
      <c r="H891" s="348"/>
      <c r="I891" s="348"/>
      <c r="J891" s="348"/>
      <c r="K891" s="348"/>
      <c r="L891" s="89"/>
      <c r="M891" s="87"/>
      <c r="N891" s="90"/>
    </row>
    <row r="892" spans="1:14" hidden="1" x14ac:dyDescent="0.25">
      <c r="A892" s="85"/>
      <c r="B892" s="41"/>
      <c r="C892" s="348" t="s">
        <v>298</v>
      </c>
      <c r="D892" s="348"/>
      <c r="E892" s="348"/>
      <c r="F892" s="348"/>
      <c r="G892" s="348"/>
      <c r="H892" s="348"/>
      <c r="I892" s="348"/>
      <c r="J892" s="348"/>
      <c r="K892" s="348"/>
      <c r="L892" s="95">
        <v>251.92</v>
      </c>
      <c r="M892" s="87"/>
      <c r="N892" s="88">
        <v>13152.74</v>
      </c>
    </row>
    <row r="893" spans="1:14" hidden="1" x14ac:dyDescent="0.25">
      <c r="A893" s="85"/>
      <c r="B893" s="41"/>
      <c r="C893" s="348" t="s">
        <v>299</v>
      </c>
      <c r="D893" s="348"/>
      <c r="E893" s="348"/>
      <c r="F893" s="348"/>
      <c r="G893" s="348"/>
      <c r="H893" s="348"/>
      <c r="I893" s="348"/>
      <c r="J893" s="348"/>
      <c r="K893" s="348"/>
      <c r="L893" s="95">
        <v>120.78</v>
      </c>
      <c r="M893" s="87"/>
      <c r="N893" s="88">
        <v>1897.45</v>
      </c>
    </row>
    <row r="894" spans="1:14" hidden="1" x14ac:dyDescent="0.25">
      <c r="A894" s="85"/>
      <c r="B894" s="41"/>
      <c r="C894" s="348" t="s">
        <v>300</v>
      </c>
      <c r="D894" s="348"/>
      <c r="E894" s="348"/>
      <c r="F894" s="348"/>
      <c r="G894" s="348"/>
      <c r="H894" s="348"/>
      <c r="I894" s="348"/>
      <c r="J894" s="348"/>
      <c r="K894" s="348"/>
      <c r="L894" s="95">
        <v>11.98</v>
      </c>
      <c r="M894" s="87"/>
      <c r="N894" s="96">
        <v>625.48</v>
      </c>
    </row>
    <row r="895" spans="1:14" hidden="1" x14ac:dyDescent="0.25">
      <c r="A895" s="85"/>
      <c r="B895" s="41"/>
      <c r="C895" s="348" t="s">
        <v>301</v>
      </c>
      <c r="D895" s="348"/>
      <c r="E895" s="348"/>
      <c r="F895" s="348"/>
      <c r="G895" s="348"/>
      <c r="H895" s="348"/>
      <c r="I895" s="348"/>
      <c r="J895" s="348"/>
      <c r="K895" s="348"/>
      <c r="L895" s="95">
        <v>278.75</v>
      </c>
      <c r="M895" s="87"/>
      <c r="N895" s="88">
        <v>2648.13</v>
      </c>
    </row>
    <row r="896" spans="1:14" hidden="1" x14ac:dyDescent="0.25">
      <c r="A896" s="85"/>
      <c r="B896" s="41"/>
      <c r="C896" s="348" t="s">
        <v>302</v>
      </c>
      <c r="D896" s="348"/>
      <c r="E896" s="348"/>
      <c r="F896" s="348"/>
      <c r="G896" s="348"/>
      <c r="H896" s="348"/>
      <c r="I896" s="348"/>
      <c r="J896" s="348"/>
      <c r="K896" s="348"/>
      <c r="L896" s="95">
        <v>242.79</v>
      </c>
      <c r="M896" s="87"/>
      <c r="N896" s="88">
        <v>12675.96</v>
      </c>
    </row>
    <row r="897" spans="1:14" hidden="1" x14ac:dyDescent="0.25">
      <c r="A897" s="85"/>
      <c r="B897" s="41"/>
      <c r="C897" s="348" t="s">
        <v>303</v>
      </c>
      <c r="D897" s="348"/>
      <c r="E897" s="348"/>
      <c r="F897" s="348"/>
      <c r="G897" s="348"/>
      <c r="H897" s="348"/>
      <c r="I897" s="348"/>
      <c r="J897" s="348"/>
      <c r="K897" s="348"/>
      <c r="L897" s="95">
        <v>129.31</v>
      </c>
      <c r="M897" s="87"/>
      <c r="N897" s="88">
        <v>6751.33</v>
      </c>
    </row>
    <row r="898" spans="1:14" hidden="1" x14ac:dyDescent="0.25">
      <c r="A898" s="85"/>
      <c r="B898" s="41"/>
      <c r="C898" s="348" t="s">
        <v>197</v>
      </c>
      <c r="D898" s="348"/>
      <c r="E898" s="348"/>
      <c r="F898" s="348"/>
      <c r="G898" s="348"/>
      <c r="H898" s="348"/>
      <c r="I898" s="348"/>
      <c r="J898" s="348"/>
      <c r="K898" s="348"/>
      <c r="L898" s="86">
        <v>1434.24</v>
      </c>
      <c r="M898" s="87"/>
      <c r="N898" s="88">
        <v>74881.66</v>
      </c>
    </row>
    <row r="899" spans="1:14" hidden="1" x14ac:dyDescent="0.25">
      <c r="A899" s="85"/>
      <c r="B899" s="41"/>
      <c r="C899" s="348" t="s">
        <v>198</v>
      </c>
      <c r="D899" s="348"/>
      <c r="E899" s="348"/>
      <c r="F899" s="348"/>
      <c r="G899" s="348"/>
      <c r="H899" s="348"/>
      <c r="I899" s="348"/>
      <c r="J899" s="348"/>
      <c r="K899" s="348"/>
      <c r="L899" s="86">
        <v>1531.79</v>
      </c>
      <c r="M899" s="87"/>
      <c r="N899" s="88">
        <v>79975.09</v>
      </c>
    </row>
    <row r="900" spans="1:14" hidden="1" x14ac:dyDescent="0.25">
      <c r="A900" s="85"/>
      <c r="B900" s="41"/>
      <c r="C900" s="348" t="s">
        <v>199</v>
      </c>
      <c r="D900" s="348"/>
      <c r="E900" s="348"/>
      <c r="F900" s="348"/>
      <c r="G900" s="348"/>
      <c r="H900" s="348"/>
      <c r="I900" s="348"/>
      <c r="J900" s="348"/>
      <c r="K900" s="348"/>
      <c r="L900" s="95">
        <v>799.05</v>
      </c>
      <c r="M900" s="87"/>
      <c r="N900" s="88">
        <v>41718.86</v>
      </c>
    </row>
    <row r="901" spans="1:14" hidden="1" x14ac:dyDescent="0.25">
      <c r="A901" s="85"/>
      <c r="B901" s="81"/>
      <c r="C901" s="349" t="s">
        <v>358</v>
      </c>
      <c r="D901" s="349"/>
      <c r="E901" s="349"/>
      <c r="F901" s="349"/>
      <c r="G901" s="349"/>
      <c r="H901" s="349"/>
      <c r="I901" s="349"/>
      <c r="J901" s="349"/>
      <c r="K901" s="349"/>
      <c r="L901" s="91">
        <v>622732.63</v>
      </c>
      <c r="M901" s="83"/>
      <c r="N901" s="92">
        <v>6123104.1200000001</v>
      </c>
    </row>
    <row r="902" spans="1:14" hidden="1" x14ac:dyDescent="0.25">
      <c r="A902" s="85"/>
      <c r="B902" s="41"/>
      <c r="C902" s="348" t="s">
        <v>201</v>
      </c>
      <c r="D902" s="348"/>
      <c r="E902" s="348"/>
      <c r="F902" s="348"/>
      <c r="G902" s="348"/>
      <c r="H902" s="348"/>
      <c r="I902" s="348"/>
      <c r="J902" s="348"/>
      <c r="K902" s="348"/>
      <c r="L902" s="89"/>
      <c r="M902" s="87"/>
      <c r="N902" s="90"/>
    </row>
    <row r="903" spans="1:14" hidden="1" x14ac:dyDescent="0.25">
      <c r="A903" s="85"/>
      <c r="B903" s="41"/>
      <c r="C903" s="348" t="s">
        <v>202</v>
      </c>
      <c r="D903" s="348"/>
      <c r="E903" s="348"/>
      <c r="F903" s="348"/>
      <c r="G903" s="348"/>
      <c r="H903" s="348"/>
      <c r="I903" s="42" t="s">
        <v>359</v>
      </c>
      <c r="J903" s="93"/>
      <c r="K903" s="93"/>
      <c r="L903" s="89"/>
      <c r="M903" s="87"/>
      <c r="N903" s="90"/>
    </row>
    <row r="904" spans="1:14" hidden="1" x14ac:dyDescent="0.25">
      <c r="A904" s="85"/>
      <c r="B904" s="41"/>
      <c r="C904" s="348" t="s">
        <v>204</v>
      </c>
      <c r="D904" s="348"/>
      <c r="E904" s="348"/>
      <c r="F904" s="348"/>
      <c r="G904" s="348"/>
      <c r="H904" s="348"/>
      <c r="I904" s="42" t="s">
        <v>360</v>
      </c>
      <c r="J904" s="93"/>
      <c r="K904" s="93"/>
      <c r="L904" s="89"/>
      <c r="M904" s="87"/>
      <c r="N904" s="90"/>
    </row>
    <row r="905" spans="1:14" x14ac:dyDescent="0.25">
      <c r="A905" s="358" t="s">
        <v>361</v>
      </c>
      <c r="B905" s="359"/>
      <c r="C905" s="359"/>
      <c r="D905" s="359"/>
      <c r="E905" s="359"/>
      <c r="F905" s="359"/>
      <c r="G905" s="359"/>
      <c r="H905" s="359"/>
      <c r="I905" s="359"/>
      <c r="J905" s="359"/>
      <c r="K905" s="359"/>
      <c r="L905" s="359"/>
      <c r="M905" s="359"/>
      <c r="N905" s="360"/>
    </row>
    <row r="906" spans="1:14" ht="38.25" customHeight="1" x14ac:dyDescent="0.25">
      <c r="A906" s="32" t="s">
        <v>362</v>
      </c>
      <c r="B906" s="33" t="s">
        <v>208</v>
      </c>
      <c r="C906" s="350" t="s">
        <v>209</v>
      </c>
      <c r="D906" s="350"/>
      <c r="E906" s="350"/>
      <c r="F906" s="34" t="s">
        <v>210</v>
      </c>
      <c r="G906" s="35">
        <v>1</v>
      </c>
      <c r="H906" s="36">
        <v>1</v>
      </c>
      <c r="I906" s="36">
        <v>1</v>
      </c>
      <c r="J906" s="38"/>
      <c r="K906" s="35"/>
      <c r="L906" s="38"/>
      <c r="M906" s="35"/>
      <c r="N906" s="39"/>
    </row>
    <row r="907" spans="1:14" hidden="1" x14ac:dyDescent="0.25">
      <c r="A907" s="40"/>
      <c r="B907" s="41" t="s">
        <v>55</v>
      </c>
      <c r="C907" s="354" t="s">
        <v>59</v>
      </c>
      <c r="D907" s="354"/>
      <c r="E907" s="354"/>
      <c r="F907" s="42"/>
      <c r="G907" s="43"/>
      <c r="H907" s="43"/>
      <c r="I907" s="43"/>
      <c r="J907" s="44">
        <v>298.64</v>
      </c>
      <c r="K907" s="43"/>
      <c r="L907" s="44">
        <v>298.64</v>
      </c>
      <c r="M907" s="45">
        <v>52.21</v>
      </c>
      <c r="N907" s="46">
        <v>15591.99</v>
      </c>
    </row>
    <row r="908" spans="1:14" hidden="1" x14ac:dyDescent="0.25">
      <c r="A908" s="40"/>
      <c r="B908" s="41" t="s">
        <v>70</v>
      </c>
      <c r="C908" s="354" t="s">
        <v>74</v>
      </c>
      <c r="D908" s="354"/>
      <c r="E908" s="354"/>
      <c r="F908" s="42"/>
      <c r="G908" s="43"/>
      <c r="H908" s="43"/>
      <c r="I908" s="43"/>
      <c r="J908" s="44">
        <v>128.02000000000001</v>
      </c>
      <c r="K908" s="43"/>
      <c r="L908" s="44">
        <v>128.02000000000001</v>
      </c>
      <c r="M908" s="45">
        <v>15.71</v>
      </c>
      <c r="N908" s="46">
        <v>2011.19</v>
      </c>
    </row>
    <row r="909" spans="1:14" hidden="1" x14ac:dyDescent="0.25">
      <c r="A909" s="40"/>
      <c r="B909" s="41" t="s">
        <v>75</v>
      </c>
      <c r="C909" s="354" t="s">
        <v>76</v>
      </c>
      <c r="D909" s="354"/>
      <c r="E909" s="354"/>
      <c r="F909" s="42"/>
      <c r="G909" s="43"/>
      <c r="H909" s="43"/>
      <c r="I909" s="43"/>
      <c r="J909" s="44">
        <v>19.84</v>
      </c>
      <c r="K909" s="43"/>
      <c r="L909" s="44">
        <v>19.84</v>
      </c>
      <c r="M909" s="45">
        <v>52.21</v>
      </c>
      <c r="N909" s="46">
        <v>1035.8499999999999</v>
      </c>
    </row>
    <row r="910" spans="1:14" hidden="1" x14ac:dyDescent="0.25">
      <c r="A910" s="47"/>
      <c r="B910" s="41"/>
      <c r="C910" s="354" t="s">
        <v>60</v>
      </c>
      <c r="D910" s="354"/>
      <c r="E910" s="354"/>
      <c r="F910" s="42" t="s">
        <v>61</v>
      </c>
      <c r="G910" s="45">
        <v>35.01</v>
      </c>
      <c r="H910" s="43"/>
      <c r="I910" s="45">
        <v>35.01</v>
      </c>
      <c r="J910" s="50"/>
      <c r="K910" s="43"/>
      <c r="L910" s="50"/>
      <c r="M910" s="43"/>
      <c r="N910" s="51"/>
    </row>
    <row r="911" spans="1:14" hidden="1" x14ac:dyDescent="0.25">
      <c r="A911" s="47"/>
      <c r="B911" s="41"/>
      <c r="C911" s="354" t="s">
        <v>77</v>
      </c>
      <c r="D911" s="354"/>
      <c r="E911" s="354"/>
      <c r="F911" s="42" t="s">
        <v>61</v>
      </c>
      <c r="G911" s="45">
        <v>1.71</v>
      </c>
      <c r="H911" s="43"/>
      <c r="I911" s="45">
        <v>1.71</v>
      </c>
      <c r="J911" s="50"/>
      <c r="K911" s="43"/>
      <c r="L911" s="50"/>
      <c r="M911" s="43"/>
      <c r="N911" s="51"/>
    </row>
    <row r="912" spans="1:14" hidden="1" x14ac:dyDescent="0.25">
      <c r="A912" s="52"/>
      <c r="B912" s="41"/>
      <c r="C912" s="355" t="s">
        <v>62</v>
      </c>
      <c r="D912" s="355"/>
      <c r="E912" s="355"/>
      <c r="F912" s="53"/>
      <c r="G912" s="54"/>
      <c r="H912" s="54"/>
      <c r="I912" s="54"/>
      <c r="J912" s="55">
        <v>426.66</v>
      </c>
      <c r="K912" s="54"/>
      <c r="L912" s="55">
        <v>426.66</v>
      </c>
      <c r="M912" s="54"/>
      <c r="N912" s="56">
        <v>17603.18</v>
      </c>
    </row>
    <row r="913" spans="1:14" hidden="1" x14ac:dyDescent="0.25">
      <c r="A913" s="47"/>
      <c r="B913" s="41"/>
      <c r="C913" s="354" t="s">
        <v>63</v>
      </c>
      <c r="D913" s="354"/>
      <c r="E913" s="354"/>
      <c r="F913" s="42"/>
      <c r="G913" s="43"/>
      <c r="H913" s="43"/>
      <c r="I913" s="43"/>
      <c r="J913" s="50"/>
      <c r="K913" s="43"/>
      <c r="L913" s="44">
        <v>318.48</v>
      </c>
      <c r="M913" s="43"/>
      <c r="N913" s="46">
        <v>16627.84</v>
      </c>
    </row>
    <row r="914" spans="1:14" ht="22.5" hidden="1" x14ac:dyDescent="0.25">
      <c r="A914" s="47"/>
      <c r="B914" s="41" t="s">
        <v>78</v>
      </c>
      <c r="C914" s="354" t="s">
        <v>79</v>
      </c>
      <c r="D914" s="354"/>
      <c r="E914" s="354"/>
      <c r="F914" s="42" t="s">
        <v>66</v>
      </c>
      <c r="G914" s="48">
        <v>109</v>
      </c>
      <c r="H914" s="43"/>
      <c r="I914" s="48">
        <v>109</v>
      </c>
      <c r="J914" s="50"/>
      <c r="K914" s="43"/>
      <c r="L914" s="44">
        <v>347.14</v>
      </c>
      <c r="M914" s="43"/>
      <c r="N914" s="46">
        <v>18124.349999999999</v>
      </c>
    </row>
    <row r="915" spans="1:14" ht="45" hidden="1" x14ac:dyDescent="0.25">
      <c r="A915" s="47"/>
      <c r="B915" s="41" t="s">
        <v>80</v>
      </c>
      <c r="C915" s="354" t="s">
        <v>81</v>
      </c>
      <c r="D915" s="354"/>
      <c r="E915" s="354"/>
      <c r="F915" s="42" t="s">
        <v>66</v>
      </c>
      <c r="G915" s="48">
        <v>65</v>
      </c>
      <c r="H915" s="45">
        <v>0.85</v>
      </c>
      <c r="I915" s="45">
        <v>55.25</v>
      </c>
      <c r="J915" s="50"/>
      <c r="K915" s="43"/>
      <c r="L915" s="44">
        <v>175.96</v>
      </c>
      <c r="M915" s="43"/>
      <c r="N915" s="46">
        <v>9186.8799999999992</v>
      </c>
    </row>
    <row r="916" spans="1:14" hidden="1" x14ac:dyDescent="0.25">
      <c r="A916" s="57"/>
      <c r="B916" s="58"/>
      <c r="C916" s="350" t="s">
        <v>69</v>
      </c>
      <c r="D916" s="350"/>
      <c r="E916" s="350"/>
      <c r="F916" s="34"/>
      <c r="G916" s="35"/>
      <c r="H916" s="35"/>
      <c r="I916" s="35"/>
      <c r="J916" s="38"/>
      <c r="K916" s="35"/>
      <c r="L916" s="59">
        <v>949.76</v>
      </c>
      <c r="M916" s="54"/>
      <c r="N916" s="60">
        <v>44914.41</v>
      </c>
    </row>
    <row r="917" spans="1:14" ht="27.75" customHeight="1" x14ac:dyDescent="0.25">
      <c r="A917" s="32" t="s">
        <v>363</v>
      </c>
      <c r="B917" s="33" t="s">
        <v>82</v>
      </c>
      <c r="C917" s="350" t="s">
        <v>83</v>
      </c>
      <c r="D917" s="350"/>
      <c r="E917" s="350"/>
      <c r="F917" s="34" t="s">
        <v>58</v>
      </c>
      <c r="G917" s="35">
        <v>0.218</v>
      </c>
      <c r="H917" s="36">
        <v>1</v>
      </c>
      <c r="I917" s="67">
        <v>0.218</v>
      </c>
      <c r="J917" s="38"/>
      <c r="K917" s="35"/>
      <c r="L917" s="38"/>
      <c r="M917" s="35"/>
      <c r="N917" s="39"/>
    </row>
    <row r="918" spans="1:14" hidden="1" x14ac:dyDescent="0.25">
      <c r="A918" s="40"/>
      <c r="B918" s="41" t="s">
        <v>55</v>
      </c>
      <c r="C918" s="354" t="s">
        <v>59</v>
      </c>
      <c r="D918" s="354"/>
      <c r="E918" s="354"/>
      <c r="F918" s="42"/>
      <c r="G918" s="43"/>
      <c r="H918" s="43"/>
      <c r="I918" s="43"/>
      <c r="J918" s="44">
        <v>92.08</v>
      </c>
      <c r="K918" s="43"/>
      <c r="L918" s="44">
        <v>20.07</v>
      </c>
      <c r="M918" s="45">
        <v>52.21</v>
      </c>
      <c r="N918" s="46">
        <v>1047.8499999999999</v>
      </c>
    </row>
    <row r="919" spans="1:14" hidden="1" x14ac:dyDescent="0.25">
      <c r="A919" s="40"/>
      <c r="B919" s="41" t="s">
        <v>70</v>
      </c>
      <c r="C919" s="354" t="s">
        <v>74</v>
      </c>
      <c r="D919" s="354"/>
      <c r="E919" s="354"/>
      <c r="F919" s="42"/>
      <c r="G919" s="43"/>
      <c r="H919" s="43"/>
      <c r="I919" s="43"/>
      <c r="J919" s="44">
        <v>287.60000000000002</v>
      </c>
      <c r="K919" s="43"/>
      <c r="L919" s="44">
        <v>62.7</v>
      </c>
      <c r="M919" s="45">
        <v>15.71</v>
      </c>
      <c r="N919" s="69">
        <v>985.02</v>
      </c>
    </row>
    <row r="920" spans="1:14" hidden="1" x14ac:dyDescent="0.25">
      <c r="A920" s="40"/>
      <c r="B920" s="41" t="s">
        <v>75</v>
      </c>
      <c r="C920" s="354" t="s">
        <v>76</v>
      </c>
      <c r="D920" s="354"/>
      <c r="E920" s="354"/>
      <c r="F920" s="42"/>
      <c r="G920" s="43"/>
      <c r="H920" s="43"/>
      <c r="I920" s="43"/>
      <c r="J920" s="44">
        <v>37.57</v>
      </c>
      <c r="K920" s="43"/>
      <c r="L920" s="44">
        <v>8.19</v>
      </c>
      <c r="M920" s="45">
        <v>52.21</v>
      </c>
      <c r="N920" s="69">
        <v>427.6</v>
      </c>
    </row>
    <row r="921" spans="1:14" hidden="1" x14ac:dyDescent="0.25">
      <c r="A921" s="47"/>
      <c r="B921" s="41"/>
      <c r="C921" s="354" t="s">
        <v>60</v>
      </c>
      <c r="D921" s="354"/>
      <c r="E921" s="354"/>
      <c r="F921" s="42" t="s">
        <v>61</v>
      </c>
      <c r="G921" s="63">
        <v>11.7</v>
      </c>
      <c r="H921" s="43"/>
      <c r="I921" s="64">
        <v>2.5506000000000002</v>
      </c>
      <c r="J921" s="50"/>
      <c r="K921" s="43"/>
      <c r="L921" s="50"/>
      <c r="M921" s="43"/>
      <c r="N921" s="51"/>
    </row>
    <row r="922" spans="1:14" hidden="1" x14ac:dyDescent="0.25">
      <c r="A922" s="47"/>
      <c r="B922" s="41"/>
      <c r="C922" s="354" t="s">
        <v>77</v>
      </c>
      <c r="D922" s="354"/>
      <c r="E922" s="354"/>
      <c r="F922" s="42" t="s">
        <v>61</v>
      </c>
      <c r="G922" s="45">
        <v>2.96</v>
      </c>
      <c r="H922" s="43"/>
      <c r="I922" s="68">
        <v>0.64527999999999996</v>
      </c>
      <c r="J922" s="50"/>
      <c r="K922" s="43"/>
      <c r="L922" s="50"/>
      <c r="M922" s="43"/>
      <c r="N922" s="51"/>
    </row>
    <row r="923" spans="1:14" hidden="1" x14ac:dyDescent="0.25">
      <c r="A923" s="52"/>
      <c r="B923" s="41"/>
      <c r="C923" s="355" t="s">
        <v>62</v>
      </c>
      <c r="D923" s="355"/>
      <c r="E923" s="355"/>
      <c r="F923" s="53"/>
      <c r="G923" s="54"/>
      <c r="H923" s="54"/>
      <c r="I923" s="54"/>
      <c r="J923" s="55">
        <v>379.68</v>
      </c>
      <c r="K923" s="54"/>
      <c r="L923" s="55">
        <v>82.77</v>
      </c>
      <c r="M923" s="54"/>
      <c r="N923" s="56">
        <v>2032.87</v>
      </c>
    </row>
    <row r="924" spans="1:14" hidden="1" x14ac:dyDescent="0.25">
      <c r="A924" s="47"/>
      <c r="B924" s="41"/>
      <c r="C924" s="354" t="s">
        <v>63</v>
      </c>
      <c r="D924" s="354"/>
      <c r="E924" s="354"/>
      <c r="F924" s="42"/>
      <c r="G924" s="43"/>
      <c r="H924" s="43"/>
      <c r="I924" s="43"/>
      <c r="J924" s="50"/>
      <c r="K924" s="43"/>
      <c r="L924" s="44">
        <v>28.26</v>
      </c>
      <c r="M924" s="43"/>
      <c r="N924" s="46">
        <v>1475.45</v>
      </c>
    </row>
    <row r="925" spans="1:14" hidden="1" x14ac:dyDescent="0.25">
      <c r="A925" s="47"/>
      <c r="B925" s="41" t="s">
        <v>84</v>
      </c>
      <c r="C925" s="354" t="s">
        <v>85</v>
      </c>
      <c r="D925" s="354"/>
      <c r="E925" s="354"/>
      <c r="F925" s="42" t="s">
        <v>66</v>
      </c>
      <c r="G925" s="48">
        <v>102</v>
      </c>
      <c r="H925" s="43"/>
      <c r="I925" s="48">
        <v>102</v>
      </c>
      <c r="J925" s="50"/>
      <c r="K925" s="43"/>
      <c r="L925" s="44">
        <v>28.83</v>
      </c>
      <c r="M925" s="43"/>
      <c r="N925" s="46">
        <v>1504.96</v>
      </c>
    </row>
    <row r="926" spans="1:14" hidden="1" x14ac:dyDescent="0.25">
      <c r="A926" s="47"/>
      <c r="B926" s="41" t="s">
        <v>86</v>
      </c>
      <c r="C926" s="354" t="s">
        <v>87</v>
      </c>
      <c r="D926" s="354"/>
      <c r="E926" s="354"/>
      <c r="F926" s="42" t="s">
        <v>66</v>
      </c>
      <c r="G926" s="48">
        <v>54</v>
      </c>
      <c r="H926" s="43"/>
      <c r="I926" s="48">
        <v>54</v>
      </c>
      <c r="J926" s="50"/>
      <c r="K926" s="43"/>
      <c r="L926" s="44">
        <v>15.26</v>
      </c>
      <c r="M926" s="43"/>
      <c r="N926" s="69">
        <v>796.74</v>
      </c>
    </row>
    <row r="927" spans="1:14" hidden="1" x14ac:dyDescent="0.25">
      <c r="A927" s="57"/>
      <c r="B927" s="58"/>
      <c r="C927" s="350" t="s">
        <v>69</v>
      </c>
      <c r="D927" s="350"/>
      <c r="E927" s="350"/>
      <c r="F927" s="34"/>
      <c r="G927" s="35"/>
      <c r="H927" s="35"/>
      <c r="I927" s="35"/>
      <c r="J927" s="38"/>
      <c r="K927" s="35"/>
      <c r="L927" s="59">
        <v>126.86</v>
      </c>
      <c r="M927" s="54"/>
      <c r="N927" s="60">
        <v>4334.57</v>
      </c>
    </row>
    <row r="928" spans="1:14" x14ac:dyDescent="0.25">
      <c r="A928" s="32" t="s">
        <v>364</v>
      </c>
      <c r="B928" s="33" t="s">
        <v>89</v>
      </c>
      <c r="C928" s="350" t="s">
        <v>90</v>
      </c>
      <c r="D928" s="350"/>
      <c r="E928" s="350"/>
      <c r="F928" s="34" t="s">
        <v>58</v>
      </c>
      <c r="G928" s="35">
        <v>0.1082</v>
      </c>
      <c r="H928" s="36">
        <v>1</v>
      </c>
      <c r="I928" s="37">
        <v>0.1082</v>
      </c>
      <c r="J928" s="38"/>
      <c r="K928" s="35"/>
      <c r="L928" s="38"/>
      <c r="M928" s="35"/>
      <c r="N928" s="39"/>
    </row>
    <row r="929" spans="1:14" hidden="1" x14ac:dyDescent="0.25">
      <c r="A929" s="40"/>
      <c r="B929" s="41" t="s">
        <v>55</v>
      </c>
      <c r="C929" s="354" t="s">
        <v>59</v>
      </c>
      <c r="D929" s="354"/>
      <c r="E929" s="354"/>
      <c r="F929" s="42"/>
      <c r="G929" s="43"/>
      <c r="H929" s="43"/>
      <c r="I929" s="43"/>
      <c r="J929" s="44">
        <v>106.88</v>
      </c>
      <c r="K929" s="43"/>
      <c r="L929" s="44">
        <v>11.56</v>
      </c>
      <c r="M929" s="45">
        <v>52.21</v>
      </c>
      <c r="N929" s="69">
        <v>603.54999999999995</v>
      </c>
    </row>
    <row r="930" spans="1:14" hidden="1" x14ac:dyDescent="0.25">
      <c r="A930" s="40"/>
      <c r="B930" s="41" t="s">
        <v>70</v>
      </c>
      <c r="C930" s="354" t="s">
        <v>74</v>
      </c>
      <c r="D930" s="354"/>
      <c r="E930" s="354"/>
      <c r="F930" s="42"/>
      <c r="G930" s="43"/>
      <c r="H930" s="43"/>
      <c r="I930" s="43"/>
      <c r="J930" s="44">
        <v>241.58</v>
      </c>
      <c r="K930" s="43"/>
      <c r="L930" s="44">
        <v>26.14</v>
      </c>
      <c r="M930" s="45">
        <v>15.71</v>
      </c>
      <c r="N930" s="69">
        <v>410.66</v>
      </c>
    </row>
    <row r="931" spans="1:14" hidden="1" x14ac:dyDescent="0.25">
      <c r="A931" s="40"/>
      <c r="B931" s="41" t="s">
        <v>75</v>
      </c>
      <c r="C931" s="354" t="s">
        <v>76</v>
      </c>
      <c r="D931" s="354"/>
      <c r="E931" s="354"/>
      <c r="F931" s="42"/>
      <c r="G931" s="43"/>
      <c r="H931" s="43"/>
      <c r="I931" s="43"/>
      <c r="J931" s="44">
        <v>26.36</v>
      </c>
      <c r="K931" s="43"/>
      <c r="L931" s="44">
        <v>2.85</v>
      </c>
      <c r="M931" s="45">
        <v>52.21</v>
      </c>
      <c r="N931" s="69">
        <v>148.80000000000001</v>
      </c>
    </row>
    <row r="932" spans="1:14" hidden="1" x14ac:dyDescent="0.25">
      <c r="A932" s="47"/>
      <c r="B932" s="41"/>
      <c r="C932" s="354" t="s">
        <v>60</v>
      </c>
      <c r="D932" s="354"/>
      <c r="E932" s="354"/>
      <c r="F932" s="42" t="s">
        <v>61</v>
      </c>
      <c r="G932" s="45">
        <v>12.53</v>
      </c>
      <c r="H932" s="43"/>
      <c r="I932" s="73">
        <v>1.3557459999999999</v>
      </c>
      <c r="J932" s="50"/>
      <c r="K932" s="43"/>
      <c r="L932" s="50"/>
      <c r="M932" s="43"/>
      <c r="N932" s="51"/>
    </row>
    <row r="933" spans="1:14" hidden="1" x14ac:dyDescent="0.25">
      <c r="A933" s="47"/>
      <c r="B933" s="41"/>
      <c r="C933" s="354" t="s">
        <v>77</v>
      </c>
      <c r="D933" s="354"/>
      <c r="E933" s="354"/>
      <c r="F933" s="42" t="s">
        <v>61</v>
      </c>
      <c r="G933" s="45">
        <v>2.62</v>
      </c>
      <c r="H933" s="43"/>
      <c r="I933" s="73">
        <v>0.28348400000000001</v>
      </c>
      <c r="J933" s="50"/>
      <c r="K933" s="43"/>
      <c r="L933" s="50"/>
      <c r="M933" s="43"/>
      <c r="N933" s="51"/>
    </row>
    <row r="934" spans="1:14" hidden="1" x14ac:dyDescent="0.25">
      <c r="A934" s="52"/>
      <c r="B934" s="41"/>
      <c r="C934" s="355" t="s">
        <v>62</v>
      </c>
      <c r="D934" s="355"/>
      <c r="E934" s="355"/>
      <c r="F934" s="53"/>
      <c r="G934" s="54"/>
      <c r="H934" s="54"/>
      <c r="I934" s="54"/>
      <c r="J934" s="55">
        <v>348.46</v>
      </c>
      <c r="K934" s="54"/>
      <c r="L934" s="55">
        <v>37.700000000000003</v>
      </c>
      <c r="M934" s="54"/>
      <c r="N934" s="56">
        <v>1014.21</v>
      </c>
    </row>
    <row r="935" spans="1:14" hidden="1" x14ac:dyDescent="0.25">
      <c r="A935" s="47"/>
      <c r="B935" s="41"/>
      <c r="C935" s="354" t="s">
        <v>63</v>
      </c>
      <c r="D935" s="354"/>
      <c r="E935" s="354"/>
      <c r="F935" s="42"/>
      <c r="G935" s="43"/>
      <c r="H935" s="43"/>
      <c r="I935" s="43"/>
      <c r="J935" s="50"/>
      <c r="K935" s="43"/>
      <c r="L935" s="44">
        <v>14.41</v>
      </c>
      <c r="M935" s="43"/>
      <c r="N935" s="69">
        <v>752.35</v>
      </c>
    </row>
    <row r="936" spans="1:14" ht="22.5" hidden="1" x14ac:dyDescent="0.25">
      <c r="A936" s="47"/>
      <c r="B936" s="41" t="s">
        <v>91</v>
      </c>
      <c r="C936" s="354" t="s">
        <v>92</v>
      </c>
      <c r="D936" s="354"/>
      <c r="E936" s="354"/>
      <c r="F936" s="42" t="s">
        <v>66</v>
      </c>
      <c r="G936" s="48">
        <v>92</v>
      </c>
      <c r="H936" s="43"/>
      <c r="I936" s="48">
        <v>92</v>
      </c>
      <c r="J936" s="50"/>
      <c r="K936" s="43"/>
      <c r="L936" s="44">
        <v>13.26</v>
      </c>
      <c r="M936" s="43"/>
      <c r="N936" s="69">
        <v>692.16</v>
      </c>
    </row>
    <row r="937" spans="1:14" ht="45" hidden="1" x14ac:dyDescent="0.25">
      <c r="A937" s="47"/>
      <c r="B937" s="41" t="s">
        <v>93</v>
      </c>
      <c r="C937" s="354" t="s">
        <v>94</v>
      </c>
      <c r="D937" s="354"/>
      <c r="E937" s="354"/>
      <c r="F937" s="42" t="s">
        <v>66</v>
      </c>
      <c r="G937" s="48">
        <v>46</v>
      </c>
      <c r="H937" s="45">
        <v>0.85</v>
      </c>
      <c r="I937" s="63">
        <v>39.1</v>
      </c>
      <c r="J937" s="50"/>
      <c r="K937" s="43"/>
      <c r="L937" s="44">
        <v>5.63</v>
      </c>
      <c r="M937" s="43"/>
      <c r="N937" s="69">
        <v>294.17</v>
      </c>
    </row>
    <row r="938" spans="1:14" hidden="1" x14ac:dyDescent="0.25">
      <c r="A938" s="57"/>
      <c r="B938" s="58"/>
      <c r="C938" s="350" t="s">
        <v>69</v>
      </c>
      <c r="D938" s="350"/>
      <c r="E938" s="350"/>
      <c r="F938" s="34"/>
      <c r="G938" s="35"/>
      <c r="H938" s="35"/>
      <c r="I938" s="35"/>
      <c r="J938" s="38"/>
      <c r="K938" s="35"/>
      <c r="L938" s="59">
        <v>56.59</v>
      </c>
      <c r="M938" s="54"/>
      <c r="N938" s="60">
        <v>2000.54</v>
      </c>
    </row>
    <row r="939" spans="1:14" x14ac:dyDescent="0.25">
      <c r="A939" s="32" t="s">
        <v>365</v>
      </c>
      <c r="B939" s="33" t="s">
        <v>96</v>
      </c>
      <c r="C939" s="350" t="s">
        <v>97</v>
      </c>
      <c r="D939" s="350"/>
      <c r="E939" s="350"/>
      <c r="F939" s="34" t="s">
        <v>58</v>
      </c>
      <c r="G939" s="35">
        <v>0.108</v>
      </c>
      <c r="H939" s="36">
        <v>1</v>
      </c>
      <c r="I939" s="67">
        <v>0.108</v>
      </c>
      <c r="J939" s="38"/>
      <c r="K939" s="35"/>
      <c r="L939" s="38"/>
      <c r="M939" s="35"/>
      <c r="N939" s="39"/>
    </row>
    <row r="940" spans="1:14" hidden="1" x14ac:dyDescent="0.25">
      <c r="A940" s="40"/>
      <c r="B940" s="41" t="s">
        <v>55</v>
      </c>
      <c r="C940" s="354" t="s">
        <v>59</v>
      </c>
      <c r="D940" s="354"/>
      <c r="E940" s="354"/>
      <c r="F940" s="42"/>
      <c r="G940" s="43"/>
      <c r="H940" s="43"/>
      <c r="I940" s="43"/>
      <c r="J940" s="44">
        <v>173.23</v>
      </c>
      <c r="K940" s="43"/>
      <c r="L940" s="44">
        <v>18.71</v>
      </c>
      <c r="M940" s="45">
        <v>52.21</v>
      </c>
      <c r="N940" s="69">
        <v>976.85</v>
      </c>
    </row>
    <row r="941" spans="1:14" hidden="1" x14ac:dyDescent="0.25">
      <c r="A941" s="40"/>
      <c r="B941" s="41" t="s">
        <v>70</v>
      </c>
      <c r="C941" s="354" t="s">
        <v>74</v>
      </c>
      <c r="D941" s="354"/>
      <c r="E941" s="354"/>
      <c r="F941" s="42"/>
      <c r="G941" s="43"/>
      <c r="H941" s="43"/>
      <c r="I941" s="43"/>
      <c r="J941" s="62">
        <v>5268.76</v>
      </c>
      <c r="K941" s="43"/>
      <c r="L941" s="44">
        <v>569.03</v>
      </c>
      <c r="M941" s="45">
        <v>15.71</v>
      </c>
      <c r="N941" s="46">
        <v>8939.4599999999991</v>
      </c>
    </row>
    <row r="942" spans="1:14" hidden="1" x14ac:dyDescent="0.25">
      <c r="A942" s="40"/>
      <c r="B942" s="41" t="s">
        <v>75</v>
      </c>
      <c r="C942" s="354" t="s">
        <v>76</v>
      </c>
      <c r="D942" s="354"/>
      <c r="E942" s="354"/>
      <c r="F942" s="42"/>
      <c r="G942" s="43"/>
      <c r="H942" s="43"/>
      <c r="I942" s="43"/>
      <c r="J942" s="44">
        <v>267.67</v>
      </c>
      <c r="K942" s="43"/>
      <c r="L942" s="44">
        <v>28.91</v>
      </c>
      <c r="M942" s="45">
        <v>52.21</v>
      </c>
      <c r="N942" s="46">
        <v>1509.39</v>
      </c>
    </row>
    <row r="943" spans="1:14" hidden="1" x14ac:dyDescent="0.25">
      <c r="A943" s="40"/>
      <c r="B943" s="41" t="s">
        <v>88</v>
      </c>
      <c r="C943" s="354" t="s">
        <v>98</v>
      </c>
      <c r="D943" s="354"/>
      <c r="E943" s="354"/>
      <c r="F943" s="42"/>
      <c r="G943" s="43"/>
      <c r="H943" s="43"/>
      <c r="I943" s="43"/>
      <c r="J943" s="44">
        <v>17.079999999999998</v>
      </c>
      <c r="K943" s="43"/>
      <c r="L943" s="44">
        <v>1.84</v>
      </c>
      <c r="M943" s="63">
        <v>9.5</v>
      </c>
      <c r="N943" s="69">
        <v>17.48</v>
      </c>
    </row>
    <row r="944" spans="1:14" hidden="1" x14ac:dyDescent="0.25">
      <c r="A944" s="47"/>
      <c r="B944" s="41"/>
      <c r="C944" s="354" t="s">
        <v>60</v>
      </c>
      <c r="D944" s="354"/>
      <c r="E944" s="354"/>
      <c r="F944" s="42" t="s">
        <v>61</v>
      </c>
      <c r="G944" s="63">
        <v>21.6</v>
      </c>
      <c r="H944" s="43"/>
      <c r="I944" s="64">
        <v>2.3328000000000002</v>
      </c>
      <c r="J944" s="50"/>
      <c r="K944" s="43"/>
      <c r="L944" s="50"/>
      <c r="M944" s="43"/>
      <c r="N944" s="51"/>
    </row>
    <row r="945" spans="1:14" hidden="1" x14ac:dyDescent="0.25">
      <c r="A945" s="47"/>
      <c r="B945" s="41"/>
      <c r="C945" s="354" t="s">
        <v>77</v>
      </c>
      <c r="D945" s="354"/>
      <c r="E945" s="354"/>
      <c r="F945" s="42" t="s">
        <v>61</v>
      </c>
      <c r="G945" s="63">
        <v>20.6</v>
      </c>
      <c r="H945" s="43"/>
      <c r="I945" s="64">
        <v>2.2248000000000001</v>
      </c>
      <c r="J945" s="50"/>
      <c r="K945" s="43"/>
      <c r="L945" s="50"/>
      <c r="M945" s="43"/>
      <c r="N945" s="51"/>
    </row>
    <row r="946" spans="1:14" hidden="1" x14ac:dyDescent="0.25">
      <c r="A946" s="52"/>
      <c r="B946" s="41"/>
      <c r="C946" s="355" t="s">
        <v>62</v>
      </c>
      <c r="D946" s="355"/>
      <c r="E946" s="355"/>
      <c r="F946" s="53"/>
      <c r="G946" s="54"/>
      <c r="H946" s="54"/>
      <c r="I946" s="54"/>
      <c r="J946" s="65">
        <v>5459.07</v>
      </c>
      <c r="K946" s="54"/>
      <c r="L946" s="55">
        <v>589.58000000000004</v>
      </c>
      <c r="M946" s="54"/>
      <c r="N946" s="56">
        <v>9933.7900000000009</v>
      </c>
    </row>
    <row r="947" spans="1:14" hidden="1" x14ac:dyDescent="0.25">
      <c r="A947" s="47"/>
      <c r="B947" s="41"/>
      <c r="C947" s="354" t="s">
        <v>63</v>
      </c>
      <c r="D947" s="354"/>
      <c r="E947" s="354"/>
      <c r="F947" s="42"/>
      <c r="G947" s="43"/>
      <c r="H947" s="43"/>
      <c r="I947" s="43"/>
      <c r="J947" s="50"/>
      <c r="K947" s="43"/>
      <c r="L947" s="44">
        <v>47.62</v>
      </c>
      <c r="M947" s="43"/>
      <c r="N947" s="46">
        <v>2486.2399999999998</v>
      </c>
    </row>
    <row r="948" spans="1:14" ht="45" hidden="1" x14ac:dyDescent="0.25">
      <c r="A948" s="47"/>
      <c r="B948" s="41" t="s">
        <v>99</v>
      </c>
      <c r="C948" s="354" t="s">
        <v>100</v>
      </c>
      <c r="D948" s="354"/>
      <c r="E948" s="354"/>
      <c r="F948" s="42" t="s">
        <v>66</v>
      </c>
      <c r="G948" s="48">
        <v>147</v>
      </c>
      <c r="H948" s="43"/>
      <c r="I948" s="48">
        <v>147</v>
      </c>
      <c r="J948" s="50"/>
      <c r="K948" s="43"/>
      <c r="L948" s="44">
        <v>70</v>
      </c>
      <c r="M948" s="43"/>
      <c r="N948" s="46">
        <v>3654.77</v>
      </c>
    </row>
    <row r="949" spans="1:14" ht="67.5" hidden="1" x14ac:dyDescent="0.25">
      <c r="A949" s="47"/>
      <c r="B949" s="41" t="s">
        <v>101</v>
      </c>
      <c r="C949" s="354" t="s">
        <v>102</v>
      </c>
      <c r="D949" s="354"/>
      <c r="E949" s="354"/>
      <c r="F949" s="42" t="s">
        <v>66</v>
      </c>
      <c r="G949" s="48">
        <v>134</v>
      </c>
      <c r="H949" s="45">
        <v>0.85</v>
      </c>
      <c r="I949" s="63">
        <v>113.9</v>
      </c>
      <c r="J949" s="50"/>
      <c r="K949" s="43"/>
      <c r="L949" s="44">
        <v>54.24</v>
      </c>
      <c r="M949" s="43"/>
      <c r="N949" s="46">
        <v>2831.83</v>
      </c>
    </row>
    <row r="950" spans="1:14" hidden="1" x14ac:dyDescent="0.25">
      <c r="A950" s="57"/>
      <c r="B950" s="58"/>
      <c r="C950" s="350" t="s">
        <v>69</v>
      </c>
      <c r="D950" s="350"/>
      <c r="E950" s="350"/>
      <c r="F950" s="34"/>
      <c r="G950" s="35"/>
      <c r="H950" s="35"/>
      <c r="I950" s="35"/>
      <c r="J950" s="38"/>
      <c r="K950" s="35"/>
      <c r="L950" s="59">
        <v>713.82</v>
      </c>
      <c r="M950" s="54"/>
      <c r="N950" s="60">
        <v>16420.39</v>
      </c>
    </row>
    <row r="951" spans="1:14" ht="22.5" x14ac:dyDescent="0.25">
      <c r="A951" s="32" t="s">
        <v>366</v>
      </c>
      <c r="B951" s="33" t="s">
        <v>104</v>
      </c>
      <c r="C951" s="350" t="s">
        <v>105</v>
      </c>
      <c r="D951" s="350"/>
      <c r="E951" s="350"/>
      <c r="F951" s="34" t="s">
        <v>106</v>
      </c>
      <c r="G951" s="35">
        <v>15.62</v>
      </c>
      <c r="H951" s="36">
        <v>1</v>
      </c>
      <c r="I951" s="61">
        <v>15.62</v>
      </c>
      <c r="J951" s="59">
        <v>646.32000000000005</v>
      </c>
      <c r="K951" s="67">
        <v>1.012</v>
      </c>
      <c r="L951" s="66">
        <v>10216.66</v>
      </c>
      <c r="M951" s="70">
        <v>9.5</v>
      </c>
      <c r="N951" s="60">
        <v>97058.27</v>
      </c>
    </row>
    <row r="952" spans="1:14" hidden="1" x14ac:dyDescent="0.25">
      <c r="A952" s="52"/>
      <c r="B952" s="71"/>
      <c r="C952" s="354" t="s">
        <v>107</v>
      </c>
      <c r="D952" s="354"/>
      <c r="E952" s="354"/>
      <c r="F952" s="354"/>
      <c r="G952" s="354"/>
      <c r="H952" s="354"/>
      <c r="I952" s="354"/>
      <c r="J952" s="354"/>
      <c r="K952" s="354"/>
      <c r="L952" s="354"/>
      <c r="M952" s="354"/>
      <c r="N952" s="356"/>
    </row>
    <row r="953" spans="1:14" hidden="1" x14ac:dyDescent="0.25">
      <c r="A953" s="72"/>
      <c r="B953" s="41"/>
      <c r="C953" s="344" t="s">
        <v>108</v>
      </c>
      <c r="D953" s="344"/>
      <c r="E953" s="344"/>
      <c r="F953" s="344"/>
      <c r="G953" s="344"/>
      <c r="H953" s="344"/>
      <c r="I953" s="344"/>
      <c r="J953" s="344"/>
      <c r="K953" s="344"/>
      <c r="L953" s="344"/>
      <c r="M953" s="344"/>
      <c r="N953" s="357"/>
    </row>
    <row r="954" spans="1:14" hidden="1" x14ac:dyDescent="0.25">
      <c r="A954" s="57"/>
      <c r="B954" s="58"/>
      <c r="C954" s="350" t="s">
        <v>69</v>
      </c>
      <c r="D954" s="350"/>
      <c r="E954" s="350"/>
      <c r="F954" s="34"/>
      <c r="G954" s="35"/>
      <c r="H954" s="35"/>
      <c r="I954" s="35"/>
      <c r="J954" s="38"/>
      <c r="K954" s="35"/>
      <c r="L954" s="66">
        <v>10216.66</v>
      </c>
      <c r="M954" s="54"/>
      <c r="N954" s="60">
        <v>97058.27</v>
      </c>
    </row>
    <row r="955" spans="1:14" ht="33.75" customHeight="1" x14ac:dyDescent="0.25">
      <c r="A955" s="32" t="s">
        <v>367</v>
      </c>
      <c r="B955" s="33" t="s">
        <v>241</v>
      </c>
      <c r="C955" s="350" t="s">
        <v>242</v>
      </c>
      <c r="D955" s="350"/>
      <c r="E955" s="350"/>
      <c r="F955" s="34" t="s">
        <v>210</v>
      </c>
      <c r="G955" s="35">
        <v>1</v>
      </c>
      <c r="H955" s="36">
        <v>1</v>
      </c>
      <c r="I955" s="36">
        <v>1</v>
      </c>
      <c r="J955" s="38"/>
      <c r="K955" s="35"/>
      <c r="L955" s="38"/>
      <c r="M955" s="35"/>
      <c r="N955" s="39"/>
    </row>
    <row r="956" spans="1:14" hidden="1" x14ac:dyDescent="0.25">
      <c r="A956" s="40"/>
      <c r="B956" s="41" t="s">
        <v>55</v>
      </c>
      <c r="C956" s="354" t="s">
        <v>59</v>
      </c>
      <c r="D956" s="354"/>
      <c r="E956" s="354"/>
      <c r="F956" s="42"/>
      <c r="G956" s="43"/>
      <c r="H956" s="43"/>
      <c r="I956" s="43"/>
      <c r="J956" s="44">
        <v>316.8</v>
      </c>
      <c r="K956" s="43"/>
      <c r="L956" s="44">
        <v>316.8</v>
      </c>
      <c r="M956" s="45">
        <v>52.21</v>
      </c>
      <c r="N956" s="46">
        <v>16540.13</v>
      </c>
    </row>
    <row r="957" spans="1:14" hidden="1" x14ac:dyDescent="0.25">
      <c r="A957" s="40"/>
      <c r="B957" s="41" t="s">
        <v>70</v>
      </c>
      <c r="C957" s="354" t="s">
        <v>74</v>
      </c>
      <c r="D957" s="354"/>
      <c r="E957" s="354"/>
      <c r="F957" s="42"/>
      <c r="G957" s="43"/>
      <c r="H957" s="43"/>
      <c r="I957" s="43"/>
      <c r="J957" s="62">
        <v>8602.08</v>
      </c>
      <c r="K957" s="43"/>
      <c r="L957" s="62">
        <v>8602.08</v>
      </c>
      <c r="M957" s="45">
        <v>15.71</v>
      </c>
      <c r="N957" s="46">
        <v>135138.68</v>
      </c>
    </row>
    <row r="958" spans="1:14" hidden="1" x14ac:dyDescent="0.25">
      <c r="A958" s="40"/>
      <c r="B958" s="41" t="s">
        <v>75</v>
      </c>
      <c r="C958" s="354" t="s">
        <v>76</v>
      </c>
      <c r="D958" s="354"/>
      <c r="E958" s="354"/>
      <c r="F958" s="42"/>
      <c r="G958" s="43"/>
      <c r="H958" s="43"/>
      <c r="I958" s="43"/>
      <c r="J958" s="44">
        <v>328.35</v>
      </c>
      <c r="K958" s="43"/>
      <c r="L958" s="44">
        <v>328.35</v>
      </c>
      <c r="M958" s="45">
        <v>52.21</v>
      </c>
      <c r="N958" s="46">
        <v>17143.150000000001</v>
      </c>
    </row>
    <row r="959" spans="1:14" hidden="1" x14ac:dyDescent="0.25">
      <c r="A959" s="47"/>
      <c r="B959" s="41"/>
      <c r="C959" s="354" t="s">
        <v>60</v>
      </c>
      <c r="D959" s="354"/>
      <c r="E959" s="354"/>
      <c r="F959" s="42" t="s">
        <v>61</v>
      </c>
      <c r="G959" s="45">
        <v>34.51</v>
      </c>
      <c r="H959" s="43"/>
      <c r="I959" s="45">
        <v>34.51</v>
      </c>
      <c r="J959" s="50"/>
      <c r="K959" s="43"/>
      <c r="L959" s="50"/>
      <c r="M959" s="43"/>
      <c r="N959" s="51"/>
    </row>
    <row r="960" spans="1:14" hidden="1" x14ac:dyDescent="0.25">
      <c r="A960" s="47"/>
      <c r="B960" s="41"/>
      <c r="C960" s="354" t="s">
        <v>77</v>
      </c>
      <c r="D960" s="354"/>
      <c r="E960" s="354"/>
      <c r="F960" s="42" t="s">
        <v>61</v>
      </c>
      <c r="G960" s="45">
        <v>25.66</v>
      </c>
      <c r="H960" s="43"/>
      <c r="I960" s="45">
        <v>25.66</v>
      </c>
      <c r="J960" s="50"/>
      <c r="K960" s="43"/>
      <c r="L960" s="50"/>
      <c r="M960" s="43"/>
      <c r="N960" s="51"/>
    </row>
    <row r="961" spans="1:14" hidden="1" x14ac:dyDescent="0.25">
      <c r="A961" s="52"/>
      <c r="B961" s="41"/>
      <c r="C961" s="355" t="s">
        <v>62</v>
      </c>
      <c r="D961" s="355"/>
      <c r="E961" s="355"/>
      <c r="F961" s="53"/>
      <c r="G961" s="54"/>
      <c r="H961" s="54"/>
      <c r="I961" s="54"/>
      <c r="J961" s="65">
        <v>8918.8799999999992</v>
      </c>
      <c r="K961" s="54"/>
      <c r="L961" s="65">
        <v>8918.8799999999992</v>
      </c>
      <c r="M961" s="54"/>
      <c r="N961" s="56">
        <v>151678.81</v>
      </c>
    </row>
    <row r="962" spans="1:14" hidden="1" x14ac:dyDescent="0.25">
      <c r="A962" s="47"/>
      <c r="B962" s="41"/>
      <c r="C962" s="354" t="s">
        <v>63</v>
      </c>
      <c r="D962" s="354"/>
      <c r="E962" s="354"/>
      <c r="F962" s="42"/>
      <c r="G962" s="43"/>
      <c r="H962" s="43"/>
      <c r="I962" s="43"/>
      <c r="J962" s="50"/>
      <c r="K962" s="43"/>
      <c r="L962" s="44">
        <v>645.15</v>
      </c>
      <c r="M962" s="43"/>
      <c r="N962" s="46">
        <v>33683.279999999999</v>
      </c>
    </row>
    <row r="963" spans="1:14" ht="22.5" hidden="1" x14ac:dyDescent="0.25">
      <c r="A963" s="47"/>
      <c r="B963" s="41" t="s">
        <v>78</v>
      </c>
      <c r="C963" s="354" t="s">
        <v>79</v>
      </c>
      <c r="D963" s="354"/>
      <c r="E963" s="354"/>
      <c r="F963" s="42" t="s">
        <v>66</v>
      </c>
      <c r="G963" s="48">
        <v>109</v>
      </c>
      <c r="H963" s="43"/>
      <c r="I963" s="48">
        <v>109</v>
      </c>
      <c r="J963" s="50"/>
      <c r="K963" s="43"/>
      <c r="L963" s="44">
        <v>703.21</v>
      </c>
      <c r="M963" s="43"/>
      <c r="N963" s="46">
        <v>36714.78</v>
      </c>
    </row>
    <row r="964" spans="1:14" ht="45" hidden="1" x14ac:dyDescent="0.25">
      <c r="A964" s="47"/>
      <c r="B964" s="41" t="s">
        <v>80</v>
      </c>
      <c r="C964" s="354" t="s">
        <v>81</v>
      </c>
      <c r="D964" s="354"/>
      <c r="E964" s="354"/>
      <c r="F964" s="42" t="s">
        <v>66</v>
      </c>
      <c r="G964" s="48">
        <v>65</v>
      </c>
      <c r="H964" s="45">
        <v>0.85</v>
      </c>
      <c r="I964" s="45">
        <v>55.25</v>
      </c>
      <c r="J964" s="50"/>
      <c r="K964" s="43"/>
      <c r="L964" s="44">
        <v>356.45</v>
      </c>
      <c r="M964" s="43"/>
      <c r="N964" s="46">
        <v>18610.009999999998</v>
      </c>
    </row>
    <row r="965" spans="1:14" hidden="1" x14ac:dyDescent="0.25">
      <c r="A965" s="57"/>
      <c r="B965" s="58"/>
      <c r="C965" s="350" t="s">
        <v>69</v>
      </c>
      <c r="D965" s="350"/>
      <c r="E965" s="350"/>
      <c r="F965" s="34"/>
      <c r="G965" s="35"/>
      <c r="H965" s="35"/>
      <c r="I965" s="35"/>
      <c r="J965" s="38"/>
      <c r="K965" s="35"/>
      <c r="L965" s="66">
        <v>9978.5400000000009</v>
      </c>
      <c r="M965" s="54"/>
      <c r="N965" s="60">
        <v>207003.6</v>
      </c>
    </row>
    <row r="966" spans="1:14" ht="22.5" x14ac:dyDescent="0.25">
      <c r="A966" s="32" t="s">
        <v>368</v>
      </c>
      <c r="B966" s="33" t="s">
        <v>244</v>
      </c>
      <c r="C966" s="350" t="s">
        <v>245</v>
      </c>
      <c r="D966" s="350"/>
      <c r="E966" s="350"/>
      <c r="F966" s="34" t="s">
        <v>246</v>
      </c>
      <c r="G966" s="35">
        <v>1</v>
      </c>
      <c r="H966" s="36">
        <v>1</v>
      </c>
      <c r="I966" s="36">
        <v>1</v>
      </c>
      <c r="J966" s="66">
        <v>168421.05</v>
      </c>
      <c r="K966" s="74">
        <v>1.04236</v>
      </c>
      <c r="L966" s="66">
        <v>175555.37</v>
      </c>
      <c r="M966" s="70">
        <v>9.5</v>
      </c>
      <c r="N966" s="60">
        <v>1667776.02</v>
      </c>
    </row>
    <row r="967" spans="1:14" hidden="1" x14ac:dyDescent="0.25">
      <c r="A967" s="52"/>
      <c r="B967" s="71"/>
      <c r="C967" s="354" t="s">
        <v>247</v>
      </c>
      <c r="D967" s="354"/>
      <c r="E967" s="354"/>
      <c r="F967" s="354"/>
      <c r="G967" s="354"/>
      <c r="H967" s="354"/>
      <c r="I967" s="354"/>
      <c r="J967" s="354"/>
      <c r="K967" s="354"/>
      <c r="L967" s="354"/>
      <c r="M967" s="354"/>
      <c r="N967" s="356"/>
    </row>
    <row r="968" spans="1:14" hidden="1" x14ac:dyDescent="0.25">
      <c r="A968" s="72"/>
      <c r="B968" s="41"/>
      <c r="C968" s="344" t="s">
        <v>123</v>
      </c>
      <c r="D968" s="344"/>
      <c r="E968" s="344"/>
      <c r="F968" s="344"/>
      <c r="G968" s="344"/>
      <c r="H968" s="344"/>
      <c r="I968" s="344"/>
      <c r="J968" s="344"/>
      <c r="K968" s="344"/>
      <c r="L968" s="344"/>
      <c r="M968" s="344"/>
      <c r="N968" s="357"/>
    </row>
    <row r="969" spans="1:14" hidden="1" x14ac:dyDescent="0.25">
      <c r="A969" s="72"/>
      <c r="B969" s="41"/>
      <c r="C969" s="344" t="s">
        <v>108</v>
      </c>
      <c r="D969" s="344"/>
      <c r="E969" s="344"/>
      <c r="F969" s="344"/>
      <c r="G969" s="344"/>
      <c r="H969" s="344"/>
      <c r="I969" s="344"/>
      <c r="J969" s="344"/>
      <c r="K969" s="344"/>
      <c r="L969" s="344"/>
      <c r="M969" s="344"/>
      <c r="N969" s="357"/>
    </row>
    <row r="970" spans="1:14" hidden="1" x14ac:dyDescent="0.25">
      <c r="A970" s="57"/>
      <c r="B970" s="58"/>
      <c r="C970" s="350" t="s">
        <v>69</v>
      </c>
      <c r="D970" s="350"/>
      <c r="E970" s="350"/>
      <c r="F970" s="34"/>
      <c r="G970" s="35"/>
      <c r="H970" s="35"/>
      <c r="I970" s="35"/>
      <c r="J970" s="38"/>
      <c r="K970" s="35"/>
      <c r="L970" s="66">
        <v>175555.37</v>
      </c>
      <c r="M970" s="54"/>
      <c r="N970" s="60">
        <v>1667776.02</v>
      </c>
    </row>
    <row r="971" spans="1:14" ht="22.5" x14ac:dyDescent="0.25">
      <c r="A971" s="32" t="s">
        <v>369</v>
      </c>
      <c r="B971" s="33" t="s">
        <v>249</v>
      </c>
      <c r="C971" s="350" t="s">
        <v>250</v>
      </c>
      <c r="D971" s="350"/>
      <c r="E971" s="350"/>
      <c r="F971" s="34" t="s">
        <v>246</v>
      </c>
      <c r="G971" s="35">
        <v>1</v>
      </c>
      <c r="H971" s="36">
        <v>1</v>
      </c>
      <c r="I971" s="36">
        <v>1</v>
      </c>
      <c r="J971" s="66">
        <v>363157.89</v>
      </c>
      <c r="K971" s="74">
        <v>1.04236</v>
      </c>
      <c r="L971" s="66">
        <v>378541.26</v>
      </c>
      <c r="M971" s="70">
        <v>9.5</v>
      </c>
      <c r="N971" s="60">
        <v>3596141.97</v>
      </c>
    </row>
    <row r="972" spans="1:14" hidden="1" x14ac:dyDescent="0.25">
      <c r="A972" s="52"/>
      <c r="B972" s="71"/>
      <c r="C972" s="354" t="s">
        <v>251</v>
      </c>
      <c r="D972" s="354"/>
      <c r="E972" s="354"/>
      <c r="F972" s="354"/>
      <c r="G972" s="354"/>
      <c r="H972" s="354"/>
      <c r="I972" s="354"/>
      <c r="J972" s="354"/>
      <c r="K972" s="354"/>
      <c r="L972" s="354"/>
      <c r="M972" s="354"/>
      <c r="N972" s="356"/>
    </row>
    <row r="973" spans="1:14" hidden="1" x14ac:dyDescent="0.25">
      <c r="A973" s="72"/>
      <c r="B973" s="41"/>
      <c r="C973" s="344" t="s">
        <v>123</v>
      </c>
      <c r="D973" s="344"/>
      <c r="E973" s="344"/>
      <c r="F973" s="344"/>
      <c r="G973" s="344"/>
      <c r="H973" s="344"/>
      <c r="I973" s="344"/>
      <c r="J973" s="344"/>
      <c r="K973" s="344"/>
      <c r="L973" s="344"/>
      <c r="M973" s="344"/>
      <c r="N973" s="357"/>
    </row>
    <row r="974" spans="1:14" hidden="1" x14ac:dyDescent="0.25">
      <c r="A974" s="72"/>
      <c r="B974" s="41"/>
      <c r="C974" s="344" t="s">
        <v>108</v>
      </c>
      <c r="D974" s="344"/>
      <c r="E974" s="344"/>
      <c r="F974" s="344"/>
      <c r="G974" s="344"/>
      <c r="H974" s="344"/>
      <c r="I974" s="344"/>
      <c r="J974" s="344"/>
      <c r="K974" s="344"/>
      <c r="L974" s="344"/>
      <c r="M974" s="344"/>
      <c r="N974" s="357"/>
    </row>
    <row r="975" spans="1:14" hidden="1" x14ac:dyDescent="0.25">
      <c r="A975" s="57"/>
      <c r="B975" s="58"/>
      <c r="C975" s="350" t="s">
        <v>69</v>
      </c>
      <c r="D975" s="350"/>
      <c r="E975" s="350"/>
      <c r="F975" s="34"/>
      <c r="G975" s="35"/>
      <c r="H975" s="35"/>
      <c r="I975" s="35"/>
      <c r="J975" s="38"/>
      <c r="K975" s="35"/>
      <c r="L975" s="66">
        <v>378541.26</v>
      </c>
      <c r="M975" s="54"/>
      <c r="N975" s="60">
        <v>3596141.97</v>
      </c>
    </row>
    <row r="976" spans="1:14" ht="36.75" customHeight="1" x14ac:dyDescent="0.25">
      <c r="A976" s="32" t="s">
        <v>370</v>
      </c>
      <c r="B976" s="33" t="s">
        <v>253</v>
      </c>
      <c r="C976" s="350" t="s">
        <v>254</v>
      </c>
      <c r="D976" s="350"/>
      <c r="E976" s="350"/>
      <c r="F976" s="34" t="s">
        <v>115</v>
      </c>
      <c r="G976" s="35">
        <v>1</v>
      </c>
      <c r="H976" s="36">
        <v>1</v>
      </c>
      <c r="I976" s="36">
        <v>1</v>
      </c>
      <c r="J976" s="38"/>
      <c r="K976" s="35"/>
      <c r="L976" s="38"/>
      <c r="M976" s="35"/>
      <c r="N976" s="39"/>
    </row>
    <row r="977" spans="1:14" hidden="1" x14ac:dyDescent="0.25">
      <c r="A977" s="40"/>
      <c r="B977" s="41" t="s">
        <v>55</v>
      </c>
      <c r="C977" s="354" t="s">
        <v>59</v>
      </c>
      <c r="D977" s="354"/>
      <c r="E977" s="354"/>
      <c r="F977" s="42"/>
      <c r="G977" s="43"/>
      <c r="H977" s="43"/>
      <c r="I977" s="43"/>
      <c r="J977" s="44">
        <v>251.92</v>
      </c>
      <c r="K977" s="43"/>
      <c r="L977" s="44">
        <v>251.92</v>
      </c>
      <c r="M977" s="45">
        <v>52.21</v>
      </c>
      <c r="N977" s="46">
        <v>13152.74</v>
      </c>
    </row>
    <row r="978" spans="1:14" hidden="1" x14ac:dyDescent="0.25">
      <c r="A978" s="40"/>
      <c r="B978" s="41" t="s">
        <v>70</v>
      </c>
      <c r="C978" s="354" t="s">
        <v>74</v>
      </c>
      <c r="D978" s="354"/>
      <c r="E978" s="354"/>
      <c r="F978" s="42"/>
      <c r="G978" s="43"/>
      <c r="H978" s="43"/>
      <c r="I978" s="43"/>
      <c r="J978" s="44">
        <v>120.78</v>
      </c>
      <c r="K978" s="43"/>
      <c r="L978" s="44">
        <v>120.78</v>
      </c>
      <c r="M978" s="45">
        <v>15.71</v>
      </c>
      <c r="N978" s="46">
        <v>1897.45</v>
      </c>
    </row>
    <row r="979" spans="1:14" hidden="1" x14ac:dyDescent="0.25">
      <c r="A979" s="40"/>
      <c r="B979" s="41" t="s">
        <v>75</v>
      </c>
      <c r="C979" s="354" t="s">
        <v>76</v>
      </c>
      <c r="D979" s="354"/>
      <c r="E979" s="354"/>
      <c r="F979" s="42"/>
      <c r="G979" s="43"/>
      <c r="H979" s="43"/>
      <c r="I979" s="43"/>
      <c r="J979" s="44">
        <v>11.98</v>
      </c>
      <c r="K979" s="43"/>
      <c r="L979" s="44">
        <v>11.98</v>
      </c>
      <c r="M979" s="45">
        <v>52.21</v>
      </c>
      <c r="N979" s="69">
        <v>625.48</v>
      </c>
    </row>
    <row r="980" spans="1:14" hidden="1" x14ac:dyDescent="0.25">
      <c r="A980" s="40"/>
      <c r="B980" s="41" t="s">
        <v>88</v>
      </c>
      <c r="C980" s="354" t="s">
        <v>98</v>
      </c>
      <c r="D980" s="354"/>
      <c r="E980" s="354"/>
      <c r="F980" s="42"/>
      <c r="G980" s="43"/>
      <c r="H980" s="43"/>
      <c r="I980" s="43"/>
      <c r="J980" s="44">
        <v>812.09</v>
      </c>
      <c r="K980" s="43"/>
      <c r="L980" s="44">
        <v>812.09</v>
      </c>
      <c r="M980" s="63">
        <v>9.5</v>
      </c>
      <c r="N980" s="46">
        <v>7714.86</v>
      </c>
    </row>
    <row r="981" spans="1:14" hidden="1" x14ac:dyDescent="0.25">
      <c r="A981" s="47"/>
      <c r="B981" s="41"/>
      <c r="C981" s="354" t="s">
        <v>60</v>
      </c>
      <c r="D981" s="354"/>
      <c r="E981" s="354"/>
      <c r="F981" s="42" t="s">
        <v>61</v>
      </c>
      <c r="G981" s="63">
        <v>26.8</v>
      </c>
      <c r="H981" s="43"/>
      <c r="I981" s="63">
        <v>26.8</v>
      </c>
      <c r="J981" s="50"/>
      <c r="K981" s="43"/>
      <c r="L981" s="50"/>
      <c r="M981" s="43"/>
      <c r="N981" s="51"/>
    </row>
    <row r="982" spans="1:14" hidden="1" x14ac:dyDescent="0.25">
      <c r="A982" s="47"/>
      <c r="B982" s="41"/>
      <c r="C982" s="354" t="s">
        <v>77</v>
      </c>
      <c r="D982" s="354"/>
      <c r="E982" s="354"/>
      <c r="F982" s="42" t="s">
        <v>61</v>
      </c>
      <c r="G982" s="45">
        <v>0.92</v>
      </c>
      <c r="H982" s="43"/>
      <c r="I982" s="45">
        <v>0.92</v>
      </c>
      <c r="J982" s="50"/>
      <c r="K982" s="43"/>
      <c r="L982" s="50"/>
      <c r="M982" s="43"/>
      <c r="N982" s="51"/>
    </row>
    <row r="983" spans="1:14" hidden="1" x14ac:dyDescent="0.25">
      <c r="A983" s="52"/>
      <c r="B983" s="41"/>
      <c r="C983" s="355" t="s">
        <v>62</v>
      </c>
      <c r="D983" s="355"/>
      <c r="E983" s="355"/>
      <c r="F983" s="53"/>
      <c r="G983" s="54"/>
      <c r="H983" s="54"/>
      <c r="I983" s="54"/>
      <c r="J983" s="65">
        <v>1184.79</v>
      </c>
      <c r="K983" s="54"/>
      <c r="L983" s="65">
        <v>1184.79</v>
      </c>
      <c r="M983" s="54"/>
      <c r="N983" s="56">
        <v>22765.05</v>
      </c>
    </row>
    <row r="984" spans="1:14" hidden="1" x14ac:dyDescent="0.25">
      <c r="A984" s="47"/>
      <c r="B984" s="41"/>
      <c r="C984" s="354" t="s">
        <v>63</v>
      </c>
      <c r="D984" s="354"/>
      <c r="E984" s="354"/>
      <c r="F984" s="42"/>
      <c r="G984" s="43"/>
      <c r="H984" s="43"/>
      <c r="I984" s="43"/>
      <c r="J984" s="50"/>
      <c r="K984" s="43"/>
      <c r="L984" s="44">
        <v>263.89999999999998</v>
      </c>
      <c r="M984" s="43"/>
      <c r="N984" s="46">
        <v>13778.22</v>
      </c>
    </row>
    <row r="985" spans="1:14" hidden="1" x14ac:dyDescent="0.25">
      <c r="A985" s="47"/>
      <c r="B985" s="41" t="s">
        <v>255</v>
      </c>
      <c r="C985" s="354" t="s">
        <v>256</v>
      </c>
      <c r="D985" s="354"/>
      <c r="E985" s="354"/>
      <c r="F985" s="42" t="s">
        <v>66</v>
      </c>
      <c r="G985" s="48">
        <v>92</v>
      </c>
      <c r="H985" s="43"/>
      <c r="I985" s="48">
        <v>92</v>
      </c>
      <c r="J985" s="50"/>
      <c r="K985" s="43"/>
      <c r="L985" s="44">
        <v>242.79</v>
      </c>
      <c r="M985" s="43"/>
      <c r="N985" s="46">
        <v>12675.96</v>
      </c>
    </row>
    <row r="986" spans="1:14" hidden="1" x14ac:dyDescent="0.25">
      <c r="A986" s="47"/>
      <c r="B986" s="41" t="s">
        <v>257</v>
      </c>
      <c r="C986" s="354" t="s">
        <v>258</v>
      </c>
      <c r="D986" s="354"/>
      <c r="E986" s="354"/>
      <c r="F986" s="42" t="s">
        <v>66</v>
      </c>
      <c r="G986" s="48">
        <v>49</v>
      </c>
      <c r="H986" s="43"/>
      <c r="I986" s="48">
        <v>49</v>
      </c>
      <c r="J986" s="50"/>
      <c r="K986" s="43"/>
      <c r="L986" s="44">
        <v>129.31</v>
      </c>
      <c r="M986" s="43"/>
      <c r="N986" s="46">
        <v>6751.33</v>
      </c>
    </row>
    <row r="987" spans="1:14" hidden="1" x14ac:dyDescent="0.25">
      <c r="A987" s="57"/>
      <c r="B987" s="58"/>
      <c r="C987" s="350" t="s">
        <v>69</v>
      </c>
      <c r="D987" s="350"/>
      <c r="E987" s="350"/>
      <c r="F987" s="34"/>
      <c r="G987" s="35"/>
      <c r="H987" s="35"/>
      <c r="I987" s="35"/>
      <c r="J987" s="38"/>
      <c r="K987" s="35"/>
      <c r="L987" s="66">
        <v>1556.89</v>
      </c>
      <c r="M987" s="54"/>
      <c r="N987" s="60">
        <v>42192.34</v>
      </c>
    </row>
    <row r="988" spans="1:14" x14ac:dyDescent="0.25">
      <c r="A988" s="32" t="s">
        <v>371</v>
      </c>
      <c r="B988" s="33" t="s">
        <v>260</v>
      </c>
      <c r="C988" s="350" t="s">
        <v>261</v>
      </c>
      <c r="D988" s="350"/>
      <c r="E988" s="350"/>
      <c r="F988" s="34" t="s">
        <v>115</v>
      </c>
      <c r="G988" s="35">
        <v>-2</v>
      </c>
      <c r="H988" s="36">
        <v>1</v>
      </c>
      <c r="I988" s="36">
        <v>-2</v>
      </c>
      <c r="J988" s="59">
        <v>266.67</v>
      </c>
      <c r="K988" s="35"/>
      <c r="L988" s="59">
        <v>-533.34</v>
      </c>
      <c r="M988" s="70">
        <v>9.5</v>
      </c>
      <c r="N988" s="60">
        <v>-5066.7299999999996</v>
      </c>
    </row>
    <row r="989" spans="1:14" hidden="1" x14ac:dyDescent="0.25">
      <c r="A989" s="57"/>
      <c r="B989" s="58"/>
      <c r="C989" s="350" t="s">
        <v>69</v>
      </c>
      <c r="D989" s="350"/>
      <c r="E989" s="350"/>
      <c r="F989" s="34"/>
      <c r="G989" s="35"/>
      <c r="H989" s="35"/>
      <c r="I989" s="35"/>
      <c r="J989" s="38"/>
      <c r="K989" s="35"/>
      <c r="L989" s="59">
        <v>-533.34</v>
      </c>
      <c r="M989" s="54"/>
      <c r="N989" s="60">
        <v>-5066.7299999999996</v>
      </c>
    </row>
    <row r="990" spans="1:14" ht="22.5" x14ac:dyDescent="0.25">
      <c r="A990" s="32" t="s">
        <v>372</v>
      </c>
      <c r="B990" s="33" t="s">
        <v>263</v>
      </c>
      <c r="C990" s="350" t="s">
        <v>264</v>
      </c>
      <c r="D990" s="350"/>
      <c r="E990" s="350"/>
      <c r="F990" s="34" t="s">
        <v>115</v>
      </c>
      <c r="G990" s="35">
        <v>2</v>
      </c>
      <c r="H990" s="36">
        <v>1</v>
      </c>
      <c r="I990" s="36">
        <v>2</v>
      </c>
      <c r="J990" s="66">
        <v>4429.58</v>
      </c>
      <c r="K990" s="74">
        <v>1.04236</v>
      </c>
      <c r="L990" s="66">
        <v>9234.43</v>
      </c>
      <c r="M990" s="70">
        <v>9.5</v>
      </c>
      <c r="N990" s="60">
        <v>87727.09</v>
      </c>
    </row>
    <row r="991" spans="1:14" hidden="1" x14ac:dyDescent="0.25">
      <c r="A991" s="52"/>
      <c r="B991" s="71"/>
      <c r="C991" s="354" t="s">
        <v>265</v>
      </c>
      <c r="D991" s="354"/>
      <c r="E991" s="354"/>
      <c r="F991" s="354"/>
      <c r="G991" s="354"/>
      <c r="H991" s="354"/>
      <c r="I991" s="354"/>
      <c r="J991" s="354"/>
      <c r="K991" s="354"/>
      <c r="L991" s="354"/>
      <c r="M991" s="354"/>
      <c r="N991" s="356"/>
    </row>
    <row r="992" spans="1:14" hidden="1" x14ac:dyDescent="0.25">
      <c r="A992" s="72"/>
      <c r="B992" s="41"/>
      <c r="C992" s="344" t="s">
        <v>123</v>
      </c>
      <c r="D992" s="344"/>
      <c r="E992" s="344"/>
      <c r="F992" s="344"/>
      <c r="G992" s="344"/>
      <c r="H992" s="344"/>
      <c r="I992" s="344"/>
      <c r="J992" s="344"/>
      <c r="K992" s="344"/>
      <c r="L992" s="344"/>
      <c r="M992" s="344"/>
      <c r="N992" s="357"/>
    </row>
    <row r="993" spans="1:14" hidden="1" x14ac:dyDescent="0.25">
      <c r="A993" s="72"/>
      <c r="B993" s="41"/>
      <c r="C993" s="344" t="s">
        <v>108</v>
      </c>
      <c r="D993" s="344"/>
      <c r="E993" s="344"/>
      <c r="F993" s="344"/>
      <c r="G993" s="344"/>
      <c r="H993" s="344"/>
      <c r="I993" s="344"/>
      <c r="J993" s="344"/>
      <c r="K993" s="344"/>
      <c r="L993" s="344"/>
      <c r="M993" s="344"/>
      <c r="N993" s="357"/>
    </row>
    <row r="994" spans="1:14" hidden="1" x14ac:dyDescent="0.25">
      <c r="A994" s="57"/>
      <c r="B994" s="58"/>
      <c r="C994" s="350" t="s">
        <v>69</v>
      </c>
      <c r="D994" s="350"/>
      <c r="E994" s="350"/>
      <c r="F994" s="34"/>
      <c r="G994" s="35"/>
      <c r="H994" s="35"/>
      <c r="I994" s="35"/>
      <c r="J994" s="38"/>
      <c r="K994" s="35"/>
      <c r="L994" s="66">
        <v>9234.43</v>
      </c>
      <c r="M994" s="54"/>
      <c r="N994" s="60">
        <v>87727.09</v>
      </c>
    </row>
    <row r="995" spans="1:14" ht="22.5" x14ac:dyDescent="0.25">
      <c r="A995" s="32" t="s">
        <v>373</v>
      </c>
      <c r="B995" s="33" t="s">
        <v>267</v>
      </c>
      <c r="C995" s="350" t="s">
        <v>268</v>
      </c>
      <c r="D995" s="350"/>
      <c r="E995" s="350"/>
      <c r="F995" s="34" t="s">
        <v>115</v>
      </c>
      <c r="G995" s="35">
        <v>1</v>
      </c>
      <c r="H995" s="36">
        <v>1</v>
      </c>
      <c r="I995" s="36">
        <v>1</v>
      </c>
      <c r="J995" s="66">
        <v>15832.63</v>
      </c>
      <c r="K995" s="74">
        <v>1.04236</v>
      </c>
      <c r="L995" s="66">
        <v>16503.3</v>
      </c>
      <c r="M995" s="70">
        <v>9.5</v>
      </c>
      <c r="N995" s="60">
        <v>156781.35</v>
      </c>
    </row>
    <row r="996" spans="1:14" hidden="1" x14ac:dyDescent="0.25">
      <c r="A996" s="52"/>
      <c r="B996" s="71"/>
      <c r="C996" s="354" t="s">
        <v>269</v>
      </c>
      <c r="D996" s="354"/>
      <c r="E996" s="354"/>
      <c r="F996" s="354"/>
      <c r="G996" s="354"/>
      <c r="H996" s="354"/>
      <c r="I996" s="354"/>
      <c r="J996" s="354"/>
      <c r="K996" s="354"/>
      <c r="L996" s="354"/>
      <c r="M996" s="354"/>
      <c r="N996" s="356"/>
    </row>
    <row r="997" spans="1:14" hidden="1" x14ac:dyDescent="0.25">
      <c r="A997" s="72"/>
      <c r="B997" s="41"/>
      <c r="C997" s="344" t="s">
        <v>123</v>
      </c>
      <c r="D997" s="344"/>
      <c r="E997" s="344"/>
      <c r="F997" s="344"/>
      <c r="G997" s="344"/>
      <c r="H997" s="344"/>
      <c r="I997" s="344"/>
      <c r="J997" s="344"/>
      <c r="K997" s="344"/>
      <c r="L997" s="344"/>
      <c r="M997" s="344"/>
      <c r="N997" s="357"/>
    </row>
    <row r="998" spans="1:14" hidden="1" x14ac:dyDescent="0.25">
      <c r="A998" s="72"/>
      <c r="B998" s="41"/>
      <c r="C998" s="344" t="s">
        <v>108</v>
      </c>
      <c r="D998" s="344"/>
      <c r="E998" s="344"/>
      <c r="F998" s="344"/>
      <c r="G998" s="344"/>
      <c r="H998" s="344"/>
      <c r="I998" s="344"/>
      <c r="J998" s="344"/>
      <c r="K998" s="344"/>
      <c r="L998" s="344"/>
      <c r="M998" s="344"/>
      <c r="N998" s="357"/>
    </row>
    <row r="999" spans="1:14" hidden="1" x14ac:dyDescent="0.25">
      <c r="A999" s="57"/>
      <c r="B999" s="58"/>
      <c r="C999" s="350" t="s">
        <v>69</v>
      </c>
      <c r="D999" s="350"/>
      <c r="E999" s="350"/>
      <c r="F999" s="34"/>
      <c r="G999" s="35"/>
      <c r="H999" s="35"/>
      <c r="I999" s="35"/>
      <c r="J999" s="38"/>
      <c r="K999" s="35"/>
      <c r="L999" s="66">
        <v>16503.3</v>
      </c>
      <c r="M999" s="54"/>
      <c r="N999" s="60">
        <v>156781.35</v>
      </c>
    </row>
    <row r="1000" spans="1:14" ht="22.5" x14ac:dyDescent="0.25">
      <c r="A1000" s="32" t="s">
        <v>374</v>
      </c>
      <c r="B1000" s="33" t="s">
        <v>120</v>
      </c>
      <c r="C1000" s="350" t="s">
        <v>271</v>
      </c>
      <c r="D1000" s="350"/>
      <c r="E1000" s="350"/>
      <c r="F1000" s="34" t="s">
        <v>115</v>
      </c>
      <c r="G1000" s="35">
        <v>1</v>
      </c>
      <c r="H1000" s="36">
        <v>1</v>
      </c>
      <c r="I1000" s="36">
        <v>1</v>
      </c>
      <c r="J1000" s="59">
        <v>421.93</v>
      </c>
      <c r="K1000" s="74">
        <v>1.04236</v>
      </c>
      <c r="L1000" s="59">
        <v>439.8</v>
      </c>
      <c r="M1000" s="70">
        <v>9.5</v>
      </c>
      <c r="N1000" s="60">
        <v>4178.1000000000004</v>
      </c>
    </row>
    <row r="1001" spans="1:14" hidden="1" x14ac:dyDescent="0.25">
      <c r="A1001" s="52"/>
      <c r="B1001" s="71"/>
      <c r="C1001" s="354" t="s">
        <v>272</v>
      </c>
      <c r="D1001" s="354"/>
      <c r="E1001" s="354"/>
      <c r="F1001" s="354"/>
      <c r="G1001" s="354"/>
      <c r="H1001" s="354"/>
      <c r="I1001" s="354"/>
      <c r="J1001" s="354"/>
      <c r="K1001" s="354"/>
      <c r="L1001" s="354"/>
      <c r="M1001" s="354"/>
      <c r="N1001" s="356"/>
    </row>
    <row r="1002" spans="1:14" hidden="1" x14ac:dyDescent="0.25">
      <c r="A1002" s="72"/>
      <c r="B1002" s="41"/>
      <c r="C1002" s="344" t="s">
        <v>123</v>
      </c>
      <c r="D1002" s="344"/>
      <c r="E1002" s="344"/>
      <c r="F1002" s="344"/>
      <c r="G1002" s="344"/>
      <c r="H1002" s="344"/>
      <c r="I1002" s="344"/>
      <c r="J1002" s="344"/>
      <c r="K1002" s="344"/>
      <c r="L1002" s="344"/>
      <c r="M1002" s="344"/>
      <c r="N1002" s="357"/>
    </row>
    <row r="1003" spans="1:14" hidden="1" x14ac:dyDescent="0.25">
      <c r="A1003" s="72"/>
      <c r="B1003" s="41"/>
      <c r="C1003" s="344" t="s">
        <v>108</v>
      </c>
      <c r="D1003" s="344"/>
      <c r="E1003" s="344"/>
      <c r="F1003" s="344"/>
      <c r="G1003" s="344"/>
      <c r="H1003" s="344"/>
      <c r="I1003" s="344"/>
      <c r="J1003" s="344"/>
      <c r="K1003" s="344"/>
      <c r="L1003" s="344"/>
      <c r="M1003" s="344"/>
      <c r="N1003" s="357"/>
    </row>
    <row r="1004" spans="1:14" hidden="1" x14ac:dyDescent="0.25">
      <c r="A1004" s="57"/>
      <c r="B1004" s="58"/>
      <c r="C1004" s="350" t="s">
        <v>69</v>
      </c>
      <c r="D1004" s="350"/>
      <c r="E1004" s="350"/>
      <c r="F1004" s="34"/>
      <c r="G1004" s="35"/>
      <c r="H1004" s="35"/>
      <c r="I1004" s="35"/>
      <c r="J1004" s="38"/>
      <c r="K1004" s="35"/>
      <c r="L1004" s="59">
        <v>439.8</v>
      </c>
      <c r="M1004" s="54"/>
      <c r="N1004" s="60">
        <v>4178.1000000000004</v>
      </c>
    </row>
    <row r="1005" spans="1:14" ht="36.75" customHeight="1" x14ac:dyDescent="0.25">
      <c r="A1005" s="32" t="s">
        <v>375</v>
      </c>
      <c r="B1005" s="33" t="s">
        <v>274</v>
      </c>
      <c r="C1005" s="350" t="s">
        <v>275</v>
      </c>
      <c r="D1005" s="350"/>
      <c r="E1005" s="350"/>
      <c r="F1005" s="34" t="s">
        <v>276</v>
      </c>
      <c r="G1005" s="35">
        <v>0.06</v>
      </c>
      <c r="H1005" s="36">
        <v>1</v>
      </c>
      <c r="I1005" s="61">
        <v>0.06</v>
      </c>
      <c r="J1005" s="38"/>
      <c r="K1005" s="35"/>
      <c r="L1005" s="38"/>
      <c r="M1005" s="35"/>
      <c r="N1005" s="39"/>
    </row>
    <row r="1006" spans="1:14" hidden="1" x14ac:dyDescent="0.25">
      <c r="A1006" s="40"/>
      <c r="B1006" s="41" t="s">
        <v>55</v>
      </c>
      <c r="C1006" s="354" t="s">
        <v>59</v>
      </c>
      <c r="D1006" s="354"/>
      <c r="E1006" s="354"/>
      <c r="F1006" s="42"/>
      <c r="G1006" s="43"/>
      <c r="H1006" s="43"/>
      <c r="I1006" s="43"/>
      <c r="J1006" s="62">
        <v>1183.68</v>
      </c>
      <c r="K1006" s="43"/>
      <c r="L1006" s="44">
        <v>71.02</v>
      </c>
      <c r="M1006" s="45">
        <v>52.21</v>
      </c>
      <c r="N1006" s="46">
        <v>3707.95</v>
      </c>
    </row>
    <row r="1007" spans="1:14" hidden="1" x14ac:dyDescent="0.25">
      <c r="A1007" s="40"/>
      <c r="B1007" s="41" t="s">
        <v>70</v>
      </c>
      <c r="C1007" s="354" t="s">
        <v>74</v>
      </c>
      <c r="D1007" s="354"/>
      <c r="E1007" s="354"/>
      <c r="F1007" s="42"/>
      <c r="G1007" s="43"/>
      <c r="H1007" s="43"/>
      <c r="I1007" s="43"/>
      <c r="J1007" s="44">
        <v>946.33</v>
      </c>
      <c r="K1007" s="43"/>
      <c r="L1007" s="44">
        <v>56.78</v>
      </c>
      <c r="M1007" s="45">
        <v>15.71</v>
      </c>
      <c r="N1007" s="69">
        <v>892.01</v>
      </c>
    </row>
    <row r="1008" spans="1:14" hidden="1" x14ac:dyDescent="0.25">
      <c r="A1008" s="40"/>
      <c r="B1008" s="41" t="s">
        <v>75</v>
      </c>
      <c r="C1008" s="354" t="s">
        <v>76</v>
      </c>
      <c r="D1008" s="354"/>
      <c r="E1008" s="354"/>
      <c r="F1008" s="42"/>
      <c r="G1008" s="43"/>
      <c r="H1008" s="43"/>
      <c r="I1008" s="43"/>
      <c r="J1008" s="44">
        <v>90.65</v>
      </c>
      <c r="K1008" s="43"/>
      <c r="L1008" s="44">
        <v>5.44</v>
      </c>
      <c r="M1008" s="45">
        <v>52.21</v>
      </c>
      <c r="N1008" s="69">
        <v>284.02</v>
      </c>
    </row>
    <row r="1009" spans="1:14" hidden="1" x14ac:dyDescent="0.25">
      <c r="A1009" s="40"/>
      <c r="B1009" s="41" t="s">
        <v>88</v>
      </c>
      <c r="C1009" s="354" t="s">
        <v>98</v>
      </c>
      <c r="D1009" s="354"/>
      <c r="E1009" s="354"/>
      <c r="F1009" s="42"/>
      <c r="G1009" s="43"/>
      <c r="H1009" s="43"/>
      <c r="I1009" s="43"/>
      <c r="J1009" s="62">
        <v>8643.11</v>
      </c>
      <c r="K1009" s="43"/>
      <c r="L1009" s="44">
        <v>518.59</v>
      </c>
      <c r="M1009" s="63">
        <v>9.5</v>
      </c>
      <c r="N1009" s="46">
        <v>4926.6099999999997</v>
      </c>
    </row>
    <row r="1010" spans="1:14" hidden="1" x14ac:dyDescent="0.25">
      <c r="A1010" s="47"/>
      <c r="B1010" s="41"/>
      <c r="C1010" s="354" t="s">
        <v>60</v>
      </c>
      <c r="D1010" s="354"/>
      <c r="E1010" s="354"/>
      <c r="F1010" s="42" t="s">
        <v>61</v>
      </c>
      <c r="G1010" s="48">
        <v>137</v>
      </c>
      <c r="H1010" s="43"/>
      <c r="I1010" s="45">
        <v>8.2200000000000006</v>
      </c>
      <c r="J1010" s="50"/>
      <c r="K1010" s="43"/>
      <c r="L1010" s="50"/>
      <c r="M1010" s="43"/>
      <c r="N1010" s="51"/>
    </row>
    <row r="1011" spans="1:14" hidden="1" x14ac:dyDescent="0.25">
      <c r="A1011" s="47"/>
      <c r="B1011" s="41"/>
      <c r="C1011" s="354" t="s">
        <v>77</v>
      </c>
      <c r="D1011" s="354"/>
      <c r="E1011" s="354"/>
      <c r="F1011" s="42" t="s">
        <v>61</v>
      </c>
      <c r="G1011" s="45">
        <v>8.01</v>
      </c>
      <c r="H1011" s="43"/>
      <c r="I1011" s="64">
        <v>0.48060000000000003</v>
      </c>
      <c r="J1011" s="50"/>
      <c r="K1011" s="43"/>
      <c r="L1011" s="50"/>
      <c r="M1011" s="43"/>
      <c r="N1011" s="51"/>
    </row>
    <row r="1012" spans="1:14" hidden="1" x14ac:dyDescent="0.25">
      <c r="A1012" s="52"/>
      <c r="B1012" s="41"/>
      <c r="C1012" s="355" t="s">
        <v>62</v>
      </c>
      <c r="D1012" s="355"/>
      <c r="E1012" s="355"/>
      <c r="F1012" s="53"/>
      <c r="G1012" s="54"/>
      <c r="H1012" s="54"/>
      <c r="I1012" s="54"/>
      <c r="J1012" s="65">
        <v>10773.12</v>
      </c>
      <c r="K1012" s="54"/>
      <c r="L1012" s="55">
        <v>646.39</v>
      </c>
      <c r="M1012" s="54"/>
      <c r="N1012" s="56">
        <v>9526.57</v>
      </c>
    </row>
    <row r="1013" spans="1:14" hidden="1" x14ac:dyDescent="0.25">
      <c r="A1013" s="47"/>
      <c r="B1013" s="41"/>
      <c r="C1013" s="354" t="s">
        <v>63</v>
      </c>
      <c r="D1013" s="354"/>
      <c r="E1013" s="354"/>
      <c r="F1013" s="42"/>
      <c r="G1013" s="43"/>
      <c r="H1013" s="43"/>
      <c r="I1013" s="43"/>
      <c r="J1013" s="50"/>
      <c r="K1013" s="43"/>
      <c r="L1013" s="44">
        <v>76.459999999999994</v>
      </c>
      <c r="M1013" s="43"/>
      <c r="N1013" s="46">
        <v>3991.97</v>
      </c>
    </row>
    <row r="1014" spans="1:14" hidden="1" x14ac:dyDescent="0.25">
      <c r="A1014" s="47"/>
      <c r="B1014" s="41" t="s">
        <v>277</v>
      </c>
      <c r="C1014" s="354" t="s">
        <v>278</v>
      </c>
      <c r="D1014" s="354"/>
      <c r="E1014" s="354"/>
      <c r="F1014" s="42" t="s">
        <v>66</v>
      </c>
      <c r="G1014" s="48">
        <v>106</v>
      </c>
      <c r="H1014" s="43"/>
      <c r="I1014" s="48">
        <v>106</v>
      </c>
      <c r="J1014" s="50"/>
      <c r="K1014" s="43"/>
      <c r="L1014" s="44">
        <v>81.05</v>
      </c>
      <c r="M1014" s="43"/>
      <c r="N1014" s="46">
        <v>4231.49</v>
      </c>
    </row>
    <row r="1015" spans="1:14" ht="33.75" hidden="1" x14ac:dyDescent="0.25">
      <c r="A1015" s="47"/>
      <c r="B1015" s="41" t="s">
        <v>279</v>
      </c>
      <c r="C1015" s="354" t="s">
        <v>280</v>
      </c>
      <c r="D1015" s="354"/>
      <c r="E1015" s="354"/>
      <c r="F1015" s="42" t="s">
        <v>66</v>
      </c>
      <c r="G1015" s="48">
        <v>56</v>
      </c>
      <c r="H1015" s="45">
        <v>0.85</v>
      </c>
      <c r="I1015" s="63">
        <v>47.6</v>
      </c>
      <c r="J1015" s="50"/>
      <c r="K1015" s="43"/>
      <c r="L1015" s="44">
        <v>36.39</v>
      </c>
      <c r="M1015" s="43"/>
      <c r="N1015" s="46">
        <v>1900.18</v>
      </c>
    </row>
    <row r="1016" spans="1:14" hidden="1" x14ac:dyDescent="0.25">
      <c r="A1016" s="57"/>
      <c r="B1016" s="58"/>
      <c r="C1016" s="350" t="s">
        <v>69</v>
      </c>
      <c r="D1016" s="350"/>
      <c r="E1016" s="350"/>
      <c r="F1016" s="34"/>
      <c r="G1016" s="35"/>
      <c r="H1016" s="35"/>
      <c r="I1016" s="35"/>
      <c r="J1016" s="38"/>
      <c r="K1016" s="35"/>
      <c r="L1016" s="59">
        <v>763.83</v>
      </c>
      <c r="M1016" s="54"/>
      <c r="N1016" s="60">
        <v>15658.24</v>
      </c>
    </row>
    <row r="1017" spans="1:14" x14ac:dyDescent="0.25">
      <c r="A1017" s="32" t="s">
        <v>376</v>
      </c>
      <c r="B1017" s="33" t="s">
        <v>282</v>
      </c>
      <c r="C1017" s="350" t="s">
        <v>283</v>
      </c>
      <c r="D1017" s="350"/>
      <c r="E1017" s="350"/>
      <c r="F1017" s="34" t="s">
        <v>127</v>
      </c>
      <c r="G1017" s="35">
        <v>-2.9000000000000001E-2</v>
      </c>
      <c r="H1017" s="36">
        <v>1</v>
      </c>
      <c r="I1017" s="67">
        <v>-2.9000000000000001E-2</v>
      </c>
      <c r="J1017" s="66">
        <v>9727.3700000000008</v>
      </c>
      <c r="K1017" s="35"/>
      <c r="L1017" s="59">
        <v>-282.08999999999997</v>
      </c>
      <c r="M1017" s="70">
        <v>9.5</v>
      </c>
      <c r="N1017" s="60">
        <v>-2679.86</v>
      </c>
    </row>
    <row r="1018" spans="1:14" hidden="1" x14ac:dyDescent="0.25">
      <c r="A1018" s="57"/>
      <c r="B1018" s="58"/>
      <c r="C1018" s="350" t="s">
        <v>69</v>
      </c>
      <c r="D1018" s="350"/>
      <c r="E1018" s="350"/>
      <c r="F1018" s="34"/>
      <c r="G1018" s="35"/>
      <c r="H1018" s="35"/>
      <c r="I1018" s="35"/>
      <c r="J1018" s="38"/>
      <c r="K1018" s="35"/>
      <c r="L1018" s="59">
        <v>-282.08999999999997</v>
      </c>
      <c r="M1018" s="54"/>
      <c r="N1018" s="60">
        <v>-2679.86</v>
      </c>
    </row>
    <row r="1019" spans="1:14" ht="22.5" x14ac:dyDescent="0.25">
      <c r="A1019" s="32" t="s">
        <v>377</v>
      </c>
      <c r="B1019" s="33" t="s">
        <v>120</v>
      </c>
      <c r="C1019" s="350" t="s">
        <v>285</v>
      </c>
      <c r="D1019" s="350"/>
      <c r="E1019" s="350"/>
      <c r="F1019" s="34" t="s">
        <v>130</v>
      </c>
      <c r="G1019" s="35">
        <v>0.36</v>
      </c>
      <c r="H1019" s="36">
        <v>1</v>
      </c>
      <c r="I1019" s="61">
        <v>0.36</v>
      </c>
      <c r="J1019" s="66">
        <v>37646.32</v>
      </c>
      <c r="K1019" s="74">
        <v>1.04236</v>
      </c>
      <c r="L1019" s="66">
        <v>14126.77</v>
      </c>
      <c r="M1019" s="70">
        <v>9.5</v>
      </c>
      <c r="N1019" s="60">
        <v>134204.32</v>
      </c>
    </row>
    <row r="1020" spans="1:14" hidden="1" x14ac:dyDescent="0.25">
      <c r="A1020" s="52"/>
      <c r="B1020" s="71"/>
      <c r="C1020" s="354" t="s">
        <v>137</v>
      </c>
      <c r="D1020" s="354"/>
      <c r="E1020" s="354"/>
      <c r="F1020" s="354"/>
      <c r="G1020" s="354"/>
      <c r="H1020" s="354"/>
      <c r="I1020" s="354"/>
      <c r="J1020" s="354"/>
      <c r="K1020" s="354"/>
      <c r="L1020" s="354"/>
      <c r="M1020" s="354"/>
      <c r="N1020" s="356"/>
    </row>
    <row r="1021" spans="1:14" hidden="1" x14ac:dyDescent="0.25">
      <c r="A1021" s="72"/>
      <c r="B1021" s="41"/>
      <c r="C1021" s="344" t="s">
        <v>123</v>
      </c>
      <c r="D1021" s="344"/>
      <c r="E1021" s="344"/>
      <c r="F1021" s="344"/>
      <c r="G1021" s="344"/>
      <c r="H1021" s="344"/>
      <c r="I1021" s="344"/>
      <c r="J1021" s="344"/>
      <c r="K1021" s="344"/>
      <c r="L1021" s="344"/>
      <c r="M1021" s="344"/>
      <c r="N1021" s="357"/>
    </row>
    <row r="1022" spans="1:14" hidden="1" x14ac:dyDescent="0.25">
      <c r="A1022" s="72"/>
      <c r="B1022" s="41"/>
      <c r="C1022" s="344" t="s">
        <v>108</v>
      </c>
      <c r="D1022" s="344"/>
      <c r="E1022" s="344"/>
      <c r="F1022" s="344"/>
      <c r="G1022" s="344"/>
      <c r="H1022" s="344"/>
      <c r="I1022" s="344"/>
      <c r="J1022" s="344"/>
      <c r="K1022" s="344"/>
      <c r="L1022" s="344"/>
      <c r="M1022" s="344"/>
      <c r="N1022" s="357"/>
    </row>
    <row r="1023" spans="1:14" hidden="1" x14ac:dyDescent="0.25">
      <c r="A1023" s="57"/>
      <c r="B1023" s="58"/>
      <c r="C1023" s="350" t="s">
        <v>69</v>
      </c>
      <c r="D1023" s="350"/>
      <c r="E1023" s="350"/>
      <c r="F1023" s="34"/>
      <c r="G1023" s="35"/>
      <c r="H1023" s="35"/>
      <c r="I1023" s="35"/>
      <c r="J1023" s="38"/>
      <c r="K1023" s="35"/>
      <c r="L1023" s="66">
        <v>14126.77</v>
      </c>
      <c r="M1023" s="54"/>
      <c r="N1023" s="60">
        <v>134204.32</v>
      </c>
    </row>
    <row r="1024" spans="1:14" ht="22.5" x14ac:dyDescent="0.25">
      <c r="A1024" s="32" t="s">
        <v>378</v>
      </c>
      <c r="B1024" s="33" t="s">
        <v>120</v>
      </c>
      <c r="C1024" s="350" t="s">
        <v>129</v>
      </c>
      <c r="D1024" s="350"/>
      <c r="E1024" s="350"/>
      <c r="F1024" s="34" t="s">
        <v>130</v>
      </c>
      <c r="G1024" s="35">
        <v>2.9000000000000001E-2</v>
      </c>
      <c r="H1024" s="36">
        <v>1</v>
      </c>
      <c r="I1024" s="67">
        <v>2.9000000000000001E-2</v>
      </c>
      <c r="J1024" s="66">
        <v>27894.74</v>
      </c>
      <c r="K1024" s="74">
        <v>1.04236</v>
      </c>
      <c r="L1024" s="59">
        <v>843.21</v>
      </c>
      <c r="M1024" s="70">
        <v>9.5</v>
      </c>
      <c r="N1024" s="60">
        <v>8010.5</v>
      </c>
    </row>
    <row r="1025" spans="1:14" hidden="1" x14ac:dyDescent="0.25">
      <c r="A1025" s="52"/>
      <c r="B1025" s="71"/>
      <c r="C1025" s="354" t="s">
        <v>131</v>
      </c>
      <c r="D1025" s="354"/>
      <c r="E1025" s="354"/>
      <c r="F1025" s="354"/>
      <c r="G1025" s="354"/>
      <c r="H1025" s="354"/>
      <c r="I1025" s="354"/>
      <c r="J1025" s="354"/>
      <c r="K1025" s="354"/>
      <c r="L1025" s="354"/>
      <c r="M1025" s="354"/>
      <c r="N1025" s="356"/>
    </row>
    <row r="1026" spans="1:14" hidden="1" x14ac:dyDescent="0.25">
      <c r="A1026" s="72"/>
      <c r="B1026" s="41"/>
      <c r="C1026" s="344" t="s">
        <v>123</v>
      </c>
      <c r="D1026" s="344"/>
      <c r="E1026" s="344"/>
      <c r="F1026" s="344"/>
      <c r="G1026" s="344"/>
      <c r="H1026" s="344"/>
      <c r="I1026" s="344"/>
      <c r="J1026" s="344"/>
      <c r="K1026" s="344"/>
      <c r="L1026" s="344"/>
      <c r="M1026" s="344"/>
      <c r="N1026" s="357"/>
    </row>
    <row r="1027" spans="1:14" hidden="1" x14ac:dyDescent="0.25">
      <c r="A1027" s="72"/>
      <c r="B1027" s="41"/>
      <c r="C1027" s="344" t="s">
        <v>108</v>
      </c>
      <c r="D1027" s="344"/>
      <c r="E1027" s="344"/>
      <c r="F1027" s="344"/>
      <c r="G1027" s="344"/>
      <c r="H1027" s="344"/>
      <c r="I1027" s="344"/>
      <c r="J1027" s="344"/>
      <c r="K1027" s="344"/>
      <c r="L1027" s="344"/>
      <c r="M1027" s="344"/>
      <c r="N1027" s="357"/>
    </row>
    <row r="1028" spans="1:14" hidden="1" x14ac:dyDescent="0.25">
      <c r="A1028" s="57"/>
      <c r="B1028" s="58"/>
      <c r="C1028" s="350" t="s">
        <v>69</v>
      </c>
      <c r="D1028" s="350"/>
      <c r="E1028" s="350"/>
      <c r="F1028" s="34"/>
      <c r="G1028" s="35"/>
      <c r="H1028" s="35"/>
      <c r="I1028" s="35"/>
      <c r="J1028" s="38"/>
      <c r="K1028" s="35"/>
      <c r="L1028" s="59">
        <v>843.21</v>
      </c>
      <c r="M1028" s="54"/>
      <c r="N1028" s="60">
        <v>8010.5</v>
      </c>
    </row>
    <row r="1029" spans="1:14" ht="30.75" customHeight="1" x14ac:dyDescent="0.25">
      <c r="A1029" s="32" t="s">
        <v>379</v>
      </c>
      <c r="B1029" s="33" t="s">
        <v>288</v>
      </c>
      <c r="C1029" s="350" t="s">
        <v>289</v>
      </c>
      <c r="D1029" s="350"/>
      <c r="E1029" s="350"/>
      <c r="F1029" s="34" t="s">
        <v>160</v>
      </c>
      <c r="G1029" s="35">
        <v>1.3299999999999999E-2</v>
      </c>
      <c r="H1029" s="36">
        <v>1</v>
      </c>
      <c r="I1029" s="37">
        <v>1.3299999999999999E-2</v>
      </c>
      <c r="J1029" s="38"/>
      <c r="K1029" s="35"/>
      <c r="L1029" s="38"/>
      <c r="M1029" s="35"/>
      <c r="N1029" s="39"/>
    </row>
    <row r="1030" spans="1:14" hidden="1" x14ac:dyDescent="0.25">
      <c r="A1030" s="40"/>
      <c r="B1030" s="41" t="s">
        <v>55</v>
      </c>
      <c r="C1030" s="354" t="s">
        <v>59</v>
      </c>
      <c r="D1030" s="354"/>
      <c r="E1030" s="354"/>
      <c r="F1030" s="42"/>
      <c r="G1030" s="43"/>
      <c r="H1030" s="43"/>
      <c r="I1030" s="43"/>
      <c r="J1030" s="62">
        <v>1107.95</v>
      </c>
      <c r="K1030" s="43"/>
      <c r="L1030" s="44">
        <v>14.74</v>
      </c>
      <c r="M1030" s="45">
        <v>52.21</v>
      </c>
      <c r="N1030" s="69">
        <v>769.58</v>
      </c>
    </row>
    <row r="1031" spans="1:14" hidden="1" x14ac:dyDescent="0.25">
      <c r="A1031" s="40"/>
      <c r="B1031" s="41" t="s">
        <v>70</v>
      </c>
      <c r="C1031" s="354" t="s">
        <v>74</v>
      </c>
      <c r="D1031" s="354"/>
      <c r="E1031" s="354"/>
      <c r="F1031" s="42"/>
      <c r="G1031" s="43"/>
      <c r="H1031" s="43"/>
      <c r="I1031" s="43"/>
      <c r="J1031" s="62">
        <v>12533.99</v>
      </c>
      <c r="K1031" s="43"/>
      <c r="L1031" s="44">
        <v>166.7</v>
      </c>
      <c r="M1031" s="45">
        <v>15.71</v>
      </c>
      <c r="N1031" s="46">
        <v>2618.86</v>
      </c>
    </row>
    <row r="1032" spans="1:14" hidden="1" x14ac:dyDescent="0.25">
      <c r="A1032" s="40"/>
      <c r="B1032" s="41" t="s">
        <v>75</v>
      </c>
      <c r="C1032" s="354" t="s">
        <v>76</v>
      </c>
      <c r="D1032" s="354"/>
      <c r="E1032" s="354"/>
      <c r="F1032" s="42"/>
      <c r="G1032" s="43"/>
      <c r="H1032" s="43"/>
      <c r="I1032" s="43"/>
      <c r="J1032" s="44">
        <v>820.22</v>
      </c>
      <c r="K1032" s="43"/>
      <c r="L1032" s="44">
        <v>10.91</v>
      </c>
      <c r="M1032" s="45">
        <v>52.21</v>
      </c>
      <c r="N1032" s="69">
        <v>569.61</v>
      </c>
    </row>
    <row r="1033" spans="1:14" hidden="1" x14ac:dyDescent="0.25">
      <c r="A1033" s="40"/>
      <c r="B1033" s="41" t="s">
        <v>88</v>
      </c>
      <c r="C1033" s="354" t="s">
        <v>98</v>
      </c>
      <c r="D1033" s="354"/>
      <c r="E1033" s="354"/>
      <c r="F1033" s="42"/>
      <c r="G1033" s="43"/>
      <c r="H1033" s="43"/>
      <c r="I1033" s="43"/>
      <c r="J1033" s="62">
        <v>230267.7</v>
      </c>
      <c r="K1033" s="43"/>
      <c r="L1033" s="62">
        <v>3062.56</v>
      </c>
      <c r="M1033" s="63">
        <v>9.5</v>
      </c>
      <c r="N1033" s="46">
        <v>29094.32</v>
      </c>
    </row>
    <row r="1034" spans="1:14" hidden="1" x14ac:dyDescent="0.25">
      <c r="A1034" s="47"/>
      <c r="B1034" s="41"/>
      <c r="C1034" s="354" t="s">
        <v>60</v>
      </c>
      <c r="D1034" s="354"/>
      <c r="E1034" s="354"/>
      <c r="F1034" s="42" t="s">
        <v>61</v>
      </c>
      <c r="G1034" s="45">
        <v>134.46</v>
      </c>
      <c r="H1034" s="43"/>
      <c r="I1034" s="73">
        <v>1.7883180000000001</v>
      </c>
      <c r="J1034" s="50"/>
      <c r="K1034" s="43"/>
      <c r="L1034" s="50"/>
      <c r="M1034" s="43"/>
      <c r="N1034" s="51"/>
    </row>
    <row r="1035" spans="1:14" hidden="1" x14ac:dyDescent="0.25">
      <c r="A1035" s="47"/>
      <c r="B1035" s="41"/>
      <c r="C1035" s="354" t="s">
        <v>77</v>
      </c>
      <c r="D1035" s="354"/>
      <c r="E1035" s="354"/>
      <c r="F1035" s="42" t="s">
        <v>61</v>
      </c>
      <c r="G1035" s="45">
        <v>54.89</v>
      </c>
      <c r="H1035" s="43"/>
      <c r="I1035" s="73">
        <v>0.73003700000000005</v>
      </c>
      <c r="J1035" s="50"/>
      <c r="K1035" s="43"/>
      <c r="L1035" s="50"/>
      <c r="M1035" s="43"/>
      <c r="N1035" s="51"/>
    </row>
    <row r="1036" spans="1:14" hidden="1" x14ac:dyDescent="0.25">
      <c r="A1036" s="52"/>
      <c r="B1036" s="41"/>
      <c r="C1036" s="355" t="s">
        <v>62</v>
      </c>
      <c r="D1036" s="355"/>
      <c r="E1036" s="355"/>
      <c r="F1036" s="53"/>
      <c r="G1036" s="54"/>
      <c r="H1036" s="54"/>
      <c r="I1036" s="54"/>
      <c r="J1036" s="65">
        <v>243909.64</v>
      </c>
      <c r="K1036" s="54"/>
      <c r="L1036" s="65">
        <v>3244</v>
      </c>
      <c r="M1036" s="54"/>
      <c r="N1036" s="56">
        <v>32482.76</v>
      </c>
    </row>
    <row r="1037" spans="1:14" hidden="1" x14ac:dyDescent="0.25">
      <c r="A1037" s="47"/>
      <c r="B1037" s="41"/>
      <c r="C1037" s="354" t="s">
        <v>63</v>
      </c>
      <c r="D1037" s="354"/>
      <c r="E1037" s="354"/>
      <c r="F1037" s="42"/>
      <c r="G1037" s="43"/>
      <c r="H1037" s="43"/>
      <c r="I1037" s="43"/>
      <c r="J1037" s="50"/>
      <c r="K1037" s="43"/>
      <c r="L1037" s="44">
        <v>25.65</v>
      </c>
      <c r="M1037" s="43"/>
      <c r="N1037" s="46">
        <v>1339.19</v>
      </c>
    </row>
    <row r="1038" spans="1:14" ht="22.5" hidden="1" x14ac:dyDescent="0.25">
      <c r="A1038" s="47"/>
      <c r="B1038" s="41" t="s">
        <v>78</v>
      </c>
      <c r="C1038" s="354" t="s">
        <v>79</v>
      </c>
      <c r="D1038" s="354"/>
      <c r="E1038" s="354"/>
      <c r="F1038" s="42" t="s">
        <v>66</v>
      </c>
      <c r="G1038" s="48">
        <v>109</v>
      </c>
      <c r="H1038" s="43"/>
      <c r="I1038" s="48">
        <v>109</v>
      </c>
      <c r="J1038" s="50"/>
      <c r="K1038" s="43"/>
      <c r="L1038" s="44">
        <v>27.96</v>
      </c>
      <c r="M1038" s="43"/>
      <c r="N1038" s="46">
        <v>1459.72</v>
      </c>
    </row>
    <row r="1039" spans="1:14" ht="45" hidden="1" x14ac:dyDescent="0.25">
      <c r="A1039" s="47"/>
      <c r="B1039" s="41" t="s">
        <v>80</v>
      </c>
      <c r="C1039" s="354" t="s">
        <v>81</v>
      </c>
      <c r="D1039" s="354"/>
      <c r="E1039" s="354"/>
      <c r="F1039" s="42" t="s">
        <v>66</v>
      </c>
      <c r="G1039" s="48">
        <v>65</v>
      </c>
      <c r="H1039" s="45">
        <v>0.85</v>
      </c>
      <c r="I1039" s="45">
        <v>55.25</v>
      </c>
      <c r="J1039" s="50"/>
      <c r="K1039" s="43"/>
      <c r="L1039" s="44">
        <v>14.17</v>
      </c>
      <c r="M1039" s="43"/>
      <c r="N1039" s="69">
        <v>739.9</v>
      </c>
    </row>
    <row r="1040" spans="1:14" hidden="1" x14ac:dyDescent="0.25">
      <c r="A1040" s="57"/>
      <c r="B1040" s="58"/>
      <c r="C1040" s="350" t="s">
        <v>69</v>
      </c>
      <c r="D1040" s="350"/>
      <c r="E1040" s="350"/>
      <c r="F1040" s="34"/>
      <c r="G1040" s="35"/>
      <c r="H1040" s="35"/>
      <c r="I1040" s="35"/>
      <c r="J1040" s="38"/>
      <c r="K1040" s="35"/>
      <c r="L1040" s="66">
        <v>3286.13</v>
      </c>
      <c r="M1040" s="54"/>
      <c r="N1040" s="60">
        <v>34682.379999999997</v>
      </c>
    </row>
    <row r="1041" spans="1:14" x14ac:dyDescent="0.25">
      <c r="A1041" s="351" t="s">
        <v>161</v>
      </c>
      <c r="B1041" s="352"/>
      <c r="C1041" s="352"/>
      <c r="D1041" s="352"/>
      <c r="E1041" s="352"/>
      <c r="F1041" s="352"/>
      <c r="G1041" s="352"/>
      <c r="H1041" s="352"/>
      <c r="I1041" s="352"/>
      <c r="J1041" s="352"/>
      <c r="K1041" s="352"/>
      <c r="L1041" s="352"/>
      <c r="M1041" s="352"/>
      <c r="N1041" s="353"/>
    </row>
    <row r="1042" spans="1:14" ht="44.25" customHeight="1" x14ac:dyDescent="0.25">
      <c r="A1042" s="32" t="s">
        <v>380</v>
      </c>
      <c r="B1042" s="33" t="s">
        <v>163</v>
      </c>
      <c r="C1042" s="350" t="s">
        <v>164</v>
      </c>
      <c r="D1042" s="350"/>
      <c r="E1042" s="350"/>
      <c r="F1042" s="34" t="s">
        <v>165</v>
      </c>
      <c r="G1042" s="35">
        <v>38.1</v>
      </c>
      <c r="H1042" s="36">
        <v>1</v>
      </c>
      <c r="I1042" s="70">
        <v>38.1</v>
      </c>
      <c r="J1042" s="59">
        <v>3.28</v>
      </c>
      <c r="K1042" s="35"/>
      <c r="L1042" s="59">
        <v>124.97</v>
      </c>
      <c r="M1042" s="61">
        <v>15.71</v>
      </c>
      <c r="N1042" s="60">
        <v>1963.28</v>
      </c>
    </row>
    <row r="1043" spans="1:14" ht="20.25" hidden="1" customHeight="1" x14ac:dyDescent="0.25">
      <c r="A1043" s="57"/>
      <c r="B1043" s="58"/>
      <c r="C1043" s="350" t="s">
        <v>69</v>
      </c>
      <c r="D1043" s="350"/>
      <c r="E1043" s="350"/>
      <c r="F1043" s="34"/>
      <c r="G1043" s="35"/>
      <c r="H1043" s="35"/>
      <c r="I1043" s="35"/>
      <c r="J1043" s="38"/>
      <c r="K1043" s="35"/>
      <c r="L1043" s="59">
        <v>124.97</v>
      </c>
      <c r="M1043" s="54"/>
      <c r="N1043" s="60">
        <v>1963.28</v>
      </c>
    </row>
    <row r="1044" spans="1:14" ht="42" customHeight="1" x14ac:dyDescent="0.25">
      <c r="A1044" s="32" t="s">
        <v>381</v>
      </c>
      <c r="B1044" s="33" t="s">
        <v>167</v>
      </c>
      <c r="C1044" s="350" t="s">
        <v>292</v>
      </c>
      <c r="D1044" s="350"/>
      <c r="E1044" s="350"/>
      <c r="F1044" s="34" t="s">
        <v>165</v>
      </c>
      <c r="G1044" s="35">
        <v>9.9</v>
      </c>
      <c r="H1044" s="36">
        <v>1</v>
      </c>
      <c r="I1044" s="70">
        <v>9.9</v>
      </c>
      <c r="J1044" s="59">
        <v>8.39</v>
      </c>
      <c r="K1044" s="35"/>
      <c r="L1044" s="59">
        <v>83.06</v>
      </c>
      <c r="M1044" s="61">
        <v>15.71</v>
      </c>
      <c r="N1044" s="60">
        <v>1304.8699999999999</v>
      </c>
    </row>
    <row r="1045" spans="1:14" ht="25.5" hidden="1" customHeight="1" x14ac:dyDescent="0.25">
      <c r="A1045" s="57"/>
      <c r="B1045" s="58"/>
      <c r="C1045" s="350" t="s">
        <v>69</v>
      </c>
      <c r="D1045" s="350"/>
      <c r="E1045" s="350"/>
      <c r="F1045" s="34"/>
      <c r="G1045" s="35"/>
      <c r="H1045" s="35"/>
      <c r="I1045" s="35"/>
      <c r="J1045" s="38"/>
      <c r="K1045" s="35"/>
      <c r="L1045" s="59">
        <v>83.06</v>
      </c>
      <c r="M1045" s="54"/>
      <c r="N1045" s="60">
        <v>1304.8699999999999</v>
      </c>
    </row>
    <row r="1046" spans="1:14" ht="34.5" customHeight="1" x14ac:dyDescent="0.25">
      <c r="A1046" s="32" t="s">
        <v>382</v>
      </c>
      <c r="B1046" s="33" t="s">
        <v>170</v>
      </c>
      <c r="C1046" s="350" t="s">
        <v>294</v>
      </c>
      <c r="D1046" s="350"/>
      <c r="E1046" s="350"/>
      <c r="F1046" s="34" t="s">
        <v>165</v>
      </c>
      <c r="G1046" s="35">
        <v>5</v>
      </c>
      <c r="H1046" s="36">
        <v>1</v>
      </c>
      <c r="I1046" s="36">
        <v>5</v>
      </c>
      <c r="J1046" s="59">
        <v>10.88</v>
      </c>
      <c r="K1046" s="35"/>
      <c r="L1046" s="59">
        <v>54.4</v>
      </c>
      <c r="M1046" s="61">
        <v>15.71</v>
      </c>
      <c r="N1046" s="94">
        <v>854.62</v>
      </c>
    </row>
    <row r="1047" spans="1:14" hidden="1" x14ac:dyDescent="0.25">
      <c r="A1047" s="57"/>
      <c r="B1047" s="58"/>
      <c r="C1047" s="350" t="s">
        <v>69</v>
      </c>
      <c r="D1047" s="350"/>
      <c r="E1047" s="350"/>
      <c r="F1047" s="34"/>
      <c r="G1047" s="35"/>
      <c r="H1047" s="35"/>
      <c r="I1047" s="35"/>
      <c r="J1047" s="38"/>
      <c r="K1047" s="35"/>
      <c r="L1047" s="59">
        <v>54.4</v>
      </c>
      <c r="M1047" s="54"/>
      <c r="N1047" s="94">
        <v>854.62</v>
      </c>
    </row>
    <row r="1048" spans="1:14" ht="26.25" customHeight="1" x14ac:dyDescent="0.25">
      <c r="A1048" s="32" t="s">
        <v>383</v>
      </c>
      <c r="B1048" s="33" t="s">
        <v>173</v>
      </c>
      <c r="C1048" s="350" t="s">
        <v>174</v>
      </c>
      <c r="D1048" s="350"/>
      <c r="E1048" s="350"/>
      <c r="F1048" s="34" t="s">
        <v>165</v>
      </c>
      <c r="G1048" s="35">
        <v>53</v>
      </c>
      <c r="H1048" s="36">
        <v>1</v>
      </c>
      <c r="I1048" s="36">
        <v>53</v>
      </c>
      <c r="J1048" s="59">
        <v>3.86</v>
      </c>
      <c r="K1048" s="35"/>
      <c r="L1048" s="59">
        <v>204.58</v>
      </c>
      <c r="M1048" s="61">
        <v>16.22</v>
      </c>
      <c r="N1048" s="60">
        <v>3318.29</v>
      </c>
    </row>
    <row r="1049" spans="1:14" hidden="1" x14ac:dyDescent="0.25">
      <c r="A1049" s="57"/>
      <c r="B1049" s="58"/>
      <c r="C1049" s="350" t="s">
        <v>69</v>
      </c>
      <c r="D1049" s="350"/>
      <c r="E1049" s="350"/>
      <c r="F1049" s="34"/>
      <c r="G1049" s="35"/>
      <c r="H1049" s="35"/>
      <c r="I1049" s="35"/>
      <c r="J1049" s="38"/>
      <c r="K1049" s="35"/>
      <c r="L1049" s="59">
        <v>204.58</v>
      </c>
      <c r="M1049" s="54"/>
      <c r="N1049" s="60">
        <v>3318.29</v>
      </c>
    </row>
    <row r="1050" spans="1:14" hidden="1" x14ac:dyDescent="0.25">
      <c r="A1050" s="75"/>
      <c r="B1050" s="76"/>
      <c r="C1050" s="77"/>
      <c r="D1050" s="77"/>
      <c r="E1050" s="77"/>
      <c r="F1050" s="77"/>
      <c r="G1050" s="78"/>
      <c r="H1050" s="78"/>
      <c r="I1050" s="78"/>
      <c r="J1050" s="78"/>
      <c r="K1050" s="79"/>
      <c r="L1050" s="78"/>
      <c r="M1050" s="79"/>
      <c r="N1050" s="80"/>
    </row>
    <row r="1051" spans="1:14" hidden="1" x14ac:dyDescent="0.25">
      <c r="A1051" s="57"/>
      <c r="B1051" s="81"/>
      <c r="C1051" s="349" t="s">
        <v>384</v>
      </c>
      <c r="D1051" s="349"/>
      <c r="E1051" s="349"/>
      <c r="F1051" s="349"/>
      <c r="G1051" s="349"/>
      <c r="H1051" s="349"/>
      <c r="I1051" s="349"/>
      <c r="J1051" s="349"/>
      <c r="K1051" s="349"/>
      <c r="L1051" s="82"/>
      <c r="M1051" s="83"/>
      <c r="N1051" s="84"/>
    </row>
    <row r="1052" spans="1:14" hidden="1" x14ac:dyDescent="0.25">
      <c r="A1052" s="85"/>
      <c r="B1052" s="41"/>
      <c r="C1052" s="348" t="s">
        <v>176</v>
      </c>
      <c r="D1052" s="348"/>
      <c r="E1052" s="348"/>
      <c r="F1052" s="348"/>
      <c r="G1052" s="348"/>
      <c r="H1052" s="348"/>
      <c r="I1052" s="348"/>
      <c r="J1052" s="348"/>
      <c r="K1052" s="348"/>
      <c r="L1052" s="86">
        <v>620243.15</v>
      </c>
      <c r="M1052" s="87"/>
      <c r="N1052" s="88">
        <v>5998609.3300000001</v>
      </c>
    </row>
    <row r="1053" spans="1:14" hidden="1" x14ac:dyDescent="0.25">
      <c r="A1053" s="85"/>
      <c r="B1053" s="41"/>
      <c r="C1053" s="348" t="s">
        <v>177</v>
      </c>
      <c r="D1053" s="348"/>
      <c r="E1053" s="348"/>
      <c r="F1053" s="348"/>
      <c r="G1053" s="348"/>
      <c r="H1053" s="348"/>
      <c r="I1053" s="348"/>
      <c r="J1053" s="348"/>
      <c r="K1053" s="348"/>
      <c r="L1053" s="89"/>
      <c r="M1053" s="87"/>
      <c r="N1053" s="90"/>
    </row>
    <row r="1054" spans="1:14" hidden="1" x14ac:dyDescent="0.25">
      <c r="A1054" s="85"/>
      <c r="B1054" s="41"/>
      <c r="C1054" s="348" t="s">
        <v>178</v>
      </c>
      <c r="D1054" s="348"/>
      <c r="E1054" s="348"/>
      <c r="F1054" s="348"/>
      <c r="G1054" s="348"/>
      <c r="H1054" s="348"/>
      <c r="I1054" s="348"/>
      <c r="J1054" s="348"/>
      <c r="K1054" s="348"/>
      <c r="L1054" s="86">
        <v>1003.46</v>
      </c>
      <c r="M1054" s="87"/>
      <c r="N1054" s="88">
        <v>52390.64</v>
      </c>
    </row>
    <row r="1055" spans="1:14" hidden="1" x14ac:dyDescent="0.25">
      <c r="A1055" s="85"/>
      <c r="B1055" s="41"/>
      <c r="C1055" s="348" t="s">
        <v>179</v>
      </c>
      <c r="D1055" s="348"/>
      <c r="E1055" s="348"/>
      <c r="F1055" s="348"/>
      <c r="G1055" s="348"/>
      <c r="H1055" s="348"/>
      <c r="I1055" s="348"/>
      <c r="J1055" s="348"/>
      <c r="K1055" s="348"/>
      <c r="L1055" s="86">
        <v>9732.23</v>
      </c>
      <c r="M1055" s="87"/>
      <c r="N1055" s="88">
        <v>152893.32999999999</v>
      </c>
    </row>
    <row r="1056" spans="1:14" hidden="1" x14ac:dyDescent="0.25">
      <c r="A1056" s="85"/>
      <c r="B1056" s="41"/>
      <c r="C1056" s="348" t="s">
        <v>180</v>
      </c>
      <c r="D1056" s="348"/>
      <c r="E1056" s="348"/>
      <c r="F1056" s="348"/>
      <c r="G1056" s="348"/>
      <c r="H1056" s="348"/>
      <c r="I1056" s="348"/>
      <c r="J1056" s="348"/>
      <c r="K1056" s="348"/>
      <c r="L1056" s="95">
        <v>416.47</v>
      </c>
      <c r="M1056" s="87"/>
      <c r="N1056" s="88">
        <v>21743.9</v>
      </c>
    </row>
    <row r="1057" spans="1:14" hidden="1" x14ac:dyDescent="0.25">
      <c r="A1057" s="85"/>
      <c r="B1057" s="41"/>
      <c r="C1057" s="348" t="s">
        <v>181</v>
      </c>
      <c r="D1057" s="348"/>
      <c r="E1057" s="348"/>
      <c r="F1057" s="348"/>
      <c r="G1057" s="348"/>
      <c r="H1057" s="348"/>
      <c r="I1057" s="348"/>
      <c r="J1057" s="348"/>
      <c r="K1057" s="348"/>
      <c r="L1057" s="86">
        <v>609177.91</v>
      </c>
      <c r="M1057" s="87"/>
      <c r="N1057" s="88">
        <v>5788043.79</v>
      </c>
    </row>
    <row r="1058" spans="1:14" hidden="1" x14ac:dyDescent="0.25">
      <c r="A1058" s="85"/>
      <c r="B1058" s="41"/>
      <c r="C1058" s="348" t="s">
        <v>182</v>
      </c>
      <c r="D1058" s="348"/>
      <c r="E1058" s="348"/>
      <c r="F1058" s="348"/>
      <c r="G1058" s="348"/>
      <c r="H1058" s="348"/>
      <c r="I1058" s="348"/>
      <c r="J1058" s="348"/>
      <c r="K1058" s="348"/>
      <c r="L1058" s="89"/>
      <c r="M1058" s="87"/>
      <c r="N1058" s="90"/>
    </row>
    <row r="1059" spans="1:14" hidden="1" x14ac:dyDescent="0.25">
      <c r="A1059" s="85"/>
      <c r="B1059" s="41"/>
      <c r="C1059" s="348" t="s">
        <v>183</v>
      </c>
      <c r="D1059" s="348"/>
      <c r="E1059" s="348"/>
      <c r="F1059" s="348"/>
      <c r="G1059" s="348"/>
      <c r="H1059" s="348"/>
      <c r="I1059" s="348"/>
      <c r="J1059" s="348"/>
      <c r="K1059" s="348"/>
      <c r="L1059" s="86">
        <v>609123.51</v>
      </c>
      <c r="M1059" s="87"/>
      <c r="N1059" s="88">
        <v>5787189.1699999999</v>
      </c>
    </row>
    <row r="1060" spans="1:14" hidden="1" x14ac:dyDescent="0.25">
      <c r="A1060" s="85"/>
      <c r="B1060" s="41"/>
      <c r="C1060" s="348" t="s">
        <v>184</v>
      </c>
      <c r="D1060" s="348"/>
      <c r="E1060" s="348"/>
      <c r="F1060" s="348"/>
      <c r="G1060" s="348"/>
      <c r="H1060" s="348"/>
      <c r="I1060" s="348"/>
      <c r="J1060" s="348"/>
      <c r="K1060" s="348"/>
      <c r="L1060" s="95">
        <v>54.4</v>
      </c>
      <c r="M1060" s="87"/>
      <c r="N1060" s="96">
        <v>854.62</v>
      </c>
    </row>
    <row r="1061" spans="1:14" hidden="1" x14ac:dyDescent="0.25">
      <c r="A1061" s="85"/>
      <c r="B1061" s="41"/>
      <c r="C1061" s="348" t="s">
        <v>185</v>
      </c>
      <c r="D1061" s="348"/>
      <c r="E1061" s="348"/>
      <c r="F1061" s="348"/>
      <c r="G1061" s="348"/>
      <c r="H1061" s="348"/>
      <c r="I1061" s="348"/>
      <c r="J1061" s="348"/>
      <c r="K1061" s="348"/>
      <c r="L1061" s="95">
        <v>329.55</v>
      </c>
      <c r="M1061" s="87"/>
      <c r="N1061" s="88">
        <v>5281.57</v>
      </c>
    </row>
    <row r="1062" spans="1:14" hidden="1" x14ac:dyDescent="0.25">
      <c r="A1062" s="85"/>
      <c r="B1062" s="41"/>
      <c r="C1062" s="348" t="s">
        <v>186</v>
      </c>
      <c r="D1062" s="348"/>
      <c r="E1062" s="348"/>
      <c r="F1062" s="348"/>
      <c r="G1062" s="348"/>
      <c r="H1062" s="348"/>
      <c r="I1062" s="348"/>
      <c r="J1062" s="348"/>
      <c r="K1062" s="348"/>
      <c r="L1062" s="86">
        <v>621521.25</v>
      </c>
      <c r="M1062" s="87"/>
      <c r="N1062" s="88">
        <v>6081652.9500000002</v>
      </c>
    </row>
    <row r="1063" spans="1:14" hidden="1" x14ac:dyDescent="0.25">
      <c r="A1063" s="85"/>
      <c r="B1063" s="41"/>
      <c r="C1063" s="348" t="s">
        <v>187</v>
      </c>
      <c r="D1063" s="348"/>
      <c r="E1063" s="348"/>
      <c r="F1063" s="348"/>
      <c r="G1063" s="348"/>
      <c r="H1063" s="348"/>
      <c r="I1063" s="348"/>
      <c r="J1063" s="348"/>
      <c r="K1063" s="348"/>
      <c r="L1063" s="86">
        <v>621137.30000000005</v>
      </c>
      <c r="M1063" s="87"/>
      <c r="N1063" s="88">
        <v>6075516.7599999998</v>
      </c>
    </row>
    <row r="1064" spans="1:14" hidden="1" x14ac:dyDescent="0.25">
      <c r="A1064" s="85"/>
      <c r="B1064" s="41"/>
      <c r="C1064" s="348" t="s">
        <v>188</v>
      </c>
      <c r="D1064" s="348"/>
      <c r="E1064" s="348"/>
      <c r="F1064" s="348"/>
      <c r="G1064" s="348"/>
      <c r="H1064" s="348"/>
      <c r="I1064" s="348"/>
      <c r="J1064" s="348"/>
      <c r="K1064" s="348"/>
      <c r="L1064" s="89"/>
      <c r="M1064" s="87"/>
      <c r="N1064" s="90"/>
    </row>
    <row r="1065" spans="1:14" hidden="1" x14ac:dyDescent="0.25">
      <c r="A1065" s="85"/>
      <c r="B1065" s="41"/>
      <c r="C1065" s="348" t="s">
        <v>189</v>
      </c>
      <c r="D1065" s="348"/>
      <c r="E1065" s="348"/>
      <c r="F1065" s="348"/>
      <c r="G1065" s="348"/>
      <c r="H1065" s="348"/>
      <c r="I1065" s="348"/>
      <c r="J1065" s="348"/>
      <c r="K1065" s="348"/>
      <c r="L1065" s="95">
        <v>751.54</v>
      </c>
      <c r="M1065" s="87"/>
      <c r="N1065" s="88">
        <v>39237.9</v>
      </c>
    </row>
    <row r="1066" spans="1:14" hidden="1" x14ac:dyDescent="0.25">
      <c r="A1066" s="85"/>
      <c r="B1066" s="41"/>
      <c r="C1066" s="348" t="s">
        <v>190</v>
      </c>
      <c r="D1066" s="348"/>
      <c r="E1066" s="348"/>
      <c r="F1066" s="348"/>
      <c r="G1066" s="348"/>
      <c r="H1066" s="348"/>
      <c r="I1066" s="348"/>
      <c r="J1066" s="348"/>
      <c r="K1066" s="348"/>
      <c r="L1066" s="86">
        <v>9611.4500000000007</v>
      </c>
      <c r="M1066" s="87"/>
      <c r="N1066" s="88">
        <v>150995.88</v>
      </c>
    </row>
    <row r="1067" spans="1:14" hidden="1" x14ac:dyDescent="0.25">
      <c r="A1067" s="85"/>
      <c r="B1067" s="41"/>
      <c r="C1067" s="348" t="s">
        <v>191</v>
      </c>
      <c r="D1067" s="348"/>
      <c r="E1067" s="348"/>
      <c r="F1067" s="348"/>
      <c r="G1067" s="348"/>
      <c r="H1067" s="348"/>
      <c r="I1067" s="348"/>
      <c r="J1067" s="348"/>
      <c r="K1067" s="348"/>
      <c r="L1067" s="95">
        <v>404.49</v>
      </c>
      <c r="M1067" s="87"/>
      <c r="N1067" s="88">
        <v>21118.42</v>
      </c>
    </row>
    <row r="1068" spans="1:14" hidden="1" x14ac:dyDescent="0.25">
      <c r="A1068" s="85"/>
      <c r="B1068" s="41"/>
      <c r="C1068" s="348" t="s">
        <v>192</v>
      </c>
      <c r="D1068" s="348"/>
      <c r="E1068" s="348"/>
      <c r="F1068" s="348"/>
      <c r="G1068" s="348"/>
      <c r="H1068" s="348"/>
      <c r="I1068" s="348"/>
      <c r="J1068" s="348"/>
      <c r="K1068" s="348"/>
      <c r="L1068" s="86">
        <v>608844.76</v>
      </c>
      <c r="M1068" s="87"/>
      <c r="N1068" s="88">
        <v>5784541.04</v>
      </c>
    </row>
    <row r="1069" spans="1:14" hidden="1" x14ac:dyDescent="0.25">
      <c r="A1069" s="85"/>
      <c r="B1069" s="41"/>
      <c r="C1069" s="348" t="s">
        <v>193</v>
      </c>
      <c r="D1069" s="348"/>
      <c r="E1069" s="348"/>
      <c r="F1069" s="348"/>
      <c r="G1069" s="348"/>
      <c r="H1069" s="348"/>
      <c r="I1069" s="348"/>
      <c r="J1069" s="348"/>
      <c r="K1069" s="348"/>
      <c r="L1069" s="86">
        <v>1271.45</v>
      </c>
      <c r="M1069" s="87"/>
      <c r="N1069" s="88">
        <v>66382.23</v>
      </c>
    </row>
    <row r="1070" spans="1:14" hidden="1" x14ac:dyDescent="0.25">
      <c r="A1070" s="85"/>
      <c r="B1070" s="41"/>
      <c r="C1070" s="348" t="s">
        <v>194</v>
      </c>
      <c r="D1070" s="348"/>
      <c r="E1070" s="348"/>
      <c r="F1070" s="348"/>
      <c r="G1070" s="348"/>
      <c r="H1070" s="348"/>
      <c r="I1070" s="348"/>
      <c r="J1070" s="348"/>
      <c r="K1070" s="348"/>
      <c r="L1070" s="95">
        <v>658.1</v>
      </c>
      <c r="M1070" s="87"/>
      <c r="N1070" s="88">
        <v>34359.71</v>
      </c>
    </row>
    <row r="1071" spans="1:14" hidden="1" x14ac:dyDescent="0.25">
      <c r="A1071" s="85"/>
      <c r="B1071" s="41"/>
      <c r="C1071" s="348" t="s">
        <v>195</v>
      </c>
      <c r="D1071" s="348"/>
      <c r="E1071" s="348"/>
      <c r="F1071" s="348"/>
      <c r="G1071" s="348"/>
      <c r="H1071" s="348"/>
      <c r="I1071" s="348"/>
      <c r="J1071" s="348"/>
      <c r="K1071" s="348"/>
      <c r="L1071" s="95">
        <v>329.55</v>
      </c>
      <c r="M1071" s="87"/>
      <c r="N1071" s="88">
        <v>5281.57</v>
      </c>
    </row>
    <row r="1072" spans="1:14" hidden="1" x14ac:dyDescent="0.25">
      <c r="A1072" s="85"/>
      <c r="B1072" s="41"/>
      <c r="C1072" s="348" t="s">
        <v>196</v>
      </c>
      <c r="D1072" s="348"/>
      <c r="E1072" s="348"/>
      <c r="F1072" s="348"/>
      <c r="G1072" s="348"/>
      <c r="H1072" s="348"/>
      <c r="I1072" s="348"/>
      <c r="J1072" s="348"/>
      <c r="K1072" s="348"/>
      <c r="L1072" s="95">
        <v>54.4</v>
      </c>
      <c r="M1072" s="87"/>
      <c r="N1072" s="96">
        <v>854.62</v>
      </c>
    </row>
    <row r="1073" spans="1:14" hidden="1" x14ac:dyDescent="0.25">
      <c r="A1073" s="85"/>
      <c r="B1073" s="41"/>
      <c r="C1073" s="348" t="s">
        <v>297</v>
      </c>
      <c r="D1073" s="348"/>
      <c r="E1073" s="348"/>
      <c r="F1073" s="348"/>
      <c r="G1073" s="348"/>
      <c r="H1073" s="348"/>
      <c r="I1073" s="348"/>
      <c r="J1073" s="348"/>
      <c r="K1073" s="348"/>
      <c r="L1073" s="86">
        <v>1023.55</v>
      </c>
      <c r="M1073" s="87"/>
      <c r="N1073" s="88">
        <v>37125.61</v>
      </c>
    </row>
    <row r="1074" spans="1:14" hidden="1" x14ac:dyDescent="0.25">
      <c r="A1074" s="85"/>
      <c r="B1074" s="41"/>
      <c r="C1074" s="348" t="s">
        <v>177</v>
      </c>
      <c r="D1074" s="348"/>
      <c r="E1074" s="348"/>
      <c r="F1074" s="348"/>
      <c r="G1074" s="348"/>
      <c r="H1074" s="348"/>
      <c r="I1074" s="348"/>
      <c r="J1074" s="348"/>
      <c r="K1074" s="348"/>
      <c r="L1074" s="89"/>
      <c r="M1074" s="87"/>
      <c r="N1074" s="90"/>
    </row>
    <row r="1075" spans="1:14" hidden="1" x14ac:dyDescent="0.25">
      <c r="A1075" s="85"/>
      <c r="B1075" s="41"/>
      <c r="C1075" s="348" t="s">
        <v>298</v>
      </c>
      <c r="D1075" s="348"/>
      <c r="E1075" s="348"/>
      <c r="F1075" s="348"/>
      <c r="G1075" s="348"/>
      <c r="H1075" s="348"/>
      <c r="I1075" s="348"/>
      <c r="J1075" s="348"/>
      <c r="K1075" s="348"/>
      <c r="L1075" s="95">
        <v>251.92</v>
      </c>
      <c r="M1075" s="87"/>
      <c r="N1075" s="88">
        <v>13152.74</v>
      </c>
    </row>
    <row r="1076" spans="1:14" hidden="1" x14ac:dyDescent="0.25">
      <c r="A1076" s="85"/>
      <c r="B1076" s="41"/>
      <c r="C1076" s="348" t="s">
        <v>299</v>
      </c>
      <c r="D1076" s="348"/>
      <c r="E1076" s="348"/>
      <c r="F1076" s="348"/>
      <c r="G1076" s="348"/>
      <c r="H1076" s="348"/>
      <c r="I1076" s="348"/>
      <c r="J1076" s="348"/>
      <c r="K1076" s="348"/>
      <c r="L1076" s="95">
        <v>120.78</v>
      </c>
      <c r="M1076" s="87"/>
      <c r="N1076" s="88">
        <v>1897.45</v>
      </c>
    </row>
    <row r="1077" spans="1:14" hidden="1" x14ac:dyDescent="0.25">
      <c r="A1077" s="85"/>
      <c r="B1077" s="41"/>
      <c r="C1077" s="348" t="s">
        <v>300</v>
      </c>
      <c r="D1077" s="348"/>
      <c r="E1077" s="348"/>
      <c r="F1077" s="348"/>
      <c r="G1077" s="348"/>
      <c r="H1077" s="348"/>
      <c r="I1077" s="348"/>
      <c r="J1077" s="348"/>
      <c r="K1077" s="348"/>
      <c r="L1077" s="95">
        <v>11.98</v>
      </c>
      <c r="M1077" s="87"/>
      <c r="N1077" s="96">
        <v>625.48</v>
      </c>
    </row>
    <row r="1078" spans="1:14" hidden="1" x14ac:dyDescent="0.25">
      <c r="A1078" s="85"/>
      <c r="B1078" s="41"/>
      <c r="C1078" s="348" t="s">
        <v>301</v>
      </c>
      <c r="D1078" s="348"/>
      <c r="E1078" s="348"/>
      <c r="F1078" s="348"/>
      <c r="G1078" s="348"/>
      <c r="H1078" s="348"/>
      <c r="I1078" s="348"/>
      <c r="J1078" s="348"/>
      <c r="K1078" s="348"/>
      <c r="L1078" s="95">
        <v>278.75</v>
      </c>
      <c r="M1078" s="87"/>
      <c r="N1078" s="88">
        <v>2648.13</v>
      </c>
    </row>
    <row r="1079" spans="1:14" hidden="1" x14ac:dyDescent="0.25">
      <c r="A1079" s="85"/>
      <c r="B1079" s="41"/>
      <c r="C1079" s="348" t="s">
        <v>302</v>
      </c>
      <c r="D1079" s="348"/>
      <c r="E1079" s="348"/>
      <c r="F1079" s="348"/>
      <c r="G1079" s="348"/>
      <c r="H1079" s="348"/>
      <c r="I1079" s="348"/>
      <c r="J1079" s="348"/>
      <c r="K1079" s="348"/>
      <c r="L1079" s="95">
        <v>242.79</v>
      </c>
      <c r="M1079" s="87"/>
      <c r="N1079" s="88">
        <v>12675.96</v>
      </c>
    </row>
    <row r="1080" spans="1:14" hidden="1" x14ac:dyDescent="0.25">
      <c r="A1080" s="85"/>
      <c r="B1080" s="41"/>
      <c r="C1080" s="348" t="s">
        <v>303</v>
      </c>
      <c r="D1080" s="348"/>
      <c r="E1080" s="348"/>
      <c r="F1080" s="348"/>
      <c r="G1080" s="348"/>
      <c r="H1080" s="348"/>
      <c r="I1080" s="348"/>
      <c r="J1080" s="348"/>
      <c r="K1080" s="348"/>
      <c r="L1080" s="95">
        <v>129.31</v>
      </c>
      <c r="M1080" s="87"/>
      <c r="N1080" s="88">
        <v>6751.33</v>
      </c>
    </row>
    <row r="1081" spans="1:14" hidden="1" x14ac:dyDescent="0.25">
      <c r="A1081" s="85"/>
      <c r="B1081" s="41"/>
      <c r="C1081" s="348" t="s">
        <v>197</v>
      </c>
      <c r="D1081" s="348"/>
      <c r="E1081" s="348"/>
      <c r="F1081" s="348"/>
      <c r="G1081" s="348"/>
      <c r="H1081" s="348"/>
      <c r="I1081" s="348"/>
      <c r="J1081" s="348"/>
      <c r="K1081" s="348"/>
      <c r="L1081" s="86">
        <v>1419.93</v>
      </c>
      <c r="M1081" s="87"/>
      <c r="N1081" s="88">
        <v>74134.539999999994</v>
      </c>
    </row>
    <row r="1082" spans="1:14" hidden="1" x14ac:dyDescent="0.25">
      <c r="A1082" s="85"/>
      <c r="B1082" s="41"/>
      <c r="C1082" s="348" t="s">
        <v>198</v>
      </c>
      <c r="D1082" s="348"/>
      <c r="E1082" s="348"/>
      <c r="F1082" s="348"/>
      <c r="G1082" s="348"/>
      <c r="H1082" s="348"/>
      <c r="I1082" s="348"/>
      <c r="J1082" s="348"/>
      <c r="K1082" s="348"/>
      <c r="L1082" s="86">
        <v>1514.24</v>
      </c>
      <c r="M1082" s="87"/>
      <c r="N1082" s="88">
        <v>79058.19</v>
      </c>
    </row>
    <row r="1083" spans="1:14" hidden="1" x14ac:dyDescent="0.25">
      <c r="A1083" s="85"/>
      <c r="B1083" s="41"/>
      <c r="C1083" s="348" t="s">
        <v>199</v>
      </c>
      <c r="D1083" s="348"/>
      <c r="E1083" s="348"/>
      <c r="F1083" s="348"/>
      <c r="G1083" s="348"/>
      <c r="H1083" s="348"/>
      <c r="I1083" s="348"/>
      <c r="J1083" s="348"/>
      <c r="K1083" s="348"/>
      <c r="L1083" s="95">
        <v>787.41</v>
      </c>
      <c r="M1083" s="87"/>
      <c r="N1083" s="88">
        <v>41111.040000000001</v>
      </c>
    </row>
    <row r="1084" spans="1:14" hidden="1" x14ac:dyDescent="0.25">
      <c r="A1084" s="85"/>
      <c r="B1084" s="81"/>
      <c r="C1084" s="349" t="s">
        <v>385</v>
      </c>
      <c r="D1084" s="349"/>
      <c r="E1084" s="349"/>
      <c r="F1084" s="349"/>
      <c r="G1084" s="349"/>
      <c r="H1084" s="349"/>
      <c r="I1084" s="349"/>
      <c r="J1084" s="349"/>
      <c r="K1084" s="349"/>
      <c r="L1084" s="91">
        <v>622544.80000000005</v>
      </c>
      <c r="M1084" s="83"/>
      <c r="N1084" s="92">
        <v>6118778.5599999996</v>
      </c>
    </row>
    <row r="1085" spans="1:14" hidden="1" x14ac:dyDescent="0.25">
      <c r="A1085" s="85"/>
      <c r="B1085" s="41"/>
      <c r="C1085" s="348" t="s">
        <v>201</v>
      </c>
      <c r="D1085" s="348"/>
      <c r="E1085" s="348"/>
      <c r="F1085" s="348"/>
      <c r="G1085" s="348"/>
      <c r="H1085" s="348"/>
      <c r="I1085" s="348"/>
      <c r="J1085" s="348"/>
      <c r="K1085" s="348"/>
      <c r="L1085" s="89"/>
      <c r="M1085" s="87"/>
      <c r="N1085" s="90"/>
    </row>
    <row r="1086" spans="1:14" hidden="1" x14ac:dyDescent="0.25">
      <c r="A1086" s="85"/>
      <c r="B1086" s="41"/>
      <c r="C1086" s="348" t="s">
        <v>202</v>
      </c>
      <c r="D1086" s="348"/>
      <c r="E1086" s="348"/>
      <c r="F1086" s="348"/>
      <c r="G1086" s="348"/>
      <c r="H1086" s="348"/>
      <c r="I1086" s="42" t="s">
        <v>386</v>
      </c>
      <c r="J1086" s="93"/>
      <c r="K1086" s="93"/>
      <c r="L1086" s="89"/>
      <c r="M1086" s="87"/>
      <c r="N1086" s="90"/>
    </row>
    <row r="1087" spans="1:14" hidden="1" x14ac:dyDescent="0.25">
      <c r="A1087" s="85"/>
      <c r="B1087" s="41"/>
      <c r="C1087" s="348" t="s">
        <v>204</v>
      </c>
      <c r="D1087" s="348"/>
      <c r="E1087" s="348"/>
      <c r="F1087" s="348"/>
      <c r="G1087" s="348"/>
      <c r="H1087" s="348"/>
      <c r="I1087" s="42" t="s">
        <v>387</v>
      </c>
      <c r="J1087" s="93"/>
      <c r="K1087" s="93"/>
      <c r="L1087" s="89"/>
      <c r="M1087" s="87"/>
      <c r="N1087" s="90"/>
    </row>
    <row r="1088" spans="1:14" x14ac:dyDescent="0.25">
      <c r="A1088" s="358" t="s">
        <v>388</v>
      </c>
      <c r="B1088" s="359"/>
      <c r="C1088" s="359"/>
      <c r="D1088" s="359"/>
      <c r="E1088" s="359"/>
      <c r="F1088" s="359"/>
      <c r="G1088" s="359"/>
      <c r="H1088" s="359"/>
      <c r="I1088" s="359"/>
      <c r="J1088" s="359"/>
      <c r="K1088" s="359"/>
      <c r="L1088" s="359"/>
      <c r="M1088" s="359"/>
      <c r="N1088" s="360"/>
    </row>
    <row r="1089" spans="1:14" ht="34.5" customHeight="1" x14ac:dyDescent="0.25">
      <c r="A1089" s="32" t="s">
        <v>389</v>
      </c>
      <c r="B1089" s="33" t="s">
        <v>208</v>
      </c>
      <c r="C1089" s="350" t="s">
        <v>209</v>
      </c>
      <c r="D1089" s="350"/>
      <c r="E1089" s="350"/>
      <c r="F1089" s="34" t="s">
        <v>210</v>
      </c>
      <c r="G1089" s="35">
        <v>1</v>
      </c>
      <c r="H1089" s="36">
        <v>1</v>
      </c>
      <c r="I1089" s="36">
        <v>1</v>
      </c>
      <c r="J1089" s="38"/>
      <c r="K1089" s="35"/>
      <c r="L1089" s="38"/>
      <c r="M1089" s="35"/>
      <c r="N1089" s="39"/>
    </row>
    <row r="1090" spans="1:14" hidden="1" x14ac:dyDescent="0.25">
      <c r="A1090" s="40"/>
      <c r="B1090" s="41" t="s">
        <v>55</v>
      </c>
      <c r="C1090" s="354" t="s">
        <v>59</v>
      </c>
      <c r="D1090" s="354"/>
      <c r="E1090" s="354"/>
      <c r="F1090" s="42"/>
      <c r="G1090" s="43"/>
      <c r="H1090" s="43"/>
      <c r="I1090" s="43"/>
      <c r="J1090" s="44">
        <v>298.64</v>
      </c>
      <c r="K1090" s="43"/>
      <c r="L1090" s="44">
        <v>298.64</v>
      </c>
      <c r="M1090" s="45">
        <v>52.21</v>
      </c>
      <c r="N1090" s="46">
        <v>15591.99</v>
      </c>
    </row>
    <row r="1091" spans="1:14" hidden="1" x14ac:dyDescent="0.25">
      <c r="A1091" s="40"/>
      <c r="B1091" s="41" t="s">
        <v>70</v>
      </c>
      <c r="C1091" s="354" t="s">
        <v>74</v>
      </c>
      <c r="D1091" s="354"/>
      <c r="E1091" s="354"/>
      <c r="F1091" s="42"/>
      <c r="G1091" s="43"/>
      <c r="H1091" s="43"/>
      <c r="I1091" s="43"/>
      <c r="J1091" s="44">
        <v>128.02000000000001</v>
      </c>
      <c r="K1091" s="43"/>
      <c r="L1091" s="44">
        <v>128.02000000000001</v>
      </c>
      <c r="M1091" s="45">
        <v>15.71</v>
      </c>
      <c r="N1091" s="46">
        <v>2011.19</v>
      </c>
    </row>
    <row r="1092" spans="1:14" hidden="1" x14ac:dyDescent="0.25">
      <c r="A1092" s="40"/>
      <c r="B1092" s="41" t="s">
        <v>75</v>
      </c>
      <c r="C1092" s="354" t="s">
        <v>76</v>
      </c>
      <c r="D1092" s="354"/>
      <c r="E1092" s="354"/>
      <c r="F1092" s="42"/>
      <c r="G1092" s="43"/>
      <c r="H1092" s="43"/>
      <c r="I1092" s="43"/>
      <c r="J1092" s="44">
        <v>19.84</v>
      </c>
      <c r="K1092" s="43"/>
      <c r="L1092" s="44">
        <v>19.84</v>
      </c>
      <c r="M1092" s="45">
        <v>52.21</v>
      </c>
      <c r="N1092" s="46">
        <v>1035.8499999999999</v>
      </c>
    </row>
    <row r="1093" spans="1:14" hidden="1" x14ac:dyDescent="0.25">
      <c r="A1093" s="47"/>
      <c r="B1093" s="41"/>
      <c r="C1093" s="354" t="s">
        <v>60</v>
      </c>
      <c r="D1093" s="354"/>
      <c r="E1093" s="354"/>
      <c r="F1093" s="42" t="s">
        <v>61</v>
      </c>
      <c r="G1093" s="45">
        <v>35.01</v>
      </c>
      <c r="H1093" s="43"/>
      <c r="I1093" s="45">
        <v>35.01</v>
      </c>
      <c r="J1093" s="50"/>
      <c r="K1093" s="43"/>
      <c r="L1093" s="50"/>
      <c r="M1093" s="43"/>
      <c r="N1093" s="51"/>
    </row>
    <row r="1094" spans="1:14" hidden="1" x14ac:dyDescent="0.25">
      <c r="A1094" s="47"/>
      <c r="B1094" s="41"/>
      <c r="C1094" s="354" t="s">
        <v>77</v>
      </c>
      <c r="D1094" s="354"/>
      <c r="E1094" s="354"/>
      <c r="F1094" s="42" t="s">
        <v>61</v>
      </c>
      <c r="G1094" s="45">
        <v>1.71</v>
      </c>
      <c r="H1094" s="43"/>
      <c r="I1094" s="45">
        <v>1.71</v>
      </c>
      <c r="J1094" s="50"/>
      <c r="K1094" s="43"/>
      <c r="L1094" s="50"/>
      <c r="M1094" s="43"/>
      <c r="N1094" s="51"/>
    </row>
    <row r="1095" spans="1:14" hidden="1" x14ac:dyDescent="0.25">
      <c r="A1095" s="52"/>
      <c r="B1095" s="41"/>
      <c r="C1095" s="355" t="s">
        <v>62</v>
      </c>
      <c r="D1095" s="355"/>
      <c r="E1095" s="355"/>
      <c r="F1095" s="53"/>
      <c r="G1095" s="54"/>
      <c r="H1095" s="54"/>
      <c r="I1095" s="54"/>
      <c r="J1095" s="55">
        <v>426.66</v>
      </c>
      <c r="K1095" s="54"/>
      <c r="L1095" s="55">
        <v>426.66</v>
      </c>
      <c r="M1095" s="54"/>
      <c r="N1095" s="56">
        <v>17603.18</v>
      </c>
    </row>
    <row r="1096" spans="1:14" hidden="1" x14ac:dyDescent="0.25">
      <c r="A1096" s="47"/>
      <c r="B1096" s="41"/>
      <c r="C1096" s="354" t="s">
        <v>63</v>
      </c>
      <c r="D1096" s="354"/>
      <c r="E1096" s="354"/>
      <c r="F1096" s="42"/>
      <c r="G1096" s="43"/>
      <c r="H1096" s="43"/>
      <c r="I1096" s="43"/>
      <c r="J1096" s="50"/>
      <c r="K1096" s="43"/>
      <c r="L1096" s="44">
        <v>318.48</v>
      </c>
      <c r="M1096" s="43"/>
      <c r="N1096" s="46">
        <v>16627.84</v>
      </c>
    </row>
    <row r="1097" spans="1:14" ht="22.5" hidden="1" x14ac:dyDescent="0.25">
      <c r="A1097" s="47"/>
      <c r="B1097" s="41" t="s">
        <v>78</v>
      </c>
      <c r="C1097" s="354" t="s">
        <v>79</v>
      </c>
      <c r="D1097" s="354"/>
      <c r="E1097" s="354"/>
      <c r="F1097" s="42" t="s">
        <v>66</v>
      </c>
      <c r="G1097" s="48">
        <v>109</v>
      </c>
      <c r="H1097" s="43"/>
      <c r="I1097" s="48">
        <v>109</v>
      </c>
      <c r="J1097" s="50"/>
      <c r="K1097" s="43"/>
      <c r="L1097" s="44">
        <v>347.14</v>
      </c>
      <c r="M1097" s="43"/>
      <c r="N1097" s="46">
        <v>18124.349999999999</v>
      </c>
    </row>
    <row r="1098" spans="1:14" ht="45" hidden="1" x14ac:dyDescent="0.25">
      <c r="A1098" s="47"/>
      <c r="B1098" s="41" t="s">
        <v>80</v>
      </c>
      <c r="C1098" s="354" t="s">
        <v>81</v>
      </c>
      <c r="D1098" s="354"/>
      <c r="E1098" s="354"/>
      <c r="F1098" s="42" t="s">
        <v>66</v>
      </c>
      <c r="G1098" s="48">
        <v>65</v>
      </c>
      <c r="H1098" s="45">
        <v>0.85</v>
      </c>
      <c r="I1098" s="45">
        <v>55.25</v>
      </c>
      <c r="J1098" s="50"/>
      <c r="K1098" s="43"/>
      <c r="L1098" s="44">
        <v>175.96</v>
      </c>
      <c r="M1098" s="43"/>
      <c r="N1098" s="46">
        <v>9186.8799999999992</v>
      </c>
    </row>
    <row r="1099" spans="1:14" hidden="1" x14ac:dyDescent="0.25">
      <c r="A1099" s="57"/>
      <c r="B1099" s="58"/>
      <c r="C1099" s="350" t="s">
        <v>69</v>
      </c>
      <c r="D1099" s="350"/>
      <c r="E1099" s="350"/>
      <c r="F1099" s="34"/>
      <c r="G1099" s="35"/>
      <c r="H1099" s="35"/>
      <c r="I1099" s="35"/>
      <c r="J1099" s="38"/>
      <c r="K1099" s="35"/>
      <c r="L1099" s="59">
        <v>949.76</v>
      </c>
      <c r="M1099" s="54"/>
      <c r="N1099" s="60">
        <v>44914.41</v>
      </c>
    </row>
    <row r="1100" spans="1:14" ht="29.25" customHeight="1" x14ac:dyDescent="0.25">
      <c r="A1100" s="32" t="s">
        <v>390</v>
      </c>
      <c r="B1100" s="33" t="s">
        <v>82</v>
      </c>
      <c r="C1100" s="350" t="s">
        <v>83</v>
      </c>
      <c r="D1100" s="350"/>
      <c r="E1100" s="350"/>
      <c r="F1100" s="34" t="s">
        <v>58</v>
      </c>
      <c r="G1100" s="35">
        <v>0.29899999999999999</v>
      </c>
      <c r="H1100" s="36">
        <v>1</v>
      </c>
      <c r="I1100" s="67">
        <v>0.29899999999999999</v>
      </c>
      <c r="J1100" s="38"/>
      <c r="K1100" s="35"/>
      <c r="L1100" s="38"/>
      <c r="M1100" s="35"/>
      <c r="N1100" s="39"/>
    </row>
    <row r="1101" spans="1:14" hidden="1" x14ac:dyDescent="0.25">
      <c r="A1101" s="40"/>
      <c r="B1101" s="41" t="s">
        <v>55</v>
      </c>
      <c r="C1101" s="354" t="s">
        <v>59</v>
      </c>
      <c r="D1101" s="354"/>
      <c r="E1101" s="354"/>
      <c r="F1101" s="42"/>
      <c r="G1101" s="43"/>
      <c r="H1101" s="43"/>
      <c r="I1101" s="43"/>
      <c r="J1101" s="44">
        <v>92.08</v>
      </c>
      <c r="K1101" s="43"/>
      <c r="L1101" s="44">
        <v>27.53</v>
      </c>
      <c r="M1101" s="45">
        <v>52.21</v>
      </c>
      <c r="N1101" s="46">
        <v>1437.34</v>
      </c>
    </row>
    <row r="1102" spans="1:14" hidden="1" x14ac:dyDescent="0.25">
      <c r="A1102" s="40"/>
      <c r="B1102" s="41" t="s">
        <v>70</v>
      </c>
      <c r="C1102" s="354" t="s">
        <v>74</v>
      </c>
      <c r="D1102" s="354"/>
      <c r="E1102" s="354"/>
      <c r="F1102" s="42"/>
      <c r="G1102" s="43"/>
      <c r="H1102" s="43"/>
      <c r="I1102" s="43"/>
      <c r="J1102" s="44">
        <v>287.60000000000002</v>
      </c>
      <c r="K1102" s="43"/>
      <c r="L1102" s="44">
        <v>85.99</v>
      </c>
      <c r="M1102" s="45">
        <v>15.71</v>
      </c>
      <c r="N1102" s="46">
        <v>1350.9</v>
      </c>
    </row>
    <row r="1103" spans="1:14" hidden="1" x14ac:dyDescent="0.25">
      <c r="A1103" s="40"/>
      <c r="B1103" s="41" t="s">
        <v>75</v>
      </c>
      <c r="C1103" s="354" t="s">
        <v>76</v>
      </c>
      <c r="D1103" s="354"/>
      <c r="E1103" s="354"/>
      <c r="F1103" s="42"/>
      <c r="G1103" s="43"/>
      <c r="H1103" s="43"/>
      <c r="I1103" s="43"/>
      <c r="J1103" s="44">
        <v>37.57</v>
      </c>
      <c r="K1103" s="43"/>
      <c r="L1103" s="44">
        <v>11.23</v>
      </c>
      <c r="M1103" s="45">
        <v>52.21</v>
      </c>
      <c r="N1103" s="69">
        <v>586.32000000000005</v>
      </c>
    </row>
    <row r="1104" spans="1:14" hidden="1" x14ac:dyDescent="0.25">
      <c r="A1104" s="47"/>
      <c r="B1104" s="41"/>
      <c r="C1104" s="354" t="s">
        <v>60</v>
      </c>
      <c r="D1104" s="354"/>
      <c r="E1104" s="354"/>
      <c r="F1104" s="42" t="s">
        <v>61</v>
      </c>
      <c r="G1104" s="63">
        <v>11.7</v>
      </c>
      <c r="H1104" s="43"/>
      <c r="I1104" s="64">
        <v>3.4983</v>
      </c>
      <c r="J1104" s="50"/>
      <c r="K1104" s="43"/>
      <c r="L1104" s="50"/>
      <c r="M1104" s="43"/>
      <c r="N1104" s="51"/>
    </row>
    <row r="1105" spans="1:14" hidden="1" x14ac:dyDescent="0.25">
      <c r="A1105" s="47"/>
      <c r="B1105" s="41"/>
      <c r="C1105" s="354" t="s">
        <v>77</v>
      </c>
      <c r="D1105" s="354"/>
      <c r="E1105" s="354"/>
      <c r="F1105" s="42" t="s">
        <v>61</v>
      </c>
      <c r="G1105" s="45">
        <v>2.96</v>
      </c>
      <c r="H1105" s="43"/>
      <c r="I1105" s="68">
        <v>0.88504000000000005</v>
      </c>
      <c r="J1105" s="50"/>
      <c r="K1105" s="43"/>
      <c r="L1105" s="50"/>
      <c r="M1105" s="43"/>
      <c r="N1105" s="51"/>
    </row>
    <row r="1106" spans="1:14" hidden="1" x14ac:dyDescent="0.25">
      <c r="A1106" s="52"/>
      <c r="B1106" s="41"/>
      <c r="C1106" s="355" t="s">
        <v>62</v>
      </c>
      <c r="D1106" s="355"/>
      <c r="E1106" s="355"/>
      <c r="F1106" s="53"/>
      <c r="G1106" s="54"/>
      <c r="H1106" s="54"/>
      <c r="I1106" s="54"/>
      <c r="J1106" s="55">
        <v>379.68</v>
      </c>
      <c r="K1106" s="54"/>
      <c r="L1106" s="55">
        <v>113.52</v>
      </c>
      <c r="M1106" s="54"/>
      <c r="N1106" s="56">
        <v>2788.24</v>
      </c>
    </row>
    <row r="1107" spans="1:14" hidden="1" x14ac:dyDescent="0.25">
      <c r="A1107" s="47"/>
      <c r="B1107" s="41"/>
      <c r="C1107" s="354" t="s">
        <v>63</v>
      </c>
      <c r="D1107" s="354"/>
      <c r="E1107" s="354"/>
      <c r="F1107" s="42"/>
      <c r="G1107" s="43"/>
      <c r="H1107" s="43"/>
      <c r="I1107" s="43"/>
      <c r="J1107" s="50"/>
      <c r="K1107" s="43"/>
      <c r="L1107" s="44">
        <v>38.76</v>
      </c>
      <c r="M1107" s="43"/>
      <c r="N1107" s="46">
        <v>2023.66</v>
      </c>
    </row>
    <row r="1108" spans="1:14" hidden="1" x14ac:dyDescent="0.25">
      <c r="A1108" s="47"/>
      <c r="B1108" s="41" t="s">
        <v>84</v>
      </c>
      <c r="C1108" s="354" t="s">
        <v>85</v>
      </c>
      <c r="D1108" s="354"/>
      <c r="E1108" s="354"/>
      <c r="F1108" s="42" t="s">
        <v>66</v>
      </c>
      <c r="G1108" s="48">
        <v>102</v>
      </c>
      <c r="H1108" s="43"/>
      <c r="I1108" s="48">
        <v>102</v>
      </c>
      <c r="J1108" s="50"/>
      <c r="K1108" s="43"/>
      <c r="L1108" s="44">
        <v>39.54</v>
      </c>
      <c r="M1108" s="43"/>
      <c r="N1108" s="46">
        <v>2064.13</v>
      </c>
    </row>
    <row r="1109" spans="1:14" hidden="1" x14ac:dyDescent="0.25">
      <c r="A1109" s="47"/>
      <c r="B1109" s="41" t="s">
        <v>86</v>
      </c>
      <c r="C1109" s="354" t="s">
        <v>87</v>
      </c>
      <c r="D1109" s="354"/>
      <c r="E1109" s="354"/>
      <c r="F1109" s="42" t="s">
        <v>66</v>
      </c>
      <c r="G1109" s="48">
        <v>54</v>
      </c>
      <c r="H1109" s="43"/>
      <c r="I1109" s="48">
        <v>54</v>
      </c>
      <c r="J1109" s="50"/>
      <c r="K1109" s="43"/>
      <c r="L1109" s="44">
        <v>20.93</v>
      </c>
      <c r="M1109" s="43"/>
      <c r="N1109" s="46">
        <v>1092.78</v>
      </c>
    </row>
    <row r="1110" spans="1:14" hidden="1" x14ac:dyDescent="0.25">
      <c r="A1110" s="57"/>
      <c r="B1110" s="58"/>
      <c r="C1110" s="350" t="s">
        <v>69</v>
      </c>
      <c r="D1110" s="350"/>
      <c r="E1110" s="350"/>
      <c r="F1110" s="34"/>
      <c r="G1110" s="35"/>
      <c r="H1110" s="35"/>
      <c r="I1110" s="35"/>
      <c r="J1110" s="38"/>
      <c r="K1110" s="35"/>
      <c r="L1110" s="59">
        <v>173.99</v>
      </c>
      <c r="M1110" s="54"/>
      <c r="N1110" s="60">
        <v>5945.15</v>
      </c>
    </row>
    <row r="1111" spans="1:14" x14ac:dyDescent="0.25">
      <c r="A1111" s="32" t="s">
        <v>391</v>
      </c>
      <c r="B1111" s="33" t="s">
        <v>89</v>
      </c>
      <c r="C1111" s="350" t="s">
        <v>90</v>
      </c>
      <c r="D1111" s="350"/>
      <c r="E1111" s="350"/>
      <c r="F1111" s="34" t="s">
        <v>58</v>
      </c>
      <c r="G1111" s="35">
        <v>0.13950000000000001</v>
      </c>
      <c r="H1111" s="36">
        <v>1</v>
      </c>
      <c r="I1111" s="37">
        <v>0.13950000000000001</v>
      </c>
      <c r="J1111" s="38"/>
      <c r="K1111" s="35"/>
      <c r="L1111" s="38"/>
      <c r="M1111" s="35"/>
      <c r="N1111" s="39"/>
    </row>
    <row r="1112" spans="1:14" hidden="1" x14ac:dyDescent="0.25">
      <c r="A1112" s="40"/>
      <c r="B1112" s="41" t="s">
        <v>55</v>
      </c>
      <c r="C1112" s="354" t="s">
        <v>59</v>
      </c>
      <c r="D1112" s="354"/>
      <c r="E1112" s="354"/>
      <c r="F1112" s="42"/>
      <c r="G1112" s="43"/>
      <c r="H1112" s="43"/>
      <c r="I1112" s="43"/>
      <c r="J1112" s="44">
        <v>106.88</v>
      </c>
      <c r="K1112" s="43"/>
      <c r="L1112" s="44">
        <v>14.91</v>
      </c>
      <c r="M1112" s="45">
        <v>52.21</v>
      </c>
      <c r="N1112" s="69">
        <v>778.45</v>
      </c>
    </row>
    <row r="1113" spans="1:14" hidden="1" x14ac:dyDescent="0.25">
      <c r="A1113" s="40"/>
      <c r="B1113" s="41" t="s">
        <v>70</v>
      </c>
      <c r="C1113" s="354" t="s">
        <v>74</v>
      </c>
      <c r="D1113" s="354"/>
      <c r="E1113" s="354"/>
      <c r="F1113" s="42"/>
      <c r="G1113" s="43"/>
      <c r="H1113" s="43"/>
      <c r="I1113" s="43"/>
      <c r="J1113" s="44">
        <v>241.58</v>
      </c>
      <c r="K1113" s="43"/>
      <c r="L1113" s="44">
        <v>33.700000000000003</v>
      </c>
      <c r="M1113" s="45">
        <v>15.71</v>
      </c>
      <c r="N1113" s="69">
        <v>529.42999999999995</v>
      </c>
    </row>
    <row r="1114" spans="1:14" hidden="1" x14ac:dyDescent="0.25">
      <c r="A1114" s="40"/>
      <c r="B1114" s="41" t="s">
        <v>75</v>
      </c>
      <c r="C1114" s="354" t="s">
        <v>76</v>
      </c>
      <c r="D1114" s="354"/>
      <c r="E1114" s="354"/>
      <c r="F1114" s="42"/>
      <c r="G1114" s="43"/>
      <c r="H1114" s="43"/>
      <c r="I1114" s="43"/>
      <c r="J1114" s="44">
        <v>26.36</v>
      </c>
      <c r="K1114" s="43"/>
      <c r="L1114" s="44">
        <v>3.68</v>
      </c>
      <c r="M1114" s="45">
        <v>52.21</v>
      </c>
      <c r="N1114" s="69">
        <v>192.13</v>
      </c>
    </row>
    <row r="1115" spans="1:14" hidden="1" x14ac:dyDescent="0.25">
      <c r="A1115" s="47"/>
      <c r="B1115" s="41"/>
      <c r="C1115" s="354" t="s">
        <v>60</v>
      </c>
      <c r="D1115" s="354"/>
      <c r="E1115" s="354"/>
      <c r="F1115" s="42" t="s">
        <v>61</v>
      </c>
      <c r="G1115" s="45">
        <v>12.53</v>
      </c>
      <c r="H1115" s="43"/>
      <c r="I1115" s="73">
        <v>1.747935</v>
      </c>
      <c r="J1115" s="50"/>
      <c r="K1115" s="43"/>
      <c r="L1115" s="50"/>
      <c r="M1115" s="43"/>
      <c r="N1115" s="51"/>
    </row>
    <row r="1116" spans="1:14" hidden="1" x14ac:dyDescent="0.25">
      <c r="A1116" s="47"/>
      <c r="B1116" s="41"/>
      <c r="C1116" s="354" t="s">
        <v>77</v>
      </c>
      <c r="D1116" s="354"/>
      <c r="E1116" s="354"/>
      <c r="F1116" s="42" t="s">
        <v>61</v>
      </c>
      <c r="G1116" s="45">
        <v>2.62</v>
      </c>
      <c r="H1116" s="43"/>
      <c r="I1116" s="68">
        <v>0.36548999999999998</v>
      </c>
      <c r="J1116" s="50"/>
      <c r="K1116" s="43"/>
      <c r="L1116" s="50"/>
      <c r="M1116" s="43"/>
      <c r="N1116" s="51"/>
    </row>
    <row r="1117" spans="1:14" hidden="1" x14ac:dyDescent="0.25">
      <c r="A1117" s="52"/>
      <c r="B1117" s="41"/>
      <c r="C1117" s="355" t="s">
        <v>62</v>
      </c>
      <c r="D1117" s="355"/>
      <c r="E1117" s="355"/>
      <c r="F1117" s="53"/>
      <c r="G1117" s="54"/>
      <c r="H1117" s="54"/>
      <c r="I1117" s="54"/>
      <c r="J1117" s="55">
        <v>348.46</v>
      </c>
      <c r="K1117" s="54"/>
      <c r="L1117" s="55">
        <v>48.61</v>
      </c>
      <c r="M1117" s="54"/>
      <c r="N1117" s="56">
        <v>1307.8800000000001</v>
      </c>
    </row>
    <row r="1118" spans="1:14" hidden="1" x14ac:dyDescent="0.25">
      <c r="A1118" s="47"/>
      <c r="B1118" s="41"/>
      <c r="C1118" s="354" t="s">
        <v>63</v>
      </c>
      <c r="D1118" s="354"/>
      <c r="E1118" s="354"/>
      <c r="F1118" s="42"/>
      <c r="G1118" s="43"/>
      <c r="H1118" s="43"/>
      <c r="I1118" s="43"/>
      <c r="J1118" s="50"/>
      <c r="K1118" s="43"/>
      <c r="L1118" s="44">
        <v>18.59</v>
      </c>
      <c r="M1118" s="43"/>
      <c r="N1118" s="69">
        <v>970.58</v>
      </c>
    </row>
    <row r="1119" spans="1:14" ht="22.5" hidden="1" x14ac:dyDescent="0.25">
      <c r="A1119" s="47"/>
      <c r="B1119" s="41" t="s">
        <v>91</v>
      </c>
      <c r="C1119" s="354" t="s">
        <v>92</v>
      </c>
      <c r="D1119" s="354"/>
      <c r="E1119" s="354"/>
      <c r="F1119" s="42" t="s">
        <v>66</v>
      </c>
      <c r="G1119" s="48">
        <v>92</v>
      </c>
      <c r="H1119" s="43"/>
      <c r="I1119" s="48">
        <v>92</v>
      </c>
      <c r="J1119" s="50"/>
      <c r="K1119" s="43"/>
      <c r="L1119" s="44">
        <v>17.100000000000001</v>
      </c>
      <c r="M1119" s="43"/>
      <c r="N1119" s="69">
        <v>892.93</v>
      </c>
    </row>
    <row r="1120" spans="1:14" ht="45" hidden="1" x14ac:dyDescent="0.25">
      <c r="A1120" s="47"/>
      <c r="B1120" s="41" t="s">
        <v>93</v>
      </c>
      <c r="C1120" s="354" t="s">
        <v>94</v>
      </c>
      <c r="D1120" s="354"/>
      <c r="E1120" s="354"/>
      <c r="F1120" s="42" t="s">
        <v>66</v>
      </c>
      <c r="G1120" s="48">
        <v>46</v>
      </c>
      <c r="H1120" s="45">
        <v>0.85</v>
      </c>
      <c r="I1120" s="63">
        <v>39.1</v>
      </c>
      <c r="J1120" s="50"/>
      <c r="K1120" s="43"/>
      <c r="L1120" s="44">
        <v>7.27</v>
      </c>
      <c r="M1120" s="43"/>
      <c r="N1120" s="69">
        <v>379.5</v>
      </c>
    </row>
    <row r="1121" spans="1:14" hidden="1" x14ac:dyDescent="0.25">
      <c r="A1121" s="57"/>
      <c r="B1121" s="58"/>
      <c r="C1121" s="350" t="s">
        <v>69</v>
      </c>
      <c r="D1121" s="350"/>
      <c r="E1121" s="350"/>
      <c r="F1121" s="34"/>
      <c r="G1121" s="35"/>
      <c r="H1121" s="35"/>
      <c r="I1121" s="35"/>
      <c r="J1121" s="38"/>
      <c r="K1121" s="35"/>
      <c r="L1121" s="59">
        <v>72.98</v>
      </c>
      <c r="M1121" s="54"/>
      <c r="N1121" s="60">
        <v>2580.31</v>
      </c>
    </row>
    <row r="1122" spans="1:14" x14ac:dyDescent="0.25">
      <c r="A1122" s="32" t="s">
        <v>392</v>
      </c>
      <c r="B1122" s="33" t="s">
        <v>96</v>
      </c>
      <c r="C1122" s="350" t="s">
        <v>97</v>
      </c>
      <c r="D1122" s="350"/>
      <c r="E1122" s="350"/>
      <c r="F1122" s="34" t="s">
        <v>58</v>
      </c>
      <c r="G1122" s="35">
        <v>0.14000000000000001</v>
      </c>
      <c r="H1122" s="36">
        <v>1</v>
      </c>
      <c r="I1122" s="61">
        <v>0.14000000000000001</v>
      </c>
      <c r="J1122" s="38"/>
      <c r="K1122" s="35"/>
      <c r="L1122" s="38"/>
      <c r="M1122" s="35"/>
      <c r="N1122" s="39"/>
    </row>
    <row r="1123" spans="1:14" hidden="1" x14ac:dyDescent="0.25">
      <c r="A1123" s="40"/>
      <c r="B1123" s="41" t="s">
        <v>55</v>
      </c>
      <c r="C1123" s="354" t="s">
        <v>59</v>
      </c>
      <c r="D1123" s="354"/>
      <c r="E1123" s="354"/>
      <c r="F1123" s="42"/>
      <c r="G1123" s="43"/>
      <c r="H1123" s="43"/>
      <c r="I1123" s="43"/>
      <c r="J1123" s="44">
        <v>173.23</v>
      </c>
      <c r="K1123" s="43"/>
      <c r="L1123" s="44">
        <v>24.25</v>
      </c>
      <c r="M1123" s="45">
        <v>52.21</v>
      </c>
      <c r="N1123" s="46">
        <v>1266.0899999999999</v>
      </c>
    </row>
    <row r="1124" spans="1:14" hidden="1" x14ac:dyDescent="0.25">
      <c r="A1124" s="40"/>
      <c r="B1124" s="41" t="s">
        <v>70</v>
      </c>
      <c r="C1124" s="354" t="s">
        <v>74</v>
      </c>
      <c r="D1124" s="354"/>
      <c r="E1124" s="354"/>
      <c r="F1124" s="42"/>
      <c r="G1124" s="43"/>
      <c r="H1124" s="43"/>
      <c r="I1124" s="43"/>
      <c r="J1124" s="62">
        <v>5268.76</v>
      </c>
      <c r="K1124" s="43"/>
      <c r="L1124" s="44">
        <v>737.63</v>
      </c>
      <c r="M1124" s="45">
        <v>15.71</v>
      </c>
      <c r="N1124" s="46">
        <v>11588.17</v>
      </c>
    </row>
    <row r="1125" spans="1:14" hidden="1" x14ac:dyDescent="0.25">
      <c r="A1125" s="40"/>
      <c r="B1125" s="41" t="s">
        <v>75</v>
      </c>
      <c r="C1125" s="354" t="s">
        <v>76</v>
      </c>
      <c r="D1125" s="354"/>
      <c r="E1125" s="354"/>
      <c r="F1125" s="42"/>
      <c r="G1125" s="43"/>
      <c r="H1125" s="43"/>
      <c r="I1125" s="43"/>
      <c r="J1125" s="44">
        <v>267.67</v>
      </c>
      <c r="K1125" s="43"/>
      <c r="L1125" s="44">
        <v>37.47</v>
      </c>
      <c r="M1125" s="45">
        <v>52.21</v>
      </c>
      <c r="N1125" s="46">
        <v>1956.31</v>
      </c>
    </row>
    <row r="1126" spans="1:14" hidden="1" x14ac:dyDescent="0.25">
      <c r="A1126" s="40"/>
      <c r="B1126" s="41" t="s">
        <v>88</v>
      </c>
      <c r="C1126" s="354" t="s">
        <v>98</v>
      </c>
      <c r="D1126" s="354"/>
      <c r="E1126" s="354"/>
      <c r="F1126" s="42"/>
      <c r="G1126" s="43"/>
      <c r="H1126" s="43"/>
      <c r="I1126" s="43"/>
      <c r="J1126" s="44">
        <v>17.079999999999998</v>
      </c>
      <c r="K1126" s="43"/>
      <c r="L1126" s="44">
        <v>2.39</v>
      </c>
      <c r="M1126" s="63">
        <v>9.5</v>
      </c>
      <c r="N1126" s="69">
        <v>22.71</v>
      </c>
    </row>
    <row r="1127" spans="1:14" hidden="1" x14ac:dyDescent="0.25">
      <c r="A1127" s="47"/>
      <c r="B1127" s="41"/>
      <c r="C1127" s="354" t="s">
        <v>60</v>
      </c>
      <c r="D1127" s="354"/>
      <c r="E1127" s="354"/>
      <c r="F1127" s="42" t="s">
        <v>61</v>
      </c>
      <c r="G1127" s="63">
        <v>21.6</v>
      </c>
      <c r="H1127" s="43"/>
      <c r="I1127" s="49">
        <v>3.024</v>
      </c>
      <c r="J1127" s="50"/>
      <c r="K1127" s="43"/>
      <c r="L1127" s="50"/>
      <c r="M1127" s="43"/>
      <c r="N1127" s="51"/>
    </row>
    <row r="1128" spans="1:14" hidden="1" x14ac:dyDescent="0.25">
      <c r="A1128" s="47"/>
      <c r="B1128" s="41"/>
      <c r="C1128" s="354" t="s">
        <v>77</v>
      </c>
      <c r="D1128" s="354"/>
      <c r="E1128" s="354"/>
      <c r="F1128" s="42" t="s">
        <v>61</v>
      </c>
      <c r="G1128" s="63">
        <v>20.6</v>
      </c>
      <c r="H1128" s="43"/>
      <c r="I1128" s="49">
        <v>2.8839999999999999</v>
      </c>
      <c r="J1128" s="50"/>
      <c r="K1128" s="43"/>
      <c r="L1128" s="50"/>
      <c r="M1128" s="43"/>
      <c r="N1128" s="51"/>
    </row>
    <row r="1129" spans="1:14" hidden="1" x14ac:dyDescent="0.25">
      <c r="A1129" s="52"/>
      <c r="B1129" s="41"/>
      <c r="C1129" s="355" t="s">
        <v>62</v>
      </c>
      <c r="D1129" s="355"/>
      <c r="E1129" s="355"/>
      <c r="F1129" s="53"/>
      <c r="G1129" s="54"/>
      <c r="H1129" s="54"/>
      <c r="I1129" s="54"/>
      <c r="J1129" s="65">
        <v>5459.07</v>
      </c>
      <c r="K1129" s="54"/>
      <c r="L1129" s="55">
        <v>764.27</v>
      </c>
      <c r="M1129" s="54"/>
      <c r="N1129" s="56">
        <v>12876.97</v>
      </c>
    </row>
    <row r="1130" spans="1:14" hidden="1" x14ac:dyDescent="0.25">
      <c r="A1130" s="47"/>
      <c r="B1130" s="41"/>
      <c r="C1130" s="354" t="s">
        <v>63</v>
      </c>
      <c r="D1130" s="354"/>
      <c r="E1130" s="354"/>
      <c r="F1130" s="42"/>
      <c r="G1130" s="43"/>
      <c r="H1130" s="43"/>
      <c r="I1130" s="43"/>
      <c r="J1130" s="50"/>
      <c r="K1130" s="43"/>
      <c r="L1130" s="44">
        <v>61.72</v>
      </c>
      <c r="M1130" s="43"/>
      <c r="N1130" s="46">
        <v>3222.4</v>
      </c>
    </row>
    <row r="1131" spans="1:14" ht="45" hidden="1" x14ac:dyDescent="0.25">
      <c r="A1131" s="47"/>
      <c r="B1131" s="41" t="s">
        <v>99</v>
      </c>
      <c r="C1131" s="354" t="s">
        <v>100</v>
      </c>
      <c r="D1131" s="354"/>
      <c r="E1131" s="354"/>
      <c r="F1131" s="42" t="s">
        <v>66</v>
      </c>
      <c r="G1131" s="48">
        <v>147</v>
      </c>
      <c r="H1131" s="43"/>
      <c r="I1131" s="48">
        <v>147</v>
      </c>
      <c r="J1131" s="50"/>
      <c r="K1131" s="43"/>
      <c r="L1131" s="44">
        <v>90.73</v>
      </c>
      <c r="M1131" s="43"/>
      <c r="N1131" s="46">
        <v>4736.93</v>
      </c>
    </row>
    <row r="1132" spans="1:14" ht="67.5" hidden="1" x14ac:dyDescent="0.25">
      <c r="A1132" s="47"/>
      <c r="B1132" s="41" t="s">
        <v>101</v>
      </c>
      <c r="C1132" s="354" t="s">
        <v>102</v>
      </c>
      <c r="D1132" s="354"/>
      <c r="E1132" s="354"/>
      <c r="F1132" s="42" t="s">
        <v>66</v>
      </c>
      <c r="G1132" s="48">
        <v>134</v>
      </c>
      <c r="H1132" s="45">
        <v>0.85</v>
      </c>
      <c r="I1132" s="63">
        <v>113.9</v>
      </c>
      <c r="J1132" s="50"/>
      <c r="K1132" s="43"/>
      <c r="L1132" s="44">
        <v>70.3</v>
      </c>
      <c r="M1132" s="43"/>
      <c r="N1132" s="46">
        <v>3670.31</v>
      </c>
    </row>
    <row r="1133" spans="1:14" hidden="1" x14ac:dyDescent="0.25">
      <c r="A1133" s="57"/>
      <c r="B1133" s="58"/>
      <c r="C1133" s="350" t="s">
        <v>69</v>
      </c>
      <c r="D1133" s="350"/>
      <c r="E1133" s="350"/>
      <c r="F1133" s="34"/>
      <c r="G1133" s="35"/>
      <c r="H1133" s="35"/>
      <c r="I1133" s="35"/>
      <c r="J1133" s="38"/>
      <c r="K1133" s="35"/>
      <c r="L1133" s="59">
        <v>925.3</v>
      </c>
      <c r="M1133" s="54"/>
      <c r="N1133" s="60">
        <v>21284.21</v>
      </c>
    </row>
    <row r="1134" spans="1:14" ht="22.5" x14ac:dyDescent="0.25">
      <c r="A1134" s="32" t="s">
        <v>393</v>
      </c>
      <c r="B1134" s="33" t="s">
        <v>104</v>
      </c>
      <c r="C1134" s="350" t="s">
        <v>105</v>
      </c>
      <c r="D1134" s="350"/>
      <c r="E1134" s="350"/>
      <c r="F1134" s="34" t="s">
        <v>106</v>
      </c>
      <c r="G1134" s="35">
        <v>17.64</v>
      </c>
      <c r="H1134" s="36">
        <v>1</v>
      </c>
      <c r="I1134" s="61">
        <v>17.64</v>
      </c>
      <c r="J1134" s="59">
        <v>646.32000000000005</v>
      </c>
      <c r="K1134" s="67">
        <v>1.012</v>
      </c>
      <c r="L1134" s="66">
        <v>11537.9</v>
      </c>
      <c r="M1134" s="70">
        <v>9.5</v>
      </c>
      <c r="N1134" s="60">
        <v>109610.05</v>
      </c>
    </row>
    <row r="1135" spans="1:14" hidden="1" x14ac:dyDescent="0.25">
      <c r="A1135" s="52"/>
      <c r="B1135" s="71"/>
      <c r="C1135" s="354" t="s">
        <v>107</v>
      </c>
      <c r="D1135" s="354"/>
      <c r="E1135" s="354"/>
      <c r="F1135" s="354"/>
      <c r="G1135" s="354"/>
      <c r="H1135" s="354"/>
      <c r="I1135" s="354"/>
      <c r="J1135" s="354"/>
      <c r="K1135" s="354"/>
      <c r="L1135" s="354"/>
      <c r="M1135" s="354"/>
      <c r="N1135" s="356"/>
    </row>
    <row r="1136" spans="1:14" hidden="1" x14ac:dyDescent="0.25">
      <c r="A1136" s="72"/>
      <c r="B1136" s="41"/>
      <c r="C1136" s="344" t="s">
        <v>108</v>
      </c>
      <c r="D1136" s="344"/>
      <c r="E1136" s="344"/>
      <c r="F1136" s="344"/>
      <c r="G1136" s="344"/>
      <c r="H1136" s="344"/>
      <c r="I1136" s="344"/>
      <c r="J1136" s="344"/>
      <c r="K1136" s="344"/>
      <c r="L1136" s="344"/>
      <c r="M1136" s="344"/>
      <c r="N1136" s="357"/>
    </row>
    <row r="1137" spans="1:14" hidden="1" x14ac:dyDescent="0.25">
      <c r="A1137" s="57"/>
      <c r="B1137" s="58"/>
      <c r="C1137" s="350" t="s">
        <v>69</v>
      </c>
      <c r="D1137" s="350"/>
      <c r="E1137" s="350"/>
      <c r="F1137" s="34"/>
      <c r="G1137" s="35"/>
      <c r="H1137" s="35"/>
      <c r="I1137" s="35"/>
      <c r="J1137" s="38"/>
      <c r="K1137" s="35"/>
      <c r="L1137" s="66">
        <v>11537.9</v>
      </c>
      <c r="M1137" s="54"/>
      <c r="N1137" s="60">
        <v>109610.05</v>
      </c>
    </row>
    <row r="1138" spans="1:14" ht="31.5" customHeight="1" x14ac:dyDescent="0.25">
      <c r="A1138" s="32" t="s">
        <v>394</v>
      </c>
      <c r="B1138" s="33" t="s">
        <v>241</v>
      </c>
      <c r="C1138" s="350" t="s">
        <v>242</v>
      </c>
      <c r="D1138" s="350"/>
      <c r="E1138" s="350"/>
      <c r="F1138" s="34" t="s">
        <v>210</v>
      </c>
      <c r="G1138" s="35">
        <v>1</v>
      </c>
      <c r="H1138" s="36">
        <v>1</v>
      </c>
      <c r="I1138" s="36">
        <v>1</v>
      </c>
      <c r="J1138" s="38"/>
      <c r="K1138" s="35"/>
      <c r="L1138" s="38"/>
      <c r="M1138" s="35"/>
      <c r="N1138" s="39"/>
    </row>
    <row r="1139" spans="1:14" hidden="1" x14ac:dyDescent="0.25">
      <c r="A1139" s="40"/>
      <c r="B1139" s="41" t="s">
        <v>55</v>
      </c>
      <c r="C1139" s="354" t="s">
        <v>59</v>
      </c>
      <c r="D1139" s="354"/>
      <c r="E1139" s="354"/>
      <c r="F1139" s="42"/>
      <c r="G1139" s="43"/>
      <c r="H1139" s="43"/>
      <c r="I1139" s="43"/>
      <c r="J1139" s="44">
        <v>316.8</v>
      </c>
      <c r="K1139" s="43"/>
      <c r="L1139" s="44">
        <v>316.8</v>
      </c>
      <c r="M1139" s="45">
        <v>52.21</v>
      </c>
      <c r="N1139" s="46">
        <v>16540.13</v>
      </c>
    </row>
    <row r="1140" spans="1:14" hidden="1" x14ac:dyDescent="0.25">
      <c r="A1140" s="40"/>
      <c r="B1140" s="41" t="s">
        <v>70</v>
      </c>
      <c r="C1140" s="354" t="s">
        <v>74</v>
      </c>
      <c r="D1140" s="354"/>
      <c r="E1140" s="354"/>
      <c r="F1140" s="42"/>
      <c r="G1140" s="43"/>
      <c r="H1140" s="43"/>
      <c r="I1140" s="43"/>
      <c r="J1140" s="62">
        <v>8602.08</v>
      </c>
      <c r="K1140" s="43"/>
      <c r="L1140" s="62">
        <v>8602.08</v>
      </c>
      <c r="M1140" s="45">
        <v>15.71</v>
      </c>
      <c r="N1140" s="46">
        <v>135138.68</v>
      </c>
    </row>
    <row r="1141" spans="1:14" hidden="1" x14ac:dyDescent="0.25">
      <c r="A1141" s="40"/>
      <c r="B1141" s="41" t="s">
        <v>75</v>
      </c>
      <c r="C1141" s="354" t="s">
        <v>76</v>
      </c>
      <c r="D1141" s="354"/>
      <c r="E1141" s="354"/>
      <c r="F1141" s="42"/>
      <c r="G1141" s="43"/>
      <c r="H1141" s="43"/>
      <c r="I1141" s="43"/>
      <c r="J1141" s="44">
        <v>328.35</v>
      </c>
      <c r="K1141" s="43"/>
      <c r="L1141" s="44">
        <v>328.35</v>
      </c>
      <c r="M1141" s="45">
        <v>52.21</v>
      </c>
      <c r="N1141" s="46">
        <v>17143.150000000001</v>
      </c>
    </row>
    <row r="1142" spans="1:14" hidden="1" x14ac:dyDescent="0.25">
      <c r="A1142" s="47"/>
      <c r="B1142" s="41"/>
      <c r="C1142" s="354" t="s">
        <v>60</v>
      </c>
      <c r="D1142" s="354"/>
      <c r="E1142" s="354"/>
      <c r="F1142" s="42" t="s">
        <v>61</v>
      </c>
      <c r="G1142" s="45">
        <v>34.51</v>
      </c>
      <c r="H1142" s="43"/>
      <c r="I1142" s="45">
        <v>34.51</v>
      </c>
      <c r="J1142" s="50"/>
      <c r="K1142" s="43"/>
      <c r="L1142" s="50"/>
      <c r="M1142" s="43"/>
      <c r="N1142" s="51"/>
    </row>
    <row r="1143" spans="1:14" hidden="1" x14ac:dyDescent="0.25">
      <c r="A1143" s="47"/>
      <c r="B1143" s="41"/>
      <c r="C1143" s="354" t="s">
        <v>77</v>
      </c>
      <c r="D1143" s="354"/>
      <c r="E1143" s="354"/>
      <c r="F1143" s="42" t="s">
        <v>61</v>
      </c>
      <c r="G1143" s="45">
        <v>25.66</v>
      </c>
      <c r="H1143" s="43"/>
      <c r="I1143" s="45">
        <v>25.66</v>
      </c>
      <c r="J1143" s="50"/>
      <c r="K1143" s="43"/>
      <c r="L1143" s="50"/>
      <c r="M1143" s="43"/>
      <c r="N1143" s="51"/>
    </row>
    <row r="1144" spans="1:14" hidden="1" x14ac:dyDescent="0.25">
      <c r="A1144" s="52"/>
      <c r="B1144" s="41"/>
      <c r="C1144" s="355" t="s">
        <v>62</v>
      </c>
      <c r="D1144" s="355"/>
      <c r="E1144" s="355"/>
      <c r="F1144" s="53"/>
      <c r="G1144" s="54"/>
      <c r="H1144" s="54"/>
      <c r="I1144" s="54"/>
      <c r="J1144" s="65">
        <v>8918.8799999999992</v>
      </c>
      <c r="K1144" s="54"/>
      <c r="L1144" s="65">
        <v>8918.8799999999992</v>
      </c>
      <c r="M1144" s="54"/>
      <c r="N1144" s="56">
        <v>151678.81</v>
      </c>
    </row>
    <row r="1145" spans="1:14" hidden="1" x14ac:dyDescent="0.25">
      <c r="A1145" s="47"/>
      <c r="B1145" s="41"/>
      <c r="C1145" s="354" t="s">
        <v>63</v>
      </c>
      <c r="D1145" s="354"/>
      <c r="E1145" s="354"/>
      <c r="F1145" s="42"/>
      <c r="G1145" s="43"/>
      <c r="H1145" s="43"/>
      <c r="I1145" s="43"/>
      <c r="J1145" s="50"/>
      <c r="K1145" s="43"/>
      <c r="L1145" s="44">
        <v>645.15</v>
      </c>
      <c r="M1145" s="43"/>
      <c r="N1145" s="46">
        <v>33683.279999999999</v>
      </c>
    </row>
    <row r="1146" spans="1:14" ht="22.5" hidden="1" x14ac:dyDescent="0.25">
      <c r="A1146" s="47"/>
      <c r="B1146" s="41" t="s">
        <v>78</v>
      </c>
      <c r="C1146" s="354" t="s">
        <v>79</v>
      </c>
      <c r="D1146" s="354"/>
      <c r="E1146" s="354"/>
      <c r="F1146" s="42" t="s">
        <v>66</v>
      </c>
      <c r="G1146" s="48">
        <v>109</v>
      </c>
      <c r="H1146" s="43"/>
      <c r="I1146" s="48">
        <v>109</v>
      </c>
      <c r="J1146" s="50"/>
      <c r="K1146" s="43"/>
      <c r="L1146" s="44">
        <v>703.21</v>
      </c>
      <c r="M1146" s="43"/>
      <c r="N1146" s="46">
        <v>36714.78</v>
      </c>
    </row>
    <row r="1147" spans="1:14" ht="45" hidden="1" x14ac:dyDescent="0.25">
      <c r="A1147" s="47"/>
      <c r="B1147" s="41" t="s">
        <v>80</v>
      </c>
      <c r="C1147" s="354" t="s">
        <v>81</v>
      </c>
      <c r="D1147" s="354"/>
      <c r="E1147" s="354"/>
      <c r="F1147" s="42" t="s">
        <v>66</v>
      </c>
      <c r="G1147" s="48">
        <v>65</v>
      </c>
      <c r="H1147" s="45">
        <v>0.85</v>
      </c>
      <c r="I1147" s="45">
        <v>55.25</v>
      </c>
      <c r="J1147" s="50"/>
      <c r="K1147" s="43"/>
      <c r="L1147" s="44">
        <v>356.45</v>
      </c>
      <c r="M1147" s="43"/>
      <c r="N1147" s="46">
        <v>18610.009999999998</v>
      </c>
    </row>
    <row r="1148" spans="1:14" hidden="1" x14ac:dyDescent="0.25">
      <c r="A1148" s="57"/>
      <c r="B1148" s="58"/>
      <c r="C1148" s="350" t="s">
        <v>69</v>
      </c>
      <c r="D1148" s="350"/>
      <c r="E1148" s="350"/>
      <c r="F1148" s="34"/>
      <c r="G1148" s="35"/>
      <c r="H1148" s="35"/>
      <c r="I1148" s="35"/>
      <c r="J1148" s="38"/>
      <c r="K1148" s="35"/>
      <c r="L1148" s="66">
        <v>9978.5400000000009</v>
      </c>
      <c r="M1148" s="54"/>
      <c r="N1148" s="60">
        <v>207003.6</v>
      </c>
    </row>
    <row r="1149" spans="1:14" ht="22.5" x14ac:dyDescent="0.25">
      <c r="A1149" s="32" t="s">
        <v>395</v>
      </c>
      <c r="B1149" s="33" t="s">
        <v>244</v>
      </c>
      <c r="C1149" s="350" t="s">
        <v>245</v>
      </c>
      <c r="D1149" s="350"/>
      <c r="E1149" s="350"/>
      <c r="F1149" s="34" t="s">
        <v>246</v>
      </c>
      <c r="G1149" s="35">
        <v>1</v>
      </c>
      <c r="H1149" s="36">
        <v>1</v>
      </c>
      <c r="I1149" s="36">
        <v>1</v>
      </c>
      <c r="J1149" s="66">
        <v>168421.05</v>
      </c>
      <c r="K1149" s="74">
        <v>1.04236</v>
      </c>
      <c r="L1149" s="66">
        <v>175555.37</v>
      </c>
      <c r="M1149" s="70">
        <v>9.5</v>
      </c>
      <c r="N1149" s="60">
        <v>1667776.02</v>
      </c>
    </row>
    <row r="1150" spans="1:14" hidden="1" x14ac:dyDescent="0.25">
      <c r="A1150" s="52"/>
      <c r="B1150" s="71"/>
      <c r="C1150" s="354" t="s">
        <v>247</v>
      </c>
      <c r="D1150" s="354"/>
      <c r="E1150" s="354"/>
      <c r="F1150" s="354"/>
      <c r="G1150" s="354"/>
      <c r="H1150" s="354"/>
      <c r="I1150" s="354"/>
      <c r="J1150" s="354"/>
      <c r="K1150" s="354"/>
      <c r="L1150" s="354"/>
      <c r="M1150" s="354"/>
      <c r="N1150" s="356"/>
    </row>
    <row r="1151" spans="1:14" hidden="1" x14ac:dyDescent="0.25">
      <c r="A1151" s="72"/>
      <c r="B1151" s="41"/>
      <c r="C1151" s="344" t="s">
        <v>123</v>
      </c>
      <c r="D1151" s="344"/>
      <c r="E1151" s="344"/>
      <c r="F1151" s="344"/>
      <c r="G1151" s="344"/>
      <c r="H1151" s="344"/>
      <c r="I1151" s="344"/>
      <c r="J1151" s="344"/>
      <c r="K1151" s="344"/>
      <c r="L1151" s="344"/>
      <c r="M1151" s="344"/>
      <c r="N1151" s="357"/>
    </row>
    <row r="1152" spans="1:14" hidden="1" x14ac:dyDescent="0.25">
      <c r="A1152" s="72"/>
      <c r="B1152" s="41"/>
      <c r="C1152" s="344" t="s">
        <v>108</v>
      </c>
      <c r="D1152" s="344"/>
      <c r="E1152" s="344"/>
      <c r="F1152" s="344"/>
      <c r="G1152" s="344"/>
      <c r="H1152" s="344"/>
      <c r="I1152" s="344"/>
      <c r="J1152" s="344"/>
      <c r="K1152" s="344"/>
      <c r="L1152" s="344"/>
      <c r="M1152" s="344"/>
      <c r="N1152" s="357"/>
    </row>
    <row r="1153" spans="1:14" hidden="1" x14ac:dyDescent="0.25">
      <c r="A1153" s="57"/>
      <c r="B1153" s="58"/>
      <c r="C1153" s="350" t="s">
        <v>69</v>
      </c>
      <c r="D1153" s="350"/>
      <c r="E1153" s="350"/>
      <c r="F1153" s="34"/>
      <c r="G1153" s="35"/>
      <c r="H1153" s="35"/>
      <c r="I1153" s="35"/>
      <c r="J1153" s="38"/>
      <c r="K1153" s="35"/>
      <c r="L1153" s="66">
        <v>175555.37</v>
      </c>
      <c r="M1153" s="54"/>
      <c r="N1153" s="60">
        <v>1667776.02</v>
      </c>
    </row>
    <row r="1154" spans="1:14" ht="22.5" x14ac:dyDescent="0.25">
      <c r="A1154" s="32" t="s">
        <v>396</v>
      </c>
      <c r="B1154" s="33" t="s">
        <v>249</v>
      </c>
      <c r="C1154" s="350" t="s">
        <v>250</v>
      </c>
      <c r="D1154" s="350"/>
      <c r="E1154" s="350"/>
      <c r="F1154" s="34" t="s">
        <v>246</v>
      </c>
      <c r="G1154" s="35">
        <v>1</v>
      </c>
      <c r="H1154" s="36">
        <v>1</v>
      </c>
      <c r="I1154" s="36">
        <v>1</v>
      </c>
      <c r="J1154" s="66">
        <v>363157.89</v>
      </c>
      <c r="K1154" s="74">
        <v>1.04236</v>
      </c>
      <c r="L1154" s="66">
        <v>378541.26</v>
      </c>
      <c r="M1154" s="70">
        <v>9.5</v>
      </c>
      <c r="N1154" s="60">
        <v>3596141.97</v>
      </c>
    </row>
    <row r="1155" spans="1:14" hidden="1" x14ac:dyDescent="0.25">
      <c r="A1155" s="52"/>
      <c r="B1155" s="71"/>
      <c r="C1155" s="354" t="s">
        <v>251</v>
      </c>
      <c r="D1155" s="354"/>
      <c r="E1155" s="354"/>
      <c r="F1155" s="354"/>
      <c r="G1155" s="354"/>
      <c r="H1155" s="354"/>
      <c r="I1155" s="354"/>
      <c r="J1155" s="354"/>
      <c r="K1155" s="354"/>
      <c r="L1155" s="354"/>
      <c r="M1155" s="354"/>
      <c r="N1155" s="356"/>
    </row>
    <row r="1156" spans="1:14" hidden="1" x14ac:dyDescent="0.25">
      <c r="A1156" s="72"/>
      <c r="B1156" s="41"/>
      <c r="C1156" s="344" t="s">
        <v>123</v>
      </c>
      <c r="D1156" s="344"/>
      <c r="E1156" s="344"/>
      <c r="F1156" s="344"/>
      <c r="G1156" s="344"/>
      <c r="H1156" s="344"/>
      <c r="I1156" s="344"/>
      <c r="J1156" s="344"/>
      <c r="K1156" s="344"/>
      <c r="L1156" s="344"/>
      <c r="M1156" s="344"/>
      <c r="N1156" s="357"/>
    </row>
    <row r="1157" spans="1:14" hidden="1" x14ac:dyDescent="0.25">
      <c r="A1157" s="72"/>
      <c r="B1157" s="41"/>
      <c r="C1157" s="344" t="s">
        <v>108</v>
      </c>
      <c r="D1157" s="344"/>
      <c r="E1157" s="344"/>
      <c r="F1157" s="344"/>
      <c r="G1157" s="344"/>
      <c r="H1157" s="344"/>
      <c r="I1157" s="344"/>
      <c r="J1157" s="344"/>
      <c r="K1157" s="344"/>
      <c r="L1157" s="344"/>
      <c r="M1157" s="344"/>
      <c r="N1157" s="357"/>
    </row>
    <row r="1158" spans="1:14" hidden="1" x14ac:dyDescent="0.25">
      <c r="A1158" s="57"/>
      <c r="B1158" s="58"/>
      <c r="C1158" s="350" t="s">
        <v>69</v>
      </c>
      <c r="D1158" s="350"/>
      <c r="E1158" s="350"/>
      <c r="F1158" s="34"/>
      <c r="G1158" s="35"/>
      <c r="H1158" s="35"/>
      <c r="I1158" s="35"/>
      <c r="J1158" s="38"/>
      <c r="K1158" s="35"/>
      <c r="L1158" s="66">
        <v>378541.26</v>
      </c>
      <c r="M1158" s="54"/>
      <c r="N1158" s="60">
        <v>3596141.97</v>
      </c>
    </row>
    <row r="1159" spans="1:14" ht="32.25" customHeight="1" x14ac:dyDescent="0.25">
      <c r="A1159" s="32" t="s">
        <v>397</v>
      </c>
      <c r="B1159" s="33" t="s">
        <v>253</v>
      </c>
      <c r="C1159" s="350" t="s">
        <v>254</v>
      </c>
      <c r="D1159" s="350"/>
      <c r="E1159" s="350"/>
      <c r="F1159" s="34" t="s">
        <v>115</v>
      </c>
      <c r="G1159" s="35">
        <v>1</v>
      </c>
      <c r="H1159" s="36">
        <v>1</v>
      </c>
      <c r="I1159" s="36">
        <v>1</v>
      </c>
      <c r="J1159" s="38"/>
      <c r="K1159" s="35"/>
      <c r="L1159" s="38"/>
      <c r="M1159" s="35"/>
      <c r="N1159" s="39"/>
    </row>
    <row r="1160" spans="1:14" hidden="1" x14ac:dyDescent="0.25">
      <c r="A1160" s="40"/>
      <c r="B1160" s="41" t="s">
        <v>55</v>
      </c>
      <c r="C1160" s="354" t="s">
        <v>59</v>
      </c>
      <c r="D1160" s="354"/>
      <c r="E1160" s="354"/>
      <c r="F1160" s="42"/>
      <c r="G1160" s="43"/>
      <c r="H1160" s="43"/>
      <c r="I1160" s="43"/>
      <c r="J1160" s="44">
        <v>251.92</v>
      </c>
      <c r="K1160" s="43"/>
      <c r="L1160" s="44">
        <v>251.92</v>
      </c>
      <c r="M1160" s="45">
        <v>52.21</v>
      </c>
      <c r="N1160" s="46">
        <v>13152.74</v>
      </c>
    </row>
    <row r="1161" spans="1:14" hidden="1" x14ac:dyDescent="0.25">
      <c r="A1161" s="40"/>
      <c r="B1161" s="41" t="s">
        <v>70</v>
      </c>
      <c r="C1161" s="354" t="s">
        <v>74</v>
      </c>
      <c r="D1161" s="354"/>
      <c r="E1161" s="354"/>
      <c r="F1161" s="42"/>
      <c r="G1161" s="43"/>
      <c r="H1161" s="43"/>
      <c r="I1161" s="43"/>
      <c r="J1161" s="44">
        <v>120.78</v>
      </c>
      <c r="K1161" s="43"/>
      <c r="L1161" s="44">
        <v>120.78</v>
      </c>
      <c r="M1161" s="45">
        <v>15.71</v>
      </c>
      <c r="N1161" s="46">
        <v>1897.45</v>
      </c>
    </row>
    <row r="1162" spans="1:14" hidden="1" x14ac:dyDescent="0.25">
      <c r="A1162" s="40"/>
      <c r="B1162" s="41" t="s">
        <v>75</v>
      </c>
      <c r="C1162" s="354" t="s">
        <v>76</v>
      </c>
      <c r="D1162" s="354"/>
      <c r="E1162" s="354"/>
      <c r="F1162" s="42"/>
      <c r="G1162" s="43"/>
      <c r="H1162" s="43"/>
      <c r="I1162" s="43"/>
      <c r="J1162" s="44">
        <v>11.98</v>
      </c>
      <c r="K1162" s="43"/>
      <c r="L1162" s="44">
        <v>11.98</v>
      </c>
      <c r="M1162" s="45">
        <v>52.21</v>
      </c>
      <c r="N1162" s="69">
        <v>625.48</v>
      </c>
    </row>
    <row r="1163" spans="1:14" hidden="1" x14ac:dyDescent="0.25">
      <c r="A1163" s="40"/>
      <c r="B1163" s="41" t="s">
        <v>88</v>
      </c>
      <c r="C1163" s="354" t="s">
        <v>98</v>
      </c>
      <c r="D1163" s="354"/>
      <c r="E1163" s="354"/>
      <c r="F1163" s="42"/>
      <c r="G1163" s="43"/>
      <c r="H1163" s="43"/>
      <c r="I1163" s="43"/>
      <c r="J1163" s="44">
        <v>812.09</v>
      </c>
      <c r="K1163" s="43"/>
      <c r="L1163" s="44">
        <v>812.09</v>
      </c>
      <c r="M1163" s="63">
        <v>9.5</v>
      </c>
      <c r="N1163" s="46">
        <v>7714.86</v>
      </c>
    </row>
    <row r="1164" spans="1:14" hidden="1" x14ac:dyDescent="0.25">
      <c r="A1164" s="47"/>
      <c r="B1164" s="41"/>
      <c r="C1164" s="354" t="s">
        <v>60</v>
      </c>
      <c r="D1164" s="354"/>
      <c r="E1164" s="354"/>
      <c r="F1164" s="42" t="s">
        <v>61</v>
      </c>
      <c r="G1164" s="63">
        <v>26.8</v>
      </c>
      <c r="H1164" s="43"/>
      <c r="I1164" s="63">
        <v>26.8</v>
      </c>
      <c r="J1164" s="50"/>
      <c r="K1164" s="43"/>
      <c r="L1164" s="50"/>
      <c r="M1164" s="43"/>
      <c r="N1164" s="51"/>
    </row>
    <row r="1165" spans="1:14" hidden="1" x14ac:dyDescent="0.25">
      <c r="A1165" s="47"/>
      <c r="B1165" s="41"/>
      <c r="C1165" s="354" t="s">
        <v>77</v>
      </c>
      <c r="D1165" s="354"/>
      <c r="E1165" s="354"/>
      <c r="F1165" s="42" t="s">
        <v>61</v>
      </c>
      <c r="G1165" s="45">
        <v>0.92</v>
      </c>
      <c r="H1165" s="43"/>
      <c r="I1165" s="45">
        <v>0.92</v>
      </c>
      <c r="J1165" s="50"/>
      <c r="K1165" s="43"/>
      <c r="L1165" s="50"/>
      <c r="M1165" s="43"/>
      <c r="N1165" s="51"/>
    </row>
    <row r="1166" spans="1:14" hidden="1" x14ac:dyDescent="0.25">
      <c r="A1166" s="52"/>
      <c r="B1166" s="41"/>
      <c r="C1166" s="355" t="s">
        <v>62</v>
      </c>
      <c r="D1166" s="355"/>
      <c r="E1166" s="355"/>
      <c r="F1166" s="53"/>
      <c r="G1166" s="54"/>
      <c r="H1166" s="54"/>
      <c r="I1166" s="54"/>
      <c r="J1166" s="65">
        <v>1184.79</v>
      </c>
      <c r="K1166" s="54"/>
      <c r="L1166" s="65">
        <v>1184.79</v>
      </c>
      <c r="M1166" s="54"/>
      <c r="N1166" s="56">
        <v>22765.05</v>
      </c>
    </row>
    <row r="1167" spans="1:14" hidden="1" x14ac:dyDescent="0.25">
      <c r="A1167" s="47"/>
      <c r="B1167" s="41"/>
      <c r="C1167" s="354" t="s">
        <v>63</v>
      </c>
      <c r="D1167" s="354"/>
      <c r="E1167" s="354"/>
      <c r="F1167" s="42"/>
      <c r="G1167" s="43"/>
      <c r="H1167" s="43"/>
      <c r="I1167" s="43"/>
      <c r="J1167" s="50"/>
      <c r="K1167" s="43"/>
      <c r="L1167" s="44">
        <v>263.89999999999998</v>
      </c>
      <c r="M1167" s="43"/>
      <c r="N1167" s="46">
        <v>13778.22</v>
      </c>
    </row>
    <row r="1168" spans="1:14" hidden="1" x14ac:dyDescent="0.25">
      <c r="A1168" s="47"/>
      <c r="B1168" s="41" t="s">
        <v>255</v>
      </c>
      <c r="C1168" s="354" t="s">
        <v>256</v>
      </c>
      <c r="D1168" s="354"/>
      <c r="E1168" s="354"/>
      <c r="F1168" s="42" t="s">
        <v>66</v>
      </c>
      <c r="G1168" s="48">
        <v>92</v>
      </c>
      <c r="H1168" s="43"/>
      <c r="I1168" s="48">
        <v>92</v>
      </c>
      <c r="J1168" s="50"/>
      <c r="K1168" s="43"/>
      <c r="L1168" s="44">
        <v>242.79</v>
      </c>
      <c r="M1168" s="43"/>
      <c r="N1168" s="46">
        <v>12675.96</v>
      </c>
    </row>
    <row r="1169" spans="1:14" hidden="1" x14ac:dyDescent="0.25">
      <c r="A1169" s="47"/>
      <c r="B1169" s="41" t="s">
        <v>257</v>
      </c>
      <c r="C1169" s="354" t="s">
        <v>258</v>
      </c>
      <c r="D1169" s="354"/>
      <c r="E1169" s="354"/>
      <c r="F1169" s="42" t="s">
        <v>66</v>
      </c>
      <c r="G1169" s="48">
        <v>49</v>
      </c>
      <c r="H1169" s="43"/>
      <c r="I1169" s="48">
        <v>49</v>
      </c>
      <c r="J1169" s="50"/>
      <c r="K1169" s="43"/>
      <c r="L1169" s="44">
        <v>129.31</v>
      </c>
      <c r="M1169" s="43"/>
      <c r="N1169" s="46">
        <v>6751.33</v>
      </c>
    </row>
    <row r="1170" spans="1:14" hidden="1" x14ac:dyDescent="0.25">
      <c r="A1170" s="57"/>
      <c r="B1170" s="58"/>
      <c r="C1170" s="350" t="s">
        <v>69</v>
      </c>
      <c r="D1170" s="350"/>
      <c r="E1170" s="350"/>
      <c r="F1170" s="34"/>
      <c r="G1170" s="35"/>
      <c r="H1170" s="35"/>
      <c r="I1170" s="35"/>
      <c r="J1170" s="38"/>
      <c r="K1170" s="35"/>
      <c r="L1170" s="66">
        <v>1556.89</v>
      </c>
      <c r="M1170" s="54"/>
      <c r="N1170" s="60">
        <v>42192.34</v>
      </c>
    </row>
    <row r="1171" spans="1:14" x14ac:dyDescent="0.25">
      <c r="A1171" s="32" t="s">
        <v>398</v>
      </c>
      <c r="B1171" s="33" t="s">
        <v>260</v>
      </c>
      <c r="C1171" s="350" t="s">
        <v>261</v>
      </c>
      <c r="D1171" s="350"/>
      <c r="E1171" s="350"/>
      <c r="F1171" s="34" t="s">
        <v>115</v>
      </c>
      <c r="G1171" s="35">
        <v>-2</v>
      </c>
      <c r="H1171" s="36">
        <v>1</v>
      </c>
      <c r="I1171" s="36">
        <v>-2</v>
      </c>
      <c r="J1171" s="59">
        <v>266.67</v>
      </c>
      <c r="K1171" s="35"/>
      <c r="L1171" s="59">
        <v>-533.34</v>
      </c>
      <c r="M1171" s="70">
        <v>9.5</v>
      </c>
      <c r="N1171" s="60">
        <v>-5066.7299999999996</v>
      </c>
    </row>
    <row r="1172" spans="1:14" hidden="1" x14ac:dyDescent="0.25">
      <c r="A1172" s="57"/>
      <c r="B1172" s="58"/>
      <c r="C1172" s="350" t="s">
        <v>69</v>
      </c>
      <c r="D1172" s="350"/>
      <c r="E1172" s="350"/>
      <c r="F1172" s="34"/>
      <c r="G1172" s="35"/>
      <c r="H1172" s="35"/>
      <c r="I1172" s="35"/>
      <c r="J1172" s="38"/>
      <c r="K1172" s="35"/>
      <c r="L1172" s="59">
        <v>-533.34</v>
      </c>
      <c r="M1172" s="54"/>
      <c r="N1172" s="60">
        <v>-5066.7299999999996</v>
      </c>
    </row>
    <row r="1173" spans="1:14" ht="22.5" x14ac:dyDescent="0.25">
      <c r="A1173" s="32" t="s">
        <v>399</v>
      </c>
      <c r="B1173" s="33" t="s">
        <v>263</v>
      </c>
      <c r="C1173" s="350" t="s">
        <v>264</v>
      </c>
      <c r="D1173" s="350"/>
      <c r="E1173" s="350"/>
      <c r="F1173" s="34" t="s">
        <v>115</v>
      </c>
      <c r="G1173" s="35">
        <v>2</v>
      </c>
      <c r="H1173" s="36">
        <v>1</v>
      </c>
      <c r="I1173" s="36">
        <v>2</v>
      </c>
      <c r="J1173" s="66">
        <v>4429.58</v>
      </c>
      <c r="K1173" s="74">
        <v>1.04236</v>
      </c>
      <c r="L1173" s="66">
        <v>9234.43</v>
      </c>
      <c r="M1173" s="70">
        <v>9.5</v>
      </c>
      <c r="N1173" s="60">
        <v>87727.09</v>
      </c>
    </row>
    <row r="1174" spans="1:14" hidden="1" x14ac:dyDescent="0.25">
      <c r="A1174" s="52"/>
      <c r="B1174" s="71"/>
      <c r="C1174" s="354" t="s">
        <v>265</v>
      </c>
      <c r="D1174" s="354"/>
      <c r="E1174" s="354"/>
      <c r="F1174" s="354"/>
      <c r="G1174" s="354"/>
      <c r="H1174" s="354"/>
      <c r="I1174" s="354"/>
      <c r="J1174" s="354"/>
      <c r="K1174" s="354"/>
      <c r="L1174" s="354"/>
      <c r="M1174" s="354"/>
      <c r="N1174" s="356"/>
    </row>
    <row r="1175" spans="1:14" hidden="1" x14ac:dyDescent="0.25">
      <c r="A1175" s="72"/>
      <c r="B1175" s="41"/>
      <c r="C1175" s="344" t="s">
        <v>123</v>
      </c>
      <c r="D1175" s="344"/>
      <c r="E1175" s="344"/>
      <c r="F1175" s="344"/>
      <c r="G1175" s="344"/>
      <c r="H1175" s="344"/>
      <c r="I1175" s="344"/>
      <c r="J1175" s="344"/>
      <c r="K1175" s="344"/>
      <c r="L1175" s="344"/>
      <c r="M1175" s="344"/>
      <c r="N1175" s="357"/>
    </row>
    <row r="1176" spans="1:14" hidden="1" x14ac:dyDescent="0.25">
      <c r="A1176" s="72"/>
      <c r="B1176" s="41"/>
      <c r="C1176" s="344" t="s">
        <v>108</v>
      </c>
      <c r="D1176" s="344"/>
      <c r="E1176" s="344"/>
      <c r="F1176" s="344"/>
      <c r="G1176" s="344"/>
      <c r="H1176" s="344"/>
      <c r="I1176" s="344"/>
      <c r="J1176" s="344"/>
      <c r="K1176" s="344"/>
      <c r="L1176" s="344"/>
      <c r="M1176" s="344"/>
      <c r="N1176" s="357"/>
    </row>
    <row r="1177" spans="1:14" hidden="1" x14ac:dyDescent="0.25">
      <c r="A1177" s="57"/>
      <c r="B1177" s="58"/>
      <c r="C1177" s="350" t="s">
        <v>69</v>
      </c>
      <c r="D1177" s="350"/>
      <c r="E1177" s="350"/>
      <c r="F1177" s="34"/>
      <c r="G1177" s="35"/>
      <c r="H1177" s="35"/>
      <c r="I1177" s="35"/>
      <c r="J1177" s="38"/>
      <c r="K1177" s="35"/>
      <c r="L1177" s="66">
        <v>9234.43</v>
      </c>
      <c r="M1177" s="54"/>
      <c r="N1177" s="60">
        <v>87727.09</v>
      </c>
    </row>
    <row r="1178" spans="1:14" ht="22.5" x14ac:dyDescent="0.25">
      <c r="A1178" s="32" t="s">
        <v>400</v>
      </c>
      <c r="B1178" s="33" t="s">
        <v>267</v>
      </c>
      <c r="C1178" s="350" t="s">
        <v>268</v>
      </c>
      <c r="D1178" s="350"/>
      <c r="E1178" s="350"/>
      <c r="F1178" s="34" t="s">
        <v>115</v>
      </c>
      <c r="G1178" s="35">
        <v>1</v>
      </c>
      <c r="H1178" s="36">
        <v>1</v>
      </c>
      <c r="I1178" s="36">
        <v>1</v>
      </c>
      <c r="J1178" s="66">
        <v>15832.63</v>
      </c>
      <c r="K1178" s="74">
        <v>1.04236</v>
      </c>
      <c r="L1178" s="66">
        <v>16503.3</v>
      </c>
      <c r="M1178" s="70">
        <v>9.5</v>
      </c>
      <c r="N1178" s="60">
        <v>156781.35</v>
      </c>
    </row>
    <row r="1179" spans="1:14" hidden="1" x14ac:dyDescent="0.25">
      <c r="A1179" s="52"/>
      <c r="B1179" s="71"/>
      <c r="C1179" s="354" t="s">
        <v>269</v>
      </c>
      <c r="D1179" s="354"/>
      <c r="E1179" s="354"/>
      <c r="F1179" s="354"/>
      <c r="G1179" s="354"/>
      <c r="H1179" s="354"/>
      <c r="I1179" s="354"/>
      <c r="J1179" s="354"/>
      <c r="K1179" s="354"/>
      <c r="L1179" s="354"/>
      <c r="M1179" s="354"/>
      <c r="N1179" s="356"/>
    </row>
    <row r="1180" spans="1:14" hidden="1" x14ac:dyDescent="0.25">
      <c r="A1180" s="72"/>
      <c r="B1180" s="41"/>
      <c r="C1180" s="344" t="s">
        <v>123</v>
      </c>
      <c r="D1180" s="344"/>
      <c r="E1180" s="344"/>
      <c r="F1180" s="344"/>
      <c r="G1180" s="344"/>
      <c r="H1180" s="344"/>
      <c r="I1180" s="344"/>
      <c r="J1180" s="344"/>
      <c r="K1180" s="344"/>
      <c r="L1180" s="344"/>
      <c r="M1180" s="344"/>
      <c r="N1180" s="357"/>
    </row>
    <row r="1181" spans="1:14" hidden="1" x14ac:dyDescent="0.25">
      <c r="A1181" s="72"/>
      <c r="B1181" s="41"/>
      <c r="C1181" s="344" t="s">
        <v>108</v>
      </c>
      <c r="D1181" s="344"/>
      <c r="E1181" s="344"/>
      <c r="F1181" s="344"/>
      <c r="G1181" s="344"/>
      <c r="H1181" s="344"/>
      <c r="I1181" s="344"/>
      <c r="J1181" s="344"/>
      <c r="K1181" s="344"/>
      <c r="L1181" s="344"/>
      <c r="M1181" s="344"/>
      <c r="N1181" s="357"/>
    </row>
    <row r="1182" spans="1:14" hidden="1" x14ac:dyDescent="0.25">
      <c r="A1182" s="57"/>
      <c r="B1182" s="58"/>
      <c r="C1182" s="350" t="s">
        <v>69</v>
      </c>
      <c r="D1182" s="350"/>
      <c r="E1182" s="350"/>
      <c r="F1182" s="34"/>
      <c r="G1182" s="35"/>
      <c r="H1182" s="35"/>
      <c r="I1182" s="35"/>
      <c r="J1182" s="38"/>
      <c r="K1182" s="35"/>
      <c r="L1182" s="66">
        <v>16503.3</v>
      </c>
      <c r="M1182" s="54"/>
      <c r="N1182" s="60">
        <v>156781.35</v>
      </c>
    </row>
    <row r="1183" spans="1:14" ht="22.5" x14ac:dyDescent="0.25">
      <c r="A1183" s="32" t="s">
        <v>401</v>
      </c>
      <c r="B1183" s="33" t="s">
        <v>120</v>
      </c>
      <c r="C1183" s="350" t="s">
        <v>271</v>
      </c>
      <c r="D1183" s="350"/>
      <c r="E1183" s="350"/>
      <c r="F1183" s="34" t="s">
        <v>115</v>
      </c>
      <c r="G1183" s="35">
        <v>1</v>
      </c>
      <c r="H1183" s="36">
        <v>1</v>
      </c>
      <c r="I1183" s="36">
        <v>1</v>
      </c>
      <c r="J1183" s="59">
        <v>421.93</v>
      </c>
      <c r="K1183" s="74">
        <v>1.04236</v>
      </c>
      <c r="L1183" s="59">
        <v>439.8</v>
      </c>
      <c r="M1183" s="70">
        <v>9.5</v>
      </c>
      <c r="N1183" s="60">
        <v>4178.1000000000004</v>
      </c>
    </row>
    <row r="1184" spans="1:14" hidden="1" x14ac:dyDescent="0.25">
      <c r="A1184" s="52"/>
      <c r="B1184" s="71"/>
      <c r="C1184" s="354" t="s">
        <v>272</v>
      </c>
      <c r="D1184" s="354"/>
      <c r="E1184" s="354"/>
      <c r="F1184" s="354"/>
      <c r="G1184" s="354"/>
      <c r="H1184" s="354"/>
      <c r="I1184" s="354"/>
      <c r="J1184" s="354"/>
      <c r="K1184" s="354"/>
      <c r="L1184" s="354"/>
      <c r="M1184" s="354"/>
      <c r="N1184" s="356"/>
    </row>
    <row r="1185" spans="1:14" hidden="1" x14ac:dyDescent="0.25">
      <c r="A1185" s="72"/>
      <c r="B1185" s="41"/>
      <c r="C1185" s="344" t="s">
        <v>123</v>
      </c>
      <c r="D1185" s="344"/>
      <c r="E1185" s="344"/>
      <c r="F1185" s="344"/>
      <c r="G1185" s="344"/>
      <c r="H1185" s="344"/>
      <c r="I1185" s="344"/>
      <c r="J1185" s="344"/>
      <c r="K1185" s="344"/>
      <c r="L1185" s="344"/>
      <c r="M1185" s="344"/>
      <c r="N1185" s="357"/>
    </row>
    <row r="1186" spans="1:14" hidden="1" x14ac:dyDescent="0.25">
      <c r="A1186" s="72"/>
      <c r="B1186" s="41"/>
      <c r="C1186" s="344" t="s">
        <v>108</v>
      </c>
      <c r="D1186" s="344"/>
      <c r="E1186" s="344"/>
      <c r="F1186" s="344"/>
      <c r="G1186" s="344"/>
      <c r="H1186" s="344"/>
      <c r="I1186" s="344"/>
      <c r="J1186" s="344"/>
      <c r="K1186" s="344"/>
      <c r="L1186" s="344"/>
      <c r="M1186" s="344"/>
      <c r="N1186" s="357"/>
    </row>
    <row r="1187" spans="1:14" hidden="1" x14ac:dyDescent="0.25">
      <c r="A1187" s="57"/>
      <c r="B1187" s="58"/>
      <c r="C1187" s="350" t="s">
        <v>69</v>
      </c>
      <c r="D1187" s="350"/>
      <c r="E1187" s="350"/>
      <c r="F1187" s="34"/>
      <c r="G1187" s="35"/>
      <c r="H1187" s="35"/>
      <c r="I1187" s="35"/>
      <c r="J1187" s="38"/>
      <c r="K1187" s="35"/>
      <c r="L1187" s="59">
        <v>439.8</v>
      </c>
      <c r="M1187" s="54"/>
      <c r="N1187" s="60">
        <v>4178.1000000000004</v>
      </c>
    </row>
    <row r="1188" spans="1:14" ht="36.75" customHeight="1" x14ac:dyDescent="0.25">
      <c r="A1188" s="32" t="s">
        <v>402</v>
      </c>
      <c r="B1188" s="33" t="s">
        <v>274</v>
      </c>
      <c r="C1188" s="350" t="s">
        <v>275</v>
      </c>
      <c r="D1188" s="350"/>
      <c r="E1188" s="350"/>
      <c r="F1188" s="34" t="s">
        <v>276</v>
      </c>
      <c r="G1188" s="35">
        <v>0.06</v>
      </c>
      <c r="H1188" s="36">
        <v>1</v>
      </c>
      <c r="I1188" s="61">
        <v>0.06</v>
      </c>
      <c r="J1188" s="38"/>
      <c r="K1188" s="35"/>
      <c r="L1188" s="38"/>
      <c r="M1188" s="35"/>
      <c r="N1188" s="39"/>
    </row>
    <row r="1189" spans="1:14" hidden="1" x14ac:dyDescent="0.25">
      <c r="A1189" s="40"/>
      <c r="B1189" s="41" t="s">
        <v>55</v>
      </c>
      <c r="C1189" s="354" t="s">
        <v>59</v>
      </c>
      <c r="D1189" s="354"/>
      <c r="E1189" s="354"/>
      <c r="F1189" s="42"/>
      <c r="G1189" s="43"/>
      <c r="H1189" s="43"/>
      <c r="I1189" s="43"/>
      <c r="J1189" s="62">
        <v>1183.68</v>
      </c>
      <c r="K1189" s="43"/>
      <c r="L1189" s="44">
        <v>71.02</v>
      </c>
      <c r="M1189" s="45">
        <v>52.21</v>
      </c>
      <c r="N1189" s="46">
        <v>3707.95</v>
      </c>
    </row>
    <row r="1190" spans="1:14" hidden="1" x14ac:dyDescent="0.25">
      <c r="A1190" s="40"/>
      <c r="B1190" s="41" t="s">
        <v>70</v>
      </c>
      <c r="C1190" s="354" t="s">
        <v>74</v>
      </c>
      <c r="D1190" s="354"/>
      <c r="E1190" s="354"/>
      <c r="F1190" s="42"/>
      <c r="G1190" s="43"/>
      <c r="H1190" s="43"/>
      <c r="I1190" s="43"/>
      <c r="J1190" s="44">
        <v>946.33</v>
      </c>
      <c r="K1190" s="43"/>
      <c r="L1190" s="44">
        <v>56.78</v>
      </c>
      <c r="M1190" s="45">
        <v>15.71</v>
      </c>
      <c r="N1190" s="69">
        <v>892.01</v>
      </c>
    </row>
    <row r="1191" spans="1:14" hidden="1" x14ac:dyDescent="0.25">
      <c r="A1191" s="40"/>
      <c r="B1191" s="41" t="s">
        <v>75</v>
      </c>
      <c r="C1191" s="354" t="s">
        <v>76</v>
      </c>
      <c r="D1191" s="354"/>
      <c r="E1191" s="354"/>
      <c r="F1191" s="42"/>
      <c r="G1191" s="43"/>
      <c r="H1191" s="43"/>
      <c r="I1191" s="43"/>
      <c r="J1191" s="44">
        <v>90.65</v>
      </c>
      <c r="K1191" s="43"/>
      <c r="L1191" s="44">
        <v>5.44</v>
      </c>
      <c r="M1191" s="45">
        <v>52.21</v>
      </c>
      <c r="N1191" s="69">
        <v>284.02</v>
      </c>
    </row>
    <row r="1192" spans="1:14" hidden="1" x14ac:dyDescent="0.25">
      <c r="A1192" s="40"/>
      <c r="B1192" s="41" t="s">
        <v>88</v>
      </c>
      <c r="C1192" s="354" t="s">
        <v>98</v>
      </c>
      <c r="D1192" s="354"/>
      <c r="E1192" s="354"/>
      <c r="F1192" s="42"/>
      <c r="G1192" s="43"/>
      <c r="H1192" s="43"/>
      <c r="I1192" s="43"/>
      <c r="J1192" s="62">
        <v>8643.11</v>
      </c>
      <c r="K1192" s="43"/>
      <c r="L1192" s="44">
        <v>518.59</v>
      </c>
      <c r="M1192" s="63">
        <v>9.5</v>
      </c>
      <c r="N1192" s="46">
        <v>4926.6099999999997</v>
      </c>
    </row>
    <row r="1193" spans="1:14" hidden="1" x14ac:dyDescent="0.25">
      <c r="A1193" s="47"/>
      <c r="B1193" s="41"/>
      <c r="C1193" s="354" t="s">
        <v>60</v>
      </c>
      <c r="D1193" s="354"/>
      <c r="E1193" s="354"/>
      <c r="F1193" s="42" t="s">
        <v>61</v>
      </c>
      <c r="G1193" s="48">
        <v>137</v>
      </c>
      <c r="H1193" s="43"/>
      <c r="I1193" s="45">
        <v>8.2200000000000006</v>
      </c>
      <c r="J1193" s="50"/>
      <c r="K1193" s="43"/>
      <c r="L1193" s="50"/>
      <c r="M1193" s="43"/>
      <c r="N1193" s="51"/>
    </row>
    <row r="1194" spans="1:14" hidden="1" x14ac:dyDescent="0.25">
      <c r="A1194" s="47"/>
      <c r="B1194" s="41"/>
      <c r="C1194" s="354" t="s">
        <v>77</v>
      </c>
      <c r="D1194" s="354"/>
      <c r="E1194" s="354"/>
      <c r="F1194" s="42" t="s">
        <v>61</v>
      </c>
      <c r="G1194" s="45">
        <v>8.01</v>
      </c>
      <c r="H1194" s="43"/>
      <c r="I1194" s="64">
        <v>0.48060000000000003</v>
      </c>
      <c r="J1194" s="50"/>
      <c r="K1194" s="43"/>
      <c r="L1194" s="50"/>
      <c r="M1194" s="43"/>
      <c r="N1194" s="51"/>
    </row>
    <row r="1195" spans="1:14" hidden="1" x14ac:dyDescent="0.25">
      <c r="A1195" s="52"/>
      <c r="B1195" s="41"/>
      <c r="C1195" s="355" t="s">
        <v>62</v>
      </c>
      <c r="D1195" s="355"/>
      <c r="E1195" s="355"/>
      <c r="F1195" s="53"/>
      <c r="G1195" s="54"/>
      <c r="H1195" s="54"/>
      <c r="I1195" s="54"/>
      <c r="J1195" s="65">
        <v>10773.12</v>
      </c>
      <c r="K1195" s="54"/>
      <c r="L1195" s="55">
        <v>646.39</v>
      </c>
      <c r="M1195" s="54"/>
      <c r="N1195" s="56">
        <v>9526.57</v>
      </c>
    </row>
    <row r="1196" spans="1:14" hidden="1" x14ac:dyDescent="0.25">
      <c r="A1196" s="47"/>
      <c r="B1196" s="41"/>
      <c r="C1196" s="354" t="s">
        <v>63</v>
      </c>
      <c r="D1196" s="354"/>
      <c r="E1196" s="354"/>
      <c r="F1196" s="42"/>
      <c r="G1196" s="43"/>
      <c r="H1196" s="43"/>
      <c r="I1196" s="43"/>
      <c r="J1196" s="50"/>
      <c r="K1196" s="43"/>
      <c r="L1196" s="44">
        <v>76.459999999999994</v>
      </c>
      <c r="M1196" s="43"/>
      <c r="N1196" s="46">
        <v>3991.97</v>
      </c>
    </row>
    <row r="1197" spans="1:14" hidden="1" x14ac:dyDescent="0.25">
      <c r="A1197" s="47"/>
      <c r="B1197" s="41" t="s">
        <v>277</v>
      </c>
      <c r="C1197" s="354" t="s">
        <v>278</v>
      </c>
      <c r="D1197" s="354"/>
      <c r="E1197" s="354"/>
      <c r="F1197" s="42" t="s">
        <v>66</v>
      </c>
      <c r="G1197" s="48">
        <v>106</v>
      </c>
      <c r="H1197" s="43"/>
      <c r="I1197" s="48">
        <v>106</v>
      </c>
      <c r="J1197" s="50"/>
      <c r="K1197" s="43"/>
      <c r="L1197" s="44">
        <v>81.05</v>
      </c>
      <c r="M1197" s="43"/>
      <c r="N1197" s="46">
        <v>4231.49</v>
      </c>
    </row>
    <row r="1198" spans="1:14" ht="33.75" hidden="1" x14ac:dyDescent="0.25">
      <c r="A1198" s="47"/>
      <c r="B1198" s="41" t="s">
        <v>279</v>
      </c>
      <c r="C1198" s="354" t="s">
        <v>280</v>
      </c>
      <c r="D1198" s="354"/>
      <c r="E1198" s="354"/>
      <c r="F1198" s="42" t="s">
        <v>66</v>
      </c>
      <c r="G1198" s="48">
        <v>56</v>
      </c>
      <c r="H1198" s="45">
        <v>0.85</v>
      </c>
      <c r="I1198" s="63">
        <v>47.6</v>
      </c>
      <c r="J1198" s="50"/>
      <c r="K1198" s="43"/>
      <c r="L1198" s="44">
        <v>36.39</v>
      </c>
      <c r="M1198" s="43"/>
      <c r="N1198" s="46">
        <v>1900.18</v>
      </c>
    </row>
    <row r="1199" spans="1:14" hidden="1" x14ac:dyDescent="0.25">
      <c r="A1199" s="57"/>
      <c r="B1199" s="58"/>
      <c r="C1199" s="350" t="s">
        <v>69</v>
      </c>
      <c r="D1199" s="350"/>
      <c r="E1199" s="350"/>
      <c r="F1199" s="34"/>
      <c r="G1199" s="35"/>
      <c r="H1199" s="35"/>
      <c r="I1199" s="35"/>
      <c r="J1199" s="38"/>
      <c r="K1199" s="35"/>
      <c r="L1199" s="59">
        <v>763.83</v>
      </c>
      <c r="M1199" s="54"/>
      <c r="N1199" s="60">
        <v>15658.24</v>
      </c>
    </row>
    <row r="1200" spans="1:14" x14ac:dyDescent="0.25">
      <c r="A1200" s="32" t="s">
        <v>403</v>
      </c>
      <c r="B1200" s="33" t="s">
        <v>282</v>
      </c>
      <c r="C1200" s="350" t="s">
        <v>283</v>
      </c>
      <c r="D1200" s="350"/>
      <c r="E1200" s="350"/>
      <c r="F1200" s="34" t="s">
        <v>127</v>
      </c>
      <c r="G1200" s="35">
        <v>-2.9000000000000001E-2</v>
      </c>
      <c r="H1200" s="36">
        <v>1</v>
      </c>
      <c r="I1200" s="67">
        <v>-2.9000000000000001E-2</v>
      </c>
      <c r="J1200" s="66">
        <v>9727.3700000000008</v>
      </c>
      <c r="K1200" s="35"/>
      <c r="L1200" s="59">
        <v>-282.08999999999997</v>
      </c>
      <c r="M1200" s="70">
        <v>9.5</v>
      </c>
      <c r="N1200" s="60">
        <v>-2679.86</v>
      </c>
    </row>
    <row r="1201" spans="1:14" hidden="1" x14ac:dyDescent="0.25">
      <c r="A1201" s="57"/>
      <c r="B1201" s="58"/>
      <c r="C1201" s="350" t="s">
        <v>69</v>
      </c>
      <c r="D1201" s="350"/>
      <c r="E1201" s="350"/>
      <c r="F1201" s="34"/>
      <c r="G1201" s="35"/>
      <c r="H1201" s="35"/>
      <c r="I1201" s="35"/>
      <c r="J1201" s="38"/>
      <c r="K1201" s="35"/>
      <c r="L1201" s="59">
        <v>-282.08999999999997</v>
      </c>
      <c r="M1201" s="54"/>
      <c r="N1201" s="60">
        <v>-2679.86</v>
      </c>
    </row>
    <row r="1202" spans="1:14" ht="22.5" x14ac:dyDescent="0.25">
      <c r="A1202" s="32" t="s">
        <v>404</v>
      </c>
      <c r="B1202" s="33" t="s">
        <v>120</v>
      </c>
      <c r="C1202" s="350" t="s">
        <v>285</v>
      </c>
      <c r="D1202" s="350"/>
      <c r="E1202" s="350"/>
      <c r="F1202" s="34" t="s">
        <v>130</v>
      </c>
      <c r="G1202" s="35">
        <v>0.36</v>
      </c>
      <c r="H1202" s="36">
        <v>1</v>
      </c>
      <c r="I1202" s="61">
        <v>0.36</v>
      </c>
      <c r="J1202" s="66">
        <v>37646.32</v>
      </c>
      <c r="K1202" s="74">
        <v>1.04236</v>
      </c>
      <c r="L1202" s="66">
        <v>14126.77</v>
      </c>
      <c r="M1202" s="70">
        <v>9.5</v>
      </c>
      <c r="N1202" s="60">
        <v>134204.32</v>
      </c>
    </row>
    <row r="1203" spans="1:14" hidden="1" x14ac:dyDescent="0.25">
      <c r="A1203" s="52"/>
      <c r="B1203" s="71"/>
      <c r="C1203" s="354" t="s">
        <v>137</v>
      </c>
      <c r="D1203" s="354"/>
      <c r="E1203" s="354"/>
      <c r="F1203" s="354"/>
      <c r="G1203" s="354"/>
      <c r="H1203" s="354"/>
      <c r="I1203" s="354"/>
      <c r="J1203" s="354"/>
      <c r="K1203" s="354"/>
      <c r="L1203" s="354"/>
      <c r="M1203" s="354"/>
      <c r="N1203" s="356"/>
    </row>
    <row r="1204" spans="1:14" hidden="1" x14ac:dyDescent="0.25">
      <c r="A1204" s="72"/>
      <c r="B1204" s="41"/>
      <c r="C1204" s="344" t="s">
        <v>123</v>
      </c>
      <c r="D1204" s="344"/>
      <c r="E1204" s="344"/>
      <c r="F1204" s="344"/>
      <c r="G1204" s="344"/>
      <c r="H1204" s="344"/>
      <c r="I1204" s="344"/>
      <c r="J1204" s="344"/>
      <c r="K1204" s="344"/>
      <c r="L1204" s="344"/>
      <c r="M1204" s="344"/>
      <c r="N1204" s="357"/>
    </row>
    <row r="1205" spans="1:14" hidden="1" x14ac:dyDescent="0.25">
      <c r="A1205" s="72"/>
      <c r="B1205" s="41"/>
      <c r="C1205" s="344" t="s">
        <v>108</v>
      </c>
      <c r="D1205" s="344"/>
      <c r="E1205" s="344"/>
      <c r="F1205" s="344"/>
      <c r="G1205" s="344"/>
      <c r="H1205" s="344"/>
      <c r="I1205" s="344"/>
      <c r="J1205" s="344"/>
      <c r="K1205" s="344"/>
      <c r="L1205" s="344"/>
      <c r="M1205" s="344"/>
      <c r="N1205" s="357"/>
    </row>
    <row r="1206" spans="1:14" hidden="1" x14ac:dyDescent="0.25">
      <c r="A1206" s="57"/>
      <c r="B1206" s="58"/>
      <c r="C1206" s="350" t="s">
        <v>69</v>
      </c>
      <c r="D1206" s="350"/>
      <c r="E1206" s="350"/>
      <c r="F1206" s="34"/>
      <c r="G1206" s="35"/>
      <c r="H1206" s="35"/>
      <c r="I1206" s="35"/>
      <c r="J1206" s="38"/>
      <c r="K1206" s="35"/>
      <c r="L1206" s="66">
        <v>14126.77</v>
      </c>
      <c r="M1206" s="54"/>
      <c r="N1206" s="60">
        <v>134204.32</v>
      </c>
    </row>
    <row r="1207" spans="1:14" ht="24.75" customHeight="1" x14ac:dyDescent="0.25">
      <c r="A1207" s="32" t="s">
        <v>405</v>
      </c>
      <c r="B1207" s="33" t="s">
        <v>120</v>
      </c>
      <c r="C1207" s="350" t="s">
        <v>129</v>
      </c>
      <c r="D1207" s="350"/>
      <c r="E1207" s="350"/>
      <c r="F1207" s="34" t="s">
        <v>130</v>
      </c>
      <c r="G1207" s="35">
        <v>2.9000000000000001E-2</v>
      </c>
      <c r="H1207" s="36">
        <v>1</v>
      </c>
      <c r="I1207" s="67">
        <v>2.9000000000000001E-2</v>
      </c>
      <c r="J1207" s="66">
        <v>27894.74</v>
      </c>
      <c r="K1207" s="74">
        <v>1.04236</v>
      </c>
      <c r="L1207" s="59">
        <v>843.21</v>
      </c>
      <c r="M1207" s="70">
        <v>9.5</v>
      </c>
      <c r="N1207" s="60">
        <v>8010.5</v>
      </c>
    </row>
    <row r="1208" spans="1:14" hidden="1" x14ac:dyDescent="0.25">
      <c r="A1208" s="52"/>
      <c r="B1208" s="71"/>
      <c r="C1208" s="354" t="s">
        <v>131</v>
      </c>
      <c r="D1208" s="354"/>
      <c r="E1208" s="354"/>
      <c r="F1208" s="354"/>
      <c r="G1208" s="354"/>
      <c r="H1208" s="354"/>
      <c r="I1208" s="354"/>
      <c r="J1208" s="354"/>
      <c r="K1208" s="354"/>
      <c r="L1208" s="354"/>
      <c r="M1208" s="354"/>
      <c r="N1208" s="356"/>
    </row>
    <row r="1209" spans="1:14" hidden="1" x14ac:dyDescent="0.25">
      <c r="A1209" s="72"/>
      <c r="B1209" s="41"/>
      <c r="C1209" s="344" t="s">
        <v>123</v>
      </c>
      <c r="D1209" s="344"/>
      <c r="E1209" s="344"/>
      <c r="F1209" s="344"/>
      <c r="G1209" s="344"/>
      <c r="H1209" s="344"/>
      <c r="I1209" s="344"/>
      <c r="J1209" s="344"/>
      <c r="K1209" s="344"/>
      <c r="L1209" s="344"/>
      <c r="M1209" s="344"/>
      <c r="N1209" s="357"/>
    </row>
    <row r="1210" spans="1:14" hidden="1" x14ac:dyDescent="0.25">
      <c r="A1210" s="72"/>
      <c r="B1210" s="41"/>
      <c r="C1210" s="344" t="s">
        <v>108</v>
      </c>
      <c r="D1210" s="344"/>
      <c r="E1210" s="344"/>
      <c r="F1210" s="344"/>
      <c r="G1210" s="344"/>
      <c r="H1210" s="344"/>
      <c r="I1210" s="344"/>
      <c r="J1210" s="344"/>
      <c r="K1210" s="344"/>
      <c r="L1210" s="344"/>
      <c r="M1210" s="344"/>
      <c r="N1210" s="357"/>
    </row>
    <row r="1211" spans="1:14" hidden="1" x14ac:dyDescent="0.25">
      <c r="A1211" s="57"/>
      <c r="B1211" s="58"/>
      <c r="C1211" s="350" t="s">
        <v>69</v>
      </c>
      <c r="D1211" s="350"/>
      <c r="E1211" s="350"/>
      <c r="F1211" s="34"/>
      <c r="G1211" s="35"/>
      <c r="H1211" s="35"/>
      <c r="I1211" s="35"/>
      <c r="J1211" s="38"/>
      <c r="K1211" s="35"/>
      <c r="L1211" s="59">
        <v>843.21</v>
      </c>
      <c r="M1211" s="54"/>
      <c r="N1211" s="60">
        <v>8010.5</v>
      </c>
    </row>
    <row r="1212" spans="1:14" ht="25.5" customHeight="1" x14ac:dyDescent="0.25">
      <c r="A1212" s="32" t="s">
        <v>406</v>
      </c>
      <c r="B1212" s="33" t="s">
        <v>288</v>
      </c>
      <c r="C1212" s="350" t="s">
        <v>289</v>
      </c>
      <c r="D1212" s="350"/>
      <c r="E1212" s="350"/>
      <c r="F1212" s="34" t="s">
        <v>160</v>
      </c>
      <c r="G1212" s="35">
        <v>1.3299999999999999E-2</v>
      </c>
      <c r="H1212" s="36">
        <v>1</v>
      </c>
      <c r="I1212" s="37">
        <v>1.3299999999999999E-2</v>
      </c>
      <c r="J1212" s="38"/>
      <c r="K1212" s="35"/>
      <c r="L1212" s="38"/>
      <c r="M1212" s="35"/>
      <c r="N1212" s="39"/>
    </row>
    <row r="1213" spans="1:14" hidden="1" x14ac:dyDescent="0.25">
      <c r="A1213" s="40"/>
      <c r="B1213" s="41" t="s">
        <v>55</v>
      </c>
      <c r="C1213" s="354" t="s">
        <v>59</v>
      </c>
      <c r="D1213" s="354"/>
      <c r="E1213" s="354"/>
      <c r="F1213" s="42"/>
      <c r="G1213" s="43"/>
      <c r="H1213" s="43"/>
      <c r="I1213" s="43"/>
      <c r="J1213" s="62">
        <v>1107.95</v>
      </c>
      <c r="K1213" s="43"/>
      <c r="L1213" s="44">
        <v>14.74</v>
      </c>
      <c r="M1213" s="45">
        <v>52.21</v>
      </c>
      <c r="N1213" s="69">
        <v>769.58</v>
      </c>
    </row>
    <row r="1214" spans="1:14" hidden="1" x14ac:dyDescent="0.25">
      <c r="A1214" s="40"/>
      <c r="B1214" s="41" t="s">
        <v>70</v>
      </c>
      <c r="C1214" s="354" t="s">
        <v>74</v>
      </c>
      <c r="D1214" s="354"/>
      <c r="E1214" s="354"/>
      <c r="F1214" s="42"/>
      <c r="G1214" s="43"/>
      <c r="H1214" s="43"/>
      <c r="I1214" s="43"/>
      <c r="J1214" s="62">
        <v>12533.99</v>
      </c>
      <c r="K1214" s="43"/>
      <c r="L1214" s="44">
        <v>166.7</v>
      </c>
      <c r="M1214" s="45">
        <v>15.71</v>
      </c>
      <c r="N1214" s="46">
        <v>2618.86</v>
      </c>
    </row>
    <row r="1215" spans="1:14" hidden="1" x14ac:dyDescent="0.25">
      <c r="A1215" s="40"/>
      <c r="B1215" s="41" t="s">
        <v>75</v>
      </c>
      <c r="C1215" s="354" t="s">
        <v>76</v>
      </c>
      <c r="D1215" s="354"/>
      <c r="E1215" s="354"/>
      <c r="F1215" s="42"/>
      <c r="G1215" s="43"/>
      <c r="H1215" s="43"/>
      <c r="I1215" s="43"/>
      <c r="J1215" s="44">
        <v>820.22</v>
      </c>
      <c r="K1215" s="43"/>
      <c r="L1215" s="44">
        <v>10.91</v>
      </c>
      <c r="M1215" s="45">
        <v>52.21</v>
      </c>
      <c r="N1215" s="69">
        <v>569.61</v>
      </c>
    </row>
    <row r="1216" spans="1:14" hidden="1" x14ac:dyDescent="0.25">
      <c r="A1216" s="40"/>
      <c r="B1216" s="41" t="s">
        <v>88</v>
      </c>
      <c r="C1216" s="354" t="s">
        <v>98</v>
      </c>
      <c r="D1216" s="354"/>
      <c r="E1216" s="354"/>
      <c r="F1216" s="42"/>
      <c r="G1216" s="43"/>
      <c r="H1216" s="43"/>
      <c r="I1216" s="43"/>
      <c r="J1216" s="62">
        <v>230267.7</v>
      </c>
      <c r="K1216" s="43"/>
      <c r="L1216" s="62">
        <v>3062.56</v>
      </c>
      <c r="M1216" s="63">
        <v>9.5</v>
      </c>
      <c r="N1216" s="46">
        <v>29094.32</v>
      </c>
    </row>
    <row r="1217" spans="1:14" hidden="1" x14ac:dyDescent="0.25">
      <c r="A1217" s="47"/>
      <c r="B1217" s="41"/>
      <c r="C1217" s="354" t="s">
        <v>60</v>
      </c>
      <c r="D1217" s="354"/>
      <c r="E1217" s="354"/>
      <c r="F1217" s="42" t="s">
        <v>61</v>
      </c>
      <c r="G1217" s="45">
        <v>134.46</v>
      </c>
      <c r="H1217" s="43"/>
      <c r="I1217" s="73">
        <v>1.7883180000000001</v>
      </c>
      <c r="J1217" s="50"/>
      <c r="K1217" s="43"/>
      <c r="L1217" s="50"/>
      <c r="M1217" s="43"/>
      <c r="N1217" s="51"/>
    </row>
    <row r="1218" spans="1:14" hidden="1" x14ac:dyDescent="0.25">
      <c r="A1218" s="47"/>
      <c r="B1218" s="41"/>
      <c r="C1218" s="354" t="s">
        <v>77</v>
      </c>
      <c r="D1218" s="354"/>
      <c r="E1218" s="354"/>
      <c r="F1218" s="42" t="s">
        <v>61</v>
      </c>
      <c r="G1218" s="45">
        <v>54.89</v>
      </c>
      <c r="H1218" s="43"/>
      <c r="I1218" s="73">
        <v>0.73003700000000005</v>
      </c>
      <c r="J1218" s="50"/>
      <c r="K1218" s="43"/>
      <c r="L1218" s="50"/>
      <c r="M1218" s="43"/>
      <c r="N1218" s="51"/>
    </row>
    <row r="1219" spans="1:14" hidden="1" x14ac:dyDescent="0.25">
      <c r="A1219" s="52"/>
      <c r="B1219" s="41"/>
      <c r="C1219" s="355" t="s">
        <v>62</v>
      </c>
      <c r="D1219" s="355"/>
      <c r="E1219" s="355"/>
      <c r="F1219" s="53"/>
      <c r="G1219" s="54"/>
      <c r="H1219" s="54"/>
      <c r="I1219" s="54"/>
      <c r="J1219" s="65">
        <v>243909.64</v>
      </c>
      <c r="K1219" s="54"/>
      <c r="L1219" s="65">
        <v>3244</v>
      </c>
      <c r="M1219" s="54"/>
      <c r="N1219" s="56">
        <v>32482.76</v>
      </c>
    </row>
    <row r="1220" spans="1:14" hidden="1" x14ac:dyDescent="0.25">
      <c r="A1220" s="47"/>
      <c r="B1220" s="41"/>
      <c r="C1220" s="354" t="s">
        <v>63</v>
      </c>
      <c r="D1220" s="354"/>
      <c r="E1220" s="354"/>
      <c r="F1220" s="42"/>
      <c r="G1220" s="43"/>
      <c r="H1220" s="43"/>
      <c r="I1220" s="43"/>
      <c r="J1220" s="50"/>
      <c r="K1220" s="43"/>
      <c r="L1220" s="44">
        <v>25.65</v>
      </c>
      <c r="M1220" s="43"/>
      <c r="N1220" s="46">
        <v>1339.19</v>
      </c>
    </row>
    <row r="1221" spans="1:14" ht="22.5" hidden="1" x14ac:dyDescent="0.25">
      <c r="A1221" s="47"/>
      <c r="B1221" s="41" t="s">
        <v>78</v>
      </c>
      <c r="C1221" s="354" t="s">
        <v>79</v>
      </c>
      <c r="D1221" s="354"/>
      <c r="E1221" s="354"/>
      <c r="F1221" s="42" t="s">
        <v>66</v>
      </c>
      <c r="G1221" s="48">
        <v>109</v>
      </c>
      <c r="H1221" s="43"/>
      <c r="I1221" s="48">
        <v>109</v>
      </c>
      <c r="J1221" s="50"/>
      <c r="K1221" s="43"/>
      <c r="L1221" s="44">
        <v>27.96</v>
      </c>
      <c r="M1221" s="43"/>
      <c r="N1221" s="46">
        <v>1459.72</v>
      </c>
    </row>
    <row r="1222" spans="1:14" ht="45" hidden="1" x14ac:dyDescent="0.25">
      <c r="A1222" s="47"/>
      <c r="B1222" s="41" t="s">
        <v>80</v>
      </c>
      <c r="C1222" s="354" t="s">
        <v>81</v>
      </c>
      <c r="D1222" s="354"/>
      <c r="E1222" s="354"/>
      <c r="F1222" s="42" t="s">
        <v>66</v>
      </c>
      <c r="G1222" s="48">
        <v>65</v>
      </c>
      <c r="H1222" s="45">
        <v>0.85</v>
      </c>
      <c r="I1222" s="45">
        <v>55.25</v>
      </c>
      <c r="J1222" s="50"/>
      <c r="K1222" s="43"/>
      <c r="L1222" s="44">
        <v>14.17</v>
      </c>
      <c r="M1222" s="43"/>
      <c r="N1222" s="69">
        <v>739.9</v>
      </c>
    </row>
    <row r="1223" spans="1:14" hidden="1" x14ac:dyDescent="0.25">
      <c r="A1223" s="57"/>
      <c r="B1223" s="58"/>
      <c r="C1223" s="350" t="s">
        <v>69</v>
      </c>
      <c r="D1223" s="350"/>
      <c r="E1223" s="350"/>
      <c r="F1223" s="34"/>
      <c r="G1223" s="35"/>
      <c r="H1223" s="35"/>
      <c r="I1223" s="35"/>
      <c r="J1223" s="38"/>
      <c r="K1223" s="35"/>
      <c r="L1223" s="66">
        <v>3286.13</v>
      </c>
      <c r="M1223" s="54"/>
      <c r="N1223" s="60">
        <v>34682.379999999997</v>
      </c>
    </row>
    <row r="1224" spans="1:14" x14ac:dyDescent="0.25">
      <c r="A1224" s="351" t="s">
        <v>161</v>
      </c>
      <c r="B1224" s="352"/>
      <c r="C1224" s="352"/>
      <c r="D1224" s="352"/>
      <c r="E1224" s="352"/>
      <c r="F1224" s="352"/>
      <c r="G1224" s="352"/>
      <c r="H1224" s="352"/>
      <c r="I1224" s="352"/>
      <c r="J1224" s="352"/>
      <c r="K1224" s="352"/>
      <c r="L1224" s="352"/>
      <c r="M1224" s="352"/>
      <c r="N1224" s="353"/>
    </row>
    <row r="1225" spans="1:14" ht="39.75" customHeight="1" x14ac:dyDescent="0.25">
      <c r="A1225" s="32" t="s">
        <v>407</v>
      </c>
      <c r="B1225" s="33" t="s">
        <v>163</v>
      </c>
      <c r="C1225" s="350" t="s">
        <v>164</v>
      </c>
      <c r="D1225" s="350"/>
      <c r="E1225" s="350"/>
      <c r="F1225" s="34" t="s">
        <v>165</v>
      </c>
      <c r="G1225" s="35">
        <v>52.3</v>
      </c>
      <c r="H1225" s="36">
        <v>1</v>
      </c>
      <c r="I1225" s="70">
        <v>52.3</v>
      </c>
      <c r="J1225" s="59">
        <v>3.28</v>
      </c>
      <c r="K1225" s="35"/>
      <c r="L1225" s="59">
        <v>171.54</v>
      </c>
      <c r="M1225" s="61">
        <v>15.71</v>
      </c>
      <c r="N1225" s="60">
        <v>2694.89</v>
      </c>
    </row>
    <row r="1226" spans="1:14" hidden="1" x14ac:dyDescent="0.25">
      <c r="A1226" s="57"/>
      <c r="B1226" s="58"/>
      <c r="C1226" s="350" t="s">
        <v>69</v>
      </c>
      <c r="D1226" s="350"/>
      <c r="E1226" s="350"/>
      <c r="F1226" s="34"/>
      <c r="G1226" s="35"/>
      <c r="H1226" s="35"/>
      <c r="I1226" s="35"/>
      <c r="J1226" s="38"/>
      <c r="K1226" s="35"/>
      <c r="L1226" s="59">
        <v>171.54</v>
      </c>
      <c r="M1226" s="54"/>
      <c r="N1226" s="60">
        <v>2694.89</v>
      </c>
    </row>
    <row r="1227" spans="1:14" ht="40.5" customHeight="1" x14ac:dyDescent="0.25">
      <c r="A1227" s="32" t="s">
        <v>408</v>
      </c>
      <c r="B1227" s="33" t="s">
        <v>167</v>
      </c>
      <c r="C1227" s="350" t="s">
        <v>292</v>
      </c>
      <c r="D1227" s="350"/>
      <c r="E1227" s="350"/>
      <c r="F1227" s="34" t="s">
        <v>165</v>
      </c>
      <c r="G1227" s="35">
        <v>9.9</v>
      </c>
      <c r="H1227" s="36">
        <v>1</v>
      </c>
      <c r="I1227" s="70">
        <v>9.9</v>
      </c>
      <c r="J1227" s="59">
        <v>8.39</v>
      </c>
      <c r="K1227" s="35"/>
      <c r="L1227" s="59">
        <v>83.06</v>
      </c>
      <c r="M1227" s="61">
        <v>15.71</v>
      </c>
      <c r="N1227" s="60">
        <v>1304.8699999999999</v>
      </c>
    </row>
    <row r="1228" spans="1:14" hidden="1" x14ac:dyDescent="0.25">
      <c r="A1228" s="57"/>
      <c r="B1228" s="58"/>
      <c r="C1228" s="350" t="s">
        <v>69</v>
      </c>
      <c r="D1228" s="350"/>
      <c r="E1228" s="350"/>
      <c r="F1228" s="34"/>
      <c r="G1228" s="35"/>
      <c r="H1228" s="35"/>
      <c r="I1228" s="35"/>
      <c r="J1228" s="38"/>
      <c r="K1228" s="35"/>
      <c r="L1228" s="59">
        <v>83.06</v>
      </c>
      <c r="M1228" s="54"/>
      <c r="N1228" s="60">
        <v>1304.8699999999999</v>
      </c>
    </row>
    <row r="1229" spans="1:14" ht="36" customHeight="1" x14ac:dyDescent="0.25">
      <c r="A1229" s="32" t="s">
        <v>409</v>
      </c>
      <c r="B1229" s="33" t="s">
        <v>170</v>
      </c>
      <c r="C1229" s="350" t="s">
        <v>294</v>
      </c>
      <c r="D1229" s="350"/>
      <c r="E1229" s="350"/>
      <c r="F1229" s="34" t="s">
        <v>165</v>
      </c>
      <c r="G1229" s="35">
        <v>5</v>
      </c>
      <c r="H1229" s="36">
        <v>1</v>
      </c>
      <c r="I1229" s="36">
        <v>5</v>
      </c>
      <c r="J1229" s="59">
        <v>10.88</v>
      </c>
      <c r="K1229" s="35"/>
      <c r="L1229" s="59">
        <v>54.4</v>
      </c>
      <c r="M1229" s="61">
        <v>15.71</v>
      </c>
      <c r="N1229" s="94">
        <v>854.62</v>
      </c>
    </row>
    <row r="1230" spans="1:14" hidden="1" x14ac:dyDescent="0.25">
      <c r="A1230" s="57"/>
      <c r="B1230" s="58"/>
      <c r="C1230" s="350" t="s">
        <v>69</v>
      </c>
      <c r="D1230" s="350"/>
      <c r="E1230" s="350"/>
      <c r="F1230" s="34"/>
      <c r="G1230" s="35"/>
      <c r="H1230" s="35"/>
      <c r="I1230" s="35"/>
      <c r="J1230" s="38"/>
      <c r="K1230" s="35"/>
      <c r="L1230" s="59">
        <v>54.4</v>
      </c>
      <c r="M1230" s="54"/>
      <c r="N1230" s="94">
        <v>854.62</v>
      </c>
    </row>
    <row r="1231" spans="1:14" ht="28.5" customHeight="1" x14ac:dyDescent="0.25">
      <c r="A1231" s="32" t="s">
        <v>410</v>
      </c>
      <c r="B1231" s="33" t="s">
        <v>173</v>
      </c>
      <c r="C1231" s="350" t="s">
        <v>174</v>
      </c>
      <c r="D1231" s="350"/>
      <c r="E1231" s="350"/>
      <c r="F1231" s="34" t="s">
        <v>165</v>
      </c>
      <c r="G1231" s="35">
        <v>67.2</v>
      </c>
      <c r="H1231" s="36">
        <v>1</v>
      </c>
      <c r="I1231" s="70">
        <v>67.2</v>
      </c>
      <c r="J1231" s="59">
        <v>3.86</v>
      </c>
      <c r="K1231" s="35"/>
      <c r="L1231" s="59">
        <v>259.39</v>
      </c>
      <c r="M1231" s="61">
        <v>16.22</v>
      </c>
      <c r="N1231" s="60">
        <v>4207.3100000000004</v>
      </c>
    </row>
    <row r="1232" spans="1:14" hidden="1" x14ac:dyDescent="0.25">
      <c r="A1232" s="57"/>
      <c r="B1232" s="58"/>
      <c r="C1232" s="350" t="s">
        <v>69</v>
      </c>
      <c r="D1232" s="350"/>
      <c r="E1232" s="350"/>
      <c r="F1232" s="34"/>
      <c r="G1232" s="35"/>
      <c r="H1232" s="35"/>
      <c r="I1232" s="35"/>
      <c r="J1232" s="38"/>
      <c r="K1232" s="35"/>
      <c r="L1232" s="59">
        <v>259.39</v>
      </c>
      <c r="M1232" s="54"/>
      <c r="N1232" s="60">
        <v>4207.3100000000004</v>
      </c>
    </row>
    <row r="1233" spans="1:14" hidden="1" x14ac:dyDescent="0.25">
      <c r="A1233" s="75"/>
      <c r="B1233" s="76"/>
      <c r="C1233" s="77"/>
      <c r="D1233" s="77"/>
      <c r="E1233" s="77"/>
      <c r="F1233" s="77"/>
      <c r="G1233" s="78"/>
      <c r="H1233" s="78"/>
      <c r="I1233" s="78"/>
      <c r="J1233" s="78"/>
      <c r="K1233" s="79"/>
      <c r="L1233" s="78"/>
      <c r="M1233" s="79"/>
      <c r="N1233" s="80"/>
    </row>
    <row r="1234" spans="1:14" hidden="1" x14ac:dyDescent="0.25">
      <c r="A1234" s="57"/>
      <c r="B1234" s="81"/>
      <c r="C1234" s="349" t="s">
        <v>411</v>
      </c>
      <c r="D1234" s="349"/>
      <c r="E1234" s="349"/>
      <c r="F1234" s="349"/>
      <c r="G1234" s="349"/>
      <c r="H1234" s="349"/>
      <c r="I1234" s="349"/>
      <c r="J1234" s="349"/>
      <c r="K1234" s="349"/>
      <c r="L1234" s="82"/>
      <c r="M1234" s="83"/>
      <c r="N1234" s="84"/>
    </row>
    <row r="1235" spans="1:14" hidden="1" x14ac:dyDescent="0.25">
      <c r="A1235" s="85"/>
      <c r="B1235" s="41"/>
      <c r="C1235" s="348" t="s">
        <v>176</v>
      </c>
      <c r="D1235" s="348"/>
      <c r="E1235" s="348"/>
      <c r="F1235" s="348"/>
      <c r="G1235" s="348"/>
      <c r="H1235" s="348"/>
      <c r="I1235" s="348"/>
      <c r="J1235" s="348"/>
      <c r="K1235" s="348"/>
      <c r="L1235" s="86">
        <v>621882.12</v>
      </c>
      <c r="M1235" s="87"/>
      <c r="N1235" s="88">
        <v>6016773.96</v>
      </c>
    </row>
    <row r="1236" spans="1:14" hidden="1" x14ac:dyDescent="0.25">
      <c r="A1236" s="85"/>
      <c r="B1236" s="41"/>
      <c r="C1236" s="348" t="s">
        <v>177</v>
      </c>
      <c r="D1236" s="348"/>
      <c r="E1236" s="348"/>
      <c r="F1236" s="348"/>
      <c r="G1236" s="348"/>
      <c r="H1236" s="348"/>
      <c r="I1236" s="348"/>
      <c r="J1236" s="348"/>
      <c r="K1236" s="348"/>
      <c r="L1236" s="89"/>
      <c r="M1236" s="87"/>
      <c r="N1236" s="90"/>
    </row>
    <row r="1237" spans="1:14" hidden="1" x14ac:dyDescent="0.25">
      <c r="A1237" s="85"/>
      <c r="B1237" s="41"/>
      <c r="C1237" s="348" t="s">
        <v>178</v>
      </c>
      <c r="D1237" s="348"/>
      <c r="E1237" s="348"/>
      <c r="F1237" s="348"/>
      <c r="G1237" s="348"/>
      <c r="H1237" s="348"/>
      <c r="I1237" s="348"/>
      <c r="J1237" s="348"/>
      <c r="K1237" s="348"/>
      <c r="L1237" s="86">
        <v>1019.81</v>
      </c>
      <c r="M1237" s="87"/>
      <c r="N1237" s="88">
        <v>53244.27</v>
      </c>
    </row>
    <row r="1238" spans="1:14" hidden="1" x14ac:dyDescent="0.25">
      <c r="A1238" s="85"/>
      <c r="B1238" s="41"/>
      <c r="C1238" s="348" t="s">
        <v>179</v>
      </c>
      <c r="D1238" s="348"/>
      <c r="E1238" s="348"/>
      <c r="F1238" s="348"/>
      <c r="G1238" s="348"/>
      <c r="H1238" s="348"/>
      <c r="I1238" s="348"/>
      <c r="J1238" s="348"/>
      <c r="K1238" s="348"/>
      <c r="L1238" s="86">
        <v>9931.68</v>
      </c>
      <c r="M1238" s="87"/>
      <c r="N1238" s="88">
        <v>156026.69</v>
      </c>
    </row>
    <row r="1239" spans="1:14" hidden="1" x14ac:dyDescent="0.25">
      <c r="A1239" s="85"/>
      <c r="B1239" s="41"/>
      <c r="C1239" s="348" t="s">
        <v>180</v>
      </c>
      <c r="D1239" s="348"/>
      <c r="E1239" s="348"/>
      <c r="F1239" s="348"/>
      <c r="G1239" s="348"/>
      <c r="H1239" s="348"/>
      <c r="I1239" s="348"/>
      <c r="J1239" s="348"/>
      <c r="K1239" s="348"/>
      <c r="L1239" s="95">
        <v>428.9</v>
      </c>
      <c r="M1239" s="87"/>
      <c r="N1239" s="88">
        <v>22392.87</v>
      </c>
    </row>
    <row r="1240" spans="1:14" hidden="1" x14ac:dyDescent="0.25">
      <c r="A1240" s="85"/>
      <c r="B1240" s="41"/>
      <c r="C1240" s="348" t="s">
        <v>181</v>
      </c>
      <c r="D1240" s="348"/>
      <c r="E1240" s="348"/>
      <c r="F1240" s="348"/>
      <c r="G1240" s="348"/>
      <c r="H1240" s="348"/>
      <c r="I1240" s="348"/>
      <c r="J1240" s="348"/>
      <c r="K1240" s="348"/>
      <c r="L1240" s="86">
        <v>610499.69999999995</v>
      </c>
      <c r="M1240" s="87"/>
      <c r="N1240" s="88">
        <v>5800600.7999999998</v>
      </c>
    </row>
    <row r="1241" spans="1:14" hidden="1" x14ac:dyDescent="0.25">
      <c r="A1241" s="85"/>
      <c r="B1241" s="41"/>
      <c r="C1241" s="348" t="s">
        <v>182</v>
      </c>
      <c r="D1241" s="348"/>
      <c r="E1241" s="348"/>
      <c r="F1241" s="348"/>
      <c r="G1241" s="348"/>
      <c r="H1241" s="348"/>
      <c r="I1241" s="348"/>
      <c r="J1241" s="348"/>
      <c r="K1241" s="348"/>
      <c r="L1241" s="89"/>
      <c r="M1241" s="87"/>
      <c r="N1241" s="90"/>
    </row>
    <row r="1242" spans="1:14" hidden="1" x14ac:dyDescent="0.25">
      <c r="A1242" s="85"/>
      <c r="B1242" s="41"/>
      <c r="C1242" s="348" t="s">
        <v>183</v>
      </c>
      <c r="D1242" s="348"/>
      <c r="E1242" s="348"/>
      <c r="F1242" s="348"/>
      <c r="G1242" s="348"/>
      <c r="H1242" s="348"/>
      <c r="I1242" s="348"/>
      <c r="J1242" s="348"/>
      <c r="K1242" s="348"/>
      <c r="L1242" s="86">
        <v>610445.30000000005</v>
      </c>
      <c r="M1242" s="87"/>
      <c r="N1242" s="88">
        <v>5799746.1799999997</v>
      </c>
    </row>
    <row r="1243" spans="1:14" hidden="1" x14ac:dyDescent="0.25">
      <c r="A1243" s="85"/>
      <c r="B1243" s="41"/>
      <c r="C1243" s="348" t="s">
        <v>184</v>
      </c>
      <c r="D1243" s="348"/>
      <c r="E1243" s="348"/>
      <c r="F1243" s="348"/>
      <c r="G1243" s="348"/>
      <c r="H1243" s="348"/>
      <c r="I1243" s="348"/>
      <c r="J1243" s="348"/>
      <c r="K1243" s="348"/>
      <c r="L1243" s="95">
        <v>54.4</v>
      </c>
      <c r="M1243" s="87"/>
      <c r="N1243" s="96">
        <v>854.62</v>
      </c>
    </row>
    <row r="1244" spans="1:14" hidden="1" x14ac:dyDescent="0.25">
      <c r="A1244" s="85"/>
      <c r="B1244" s="41"/>
      <c r="C1244" s="348" t="s">
        <v>185</v>
      </c>
      <c r="D1244" s="348"/>
      <c r="E1244" s="348"/>
      <c r="F1244" s="348"/>
      <c r="G1244" s="348"/>
      <c r="H1244" s="348"/>
      <c r="I1244" s="348"/>
      <c r="J1244" s="348"/>
      <c r="K1244" s="348"/>
      <c r="L1244" s="95">
        <v>430.93</v>
      </c>
      <c r="M1244" s="87"/>
      <c r="N1244" s="88">
        <v>6902.2</v>
      </c>
    </row>
    <row r="1245" spans="1:14" hidden="1" x14ac:dyDescent="0.25">
      <c r="A1245" s="85"/>
      <c r="B1245" s="41"/>
      <c r="C1245" s="348" t="s">
        <v>186</v>
      </c>
      <c r="D1245" s="348"/>
      <c r="E1245" s="348"/>
      <c r="F1245" s="348"/>
      <c r="G1245" s="348"/>
      <c r="H1245" s="348"/>
      <c r="I1245" s="348"/>
      <c r="J1245" s="348"/>
      <c r="K1245" s="348"/>
      <c r="L1245" s="86">
        <v>623218.87</v>
      </c>
      <c r="M1245" s="87"/>
      <c r="N1245" s="88">
        <v>6102879.5300000003</v>
      </c>
    </row>
    <row r="1246" spans="1:14" hidden="1" x14ac:dyDescent="0.25">
      <c r="A1246" s="85"/>
      <c r="B1246" s="41"/>
      <c r="C1246" s="348" t="s">
        <v>187</v>
      </c>
      <c r="D1246" s="348"/>
      <c r="E1246" s="348"/>
      <c r="F1246" s="348"/>
      <c r="G1246" s="348"/>
      <c r="H1246" s="348"/>
      <c r="I1246" s="348"/>
      <c r="J1246" s="348"/>
      <c r="K1246" s="348"/>
      <c r="L1246" s="86">
        <v>622733.54</v>
      </c>
      <c r="M1246" s="87"/>
      <c r="N1246" s="88">
        <v>6095122.71</v>
      </c>
    </row>
    <row r="1247" spans="1:14" hidden="1" x14ac:dyDescent="0.25">
      <c r="A1247" s="85"/>
      <c r="B1247" s="41"/>
      <c r="C1247" s="348" t="s">
        <v>188</v>
      </c>
      <c r="D1247" s="348"/>
      <c r="E1247" s="348"/>
      <c r="F1247" s="348"/>
      <c r="G1247" s="348"/>
      <c r="H1247" s="348"/>
      <c r="I1247" s="348"/>
      <c r="J1247" s="348"/>
      <c r="K1247" s="348"/>
      <c r="L1247" s="89"/>
      <c r="M1247" s="87"/>
      <c r="N1247" s="90"/>
    </row>
    <row r="1248" spans="1:14" hidden="1" x14ac:dyDescent="0.25">
      <c r="A1248" s="85"/>
      <c r="B1248" s="41"/>
      <c r="C1248" s="348" t="s">
        <v>189</v>
      </c>
      <c r="D1248" s="348"/>
      <c r="E1248" s="348"/>
      <c r="F1248" s="348"/>
      <c r="G1248" s="348"/>
      <c r="H1248" s="348"/>
      <c r="I1248" s="348"/>
      <c r="J1248" s="348"/>
      <c r="K1248" s="348"/>
      <c r="L1248" s="95">
        <v>767.89</v>
      </c>
      <c r="M1248" s="87"/>
      <c r="N1248" s="88">
        <v>40091.53</v>
      </c>
    </row>
    <row r="1249" spans="1:14" hidden="1" x14ac:dyDescent="0.25">
      <c r="A1249" s="85"/>
      <c r="B1249" s="41"/>
      <c r="C1249" s="348" t="s">
        <v>190</v>
      </c>
      <c r="D1249" s="348"/>
      <c r="E1249" s="348"/>
      <c r="F1249" s="348"/>
      <c r="G1249" s="348"/>
      <c r="H1249" s="348"/>
      <c r="I1249" s="348"/>
      <c r="J1249" s="348"/>
      <c r="K1249" s="348"/>
      <c r="L1249" s="86">
        <v>9810.9</v>
      </c>
      <c r="M1249" s="87"/>
      <c r="N1249" s="88">
        <v>154129.24</v>
      </c>
    </row>
    <row r="1250" spans="1:14" hidden="1" x14ac:dyDescent="0.25">
      <c r="A1250" s="85"/>
      <c r="B1250" s="41"/>
      <c r="C1250" s="348" t="s">
        <v>191</v>
      </c>
      <c r="D1250" s="348"/>
      <c r="E1250" s="348"/>
      <c r="F1250" s="348"/>
      <c r="G1250" s="348"/>
      <c r="H1250" s="348"/>
      <c r="I1250" s="348"/>
      <c r="J1250" s="348"/>
      <c r="K1250" s="348"/>
      <c r="L1250" s="95">
        <v>416.92</v>
      </c>
      <c r="M1250" s="87"/>
      <c r="N1250" s="88">
        <v>21767.39</v>
      </c>
    </row>
    <row r="1251" spans="1:14" hidden="1" x14ac:dyDescent="0.25">
      <c r="A1251" s="85"/>
      <c r="B1251" s="41"/>
      <c r="C1251" s="348" t="s">
        <v>192</v>
      </c>
      <c r="D1251" s="348"/>
      <c r="E1251" s="348"/>
      <c r="F1251" s="348"/>
      <c r="G1251" s="348"/>
      <c r="H1251" s="348"/>
      <c r="I1251" s="348"/>
      <c r="J1251" s="348"/>
      <c r="K1251" s="348"/>
      <c r="L1251" s="86">
        <v>610166.55000000005</v>
      </c>
      <c r="M1251" s="87"/>
      <c r="N1251" s="88">
        <v>5797098.0499999998</v>
      </c>
    </row>
    <row r="1252" spans="1:14" hidden="1" x14ac:dyDescent="0.25">
      <c r="A1252" s="85"/>
      <c r="B1252" s="41"/>
      <c r="C1252" s="348" t="s">
        <v>193</v>
      </c>
      <c r="D1252" s="348"/>
      <c r="E1252" s="348"/>
      <c r="F1252" s="348"/>
      <c r="G1252" s="348"/>
      <c r="H1252" s="348"/>
      <c r="I1252" s="348"/>
      <c r="J1252" s="348"/>
      <c r="K1252" s="348"/>
      <c r="L1252" s="86">
        <v>1306.73</v>
      </c>
      <c r="M1252" s="87"/>
      <c r="N1252" s="88">
        <v>68224.33</v>
      </c>
    </row>
    <row r="1253" spans="1:14" hidden="1" x14ac:dyDescent="0.25">
      <c r="A1253" s="85"/>
      <c r="B1253" s="41"/>
      <c r="C1253" s="348" t="s">
        <v>194</v>
      </c>
      <c r="D1253" s="348"/>
      <c r="E1253" s="348"/>
      <c r="F1253" s="348"/>
      <c r="G1253" s="348"/>
      <c r="H1253" s="348"/>
      <c r="I1253" s="348"/>
      <c r="J1253" s="348"/>
      <c r="K1253" s="348"/>
      <c r="L1253" s="95">
        <v>681.47</v>
      </c>
      <c r="M1253" s="87"/>
      <c r="N1253" s="88">
        <v>35579.56</v>
      </c>
    </row>
    <row r="1254" spans="1:14" hidden="1" x14ac:dyDescent="0.25">
      <c r="A1254" s="85"/>
      <c r="B1254" s="41"/>
      <c r="C1254" s="348" t="s">
        <v>195</v>
      </c>
      <c r="D1254" s="348"/>
      <c r="E1254" s="348"/>
      <c r="F1254" s="348"/>
      <c r="G1254" s="348"/>
      <c r="H1254" s="348"/>
      <c r="I1254" s="348"/>
      <c r="J1254" s="348"/>
      <c r="K1254" s="348"/>
      <c r="L1254" s="95">
        <v>430.93</v>
      </c>
      <c r="M1254" s="87"/>
      <c r="N1254" s="88">
        <v>6902.2</v>
      </c>
    </row>
    <row r="1255" spans="1:14" hidden="1" x14ac:dyDescent="0.25">
      <c r="A1255" s="85"/>
      <c r="B1255" s="41"/>
      <c r="C1255" s="348" t="s">
        <v>196</v>
      </c>
      <c r="D1255" s="348"/>
      <c r="E1255" s="348"/>
      <c r="F1255" s="348"/>
      <c r="G1255" s="348"/>
      <c r="H1255" s="348"/>
      <c r="I1255" s="348"/>
      <c r="J1255" s="348"/>
      <c r="K1255" s="348"/>
      <c r="L1255" s="95">
        <v>54.4</v>
      </c>
      <c r="M1255" s="87"/>
      <c r="N1255" s="96">
        <v>854.62</v>
      </c>
    </row>
    <row r="1256" spans="1:14" hidden="1" x14ac:dyDescent="0.25">
      <c r="A1256" s="85"/>
      <c r="B1256" s="41"/>
      <c r="C1256" s="348" t="s">
        <v>297</v>
      </c>
      <c r="D1256" s="348"/>
      <c r="E1256" s="348"/>
      <c r="F1256" s="348"/>
      <c r="G1256" s="348"/>
      <c r="H1256" s="348"/>
      <c r="I1256" s="348"/>
      <c r="J1256" s="348"/>
      <c r="K1256" s="348"/>
      <c r="L1256" s="86">
        <v>1023.55</v>
      </c>
      <c r="M1256" s="87"/>
      <c r="N1256" s="88">
        <v>37125.61</v>
      </c>
    </row>
    <row r="1257" spans="1:14" hidden="1" x14ac:dyDescent="0.25">
      <c r="A1257" s="85"/>
      <c r="B1257" s="41"/>
      <c r="C1257" s="348" t="s">
        <v>177</v>
      </c>
      <c r="D1257" s="348"/>
      <c r="E1257" s="348"/>
      <c r="F1257" s="348"/>
      <c r="G1257" s="348"/>
      <c r="H1257" s="348"/>
      <c r="I1257" s="348"/>
      <c r="J1257" s="348"/>
      <c r="K1257" s="348"/>
      <c r="L1257" s="89"/>
      <c r="M1257" s="87"/>
      <c r="N1257" s="90"/>
    </row>
    <row r="1258" spans="1:14" hidden="1" x14ac:dyDescent="0.25">
      <c r="A1258" s="85"/>
      <c r="B1258" s="41"/>
      <c r="C1258" s="348" t="s">
        <v>298</v>
      </c>
      <c r="D1258" s="348"/>
      <c r="E1258" s="348"/>
      <c r="F1258" s="348"/>
      <c r="G1258" s="348"/>
      <c r="H1258" s="348"/>
      <c r="I1258" s="348"/>
      <c r="J1258" s="348"/>
      <c r="K1258" s="348"/>
      <c r="L1258" s="95">
        <v>251.92</v>
      </c>
      <c r="M1258" s="87"/>
      <c r="N1258" s="88">
        <v>13152.74</v>
      </c>
    </row>
    <row r="1259" spans="1:14" hidden="1" x14ac:dyDescent="0.25">
      <c r="A1259" s="85"/>
      <c r="B1259" s="41"/>
      <c r="C1259" s="348" t="s">
        <v>299</v>
      </c>
      <c r="D1259" s="348"/>
      <c r="E1259" s="348"/>
      <c r="F1259" s="348"/>
      <c r="G1259" s="348"/>
      <c r="H1259" s="348"/>
      <c r="I1259" s="348"/>
      <c r="J1259" s="348"/>
      <c r="K1259" s="348"/>
      <c r="L1259" s="95">
        <v>120.78</v>
      </c>
      <c r="M1259" s="87"/>
      <c r="N1259" s="88">
        <v>1897.45</v>
      </c>
    </row>
    <row r="1260" spans="1:14" hidden="1" x14ac:dyDescent="0.25">
      <c r="A1260" s="85"/>
      <c r="B1260" s="41"/>
      <c r="C1260" s="348" t="s">
        <v>300</v>
      </c>
      <c r="D1260" s="348"/>
      <c r="E1260" s="348"/>
      <c r="F1260" s="348"/>
      <c r="G1260" s="348"/>
      <c r="H1260" s="348"/>
      <c r="I1260" s="348"/>
      <c r="J1260" s="348"/>
      <c r="K1260" s="348"/>
      <c r="L1260" s="95">
        <v>11.98</v>
      </c>
      <c r="M1260" s="87"/>
      <c r="N1260" s="96">
        <v>625.48</v>
      </c>
    </row>
    <row r="1261" spans="1:14" hidden="1" x14ac:dyDescent="0.25">
      <c r="A1261" s="85"/>
      <c r="B1261" s="41"/>
      <c r="C1261" s="348" t="s">
        <v>301</v>
      </c>
      <c r="D1261" s="348"/>
      <c r="E1261" s="348"/>
      <c r="F1261" s="348"/>
      <c r="G1261" s="348"/>
      <c r="H1261" s="348"/>
      <c r="I1261" s="348"/>
      <c r="J1261" s="348"/>
      <c r="K1261" s="348"/>
      <c r="L1261" s="95">
        <v>278.75</v>
      </c>
      <c r="M1261" s="87"/>
      <c r="N1261" s="88">
        <v>2648.13</v>
      </c>
    </row>
    <row r="1262" spans="1:14" hidden="1" x14ac:dyDescent="0.25">
      <c r="A1262" s="85"/>
      <c r="B1262" s="41"/>
      <c r="C1262" s="348" t="s">
        <v>302</v>
      </c>
      <c r="D1262" s="348"/>
      <c r="E1262" s="348"/>
      <c r="F1262" s="348"/>
      <c r="G1262" s="348"/>
      <c r="H1262" s="348"/>
      <c r="I1262" s="348"/>
      <c r="J1262" s="348"/>
      <c r="K1262" s="348"/>
      <c r="L1262" s="95">
        <v>242.79</v>
      </c>
      <c r="M1262" s="87"/>
      <c r="N1262" s="88">
        <v>12675.96</v>
      </c>
    </row>
    <row r="1263" spans="1:14" hidden="1" x14ac:dyDescent="0.25">
      <c r="A1263" s="85"/>
      <c r="B1263" s="41"/>
      <c r="C1263" s="348" t="s">
        <v>303</v>
      </c>
      <c r="D1263" s="348"/>
      <c r="E1263" s="348"/>
      <c r="F1263" s="348"/>
      <c r="G1263" s="348"/>
      <c r="H1263" s="348"/>
      <c r="I1263" s="348"/>
      <c r="J1263" s="348"/>
      <c r="K1263" s="348"/>
      <c r="L1263" s="95">
        <v>129.31</v>
      </c>
      <c r="M1263" s="87"/>
      <c r="N1263" s="88">
        <v>6751.33</v>
      </c>
    </row>
    <row r="1264" spans="1:14" hidden="1" x14ac:dyDescent="0.25">
      <c r="A1264" s="85"/>
      <c r="B1264" s="41"/>
      <c r="C1264" s="348" t="s">
        <v>197</v>
      </c>
      <c r="D1264" s="348"/>
      <c r="E1264" s="348"/>
      <c r="F1264" s="348"/>
      <c r="G1264" s="348"/>
      <c r="H1264" s="348"/>
      <c r="I1264" s="348"/>
      <c r="J1264" s="348"/>
      <c r="K1264" s="348"/>
      <c r="L1264" s="86">
        <v>1448.71</v>
      </c>
      <c r="M1264" s="87"/>
      <c r="N1264" s="88">
        <v>75637.14</v>
      </c>
    </row>
    <row r="1265" spans="1:14" hidden="1" x14ac:dyDescent="0.25">
      <c r="A1265" s="85"/>
      <c r="B1265" s="41"/>
      <c r="C1265" s="348" t="s">
        <v>198</v>
      </c>
      <c r="D1265" s="348"/>
      <c r="E1265" s="348"/>
      <c r="F1265" s="348"/>
      <c r="G1265" s="348"/>
      <c r="H1265" s="348"/>
      <c r="I1265" s="348"/>
      <c r="J1265" s="348"/>
      <c r="K1265" s="348"/>
      <c r="L1265" s="86">
        <v>1549.52</v>
      </c>
      <c r="M1265" s="87"/>
      <c r="N1265" s="88">
        <v>80900.289999999994</v>
      </c>
    </row>
    <row r="1266" spans="1:14" hidden="1" x14ac:dyDescent="0.25">
      <c r="A1266" s="85"/>
      <c r="B1266" s="41"/>
      <c r="C1266" s="348" t="s">
        <v>199</v>
      </c>
      <c r="D1266" s="348"/>
      <c r="E1266" s="348"/>
      <c r="F1266" s="348"/>
      <c r="G1266" s="348"/>
      <c r="H1266" s="348"/>
      <c r="I1266" s="348"/>
      <c r="J1266" s="348"/>
      <c r="K1266" s="348"/>
      <c r="L1266" s="95">
        <v>810.78</v>
      </c>
      <c r="M1266" s="87"/>
      <c r="N1266" s="88">
        <v>42330.89</v>
      </c>
    </row>
    <row r="1267" spans="1:14" hidden="1" x14ac:dyDescent="0.25">
      <c r="A1267" s="85"/>
      <c r="B1267" s="81"/>
      <c r="C1267" s="349" t="s">
        <v>412</v>
      </c>
      <c r="D1267" s="349"/>
      <c r="E1267" s="349"/>
      <c r="F1267" s="349"/>
      <c r="G1267" s="349"/>
      <c r="H1267" s="349"/>
      <c r="I1267" s="349"/>
      <c r="J1267" s="349"/>
      <c r="K1267" s="349"/>
      <c r="L1267" s="91">
        <v>624242.42000000004</v>
      </c>
      <c r="M1267" s="83"/>
      <c r="N1267" s="92">
        <v>6140005.1399999997</v>
      </c>
    </row>
    <row r="1268" spans="1:14" hidden="1" x14ac:dyDescent="0.25">
      <c r="A1268" s="85"/>
      <c r="B1268" s="41"/>
      <c r="C1268" s="348" t="s">
        <v>201</v>
      </c>
      <c r="D1268" s="348"/>
      <c r="E1268" s="348"/>
      <c r="F1268" s="348"/>
      <c r="G1268" s="348"/>
      <c r="H1268" s="348"/>
      <c r="I1268" s="348"/>
      <c r="J1268" s="348"/>
      <c r="K1268" s="348"/>
      <c r="L1268" s="89"/>
      <c r="M1268" s="87"/>
      <c r="N1268" s="90"/>
    </row>
    <row r="1269" spans="1:14" hidden="1" x14ac:dyDescent="0.25">
      <c r="A1269" s="85"/>
      <c r="B1269" s="41"/>
      <c r="C1269" s="348" t="s">
        <v>202</v>
      </c>
      <c r="D1269" s="348"/>
      <c r="E1269" s="348"/>
      <c r="F1269" s="348"/>
      <c r="G1269" s="348"/>
      <c r="H1269" s="348"/>
      <c r="I1269" s="42" t="s">
        <v>413</v>
      </c>
      <c r="J1269" s="93"/>
      <c r="K1269" s="93"/>
      <c r="L1269" s="89"/>
      <c r="M1269" s="87"/>
      <c r="N1269" s="90"/>
    </row>
    <row r="1270" spans="1:14" hidden="1" x14ac:dyDescent="0.25">
      <c r="A1270" s="85"/>
      <c r="B1270" s="41"/>
      <c r="C1270" s="348" t="s">
        <v>204</v>
      </c>
      <c r="D1270" s="348"/>
      <c r="E1270" s="348"/>
      <c r="F1270" s="348"/>
      <c r="G1270" s="348"/>
      <c r="H1270" s="348"/>
      <c r="I1270" s="42" t="s">
        <v>414</v>
      </c>
      <c r="J1270" s="93"/>
      <c r="K1270" s="93"/>
      <c r="L1270" s="89"/>
      <c r="M1270" s="87"/>
      <c r="N1270" s="90"/>
    </row>
    <row r="1271" spans="1:14" x14ac:dyDescent="0.25">
      <c r="A1271" s="358" t="s">
        <v>415</v>
      </c>
      <c r="B1271" s="359"/>
      <c r="C1271" s="359"/>
      <c r="D1271" s="359"/>
      <c r="E1271" s="359"/>
      <c r="F1271" s="359"/>
      <c r="G1271" s="359"/>
      <c r="H1271" s="359"/>
      <c r="I1271" s="359"/>
      <c r="J1271" s="359"/>
      <c r="K1271" s="359"/>
      <c r="L1271" s="359"/>
      <c r="M1271" s="359"/>
      <c r="N1271" s="360"/>
    </row>
    <row r="1272" spans="1:14" ht="36.75" customHeight="1" x14ac:dyDescent="0.25">
      <c r="A1272" s="32" t="s">
        <v>416</v>
      </c>
      <c r="B1272" s="33" t="s">
        <v>208</v>
      </c>
      <c r="C1272" s="350" t="s">
        <v>209</v>
      </c>
      <c r="D1272" s="350"/>
      <c r="E1272" s="350"/>
      <c r="F1272" s="34" t="s">
        <v>210</v>
      </c>
      <c r="G1272" s="35">
        <v>1</v>
      </c>
      <c r="H1272" s="36">
        <v>1</v>
      </c>
      <c r="I1272" s="36">
        <v>1</v>
      </c>
      <c r="J1272" s="38"/>
      <c r="K1272" s="35"/>
      <c r="L1272" s="38"/>
      <c r="M1272" s="35"/>
      <c r="N1272" s="39"/>
    </row>
    <row r="1273" spans="1:14" hidden="1" x14ac:dyDescent="0.25">
      <c r="A1273" s="40"/>
      <c r="B1273" s="41" t="s">
        <v>55</v>
      </c>
      <c r="C1273" s="354" t="s">
        <v>59</v>
      </c>
      <c r="D1273" s="354"/>
      <c r="E1273" s="354"/>
      <c r="F1273" s="42"/>
      <c r="G1273" s="43"/>
      <c r="H1273" s="43"/>
      <c r="I1273" s="43"/>
      <c r="J1273" s="44">
        <v>298.64</v>
      </c>
      <c r="K1273" s="43"/>
      <c r="L1273" s="44">
        <v>298.64</v>
      </c>
      <c r="M1273" s="45">
        <v>52.21</v>
      </c>
      <c r="N1273" s="46">
        <v>15591.99</v>
      </c>
    </row>
    <row r="1274" spans="1:14" hidden="1" x14ac:dyDescent="0.25">
      <c r="A1274" s="40"/>
      <c r="B1274" s="41" t="s">
        <v>70</v>
      </c>
      <c r="C1274" s="354" t="s">
        <v>74</v>
      </c>
      <c r="D1274" s="354"/>
      <c r="E1274" s="354"/>
      <c r="F1274" s="42"/>
      <c r="G1274" s="43"/>
      <c r="H1274" s="43"/>
      <c r="I1274" s="43"/>
      <c r="J1274" s="44">
        <v>128.02000000000001</v>
      </c>
      <c r="K1274" s="43"/>
      <c r="L1274" s="44">
        <v>128.02000000000001</v>
      </c>
      <c r="M1274" s="45">
        <v>15.71</v>
      </c>
      <c r="N1274" s="46">
        <v>2011.19</v>
      </c>
    </row>
    <row r="1275" spans="1:14" hidden="1" x14ac:dyDescent="0.25">
      <c r="A1275" s="40"/>
      <c r="B1275" s="41" t="s">
        <v>75</v>
      </c>
      <c r="C1275" s="354" t="s">
        <v>76</v>
      </c>
      <c r="D1275" s="354"/>
      <c r="E1275" s="354"/>
      <c r="F1275" s="42"/>
      <c r="G1275" s="43"/>
      <c r="H1275" s="43"/>
      <c r="I1275" s="43"/>
      <c r="J1275" s="44">
        <v>19.84</v>
      </c>
      <c r="K1275" s="43"/>
      <c r="L1275" s="44">
        <v>19.84</v>
      </c>
      <c r="M1275" s="45">
        <v>52.21</v>
      </c>
      <c r="N1275" s="46">
        <v>1035.8499999999999</v>
      </c>
    </row>
    <row r="1276" spans="1:14" hidden="1" x14ac:dyDescent="0.25">
      <c r="A1276" s="47"/>
      <c r="B1276" s="41"/>
      <c r="C1276" s="354" t="s">
        <v>60</v>
      </c>
      <c r="D1276" s="354"/>
      <c r="E1276" s="354"/>
      <c r="F1276" s="42" t="s">
        <v>61</v>
      </c>
      <c r="G1276" s="45">
        <v>35.01</v>
      </c>
      <c r="H1276" s="43"/>
      <c r="I1276" s="45">
        <v>35.01</v>
      </c>
      <c r="J1276" s="50"/>
      <c r="K1276" s="43"/>
      <c r="L1276" s="50"/>
      <c r="M1276" s="43"/>
      <c r="N1276" s="51"/>
    </row>
    <row r="1277" spans="1:14" hidden="1" x14ac:dyDescent="0.25">
      <c r="A1277" s="47"/>
      <c r="B1277" s="41"/>
      <c r="C1277" s="354" t="s">
        <v>77</v>
      </c>
      <c r="D1277" s="354"/>
      <c r="E1277" s="354"/>
      <c r="F1277" s="42" t="s">
        <v>61</v>
      </c>
      <c r="G1277" s="45">
        <v>1.71</v>
      </c>
      <c r="H1277" s="43"/>
      <c r="I1277" s="45">
        <v>1.71</v>
      </c>
      <c r="J1277" s="50"/>
      <c r="K1277" s="43"/>
      <c r="L1277" s="50"/>
      <c r="M1277" s="43"/>
      <c r="N1277" s="51"/>
    </row>
    <row r="1278" spans="1:14" hidden="1" x14ac:dyDescent="0.25">
      <c r="A1278" s="52"/>
      <c r="B1278" s="41"/>
      <c r="C1278" s="355" t="s">
        <v>62</v>
      </c>
      <c r="D1278" s="355"/>
      <c r="E1278" s="355"/>
      <c r="F1278" s="53"/>
      <c r="G1278" s="54"/>
      <c r="H1278" s="54"/>
      <c r="I1278" s="54"/>
      <c r="J1278" s="55">
        <v>426.66</v>
      </c>
      <c r="K1278" s="54"/>
      <c r="L1278" s="55">
        <v>426.66</v>
      </c>
      <c r="M1278" s="54"/>
      <c r="N1278" s="56">
        <v>17603.18</v>
      </c>
    </row>
    <row r="1279" spans="1:14" hidden="1" x14ac:dyDescent="0.25">
      <c r="A1279" s="47"/>
      <c r="B1279" s="41"/>
      <c r="C1279" s="354" t="s">
        <v>63</v>
      </c>
      <c r="D1279" s="354"/>
      <c r="E1279" s="354"/>
      <c r="F1279" s="42"/>
      <c r="G1279" s="43"/>
      <c r="H1279" s="43"/>
      <c r="I1279" s="43"/>
      <c r="J1279" s="50"/>
      <c r="K1279" s="43"/>
      <c r="L1279" s="44">
        <v>318.48</v>
      </c>
      <c r="M1279" s="43"/>
      <c r="N1279" s="46">
        <v>16627.84</v>
      </c>
    </row>
    <row r="1280" spans="1:14" ht="22.5" hidden="1" x14ac:dyDescent="0.25">
      <c r="A1280" s="47"/>
      <c r="B1280" s="41" t="s">
        <v>78</v>
      </c>
      <c r="C1280" s="354" t="s">
        <v>79</v>
      </c>
      <c r="D1280" s="354"/>
      <c r="E1280" s="354"/>
      <c r="F1280" s="42" t="s">
        <v>66</v>
      </c>
      <c r="G1280" s="48">
        <v>109</v>
      </c>
      <c r="H1280" s="43"/>
      <c r="I1280" s="48">
        <v>109</v>
      </c>
      <c r="J1280" s="50"/>
      <c r="K1280" s="43"/>
      <c r="L1280" s="44">
        <v>347.14</v>
      </c>
      <c r="M1280" s="43"/>
      <c r="N1280" s="46">
        <v>18124.349999999999</v>
      </c>
    </row>
    <row r="1281" spans="1:14" ht="45" hidden="1" x14ac:dyDescent="0.25">
      <c r="A1281" s="47"/>
      <c r="B1281" s="41" t="s">
        <v>80</v>
      </c>
      <c r="C1281" s="354" t="s">
        <v>81</v>
      </c>
      <c r="D1281" s="354"/>
      <c r="E1281" s="354"/>
      <c r="F1281" s="42" t="s">
        <v>66</v>
      </c>
      <c r="G1281" s="48">
        <v>65</v>
      </c>
      <c r="H1281" s="45">
        <v>0.85</v>
      </c>
      <c r="I1281" s="45">
        <v>55.25</v>
      </c>
      <c r="J1281" s="50"/>
      <c r="K1281" s="43"/>
      <c r="L1281" s="44">
        <v>175.96</v>
      </c>
      <c r="M1281" s="43"/>
      <c r="N1281" s="46">
        <v>9186.8799999999992</v>
      </c>
    </row>
    <row r="1282" spans="1:14" hidden="1" x14ac:dyDescent="0.25">
      <c r="A1282" s="57"/>
      <c r="B1282" s="58"/>
      <c r="C1282" s="350" t="s">
        <v>69</v>
      </c>
      <c r="D1282" s="350"/>
      <c r="E1282" s="350"/>
      <c r="F1282" s="34"/>
      <c r="G1282" s="35"/>
      <c r="H1282" s="35"/>
      <c r="I1282" s="35"/>
      <c r="J1282" s="38"/>
      <c r="K1282" s="35"/>
      <c r="L1282" s="59">
        <v>949.76</v>
      </c>
      <c r="M1282" s="54"/>
      <c r="N1282" s="60">
        <v>44914.41</v>
      </c>
    </row>
    <row r="1283" spans="1:14" ht="39" customHeight="1" x14ac:dyDescent="0.25">
      <c r="A1283" s="32" t="s">
        <v>417</v>
      </c>
      <c r="B1283" s="33" t="s">
        <v>82</v>
      </c>
      <c r="C1283" s="350" t="s">
        <v>83</v>
      </c>
      <c r="D1283" s="350"/>
      <c r="E1283" s="350"/>
      <c r="F1283" s="34" t="s">
        <v>58</v>
      </c>
      <c r="G1283" s="35">
        <v>0.23699999999999999</v>
      </c>
      <c r="H1283" s="36">
        <v>1</v>
      </c>
      <c r="I1283" s="67">
        <v>0.23699999999999999</v>
      </c>
      <c r="J1283" s="38"/>
      <c r="K1283" s="35"/>
      <c r="L1283" s="38"/>
      <c r="M1283" s="35"/>
      <c r="N1283" s="39"/>
    </row>
    <row r="1284" spans="1:14" hidden="1" x14ac:dyDescent="0.25">
      <c r="A1284" s="40"/>
      <c r="B1284" s="41" t="s">
        <v>55</v>
      </c>
      <c r="C1284" s="354" t="s">
        <v>59</v>
      </c>
      <c r="D1284" s="354"/>
      <c r="E1284" s="354"/>
      <c r="F1284" s="42"/>
      <c r="G1284" s="43"/>
      <c r="H1284" s="43"/>
      <c r="I1284" s="43"/>
      <c r="J1284" s="44">
        <v>92.08</v>
      </c>
      <c r="K1284" s="43"/>
      <c r="L1284" s="44">
        <v>21.82</v>
      </c>
      <c r="M1284" s="45">
        <v>52.21</v>
      </c>
      <c r="N1284" s="46">
        <v>1139.22</v>
      </c>
    </row>
    <row r="1285" spans="1:14" hidden="1" x14ac:dyDescent="0.25">
      <c r="A1285" s="40"/>
      <c r="B1285" s="41" t="s">
        <v>70</v>
      </c>
      <c r="C1285" s="354" t="s">
        <v>74</v>
      </c>
      <c r="D1285" s="354"/>
      <c r="E1285" s="354"/>
      <c r="F1285" s="42"/>
      <c r="G1285" s="43"/>
      <c r="H1285" s="43"/>
      <c r="I1285" s="43"/>
      <c r="J1285" s="44">
        <v>287.60000000000002</v>
      </c>
      <c r="K1285" s="43"/>
      <c r="L1285" s="44">
        <v>68.16</v>
      </c>
      <c r="M1285" s="45">
        <v>15.71</v>
      </c>
      <c r="N1285" s="46">
        <v>1070.79</v>
      </c>
    </row>
    <row r="1286" spans="1:14" hidden="1" x14ac:dyDescent="0.25">
      <c r="A1286" s="40"/>
      <c r="B1286" s="41" t="s">
        <v>75</v>
      </c>
      <c r="C1286" s="354" t="s">
        <v>76</v>
      </c>
      <c r="D1286" s="354"/>
      <c r="E1286" s="354"/>
      <c r="F1286" s="42"/>
      <c r="G1286" s="43"/>
      <c r="H1286" s="43"/>
      <c r="I1286" s="43"/>
      <c r="J1286" s="44">
        <v>37.57</v>
      </c>
      <c r="K1286" s="43"/>
      <c r="L1286" s="44">
        <v>8.9</v>
      </c>
      <c r="M1286" s="45">
        <v>52.21</v>
      </c>
      <c r="N1286" s="69">
        <v>464.67</v>
      </c>
    </row>
    <row r="1287" spans="1:14" hidden="1" x14ac:dyDescent="0.25">
      <c r="A1287" s="47"/>
      <c r="B1287" s="41"/>
      <c r="C1287" s="354" t="s">
        <v>60</v>
      </c>
      <c r="D1287" s="354"/>
      <c r="E1287" s="354"/>
      <c r="F1287" s="42" t="s">
        <v>61</v>
      </c>
      <c r="G1287" s="63">
        <v>11.7</v>
      </c>
      <c r="H1287" s="43"/>
      <c r="I1287" s="64">
        <v>2.7728999999999999</v>
      </c>
      <c r="J1287" s="50"/>
      <c r="K1287" s="43"/>
      <c r="L1287" s="50"/>
      <c r="M1287" s="43"/>
      <c r="N1287" s="51"/>
    </row>
    <row r="1288" spans="1:14" hidden="1" x14ac:dyDescent="0.25">
      <c r="A1288" s="47"/>
      <c r="B1288" s="41"/>
      <c r="C1288" s="354" t="s">
        <v>77</v>
      </c>
      <c r="D1288" s="354"/>
      <c r="E1288" s="354"/>
      <c r="F1288" s="42" t="s">
        <v>61</v>
      </c>
      <c r="G1288" s="45">
        <v>2.96</v>
      </c>
      <c r="H1288" s="43"/>
      <c r="I1288" s="68">
        <v>0.70152000000000003</v>
      </c>
      <c r="J1288" s="50"/>
      <c r="K1288" s="43"/>
      <c r="L1288" s="50"/>
      <c r="M1288" s="43"/>
      <c r="N1288" s="51"/>
    </row>
    <row r="1289" spans="1:14" hidden="1" x14ac:dyDescent="0.25">
      <c r="A1289" s="52"/>
      <c r="B1289" s="41"/>
      <c r="C1289" s="355" t="s">
        <v>62</v>
      </c>
      <c r="D1289" s="355"/>
      <c r="E1289" s="355"/>
      <c r="F1289" s="53"/>
      <c r="G1289" s="54"/>
      <c r="H1289" s="54"/>
      <c r="I1289" s="54"/>
      <c r="J1289" s="55">
        <v>379.68</v>
      </c>
      <c r="K1289" s="54"/>
      <c r="L1289" s="55">
        <v>89.98</v>
      </c>
      <c r="M1289" s="54"/>
      <c r="N1289" s="56">
        <v>2210.0100000000002</v>
      </c>
    </row>
    <row r="1290" spans="1:14" hidden="1" x14ac:dyDescent="0.25">
      <c r="A1290" s="47"/>
      <c r="B1290" s="41"/>
      <c r="C1290" s="354" t="s">
        <v>63</v>
      </c>
      <c r="D1290" s="354"/>
      <c r="E1290" s="354"/>
      <c r="F1290" s="42"/>
      <c r="G1290" s="43"/>
      <c r="H1290" s="43"/>
      <c r="I1290" s="43"/>
      <c r="J1290" s="50"/>
      <c r="K1290" s="43"/>
      <c r="L1290" s="44">
        <v>30.72</v>
      </c>
      <c r="M1290" s="43"/>
      <c r="N1290" s="46">
        <v>1603.89</v>
      </c>
    </row>
    <row r="1291" spans="1:14" hidden="1" x14ac:dyDescent="0.25">
      <c r="A1291" s="47"/>
      <c r="B1291" s="41" t="s">
        <v>84</v>
      </c>
      <c r="C1291" s="354" t="s">
        <v>85</v>
      </c>
      <c r="D1291" s="354"/>
      <c r="E1291" s="354"/>
      <c r="F1291" s="42" t="s">
        <v>66</v>
      </c>
      <c r="G1291" s="48">
        <v>102</v>
      </c>
      <c r="H1291" s="43"/>
      <c r="I1291" s="48">
        <v>102</v>
      </c>
      <c r="J1291" s="50"/>
      <c r="K1291" s="43"/>
      <c r="L1291" s="44">
        <v>31.33</v>
      </c>
      <c r="M1291" s="43"/>
      <c r="N1291" s="46">
        <v>1635.97</v>
      </c>
    </row>
    <row r="1292" spans="1:14" hidden="1" x14ac:dyDescent="0.25">
      <c r="A1292" s="47"/>
      <c r="B1292" s="41" t="s">
        <v>86</v>
      </c>
      <c r="C1292" s="354" t="s">
        <v>87</v>
      </c>
      <c r="D1292" s="354"/>
      <c r="E1292" s="354"/>
      <c r="F1292" s="42" t="s">
        <v>66</v>
      </c>
      <c r="G1292" s="48">
        <v>54</v>
      </c>
      <c r="H1292" s="43"/>
      <c r="I1292" s="48">
        <v>54</v>
      </c>
      <c r="J1292" s="50"/>
      <c r="K1292" s="43"/>
      <c r="L1292" s="44">
        <v>16.59</v>
      </c>
      <c r="M1292" s="43"/>
      <c r="N1292" s="69">
        <v>866.1</v>
      </c>
    </row>
    <row r="1293" spans="1:14" hidden="1" x14ac:dyDescent="0.25">
      <c r="A1293" s="57"/>
      <c r="B1293" s="58"/>
      <c r="C1293" s="350" t="s">
        <v>69</v>
      </c>
      <c r="D1293" s="350"/>
      <c r="E1293" s="350"/>
      <c r="F1293" s="34"/>
      <c r="G1293" s="35"/>
      <c r="H1293" s="35"/>
      <c r="I1293" s="35"/>
      <c r="J1293" s="38"/>
      <c r="K1293" s="35"/>
      <c r="L1293" s="59">
        <v>137.9</v>
      </c>
      <c r="M1293" s="54"/>
      <c r="N1293" s="60">
        <v>4712.08</v>
      </c>
    </row>
    <row r="1294" spans="1:14" x14ac:dyDescent="0.25">
      <c r="A1294" s="32" t="s">
        <v>418</v>
      </c>
      <c r="B1294" s="33" t="s">
        <v>89</v>
      </c>
      <c r="C1294" s="350" t="s">
        <v>90</v>
      </c>
      <c r="D1294" s="350"/>
      <c r="E1294" s="350"/>
      <c r="F1294" s="34" t="s">
        <v>58</v>
      </c>
      <c r="G1294" s="35">
        <v>0.11559999999999999</v>
      </c>
      <c r="H1294" s="36">
        <v>1</v>
      </c>
      <c r="I1294" s="37">
        <v>0.11559999999999999</v>
      </c>
      <c r="J1294" s="38"/>
      <c r="K1294" s="35"/>
      <c r="L1294" s="38"/>
      <c r="M1294" s="35"/>
      <c r="N1294" s="39"/>
    </row>
    <row r="1295" spans="1:14" hidden="1" x14ac:dyDescent="0.25">
      <c r="A1295" s="40"/>
      <c r="B1295" s="41" t="s">
        <v>55</v>
      </c>
      <c r="C1295" s="354" t="s">
        <v>59</v>
      </c>
      <c r="D1295" s="354"/>
      <c r="E1295" s="354"/>
      <c r="F1295" s="42"/>
      <c r="G1295" s="43"/>
      <c r="H1295" s="43"/>
      <c r="I1295" s="43"/>
      <c r="J1295" s="44">
        <v>106.88</v>
      </c>
      <c r="K1295" s="43"/>
      <c r="L1295" s="44">
        <v>12.36</v>
      </c>
      <c r="M1295" s="45">
        <v>52.21</v>
      </c>
      <c r="N1295" s="69">
        <v>645.32000000000005</v>
      </c>
    </row>
    <row r="1296" spans="1:14" hidden="1" x14ac:dyDescent="0.25">
      <c r="A1296" s="40"/>
      <c r="B1296" s="41" t="s">
        <v>70</v>
      </c>
      <c r="C1296" s="354" t="s">
        <v>74</v>
      </c>
      <c r="D1296" s="354"/>
      <c r="E1296" s="354"/>
      <c r="F1296" s="42"/>
      <c r="G1296" s="43"/>
      <c r="H1296" s="43"/>
      <c r="I1296" s="43"/>
      <c r="J1296" s="44">
        <v>241.58</v>
      </c>
      <c r="K1296" s="43"/>
      <c r="L1296" s="44">
        <v>27.93</v>
      </c>
      <c r="M1296" s="45">
        <v>15.71</v>
      </c>
      <c r="N1296" s="69">
        <v>438.78</v>
      </c>
    </row>
    <row r="1297" spans="1:14" hidden="1" x14ac:dyDescent="0.25">
      <c r="A1297" s="40"/>
      <c r="B1297" s="41" t="s">
        <v>75</v>
      </c>
      <c r="C1297" s="354" t="s">
        <v>76</v>
      </c>
      <c r="D1297" s="354"/>
      <c r="E1297" s="354"/>
      <c r="F1297" s="42"/>
      <c r="G1297" s="43"/>
      <c r="H1297" s="43"/>
      <c r="I1297" s="43"/>
      <c r="J1297" s="44">
        <v>26.36</v>
      </c>
      <c r="K1297" s="43"/>
      <c r="L1297" s="44">
        <v>3.05</v>
      </c>
      <c r="M1297" s="45">
        <v>52.21</v>
      </c>
      <c r="N1297" s="69">
        <v>159.24</v>
      </c>
    </row>
    <row r="1298" spans="1:14" hidden="1" x14ac:dyDescent="0.25">
      <c r="A1298" s="47"/>
      <c r="B1298" s="41"/>
      <c r="C1298" s="354" t="s">
        <v>60</v>
      </c>
      <c r="D1298" s="354"/>
      <c r="E1298" s="354"/>
      <c r="F1298" s="42" t="s">
        <v>61</v>
      </c>
      <c r="G1298" s="45">
        <v>12.53</v>
      </c>
      <c r="H1298" s="43"/>
      <c r="I1298" s="73">
        <v>1.4484680000000001</v>
      </c>
      <c r="J1298" s="50"/>
      <c r="K1298" s="43"/>
      <c r="L1298" s="50"/>
      <c r="M1298" s="43"/>
      <c r="N1298" s="51"/>
    </row>
    <row r="1299" spans="1:14" hidden="1" x14ac:dyDescent="0.25">
      <c r="A1299" s="47"/>
      <c r="B1299" s="41"/>
      <c r="C1299" s="354" t="s">
        <v>77</v>
      </c>
      <c r="D1299" s="354"/>
      <c r="E1299" s="354"/>
      <c r="F1299" s="42" t="s">
        <v>61</v>
      </c>
      <c r="G1299" s="45">
        <v>2.62</v>
      </c>
      <c r="H1299" s="43"/>
      <c r="I1299" s="73">
        <v>0.30287199999999997</v>
      </c>
      <c r="J1299" s="50"/>
      <c r="K1299" s="43"/>
      <c r="L1299" s="50"/>
      <c r="M1299" s="43"/>
      <c r="N1299" s="51"/>
    </row>
    <row r="1300" spans="1:14" hidden="1" x14ac:dyDescent="0.25">
      <c r="A1300" s="52"/>
      <c r="B1300" s="41"/>
      <c r="C1300" s="355" t="s">
        <v>62</v>
      </c>
      <c r="D1300" s="355"/>
      <c r="E1300" s="355"/>
      <c r="F1300" s="53"/>
      <c r="G1300" s="54"/>
      <c r="H1300" s="54"/>
      <c r="I1300" s="54"/>
      <c r="J1300" s="55">
        <v>348.46</v>
      </c>
      <c r="K1300" s="54"/>
      <c r="L1300" s="55">
        <v>40.29</v>
      </c>
      <c r="M1300" s="54"/>
      <c r="N1300" s="56">
        <v>1084.0999999999999</v>
      </c>
    </row>
    <row r="1301" spans="1:14" hidden="1" x14ac:dyDescent="0.25">
      <c r="A1301" s="47"/>
      <c r="B1301" s="41"/>
      <c r="C1301" s="354" t="s">
        <v>63</v>
      </c>
      <c r="D1301" s="354"/>
      <c r="E1301" s="354"/>
      <c r="F1301" s="42"/>
      <c r="G1301" s="43"/>
      <c r="H1301" s="43"/>
      <c r="I1301" s="43"/>
      <c r="J1301" s="50"/>
      <c r="K1301" s="43"/>
      <c r="L1301" s="44">
        <v>15.41</v>
      </c>
      <c r="M1301" s="43"/>
      <c r="N1301" s="69">
        <v>804.56</v>
      </c>
    </row>
    <row r="1302" spans="1:14" ht="22.5" hidden="1" x14ac:dyDescent="0.25">
      <c r="A1302" s="47"/>
      <c r="B1302" s="41" t="s">
        <v>91</v>
      </c>
      <c r="C1302" s="354" t="s">
        <v>92</v>
      </c>
      <c r="D1302" s="354"/>
      <c r="E1302" s="354"/>
      <c r="F1302" s="42" t="s">
        <v>66</v>
      </c>
      <c r="G1302" s="48">
        <v>92</v>
      </c>
      <c r="H1302" s="43"/>
      <c r="I1302" s="48">
        <v>92</v>
      </c>
      <c r="J1302" s="50"/>
      <c r="K1302" s="43"/>
      <c r="L1302" s="44">
        <v>14.18</v>
      </c>
      <c r="M1302" s="43"/>
      <c r="N1302" s="69">
        <v>740.2</v>
      </c>
    </row>
    <row r="1303" spans="1:14" ht="45" hidden="1" x14ac:dyDescent="0.25">
      <c r="A1303" s="47"/>
      <c r="B1303" s="41" t="s">
        <v>93</v>
      </c>
      <c r="C1303" s="354" t="s">
        <v>94</v>
      </c>
      <c r="D1303" s="354"/>
      <c r="E1303" s="354"/>
      <c r="F1303" s="42" t="s">
        <v>66</v>
      </c>
      <c r="G1303" s="48">
        <v>46</v>
      </c>
      <c r="H1303" s="45">
        <v>0.85</v>
      </c>
      <c r="I1303" s="63">
        <v>39.1</v>
      </c>
      <c r="J1303" s="50"/>
      <c r="K1303" s="43"/>
      <c r="L1303" s="44">
        <v>6.03</v>
      </c>
      <c r="M1303" s="43"/>
      <c r="N1303" s="69">
        <v>314.58</v>
      </c>
    </row>
    <row r="1304" spans="1:14" hidden="1" x14ac:dyDescent="0.25">
      <c r="A1304" s="57"/>
      <c r="B1304" s="58"/>
      <c r="C1304" s="350" t="s">
        <v>69</v>
      </c>
      <c r="D1304" s="350"/>
      <c r="E1304" s="350"/>
      <c r="F1304" s="34"/>
      <c r="G1304" s="35"/>
      <c r="H1304" s="35"/>
      <c r="I1304" s="35"/>
      <c r="J1304" s="38"/>
      <c r="K1304" s="35"/>
      <c r="L1304" s="59">
        <v>60.5</v>
      </c>
      <c r="M1304" s="54"/>
      <c r="N1304" s="60">
        <v>2138.88</v>
      </c>
    </row>
    <row r="1305" spans="1:14" x14ac:dyDescent="0.25">
      <c r="A1305" s="32" t="s">
        <v>419</v>
      </c>
      <c r="B1305" s="33" t="s">
        <v>96</v>
      </c>
      <c r="C1305" s="350" t="s">
        <v>97</v>
      </c>
      <c r="D1305" s="350"/>
      <c r="E1305" s="350"/>
      <c r="F1305" s="34" t="s">
        <v>58</v>
      </c>
      <c r="G1305" s="35">
        <v>0.11600000000000001</v>
      </c>
      <c r="H1305" s="36">
        <v>1</v>
      </c>
      <c r="I1305" s="67">
        <v>0.11600000000000001</v>
      </c>
      <c r="J1305" s="38"/>
      <c r="K1305" s="35"/>
      <c r="L1305" s="38"/>
      <c r="M1305" s="35"/>
      <c r="N1305" s="39"/>
    </row>
    <row r="1306" spans="1:14" hidden="1" x14ac:dyDescent="0.25">
      <c r="A1306" s="40"/>
      <c r="B1306" s="41" t="s">
        <v>55</v>
      </c>
      <c r="C1306" s="354" t="s">
        <v>59</v>
      </c>
      <c r="D1306" s="354"/>
      <c r="E1306" s="354"/>
      <c r="F1306" s="42"/>
      <c r="G1306" s="43"/>
      <c r="H1306" s="43"/>
      <c r="I1306" s="43"/>
      <c r="J1306" s="44">
        <v>173.23</v>
      </c>
      <c r="K1306" s="43"/>
      <c r="L1306" s="44">
        <v>20.09</v>
      </c>
      <c r="M1306" s="45">
        <v>52.21</v>
      </c>
      <c r="N1306" s="46">
        <v>1048.9000000000001</v>
      </c>
    </row>
    <row r="1307" spans="1:14" hidden="1" x14ac:dyDescent="0.25">
      <c r="A1307" s="40"/>
      <c r="B1307" s="41" t="s">
        <v>70</v>
      </c>
      <c r="C1307" s="354" t="s">
        <v>74</v>
      </c>
      <c r="D1307" s="354"/>
      <c r="E1307" s="354"/>
      <c r="F1307" s="42"/>
      <c r="G1307" s="43"/>
      <c r="H1307" s="43"/>
      <c r="I1307" s="43"/>
      <c r="J1307" s="62">
        <v>5268.76</v>
      </c>
      <c r="K1307" s="43"/>
      <c r="L1307" s="44">
        <v>611.17999999999995</v>
      </c>
      <c r="M1307" s="45">
        <v>15.71</v>
      </c>
      <c r="N1307" s="46">
        <v>9601.64</v>
      </c>
    </row>
    <row r="1308" spans="1:14" hidden="1" x14ac:dyDescent="0.25">
      <c r="A1308" s="40"/>
      <c r="B1308" s="41" t="s">
        <v>75</v>
      </c>
      <c r="C1308" s="354" t="s">
        <v>76</v>
      </c>
      <c r="D1308" s="354"/>
      <c r="E1308" s="354"/>
      <c r="F1308" s="42"/>
      <c r="G1308" s="43"/>
      <c r="H1308" s="43"/>
      <c r="I1308" s="43"/>
      <c r="J1308" s="44">
        <v>267.67</v>
      </c>
      <c r="K1308" s="43"/>
      <c r="L1308" s="44">
        <v>31.05</v>
      </c>
      <c r="M1308" s="45">
        <v>52.21</v>
      </c>
      <c r="N1308" s="46">
        <v>1621.12</v>
      </c>
    </row>
    <row r="1309" spans="1:14" hidden="1" x14ac:dyDescent="0.25">
      <c r="A1309" s="40"/>
      <c r="B1309" s="41" t="s">
        <v>88</v>
      </c>
      <c r="C1309" s="354" t="s">
        <v>98</v>
      </c>
      <c r="D1309" s="354"/>
      <c r="E1309" s="354"/>
      <c r="F1309" s="42"/>
      <c r="G1309" s="43"/>
      <c r="H1309" s="43"/>
      <c r="I1309" s="43"/>
      <c r="J1309" s="44">
        <v>17.079999999999998</v>
      </c>
      <c r="K1309" s="43"/>
      <c r="L1309" s="44">
        <v>1.98</v>
      </c>
      <c r="M1309" s="63">
        <v>9.5</v>
      </c>
      <c r="N1309" s="69">
        <v>18.809999999999999</v>
      </c>
    </row>
    <row r="1310" spans="1:14" hidden="1" x14ac:dyDescent="0.25">
      <c r="A1310" s="47"/>
      <c r="B1310" s="41"/>
      <c r="C1310" s="354" t="s">
        <v>60</v>
      </c>
      <c r="D1310" s="354"/>
      <c r="E1310" s="354"/>
      <c r="F1310" s="42" t="s">
        <v>61</v>
      </c>
      <c r="G1310" s="63">
        <v>21.6</v>
      </c>
      <c r="H1310" s="43"/>
      <c r="I1310" s="64">
        <v>2.5055999999999998</v>
      </c>
      <c r="J1310" s="50"/>
      <c r="K1310" s="43"/>
      <c r="L1310" s="50"/>
      <c r="M1310" s="43"/>
      <c r="N1310" s="51"/>
    </row>
    <row r="1311" spans="1:14" hidden="1" x14ac:dyDescent="0.25">
      <c r="A1311" s="47"/>
      <c r="B1311" s="41"/>
      <c r="C1311" s="354" t="s">
        <v>77</v>
      </c>
      <c r="D1311" s="354"/>
      <c r="E1311" s="354"/>
      <c r="F1311" s="42" t="s">
        <v>61</v>
      </c>
      <c r="G1311" s="63">
        <v>20.6</v>
      </c>
      <c r="H1311" s="43"/>
      <c r="I1311" s="64">
        <v>2.3896000000000002</v>
      </c>
      <c r="J1311" s="50"/>
      <c r="K1311" s="43"/>
      <c r="L1311" s="50"/>
      <c r="M1311" s="43"/>
      <c r="N1311" s="51"/>
    </row>
    <row r="1312" spans="1:14" hidden="1" x14ac:dyDescent="0.25">
      <c r="A1312" s="52"/>
      <c r="B1312" s="41"/>
      <c r="C1312" s="355" t="s">
        <v>62</v>
      </c>
      <c r="D1312" s="355"/>
      <c r="E1312" s="355"/>
      <c r="F1312" s="53"/>
      <c r="G1312" s="54"/>
      <c r="H1312" s="54"/>
      <c r="I1312" s="54"/>
      <c r="J1312" s="65">
        <v>5459.07</v>
      </c>
      <c r="K1312" s="54"/>
      <c r="L1312" s="55">
        <v>633.25</v>
      </c>
      <c r="M1312" s="54"/>
      <c r="N1312" s="56">
        <v>10669.35</v>
      </c>
    </row>
    <row r="1313" spans="1:14" hidden="1" x14ac:dyDescent="0.25">
      <c r="A1313" s="47"/>
      <c r="B1313" s="41"/>
      <c r="C1313" s="354" t="s">
        <v>63</v>
      </c>
      <c r="D1313" s="354"/>
      <c r="E1313" s="354"/>
      <c r="F1313" s="42"/>
      <c r="G1313" s="43"/>
      <c r="H1313" s="43"/>
      <c r="I1313" s="43"/>
      <c r="J1313" s="50"/>
      <c r="K1313" s="43"/>
      <c r="L1313" s="44">
        <v>51.14</v>
      </c>
      <c r="M1313" s="43"/>
      <c r="N1313" s="46">
        <v>2670.02</v>
      </c>
    </row>
    <row r="1314" spans="1:14" ht="45" hidden="1" x14ac:dyDescent="0.25">
      <c r="A1314" s="47"/>
      <c r="B1314" s="41" t="s">
        <v>99</v>
      </c>
      <c r="C1314" s="354" t="s">
        <v>100</v>
      </c>
      <c r="D1314" s="354"/>
      <c r="E1314" s="354"/>
      <c r="F1314" s="42" t="s">
        <v>66</v>
      </c>
      <c r="G1314" s="48">
        <v>147</v>
      </c>
      <c r="H1314" s="43"/>
      <c r="I1314" s="48">
        <v>147</v>
      </c>
      <c r="J1314" s="50"/>
      <c r="K1314" s="43"/>
      <c r="L1314" s="44">
        <v>75.180000000000007</v>
      </c>
      <c r="M1314" s="43"/>
      <c r="N1314" s="46">
        <v>3924.93</v>
      </c>
    </row>
    <row r="1315" spans="1:14" ht="67.5" hidden="1" x14ac:dyDescent="0.25">
      <c r="A1315" s="47"/>
      <c r="B1315" s="41" t="s">
        <v>101</v>
      </c>
      <c r="C1315" s="354" t="s">
        <v>102</v>
      </c>
      <c r="D1315" s="354"/>
      <c r="E1315" s="354"/>
      <c r="F1315" s="42" t="s">
        <v>66</v>
      </c>
      <c r="G1315" s="48">
        <v>134</v>
      </c>
      <c r="H1315" s="45">
        <v>0.85</v>
      </c>
      <c r="I1315" s="63">
        <v>113.9</v>
      </c>
      <c r="J1315" s="50"/>
      <c r="K1315" s="43"/>
      <c r="L1315" s="44">
        <v>58.25</v>
      </c>
      <c r="M1315" s="43"/>
      <c r="N1315" s="46">
        <v>3041.15</v>
      </c>
    </row>
    <row r="1316" spans="1:14" hidden="1" x14ac:dyDescent="0.25">
      <c r="A1316" s="57"/>
      <c r="B1316" s="58"/>
      <c r="C1316" s="350" t="s">
        <v>69</v>
      </c>
      <c r="D1316" s="350"/>
      <c r="E1316" s="350"/>
      <c r="F1316" s="34"/>
      <c r="G1316" s="35"/>
      <c r="H1316" s="35"/>
      <c r="I1316" s="35"/>
      <c r="J1316" s="38"/>
      <c r="K1316" s="35"/>
      <c r="L1316" s="59">
        <v>766.68</v>
      </c>
      <c r="M1316" s="54"/>
      <c r="N1316" s="60">
        <v>17635.43</v>
      </c>
    </row>
    <row r="1317" spans="1:14" ht="22.5" x14ac:dyDescent="0.25">
      <c r="A1317" s="32" t="s">
        <v>420</v>
      </c>
      <c r="B1317" s="33" t="s">
        <v>104</v>
      </c>
      <c r="C1317" s="350" t="s">
        <v>105</v>
      </c>
      <c r="D1317" s="350"/>
      <c r="E1317" s="350"/>
      <c r="F1317" s="34" t="s">
        <v>106</v>
      </c>
      <c r="G1317" s="35">
        <v>14.62</v>
      </c>
      <c r="H1317" s="36">
        <v>1</v>
      </c>
      <c r="I1317" s="61">
        <v>14.62</v>
      </c>
      <c r="J1317" s="59">
        <v>646.32000000000005</v>
      </c>
      <c r="K1317" s="67">
        <v>1.012</v>
      </c>
      <c r="L1317" s="66">
        <v>9562.59</v>
      </c>
      <c r="M1317" s="70">
        <v>9.5</v>
      </c>
      <c r="N1317" s="60">
        <v>90844.61</v>
      </c>
    </row>
    <row r="1318" spans="1:14" hidden="1" x14ac:dyDescent="0.25">
      <c r="A1318" s="52"/>
      <c r="B1318" s="71"/>
      <c r="C1318" s="354" t="s">
        <v>107</v>
      </c>
      <c r="D1318" s="354"/>
      <c r="E1318" s="354"/>
      <c r="F1318" s="354"/>
      <c r="G1318" s="354"/>
      <c r="H1318" s="354"/>
      <c r="I1318" s="354"/>
      <c r="J1318" s="354"/>
      <c r="K1318" s="354"/>
      <c r="L1318" s="354"/>
      <c r="M1318" s="354"/>
      <c r="N1318" s="356"/>
    </row>
    <row r="1319" spans="1:14" hidden="1" x14ac:dyDescent="0.25">
      <c r="A1319" s="72"/>
      <c r="B1319" s="41"/>
      <c r="C1319" s="344" t="s">
        <v>108</v>
      </c>
      <c r="D1319" s="344"/>
      <c r="E1319" s="344"/>
      <c r="F1319" s="344"/>
      <c r="G1319" s="344"/>
      <c r="H1319" s="344"/>
      <c r="I1319" s="344"/>
      <c r="J1319" s="344"/>
      <c r="K1319" s="344"/>
      <c r="L1319" s="344"/>
      <c r="M1319" s="344"/>
      <c r="N1319" s="357"/>
    </row>
    <row r="1320" spans="1:14" hidden="1" x14ac:dyDescent="0.25">
      <c r="A1320" s="57"/>
      <c r="B1320" s="58"/>
      <c r="C1320" s="350" t="s">
        <v>69</v>
      </c>
      <c r="D1320" s="350"/>
      <c r="E1320" s="350"/>
      <c r="F1320" s="34"/>
      <c r="G1320" s="35"/>
      <c r="H1320" s="35"/>
      <c r="I1320" s="35"/>
      <c r="J1320" s="38"/>
      <c r="K1320" s="35"/>
      <c r="L1320" s="66">
        <v>9562.59</v>
      </c>
      <c r="M1320" s="54"/>
      <c r="N1320" s="60">
        <v>90844.61</v>
      </c>
    </row>
    <row r="1321" spans="1:14" ht="33.75" customHeight="1" x14ac:dyDescent="0.25">
      <c r="A1321" s="32" t="s">
        <v>421</v>
      </c>
      <c r="B1321" s="33" t="s">
        <v>241</v>
      </c>
      <c r="C1321" s="350" t="s">
        <v>242</v>
      </c>
      <c r="D1321" s="350"/>
      <c r="E1321" s="350"/>
      <c r="F1321" s="34" t="s">
        <v>210</v>
      </c>
      <c r="G1321" s="35">
        <v>1</v>
      </c>
      <c r="H1321" s="36">
        <v>1</v>
      </c>
      <c r="I1321" s="36">
        <v>1</v>
      </c>
      <c r="J1321" s="38"/>
      <c r="K1321" s="35"/>
      <c r="L1321" s="38"/>
      <c r="M1321" s="35"/>
      <c r="N1321" s="39"/>
    </row>
    <row r="1322" spans="1:14" hidden="1" x14ac:dyDescent="0.25">
      <c r="A1322" s="40"/>
      <c r="B1322" s="41" t="s">
        <v>55</v>
      </c>
      <c r="C1322" s="354" t="s">
        <v>59</v>
      </c>
      <c r="D1322" s="354"/>
      <c r="E1322" s="354"/>
      <c r="F1322" s="42"/>
      <c r="G1322" s="43"/>
      <c r="H1322" s="43"/>
      <c r="I1322" s="43"/>
      <c r="J1322" s="44">
        <v>316.8</v>
      </c>
      <c r="K1322" s="43"/>
      <c r="L1322" s="44">
        <v>316.8</v>
      </c>
      <c r="M1322" s="45">
        <v>52.21</v>
      </c>
      <c r="N1322" s="46">
        <v>16540.13</v>
      </c>
    </row>
    <row r="1323" spans="1:14" hidden="1" x14ac:dyDescent="0.25">
      <c r="A1323" s="40"/>
      <c r="B1323" s="41" t="s">
        <v>70</v>
      </c>
      <c r="C1323" s="354" t="s">
        <v>74</v>
      </c>
      <c r="D1323" s="354"/>
      <c r="E1323" s="354"/>
      <c r="F1323" s="42"/>
      <c r="G1323" s="43"/>
      <c r="H1323" s="43"/>
      <c r="I1323" s="43"/>
      <c r="J1323" s="62">
        <v>8602.08</v>
      </c>
      <c r="K1323" s="43"/>
      <c r="L1323" s="62">
        <v>8602.08</v>
      </c>
      <c r="M1323" s="45">
        <v>15.71</v>
      </c>
      <c r="N1323" s="46">
        <v>135138.68</v>
      </c>
    </row>
    <row r="1324" spans="1:14" hidden="1" x14ac:dyDescent="0.25">
      <c r="A1324" s="40"/>
      <c r="B1324" s="41" t="s">
        <v>75</v>
      </c>
      <c r="C1324" s="354" t="s">
        <v>76</v>
      </c>
      <c r="D1324" s="354"/>
      <c r="E1324" s="354"/>
      <c r="F1324" s="42"/>
      <c r="G1324" s="43"/>
      <c r="H1324" s="43"/>
      <c r="I1324" s="43"/>
      <c r="J1324" s="44">
        <v>328.35</v>
      </c>
      <c r="K1324" s="43"/>
      <c r="L1324" s="44">
        <v>328.35</v>
      </c>
      <c r="M1324" s="45">
        <v>52.21</v>
      </c>
      <c r="N1324" s="46">
        <v>17143.150000000001</v>
      </c>
    </row>
    <row r="1325" spans="1:14" hidden="1" x14ac:dyDescent="0.25">
      <c r="A1325" s="47"/>
      <c r="B1325" s="41"/>
      <c r="C1325" s="354" t="s">
        <v>60</v>
      </c>
      <c r="D1325" s="354"/>
      <c r="E1325" s="354"/>
      <c r="F1325" s="42" t="s">
        <v>61</v>
      </c>
      <c r="G1325" s="45">
        <v>34.51</v>
      </c>
      <c r="H1325" s="43"/>
      <c r="I1325" s="45">
        <v>34.51</v>
      </c>
      <c r="J1325" s="50"/>
      <c r="K1325" s="43"/>
      <c r="L1325" s="50"/>
      <c r="M1325" s="43"/>
      <c r="N1325" s="51"/>
    </row>
    <row r="1326" spans="1:14" hidden="1" x14ac:dyDescent="0.25">
      <c r="A1326" s="47"/>
      <c r="B1326" s="41"/>
      <c r="C1326" s="354" t="s">
        <v>77</v>
      </c>
      <c r="D1326" s="354"/>
      <c r="E1326" s="354"/>
      <c r="F1326" s="42" t="s">
        <v>61</v>
      </c>
      <c r="G1326" s="45">
        <v>25.66</v>
      </c>
      <c r="H1326" s="43"/>
      <c r="I1326" s="45">
        <v>25.66</v>
      </c>
      <c r="J1326" s="50"/>
      <c r="K1326" s="43"/>
      <c r="L1326" s="50"/>
      <c r="M1326" s="43"/>
      <c r="N1326" s="51"/>
    </row>
    <row r="1327" spans="1:14" hidden="1" x14ac:dyDescent="0.25">
      <c r="A1327" s="52"/>
      <c r="B1327" s="41"/>
      <c r="C1327" s="355" t="s">
        <v>62</v>
      </c>
      <c r="D1327" s="355"/>
      <c r="E1327" s="355"/>
      <c r="F1327" s="53"/>
      <c r="G1327" s="54"/>
      <c r="H1327" s="54"/>
      <c r="I1327" s="54"/>
      <c r="J1327" s="65">
        <v>8918.8799999999992</v>
      </c>
      <c r="K1327" s="54"/>
      <c r="L1327" s="65">
        <v>8918.8799999999992</v>
      </c>
      <c r="M1327" s="54"/>
      <c r="N1327" s="56">
        <v>151678.81</v>
      </c>
    </row>
    <row r="1328" spans="1:14" hidden="1" x14ac:dyDescent="0.25">
      <c r="A1328" s="47"/>
      <c r="B1328" s="41"/>
      <c r="C1328" s="354" t="s">
        <v>63</v>
      </c>
      <c r="D1328" s="354"/>
      <c r="E1328" s="354"/>
      <c r="F1328" s="42"/>
      <c r="G1328" s="43"/>
      <c r="H1328" s="43"/>
      <c r="I1328" s="43"/>
      <c r="J1328" s="50"/>
      <c r="K1328" s="43"/>
      <c r="L1328" s="44">
        <v>645.15</v>
      </c>
      <c r="M1328" s="43"/>
      <c r="N1328" s="46">
        <v>33683.279999999999</v>
      </c>
    </row>
    <row r="1329" spans="1:14" ht="22.5" hidden="1" x14ac:dyDescent="0.25">
      <c r="A1329" s="47"/>
      <c r="B1329" s="41" t="s">
        <v>78</v>
      </c>
      <c r="C1329" s="354" t="s">
        <v>79</v>
      </c>
      <c r="D1329" s="354"/>
      <c r="E1329" s="354"/>
      <c r="F1329" s="42" t="s">
        <v>66</v>
      </c>
      <c r="G1329" s="48">
        <v>109</v>
      </c>
      <c r="H1329" s="43"/>
      <c r="I1329" s="48">
        <v>109</v>
      </c>
      <c r="J1329" s="50"/>
      <c r="K1329" s="43"/>
      <c r="L1329" s="44">
        <v>703.21</v>
      </c>
      <c r="M1329" s="43"/>
      <c r="N1329" s="46">
        <v>36714.78</v>
      </c>
    </row>
    <row r="1330" spans="1:14" ht="45" hidden="1" x14ac:dyDescent="0.25">
      <c r="A1330" s="47"/>
      <c r="B1330" s="41" t="s">
        <v>80</v>
      </c>
      <c r="C1330" s="354" t="s">
        <v>81</v>
      </c>
      <c r="D1330" s="354"/>
      <c r="E1330" s="354"/>
      <c r="F1330" s="42" t="s">
        <v>66</v>
      </c>
      <c r="G1330" s="48">
        <v>65</v>
      </c>
      <c r="H1330" s="45">
        <v>0.85</v>
      </c>
      <c r="I1330" s="45">
        <v>55.25</v>
      </c>
      <c r="J1330" s="50"/>
      <c r="K1330" s="43"/>
      <c r="L1330" s="44">
        <v>356.45</v>
      </c>
      <c r="M1330" s="43"/>
      <c r="N1330" s="46">
        <v>18610.009999999998</v>
      </c>
    </row>
    <row r="1331" spans="1:14" hidden="1" x14ac:dyDescent="0.25">
      <c r="A1331" s="57"/>
      <c r="B1331" s="58"/>
      <c r="C1331" s="350" t="s">
        <v>69</v>
      </c>
      <c r="D1331" s="350"/>
      <c r="E1331" s="350"/>
      <c r="F1331" s="34"/>
      <c r="G1331" s="35"/>
      <c r="H1331" s="35"/>
      <c r="I1331" s="35"/>
      <c r="J1331" s="38"/>
      <c r="K1331" s="35"/>
      <c r="L1331" s="66">
        <v>9978.5400000000009</v>
      </c>
      <c r="M1331" s="54"/>
      <c r="N1331" s="60">
        <v>207003.6</v>
      </c>
    </row>
    <row r="1332" spans="1:14" ht="22.5" x14ac:dyDescent="0.25">
      <c r="A1332" s="32" t="s">
        <v>422</v>
      </c>
      <c r="B1332" s="33" t="s">
        <v>244</v>
      </c>
      <c r="C1332" s="350" t="s">
        <v>245</v>
      </c>
      <c r="D1332" s="350"/>
      <c r="E1332" s="350"/>
      <c r="F1332" s="34" t="s">
        <v>246</v>
      </c>
      <c r="G1332" s="35">
        <v>1</v>
      </c>
      <c r="H1332" s="36">
        <v>1</v>
      </c>
      <c r="I1332" s="36">
        <v>1</v>
      </c>
      <c r="J1332" s="66">
        <v>168421.05</v>
      </c>
      <c r="K1332" s="74">
        <v>1.04236</v>
      </c>
      <c r="L1332" s="66">
        <v>175555.37</v>
      </c>
      <c r="M1332" s="70">
        <v>9.5</v>
      </c>
      <c r="N1332" s="60">
        <v>1667776.02</v>
      </c>
    </row>
    <row r="1333" spans="1:14" hidden="1" x14ac:dyDescent="0.25">
      <c r="A1333" s="52"/>
      <c r="B1333" s="71"/>
      <c r="C1333" s="354" t="s">
        <v>247</v>
      </c>
      <c r="D1333" s="354"/>
      <c r="E1333" s="354"/>
      <c r="F1333" s="354"/>
      <c r="G1333" s="354"/>
      <c r="H1333" s="354"/>
      <c r="I1333" s="354"/>
      <c r="J1333" s="354"/>
      <c r="K1333" s="354"/>
      <c r="L1333" s="354"/>
      <c r="M1333" s="354"/>
      <c r="N1333" s="356"/>
    </row>
    <row r="1334" spans="1:14" hidden="1" x14ac:dyDescent="0.25">
      <c r="A1334" s="72"/>
      <c r="B1334" s="41"/>
      <c r="C1334" s="344" t="s">
        <v>123</v>
      </c>
      <c r="D1334" s="344"/>
      <c r="E1334" s="344"/>
      <c r="F1334" s="344"/>
      <c r="G1334" s="344"/>
      <c r="H1334" s="344"/>
      <c r="I1334" s="344"/>
      <c r="J1334" s="344"/>
      <c r="K1334" s="344"/>
      <c r="L1334" s="344"/>
      <c r="M1334" s="344"/>
      <c r="N1334" s="357"/>
    </row>
    <row r="1335" spans="1:14" hidden="1" x14ac:dyDescent="0.25">
      <c r="A1335" s="72"/>
      <c r="B1335" s="41"/>
      <c r="C1335" s="344" t="s">
        <v>108</v>
      </c>
      <c r="D1335" s="344"/>
      <c r="E1335" s="344"/>
      <c r="F1335" s="344"/>
      <c r="G1335" s="344"/>
      <c r="H1335" s="344"/>
      <c r="I1335" s="344"/>
      <c r="J1335" s="344"/>
      <c r="K1335" s="344"/>
      <c r="L1335" s="344"/>
      <c r="M1335" s="344"/>
      <c r="N1335" s="357"/>
    </row>
    <row r="1336" spans="1:14" hidden="1" x14ac:dyDescent="0.25">
      <c r="A1336" s="57"/>
      <c r="B1336" s="58"/>
      <c r="C1336" s="350" t="s">
        <v>69</v>
      </c>
      <c r="D1336" s="350"/>
      <c r="E1336" s="350"/>
      <c r="F1336" s="34"/>
      <c r="G1336" s="35"/>
      <c r="H1336" s="35"/>
      <c r="I1336" s="35"/>
      <c r="J1336" s="38"/>
      <c r="K1336" s="35"/>
      <c r="L1336" s="66">
        <v>175555.37</v>
      </c>
      <c r="M1336" s="54"/>
      <c r="N1336" s="60">
        <v>1667776.02</v>
      </c>
    </row>
    <row r="1337" spans="1:14" ht="35.25" customHeight="1" x14ac:dyDescent="0.25">
      <c r="A1337" s="32" t="s">
        <v>423</v>
      </c>
      <c r="B1337" s="33" t="s">
        <v>249</v>
      </c>
      <c r="C1337" s="350" t="s">
        <v>250</v>
      </c>
      <c r="D1337" s="350"/>
      <c r="E1337" s="350"/>
      <c r="F1337" s="34" t="s">
        <v>246</v>
      </c>
      <c r="G1337" s="35">
        <v>1</v>
      </c>
      <c r="H1337" s="36">
        <v>1</v>
      </c>
      <c r="I1337" s="36">
        <v>1</v>
      </c>
      <c r="J1337" s="66">
        <v>363157.89</v>
      </c>
      <c r="K1337" s="74">
        <v>1.04236</v>
      </c>
      <c r="L1337" s="66">
        <v>378541.26</v>
      </c>
      <c r="M1337" s="70">
        <v>9.5</v>
      </c>
      <c r="N1337" s="60">
        <v>3596141.97</v>
      </c>
    </row>
    <row r="1338" spans="1:14" hidden="1" x14ac:dyDescent="0.25">
      <c r="A1338" s="52"/>
      <c r="B1338" s="71"/>
      <c r="C1338" s="354" t="s">
        <v>251</v>
      </c>
      <c r="D1338" s="354"/>
      <c r="E1338" s="354"/>
      <c r="F1338" s="354"/>
      <c r="G1338" s="354"/>
      <c r="H1338" s="354"/>
      <c r="I1338" s="354"/>
      <c r="J1338" s="354"/>
      <c r="K1338" s="354"/>
      <c r="L1338" s="354"/>
      <c r="M1338" s="354"/>
      <c r="N1338" s="356"/>
    </row>
    <row r="1339" spans="1:14" hidden="1" x14ac:dyDescent="0.25">
      <c r="A1339" s="72"/>
      <c r="B1339" s="41"/>
      <c r="C1339" s="344" t="s">
        <v>123</v>
      </c>
      <c r="D1339" s="344"/>
      <c r="E1339" s="344"/>
      <c r="F1339" s="344"/>
      <c r="G1339" s="344"/>
      <c r="H1339" s="344"/>
      <c r="I1339" s="344"/>
      <c r="J1339" s="344"/>
      <c r="K1339" s="344"/>
      <c r="L1339" s="344"/>
      <c r="M1339" s="344"/>
      <c r="N1339" s="357"/>
    </row>
    <row r="1340" spans="1:14" hidden="1" x14ac:dyDescent="0.25">
      <c r="A1340" s="72"/>
      <c r="B1340" s="41"/>
      <c r="C1340" s="344" t="s">
        <v>108</v>
      </c>
      <c r="D1340" s="344"/>
      <c r="E1340" s="344"/>
      <c r="F1340" s="344"/>
      <c r="G1340" s="344"/>
      <c r="H1340" s="344"/>
      <c r="I1340" s="344"/>
      <c r="J1340" s="344"/>
      <c r="K1340" s="344"/>
      <c r="L1340" s="344"/>
      <c r="M1340" s="344"/>
      <c r="N1340" s="357"/>
    </row>
    <row r="1341" spans="1:14" hidden="1" x14ac:dyDescent="0.25">
      <c r="A1341" s="57"/>
      <c r="B1341" s="58"/>
      <c r="C1341" s="350" t="s">
        <v>69</v>
      </c>
      <c r="D1341" s="350"/>
      <c r="E1341" s="350"/>
      <c r="F1341" s="34"/>
      <c r="G1341" s="35"/>
      <c r="H1341" s="35"/>
      <c r="I1341" s="35"/>
      <c r="J1341" s="38"/>
      <c r="K1341" s="35"/>
      <c r="L1341" s="66">
        <v>378541.26</v>
      </c>
      <c r="M1341" s="54"/>
      <c r="N1341" s="60">
        <v>3596141.97</v>
      </c>
    </row>
    <row r="1342" spans="1:14" ht="31.5" customHeight="1" x14ac:dyDescent="0.25">
      <c r="A1342" s="32" t="s">
        <v>424</v>
      </c>
      <c r="B1342" s="33" t="s">
        <v>253</v>
      </c>
      <c r="C1342" s="350" t="s">
        <v>254</v>
      </c>
      <c r="D1342" s="350"/>
      <c r="E1342" s="350"/>
      <c r="F1342" s="34" t="s">
        <v>115</v>
      </c>
      <c r="G1342" s="35">
        <v>1</v>
      </c>
      <c r="H1342" s="36">
        <v>1</v>
      </c>
      <c r="I1342" s="36">
        <v>1</v>
      </c>
      <c r="J1342" s="38"/>
      <c r="K1342" s="35"/>
      <c r="L1342" s="38"/>
      <c r="M1342" s="35"/>
      <c r="N1342" s="39"/>
    </row>
    <row r="1343" spans="1:14" hidden="1" x14ac:dyDescent="0.25">
      <c r="A1343" s="40"/>
      <c r="B1343" s="41" t="s">
        <v>55</v>
      </c>
      <c r="C1343" s="354" t="s">
        <v>59</v>
      </c>
      <c r="D1343" s="354"/>
      <c r="E1343" s="354"/>
      <c r="F1343" s="42"/>
      <c r="G1343" s="43"/>
      <c r="H1343" s="43"/>
      <c r="I1343" s="43"/>
      <c r="J1343" s="44">
        <v>251.92</v>
      </c>
      <c r="K1343" s="43"/>
      <c r="L1343" s="44">
        <v>251.92</v>
      </c>
      <c r="M1343" s="45">
        <v>52.21</v>
      </c>
      <c r="N1343" s="46">
        <v>13152.74</v>
      </c>
    </row>
    <row r="1344" spans="1:14" hidden="1" x14ac:dyDescent="0.25">
      <c r="A1344" s="40"/>
      <c r="B1344" s="41" t="s">
        <v>70</v>
      </c>
      <c r="C1344" s="354" t="s">
        <v>74</v>
      </c>
      <c r="D1344" s="354"/>
      <c r="E1344" s="354"/>
      <c r="F1344" s="42"/>
      <c r="G1344" s="43"/>
      <c r="H1344" s="43"/>
      <c r="I1344" s="43"/>
      <c r="J1344" s="44">
        <v>120.78</v>
      </c>
      <c r="K1344" s="43"/>
      <c r="L1344" s="44">
        <v>120.78</v>
      </c>
      <c r="M1344" s="45">
        <v>15.71</v>
      </c>
      <c r="N1344" s="46">
        <v>1897.45</v>
      </c>
    </row>
    <row r="1345" spans="1:14" hidden="1" x14ac:dyDescent="0.25">
      <c r="A1345" s="40"/>
      <c r="B1345" s="41" t="s">
        <v>75</v>
      </c>
      <c r="C1345" s="354" t="s">
        <v>76</v>
      </c>
      <c r="D1345" s="354"/>
      <c r="E1345" s="354"/>
      <c r="F1345" s="42"/>
      <c r="G1345" s="43"/>
      <c r="H1345" s="43"/>
      <c r="I1345" s="43"/>
      <c r="J1345" s="44">
        <v>11.98</v>
      </c>
      <c r="K1345" s="43"/>
      <c r="L1345" s="44">
        <v>11.98</v>
      </c>
      <c r="M1345" s="45">
        <v>52.21</v>
      </c>
      <c r="N1345" s="69">
        <v>625.48</v>
      </c>
    </row>
    <row r="1346" spans="1:14" hidden="1" x14ac:dyDescent="0.25">
      <c r="A1346" s="40"/>
      <c r="B1346" s="41" t="s">
        <v>88</v>
      </c>
      <c r="C1346" s="354" t="s">
        <v>98</v>
      </c>
      <c r="D1346" s="354"/>
      <c r="E1346" s="354"/>
      <c r="F1346" s="42"/>
      <c r="G1346" s="43"/>
      <c r="H1346" s="43"/>
      <c r="I1346" s="43"/>
      <c r="J1346" s="44">
        <v>812.09</v>
      </c>
      <c r="K1346" s="43"/>
      <c r="L1346" s="44">
        <v>812.09</v>
      </c>
      <c r="M1346" s="63">
        <v>9.5</v>
      </c>
      <c r="N1346" s="46">
        <v>7714.86</v>
      </c>
    </row>
    <row r="1347" spans="1:14" hidden="1" x14ac:dyDescent="0.25">
      <c r="A1347" s="47"/>
      <c r="B1347" s="41"/>
      <c r="C1347" s="354" t="s">
        <v>60</v>
      </c>
      <c r="D1347" s="354"/>
      <c r="E1347" s="354"/>
      <c r="F1347" s="42" t="s">
        <v>61</v>
      </c>
      <c r="G1347" s="63">
        <v>26.8</v>
      </c>
      <c r="H1347" s="43"/>
      <c r="I1347" s="63">
        <v>26.8</v>
      </c>
      <c r="J1347" s="50"/>
      <c r="K1347" s="43"/>
      <c r="L1347" s="50"/>
      <c r="M1347" s="43"/>
      <c r="N1347" s="51"/>
    </row>
    <row r="1348" spans="1:14" hidden="1" x14ac:dyDescent="0.25">
      <c r="A1348" s="47"/>
      <c r="B1348" s="41"/>
      <c r="C1348" s="354" t="s">
        <v>77</v>
      </c>
      <c r="D1348" s="354"/>
      <c r="E1348" s="354"/>
      <c r="F1348" s="42" t="s">
        <v>61</v>
      </c>
      <c r="G1348" s="45">
        <v>0.92</v>
      </c>
      <c r="H1348" s="43"/>
      <c r="I1348" s="45">
        <v>0.92</v>
      </c>
      <c r="J1348" s="50"/>
      <c r="K1348" s="43"/>
      <c r="L1348" s="50"/>
      <c r="M1348" s="43"/>
      <c r="N1348" s="51"/>
    </row>
    <row r="1349" spans="1:14" hidden="1" x14ac:dyDescent="0.25">
      <c r="A1349" s="52"/>
      <c r="B1349" s="41"/>
      <c r="C1349" s="355" t="s">
        <v>62</v>
      </c>
      <c r="D1349" s="355"/>
      <c r="E1349" s="355"/>
      <c r="F1349" s="53"/>
      <c r="G1349" s="54"/>
      <c r="H1349" s="54"/>
      <c r="I1349" s="54"/>
      <c r="J1349" s="65">
        <v>1184.79</v>
      </c>
      <c r="K1349" s="54"/>
      <c r="L1349" s="65">
        <v>1184.79</v>
      </c>
      <c r="M1349" s="54"/>
      <c r="N1349" s="56">
        <v>22765.05</v>
      </c>
    </row>
    <row r="1350" spans="1:14" hidden="1" x14ac:dyDescent="0.25">
      <c r="A1350" s="47"/>
      <c r="B1350" s="41"/>
      <c r="C1350" s="354" t="s">
        <v>63</v>
      </c>
      <c r="D1350" s="354"/>
      <c r="E1350" s="354"/>
      <c r="F1350" s="42"/>
      <c r="G1350" s="43"/>
      <c r="H1350" s="43"/>
      <c r="I1350" s="43"/>
      <c r="J1350" s="50"/>
      <c r="K1350" s="43"/>
      <c r="L1350" s="44">
        <v>263.89999999999998</v>
      </c>
      <c r="M1350" s="43"/>
      <c r="N1350" s="46">
        <v>13778.22</v>
      </c>
    </row>
    <row r="1351" spans="1:14" hidden="1" x14ac:dyDescent="0.25">
      <c r="A1351" s="47"/>
      <c r="B1351" s="41" t="s">
        <v>255</v>
      </c>
      <c r="C1351" s="354" t="s">
        <v>256</v>
      </c>
      <c r="D1351" s="354"/>
      <c r="E1351" s="354"/>
      <c r="F1351" s="42" t="s">
        <v>66</v>
      </c>
      <c r="G1351" s="48">
        <v>92</v>
      </c>
      <c r="H1351" s="43"/>
      <c r="I1351" s="48">
        <v>92</v>
      </c>
      <c r="J1351" s="50"/>
      <c r="K1351" s="43"/>
      <c r="L1351" s="44">
        <v>242.79</v>
      </c>
      <c r="M1351" s="43"/>
      <c r="N1351" s="46">
        <v>12675.96</v>
      </c>
    </row>
    <row r="1352" spans="1:14" hidden="1" x14ac:dyDescent="0.25">
      <c r="A1352" s="47"/>
      <c r="B1352" s="41" t="s">
        <v>257</v>
      </c>
      <c r="C1352" s="354" t="s">
        <v>258</v>
      </c>
      <c r="D1352" s="354"/>
      <c r="E1352" s="354"/>
      <c r="F1352" s="42" t="s">
        <v>66</v>
      </c>
      <c r="G1352" s="48">
        <v>49</v>
      </c>
      <c r="H1352" s="43"/>
      <c r="I1352" s="48">
        <v>49</v>
      </c>
      <c r="J1352" s="50"/>
      <c r="K1352" s="43"/>
      <c r="L1352" s="44">
        <v>129.31</v>
      </c>
      <c r="M1352" s="43"/>
      <c r="N1352" s="46">
        <v>6751.33</v>
      </c>
    </row>
    <row r="1353" spans="1:14" hidden="1" x14ac:dyDescent="0.25">
      <c r="A1353" s="57"/>
      <c r="B1353" s="58"/>
      <c r="C1353" s="350" t="s">
        <v>69</v>
      </c>
      <c r="D1353" s="350"/>
      <c r="E1353" s="350"/>
      <c r="F1353" s="34"/>
      <c r="G1353" s="35"/>
      <c r="H1353" s="35"/>
      <c r="I1353" s="35"/>
      <c r="J1353" s="38"/>
      <c r="K1353" s="35"/>
      <c r="L1353" s="66">
        <v>1556.89</v>
      </c>
      <c r="M1353" s="54"/>
      <c r="N1353" s="60">
        <v>42192.34</v>
      </c>
    </row>
    <row r="1354" spans="1:14" x14ac:dyDescent="0.25">
      <c r="A1354" s="32" t="s">
        <v>425</v>
      </c>
      <c r="B1354" s="33" t="s">
        <v>260</v>
      </c>
      <c r="C1354" s="350" t="s">
        <v>261</v>
      </c>
      <c r="D1354" s="350"/>
      <c r="E1354" s="350"/>
      <c r="F1354" s="34" t="s">
        <v>115</v>
      </c>
      <c r="G1354" s="35">
        <v>-2</v>
      </c>
      <c r="H1354" s="36">
        <v>1</v>
      </c>
      <c r="I1354" s="36">
        <v>-2</v>
      </c>
      <c r="J1354" s="59">
        <v>266.67</v>
      </c>
      <c r="K1354" s="35"/>
      <c r="L1354" s="59">
        <v>-533.34</v>
      </c>
      <c r="M1354" s="70">
        <v>9.5</v>
      </c>
      <c r="N1354" s="60">
        <v>-5066.7299999999996</v>
      </c>
    </row>
    <row r="1355" spans="1:14" hidden="1" x14ac:dyDescent="0.25">
      <c r="A1355" s="57"/>
      <c r="B1355" s="58"/>
      <c r="C1355" s="350" t="s">
        <v>69</v>
      </c>
      <c r="D1355" s="350"/>
      <c r="E1355" s="350"/>
      <c r="F1355" s="34"/>
      <c r="G1355" s="35"/>
      <c r="H1355" s="35"/>
      <c r="I1355" s="35"/>
      <c r="J1355" s="38"/>
      <c r="K1355" s="35"/>
      <c r="L1355" s="59">
        <v>-533.34</v>
      </c>
      <c r="M1355" s="54"/>
      <c r="N1355" s="60">
        <v>-5066.7299999999996</v>
      </c>
    </row>
    <row r="1356" spans="1:14" ht="22.5" x14ac:dyDescent="0.25">
      <c r="A1356" s="32" t="s">
        <v>426</v>
      </c>
      <c r="B1356" s="33" t="s">
        <v>263</v>
      </c>
      <c r="C1356" s="350" t="s">
        <v>264</v>
      </c>
      <c r="D1356" s="350"/>
      <c r="E1356" s="350"/>
      <c r="F1356" s="34" t="s">
        <v>115</v>
      </c>
      <c r="G1356" s="35">
        <v>2</v>
      </c>
      <c r="H1356" s="36">
        <v>1</v>
      </c>
      <c r="I1356" s="36">
        <v>2</v>
      </c>
      <c r="J1356" s="66">
        <v>4429.58</v>
      </c>
      <c r="K1356" s="74">
        <v>1.04236</v>
      </c>
      <c r="L1356" s="66">
        <v>9234.43</v>
      </c>
      <c r="M1356" s="70">
        <v>9.5</v>
      </c>
      <c r="N1356" s="60">
        <v>87727.09</v>
      </c>
    </row>
    <row r="1357" spans="1:14" hidden="1" x14ac:dyDescent="0.25">
      <c r="A1357" s="52"/>
      <c r="B1357" s="71"/>
      <c r="C1357" s="354" t="s">
        <v>265</v>
      </c>
      <c r="D1357" s="354"/>
      <c r="E1357" s="354"/>
      <c r="F1357" s="354"/>
      <c r="G1357" s="354"/>
      <c r="H1357" s="354"/>
      <c r="I1357" s="354"/>
      <c r="J1357" s="354"/>
      <c r="K1357" s="354"/>
      <c r="L1357" s="354"/>
      <c r="M1357" s="354"/>
      <c r="N1357" s="356"/>
    </row>
    <row r="1358" spans="1:14" hidden="1" x14ac:dyDescent="0.25">
      <c r="A1358" s="72"/>
      <c r="B1358" s="41"/>
      <c r="C1358" s="344" t="s">
        <v>123</v>
      </c>
      <c r="D1358" s="344"/>
      <c r="E1358" s="344"/>
      <c r="F1358" s="344"/>
      <c r="G1358" s="344"/>
      <c r="H1358" s="344"/>
      <c r="I1358" s="344"/>
      <c r="J1358" s="344"/>
      <c r="K1358" s="344"/>
      <c r="L1358" s="344"/>
      <c r="M1358" s="344"/>
      <c r="N1358" s="357"/>
    </row>
    <row r="1359" spans="1:14" hidden="1" x14ac:dyDescent="0.25">
      <c r="A1359" s="72"/>
      <c r="B1359" s="41"/>
      <c r="C1359" s="344" t="s">
        <v>108</v>
      </c>
      <c r="D1359" s="344"/>
      <c r="E1359" s="344"/>
      <c r="F1359" s="344"/>
      <c r="G1359" s="344"/>
      <c r="H1359" s="344"/>
      <c r="I1359" s="344"/>
      <c r="J1359" s="344"/>
      <c r="K1359" s="344"/>
      <c r="L1359" s="344"/>
      <c r="M1359" s="344"/>
      <c r="N1359" s="357"/>
    </row>
    <row r="1360" spans="1:14" hidden="1" x14ac:dyDescent="0.25">
      <c r="A1360" s="57"/>
      <c r="B1360" s="58"/>
      <c r="C1360" s="350" t="s">
        <v>69</v>
      </c>
      <c r="D1360" s="350"/>
      <c r="E1360" s="350"/>
      <c r="F1360" s="34"/>
      <c r="G1360" s="35"/>
      <c r="H1360" s="35"/>
      <c r="I1360" s="35"/>
      <c r="J1360" s="38"/>
      <c r="K1360" s="35"/>
      <c r="L1360" s="66">
        <v>9234.43</v>
      </c>
      <c r="M1360" s="54"/>
      <c r="N1360" s="60">
        <v>87727.09</v>
      </c>
    </row>
    <row r="1361" spans="1:14" ht="22.5" x14ac:dyDescent="0.25">
      <c r="A1361" s="32" t="s">
        <v>427</v>
      </c>
      <c r="B1361" s="33" t="s">
        <v>267</v>
      </c>
      <c r="C1361" s="350" t="s">
        <v>268</v>
      </c>
      <c r="D1361" s="350"/>
      <c r="E1361" s="350"/>
      <c r="F1361" s="34" t="s">
        <v>115</v>
      </c>
      <c r="G1361" s="35">
        <v>1</v>
      </c>
      <c r="H1361" s="36">
        <v>1</v>
      </c>
      <c r="I1361" s="36">
        <v>1</v>
      </c>
      <c r="J1361" s="66">
        <v>15832.63</v>
      </c>
      <c r="K1361" s="74">
        <v>1.04236</v>
      </c>
      <c r="L1361" s="66">
        <v>16503.3</v>
      </c>
      <c r="M1361" s="70">
        <v>9.5</v>
      </c>
      <c r="N1361" s="60">
        <v>156781.35</v>
      </c>
    </row>
    <row r="1362" spans="1:14" hidden="1" x14ac:dyDescent="0.25">
      <c r="A1362" s="52"/>
      <c r="B1362" s="71"/>
      <c r="C1362" s="354" t="s">
        <v>269</v>
      </c>
      <c r="D1362" s="354"/>
      <c r="E1362" s="354"/>
      <c r="F1362" s="354"/>
      <c r="G1362" s="354"/>
      <c r="H1362" s="354"/>
      <c r="I1362" s="354"/>
      <c r="J1362" s="354"/>
      <c r="K1362" s="354"/>
      <c r="L1362" s="354"/>
      <c r="M1362" s="354"/>
      <c r="N1362" s="356"/>
    </row>
    <row r="1363" spans="1:14" hidden="1" x14ac:dyDescent="0.25">
      <c r="A1363" s="72"/>
      <c r="B1363" s="41"/>
      <c r="C1363" s="344" t="s">
        <v>123</v>
      </c>
      <c r="D1363" s="344"/>
      <c r="E1363" s="344"/>
      <c r="F1363" s="344"/>
      <c r="G1363" s="344"/>
      <c r="H1363" s="344"/>
      <c r="I1363" s="344"/>
      <c r="J1363" s="344"/>
      <c r="K1363" s="344"/>
      <c r="L1363" s="344"/>
      <c r="M1363" s="344"/>
      <c r="N1363" s="357"/>
    </row>
    <row r="1364" spans="1:14" hidden="1" x14ac:dyDescent="0.25">
      <c r="A1364" s="72"/>
      <c r="B1364" s="41"/>
      <c r="C1364" s="344" t="s">
        <v>108</v>
      </c>
      <c r="D1364" s="344"/>
      <c r="E1364" s="344"/>
      <c r="F1364" s="344"/>
      <c r="G1364" s="344"/>
      <c r="H1364" s="344"/>
      <c r="I1364" s="344"/>
      <c r="J1364" s="344"/>
      <c r="K1364" s="344"/>
      <c r="L1364" s="344"/>
      <c r="M1364" s="344"/>
      <c r="N1364" s="357"/>
    </row>
    <row r="1365" spans="1:14" hidden="1" x14ac:dyDescent="0.25">
      <c r="A1365" s="57"/>
      <c r="B1365" s="58"/>
      <c r="C1365" s="350" t="s">
        <v>69</v>
      </c>
      <c r="D1365" s="350"/>
      <c r="E1365" s="350"/>
      <c r="F1365" s="34"/>
      <c r="G1365" s="35"/>
      <c r="H1365" s="35"/>
      <c r="I1365" s="35"/>
      <c r="J1365" s="38"/>
      <c r="K1365" s="35"/>
      <c r="L1365" s="66">
        <v>16503.3</v>
      </c>
      <c r="M1365" s="54"/>
      <c r="N1365" s="60">
        <v>156781.35</v>
      </c>
    </row>
    <row r="1366" spans="1:14" ht="22.5" x14ac:dyDescent="0.25">
      <c r="A1366" s="32" t="s">
        <v>428</v>
      </c>
      <c r="B1366" s="33" t="s">
        <v>120</v>
      </c>
      <c r="C1366" s="350" t="s">
        <v>271</v>
      </c>
      <c r="D1366" s="350"/>
      <c r="E1366" s="350"/>
      <c r="F1366" s="34" t="s">
        <v>115</v>
      </c>
      <c r="G1366" s="35">
        <v>1</v>
      </c>
      <c r="H1366" s="36">
        <v>1</v>
      </c>
      <c r="I1366" s="36">
        <v>1</v>
      </c>
      <c r="J1366" s="59">
        <v>421.93</v>
      </c>
      <c r="K1366" s="74">
        <v>1.04236</v>
      </c>
      <c r="L1366" s="59">
        <v>439.8</v>
      </c>
      <c r="M1366" s="70">
        <v>9.5</v>
      </c>
      <c r="N1366" s="60">
        <v>4178.1000000000004</v>
      </c>
    </row>
    <row r="1367" spans="1:14" hidden="1" x14ac:dyDescent="0.25">
      <c r="A1367" s="52"/>
      <c r="B1367" s="71"/>
      <c r="C1367" s="354" t="s">
        <v>272</v>
      </c>
      <c r="D1367" s="354"/>
      <c r="E1367" s="354"/>
      <c r="F1367" s="354"/>
      <c r="G1367" s="354"/>
      <c r="H1367" s="354"/>
      <c r="I1367" s="354"/>
      <c r="J1367" s="354"/>
      <c r="K1367" s="354"/>
      <c r="L1367" s="354"/>
      <c r="M1367" s="354"/>
      <c r="N1367" s="356"/>
    </row>
    <row r="1368" spans="1:14" hidden="1" x14ac:dyDescent="0.25">
      <c r="A1368" s="72"/>
      <c r="B1368" s="41"/>
      <c r="C1368" s="344" t="s">
        <v>123</v>
      </c>
      <c r="D1368" s="344"/>
      <c r="E1368" s="344"/>
      <c r="F1368" s="344"/>
      <c r="G1368" s="344"/>
      <c r="H1368" s="344"/>
      <c r="I1368" s="344"/>
      <c r="J1368" s="344"/>
      <c r="K1368" s="344"/>
      <c r="L1368" s="344"/>
      <c r="M1368" s="344"/>
      <c r="N1368" s="357"/>
    </row>
    <row r="1369" spans="1:14" hidden="1" x14ac:dyDescent="0.25">
      <c r="A1369" s="72"/>
      <c r="B1369" s="41"/>
      <c r="C1369" s="344" t="s">
        <v>108</v>
      </c>
      <c r="D1369" s="344"/>
      <c r="E1369" s="344"/>
      <c r="F1369" s="344"/>
      <c r="G1369" s="344"/>
      <c r="H1369" s="344"/>
      <c r="I1369" s="344"/>
      <c r="J1369" s="344"/>
      <c r="K1369" s="344"/>
      <c r="L1369" s="344"/>
      <c r="M1369" s="344"/>
      <c r="N1369" s="357"/>
    </row>
    <row r="1370" spans="1:14" hidden="1" x14ac:dyDescent="0.25">
      <c r="A1370" s="57"/>
      <c r="B1370" s="58"/>
      <c r="C1370" s="350" t="s">
        <v>69</v>
      </c>
      <c r="D1370" s="350"/>
      <c r="E1370" s="350"/>
      <c r="F1370" s="34"/>
      <c r="G1370" s="35"/>
      <c r="H1370" s="35"/>
      <c r="I1370" s="35"/>
      <c r="J1370" s="38"/>
      <c r="K1370" s="35"/>
      <c r="L1370" s="59">
        <v>439.8</v>
      </c>
      <c r="M1370" s="54"/>
      <c r="N1370" s="60">
        <v>4178.1000000000004</v>
      </c>
    </row>
    <row r="1371" spans="1:14" ht="34.5" customHeight="1" x14ac:dyDescent="0.25">
      <c r="A1371" s="32" t="s">
        <v>429</v>
      </c>
      <c r="B1371" s="33" t="s">
        <v>274</v>
      </c>
      <c r="C1371" s="350" t="s">
        <v>275</v>
      </c>
      <c r="D1371" s="350"/>
      <c r="E1371" s="350"/>
      <c r="F1371" s="34" t="s">
        <v>276</v>
      </c>
      <c r="G1371" s="35">
        <v>0.06</v>
      </c>
      <c r="H1371" s="36">
        <v>1</v>
      </c>
      <c r="I1371" s="61">
        <v>0.06</v>
      </c>
      <c r="J1371" s="38"/>
      <c r="K1371" s="35"/>
      <c r="L1371" s="38"/>
      <c r="M1371" s="35"/>
      <c r="N1371" s="39"/>
    </row>
    <row r="1372" spans="1:14" hidden="1" x14ac:dyDescent="0.25">
      <c r="A1372" s="40"/>
      <c r="B1372" s="41" t="s">
        <v>55</v>
      </c>
      <c r="C1372" s="354" t="s">
        <v>59</v>
      </c>
      <c r="D1372" s="354"/>
      <c r="E1372" s="354"/>
      <c r="F1372" s="42"/>
      <c r="G1372" s="43"/>
      <c r="H1372" s="43"/>
      <c r="I1372" s="43"/>
      <c r="J1372" s="62">
        <v>1183.68</v>
      </c>
      <c r="K1372" s="43"/>
      <c r="L1372" s="44">
        <v>71.02</v>
      </c>
      <c r="M1372" s="45">
        <v>52.21</v>
      </c>
      <c r="N1372" s="46">
        <v>3707.95</v>
      </c>
    </row>
    <row r="1373" spans="1:14" hidden="1" x14ac:dyDescent="0.25">
      <c r="A1373" s="40"/>
      <c r="B1373" s="41" t="s">
        <v>70</v>
      </c>
      <c r="C1373" s="354" t="s">
        <v>74</v>
      </c>
      <c r="D1373" s="354"/>
      <c r="E1373" s="354"/>
      <c r="F1373" s="42"/>
      <c r="G1373" s="43"/>
      <c r="H1373" s="43"/>
      <c r="I1373" s="43"/>
      <c r="J1373" s="44">
        <v>946.33</v>
      </c>
      <c r="K1373" s="43"/>
      <c r="L1373" s="44">
        <v>56.78</v>
      </c>
      <c r="M1373" s="45">
        <v>15.71</v>
      </c>
      <c r="N1373" s="69">
        <v>892.01</v>
      </c>
    </row>
    <row r="1374" spans="1:14" hidden="1" x14ac:dyDescent="0.25">
      <c r="A1374" s="40"/>
      <c r="B1374" s="41" t="s">
        <v>75</v>
      </c>
      <c r="C1374" s="354" t="s">
        <v>76</v>
      </c>
      <c r="D1374" s="354"/>
      <c r="E1374" s="354"/>
      <c r="F1374" s="42"/>
      <c r="G1374" s="43"/>
      <c r="H1374" s="43"/>
      <c r="I1374" s="43"/>
      <c r="J1374" s="44">
        <v>90.65</v>
      </c>
      <c r="K1374" s="43"/>
      <c r="L1374" s="44">
        <v>5.44</v>
      </c>
      <c r="M1374" s="45">
        <v>52.21</v>
      </c>
      <c r="N1374" s="69">
        <v>284.02</v>
      </c>
    </row>
    <row r="1375" spans="1:14" hidden="1" x14ac:dyDescent="0.25">
      <c r="A1375" s="40"/>
      <c r="B1375" s="41" t="s">
        <v>88</v>
      </c>
      <c r="C1375" s="354" t="s">
        <v>98</v>
      </c>
      <c r="D1375" s="354"/>
      <c r="E1375" s="354"/>
      <c r="F1375" s="42"/>
      <c r="G1375" s="43"/>
      <c r="H1375" s="43"/>
      <c r="I1375" s="43"/>
      <c r="J1375" s="62">
        <v>8643.11</v>
      </c>
      <c r="K1375" s="43"/>
      <c r="L1375" s="44">
        <v>518.59</v>
      </c>
      <c r="M1375" s="63">
        <v>9.5</v>
      </c>
      <c r="N1375" s="46">
        <v>4926.6099999999997</v>
      </c>
    </row>
    <row r="1376" spans="1:14" hidden="1" x14ac:dyDescent="0.25">
      <c r="A1376" s="47"/>
      <c r="B1376" s="41"/>
      <c r="C1376" s="354" t="s">
        <v>60</v>
      </c>
      <c r="D1376" s="354"/>
      <c r="E1376" s="354"/>
      <c r="F1376" s="42" t="s">
        <v>61</v>
      </c>
      <c r="G1376" s="48">
        <v>137</v>
      </c>
      <c r="H1376" s="43"/>
      <c r="I1376" s="45">
        <v>8.2200000000000006</v>
      </c>
      <c r="J1376" s="50"/>
      <c r="K1376" s="43"/>
      <c r="L1376" s="50"/>
      <c r="M1376" s="43"/>
      <c r="N1376" s="51"/>
    </row>
    <row r="1377" spans="1:14" hidden="1" x14ac:dyDescent="0.25">
      <c r="A1377" s="47"/>
      <c r="B1377" s="41"/>
      <c r="C1377" s="354" t="s">
        <v>77</v>
      </c>
      <c r="D1377" s="354"/>
      <c r="E1377" s="354"/>
      <c r="F1377" s="42" t="s">
        <v>61</v>
      </c>
      <c r="G1377" s="45">
        <v>8.01</v>
      </c>
      <c r="H1377" s="43"/>
      <c r="I1377" s="64">
        <v>0.48060000000000003</v>
      </c>
      <c r="J1377" s="50"/>
      <c r="K1377" s="43"/>
      <c r="L1377" s="50"/>
      <c r="M1377" s="43"/>
      <c r="N1377" s="51"/>
    </row>
    <row r="1378" spans="1:14" hidden="1" x14ac:dyDescent="0.25">
      <c r="A1378" s="52"/>
      <c r="B1378" s="41"/>
      <c r="C1378" s="355" t="s">
        <v>62</v>
      </c>
      <c r="D1378" s="355"/>
      <c r="E1378" s="355"/>
      <c r="F1378" s="53"/>
      <c r="G1378" s="54"/>
      <c r="H1378" s="54"/>
      <c r="I1378" s="54"/>
      <c r="J1378" s="65">
        <v>10773.12</v>
      </c>
      <c r="K1378" s="54"/>
      <c r="L1378" s="55">
        <v>646.39</v>
      </c>
      <c r="M1378" s="54"/>
      <c r="N1378" s="56">
        <v>9526.57</v>
      </c>
    </row>
    <row r="1379" spans="1:14" hidden="1" x14ac:dyDescent="0.25">
      <c r="A1379" s="47"/>
      <c r="B1379" s="41"/>
      <c r="C1379" s="354" t="s">
        <v>63</v>
      </c>
      <c r="D1379" s="354"/>
      <c r="E1379" s="354"/>
      <c r="F1379" s="42"/>
      <c r="G1379" s="43"/>
      <c r="H1379" s="43"/>
      <c r="I1379" s="43"/>
      <c r="J1379" s="50"/>
      <c r="K1379" s="43"/>
      <c r="L1379" s="44">
        <v>76.459999999999994</v>
      </c>
      <c r="M1379" s="43"/>
      <c r="N1379" s="46">
        <v>3991.97</v>
      </c>
    </row>
    <row r="1380" spans="1:14" hidden="1" x14ac:dyDescent="0.25">
      <c r="A1380" s="47"/>
      <c r="B1380" s="41" t="s">
        <v>277</v>
      </c>
      <c r="C1380" s="354" t="s">
        <v>278</v>
      </c>
      <c r="D1380" s="354"/>
      <c r="E1380" s="354"/>
      <c r="F1380" s="42" t="s">
        <v>66</v>
      </c>
      <c r="G1380" s="48">
        <v>106</v>
      </c>
      <c r="H1380" s="43"/>
      <c r="I1380" s="48">
        <v>106</v>
      </c>
      <c r="J1380" s="50"/>
      <c r="K1380" s="43"/>
      <c r="L1380" s="44">
        <v>81.05</v>
      </c>
      <c r="M1380" s="43"/>
      <c r="N1380" s="46">
        <v>4231.49</v>
      </c>
    </row>
    <row r="1381" spans="1:14" ht="33.75" hidden="1" x14ac:dyDescent="0.25">
      <c r="A1381" s="47"/>
      <c r="B1381" s="41" t="s">
        <v>279</v>
      </c>
      <c r="C1381" s="354" t="s">
        <v>280</v>
      </c>
      <c r="D1381" s="354"/>
      <c r="E1381" s="354"/>
      <c r="F1381" s="42" t="s">
        <v>66</v>
      </c>
      <c r="G1381" s="48">
        <v>56</v>
      </c>
      <c r="H1381" s="45">
        <v>0.85</v>
      </c>
      <c r="I1381" s="63">
        <v>47.6</v>
      </c>
      <c r="J1381" s="50"/>
      <c r="K1381" s="43"/>
      <c r="L1381" s="44">
        <v>36.39</v>
      </c>
      <c r="M1381" s="43"/>
      <c r="N1381" s="46">
        <v>1900.18</v>
      </c>
    </row>
    <row r="1382" spans="1:14" hidden="1" x14ac:dyDescent="0.25">
      <c r="A1382" s="57"/>
      <c r="B1382" s="58"/>
      <c r="C1382" s="350" t="s">
        <v>69</v>
      </c>
      <c r="D1382" s="350"/>
      <c r="E1382" s="350"/>
      <c r="F1382" s="34"/>
      <c r="G1382" s="35"/>
      <c r="H1382" s="35"/>
      <c r="I1382" s="35"/>
      <c r="J1382" s="38"/>
      <c r="K1382" s="35"/>
      <c r="L1382" s="59">
        <v>763.83</v>
      </c>
      <c r="M1382" s="54"/>
      <c r="N1382" s="60">
        <v>15658.24</v>
      </c>
    </row>
    <row r="1383" spans="1:14" x14ac:dyDescent="0.25">
      <c r="A1383" s="32" t="s">
        <v>430</v>
      </c>
      <c r="B1383" s="33" t="s">
        <v>282</v>
      </c>
      <c r="C1383" s="350" t="s">
        <v>283</v>
      </c>
      <c r="D1383" s="350"/>
      <c r="E1383" s="350"/>
      <c r="F1383" s="34" t="s">
        <v>127</v>
      </c>
      <c r="G1383" s="35">
        <v>-2.9000000000000001E-2</v>
      </c>
      <c r="H1383" s="36">
        <v>1</v>
      </c>
      <c r="I1383" s="67">
        <v>-2.9000000000000001E-2</v>
      </c>
      <c r="J1383" s="66">
        <v>9727.3700000000008</v>
      </c>
      <c r="K1383" s="35"/>
      <c r="L1383" s="59">
        <v>-282.08999999999997</v>
      </c>
      <c r="M1383" s="70">
        <v>9.5</v>
      </c>
      <c r="N1383" s="60">
        <v>-2679.86</v>
      </c>
    </row>
    <row r="1384" spans="1:14" hidden="1" x14ac:dyDescent="0.25">
      <c r="A1384" s="57"/>
      <c r="B1384" s="58"/>
      <c r="C1384" s="350" t="s">
        <v>69</v>
      </c>
      <c r="D1384" s="350"/>
      <c r="E1384" s="350"/>
      <c r="F1384" s="34"/>
      <c r="G1384" s="35"/>
      <c r="H1384" s="35"/>
      <c r="I1384" s="35"/>
      <c r="J1384" s="38"/>
      <c r="K1384" s="35"/>
      <c r="L1384" s="59">
        <v>-282.08999999999997</v>
      </c>
      <c r="M1384" s="54"/>
      <c r="N1384" s="60">
        <v>-2679.86</v>
      </c>
    </row>
    <row r="1385" spans="1:14" ht="22.5" x14ac:dyDescent="0.25">
      <c r="A1385" s="32" t="s">
        <v>431</v>
      </c>
      <c r="B1385" s="33" t="s">
        <v>120</v>
      </c>
      <c r="C1385" s="350" t="s">
        <v>285</v>
      </c>
      <c r="D1385" s="350"/>
      <c r="E1385" s="350"/>
      <c r="F1385" s="34" t="s">
        <v>130</v>
      </c>
      <c r="G1385" s="35">
        <v>0.36</v>
      </c>
      <c r="H1385" s="36">
        <v>1</v>
      </c>
      <c r="I1385" s="61">
        <v>0.36</v>
      </c>
      <c r="J1385" s="66">
        <v>37646.32</v>
      </c>
      <c r="K1385" s="74">
        <v>1.04236</v>
      </c>
      <c r="L1385" s="66">
        <v>14126.77</v>
      </c>
      <c r="M1385" s="70">
        <v>9.5</v>
      </c>
      <c r="N1385" s="60">
        <v>134204.32</v>
      </c>
    </row>
    <row r="1386" spans="1:14" hidden="1" x14ac:dyDescent="0.25">
      <c r="A1386" s="52"/>
      <c r="B1386" s="71"/>
      <c r="C1386" s="354" t="s">
        <v>137</v>
      </c>
      <c r="D1386" s="354"/>
      <c r="E1386" s="354"/>
      <c r="F1386" s="354"/>
      <c r="G1386" s="354"/>
      <c r="H1386" s="354"/>
      <c r="I1386" s="354"/>
      <c r="J1386" s="354"/>
      <c r="K1386" s="354"/>
      <c r="L1386" s="354"/>
      <c r="M1386" s="354"/>
      <c r="N1386" s="356"/>
    </row>
    <row r="1387" spans="1:14" hidden="1" x14ac:dyDescent="0.25">
      <c r="A1387" s="72"/>
      <c r="B1387" s="41"/>
      <c r="C1387" s="344" t="s">
        <v>123</v>
      </c>
      <c r="D1387" s="344"/>
      <c r="E1387" s="344"/>
      <c r="F1387" s="344"/>
      <c r="G1387" s="344"/>
      <c r="H1387" s="344"/>
      <c r="I1387" s="344"/>
      <c r="J1387" s="344"/>
      <c r="K1387" s="344"/>
      <c r="L1387" s="344"/>
      <c r="M1387" s="344"/>
      <c r="N1387" s="357"/>
    </row>
    <row r="1388" spans="1:14" hidden="1" x14ac:dyDescent="0.25">
      <c r="A1388" s="72"/>
      <c r="B1388" s="41"/>
      <c r="C1388" s="344" t="s">
        <v>108</v>
      </c>
      <c r="D1388" s="344"/>
      <c r="E1388" s="344"/>
      <c r="F1388" s="344"/>
      <c r="G1388" s="344"/>
      <c r="H1388" s="344"/>
      <c r="I1388" s="344"/>
      <c r="J1388" s="344"/>
      <c r="K1388" s="344"/>
      <c r="L1388" s="344"/>
      <c r="M1388" s="344"/>
      <c r="N1388" s="357"/>
    </row>
    <row r="1389" spans="1:14" hidden="1" x14ac:dyDescent="0.25">
      <c r="A1389" s="57"/>
      <c r="B1389" s="58"/>
      <c r="C1389" s="350" t="s">
        <v>69</v>
      </c>
      <c r="D1389" s="350"/>
      <c r="E1389" s="350"/>
      <c r="F1389" s="34"/>
      <c r="G1389" s="35"/>
      <c r="H1389" s="35"/>
      <c r="I1389" s="35"/>
      <c r="J1389" s="38"/>
      <c r="K1389" s="35"/>
      <c r="L1389" s="66">
        <v>14126.77</v>
      </c>
      <c r="M1389" s="54"/>
      <c r="N1389" s="60">
        <v>134204.32</v>
      </c>
    </row>
    <row r="1390" spans="1:14" ht="22.5" x14ac:dyDescent="0.25">
      <c r="A1390" s="32" t="s">
        <v>432</v>
      </c>
      <c r="B1390" s="33" t="s">
        <v>120</v>
      </c>
      <c r="C1390" s="350" t="s">
        <v>129</v>
      </c>
      <c r="D1390" s="350"/>
      <c r="E1390" s="350"/>
      <c r="F1390" s="34" t="s">
        <v>130</v>
      </c>
      <c r="G1390" s="35">
        <v>2.9000000000000001E-2</v>
      </c>
      <c r="H1390" s="36">
        <v>1</v>
      </c>
      <c r="I1390" s="67">
        <v>2.9000000000000001E-2</v>
      </c>
      <c r="J1390" s="66">
        <v>27894.74</v>
      </c>
      <c r="K1390" s="74">
        <v>1.04236</v>
      </c>
      <c r="L1390" s="59">
        <v>843.21</v>
      </c>
      <c r="M1390" s="70">
        <v>9.5</v>
      </c>
      <c r="N1390" s="60">
        <v>8010.5</v>
      </c>
    </row>
    <row r="1391" spans="1:14" hidden="1" x14ac:dyDescent="0.25">
      <c r="A1391" s="52"/>
      <c r="B1391" s="71"/>
      <c r="C1391" s="354" t="s">
        <v>131</v>
      </c>
      <c r="D1391" s="354"/>
      <c r="E1391" s="354"/>
      <c r="F1391" s="354"/>
      <c r="G1391" s="354"/>
      <c r="H1391" s="354"/>
      <c r="I1391" s="354"/>
      <c r="J1391" s="354"/>
      <c r="K1391" s="354"/>
      <c r="L1391" s="354"/>
      <c r="M1391" s="354"/>
      <c r="N1391" s="356"/>
    </row>
    <row r="1392" spans="1:14" hidden="1" x14ac:dyDescent="0.25">
      <c r="A1392" s="72"/>
      <c r="B1392" s="41"/>
      <c r="C1392" s="344" t="s">
        <v>123</v>
      </c>
      <c r="D1392" s="344"/>
      <c r="E1392" s="344"/>
      <c r="F1392" s="344"/>
      <c r="G1392" s="344"/>
      <c r="H1392" s="344"/>
      <c r="I1392" s="344"/>
      <c r="J1392" s="344"/>
      <c r="K1392" s="344"/>
      <c r="L1392" s="344"/>
      <c r="M1392" s="344"/>
      <c r="N1392" s="357"/>
    </row>
    <row r="1393" spans="1:14" hidden="1" x14ac:dyDescent="0.25">
      <c r="A1393" s="72"/>
      <c r="B1393" s="41"/>
      <c r="C1393" s="344" t="s">
        <v>108</v>
      </c>
      <c r="D1393" s="344"/>
      <c r="E1393" s="344"/>
      <c r="F1393" s="344"/>
      <c r="G1393" s="344"/>
      <c r="H1393" s="344"/>
      <c r="I1393" s="344"/>
      <c r="J1393" s="344"/>
      <c r="K1393" s="344"/>
      <c r="L1393" s="344"/>
      <c r="M1393" s="344"/>
      <c r="N1393" s="357"/>
    </row>
    <row r="1394" spans="1:14" hidden="1" x14ac:dyDescent="0.25">
      <c r="A1394" s="57"/>
      <c r="B1394" s="58"/>
      <c r="C1394" s="350" t="s">
        <v>69</v>
      </c>
      <c r="D1394" s="350"/>
      <c r="E1394" s="350"/>
      <c r="F1394" s="34"/>
      <c r="G1394" s="35"/>
      <c r="H1394" s="35"/>
      <c r="I1394" s="35"/>
      <c r="J1394" s="38"/>
      <c r="K1394" s="35"/>
      <c r="L1394" s="59">
        <v>843.21</v>
      </c>
      <c r="M1394" s="54"/>
      <c r="N1394" s="60">
        <v>8010.5</v>
      </c>
    </row>
    <row r="1395" spans="1:14" ht="33.75" customHeight="1" x14ac:dyDescent="0.25">
      <c r="A1395" s="32" t="s">
        <v>433</v>
      </c>
      <c r="B1395" s="33" t="s">
        <v>288</v>
      </c>
      <c r="C1395" s="350" t="s">
        <v>289</v>
      </c>
      <c r="D1395" s="350"/>
      <c r="E1395" s="350"/>
      <c r="F1395" s="34" t="s">
        <v>160</v>
      </c>
      <c r="G1395" s="35">
        <v>1.3299999999999999E-2</v>
      </c>
      <c r="H1395" s="36">
        <v>1</v>
      </c>
      <c r="I1395" s="37">
        <v>1.3299999999999999E-2</v>
      </c>
      <c r="J1395" s="38"/>
      <c r="K1395" s="35"/>
      <c r="L1395" s="38"/>
      <c r="M1395" s="35"/>
      <c r="N1395" s="39"/>
    </row>
    <row r="1396" spans="1:14" hidden="1" x14ac:dyDescent="0.25">
      <c r="A1396" s="40"/>
      <c r="B1396" s="41" t="s">
        <v>55</v>
      </c>
      <c r="C1396" s="354" t="s">
        <v>59</v>
      </c>
      <c r="D1396" s="354"/>
      <c r="E1396" s="354"/>
      <c r="F1396" s="42"/>
      <c r="G1396" s="43"/>
      <c r="H1396" s="43"/>
      <c r="I1396" s="43"/>
      <c r="J1396" s="62">
        <v>1107.95</v>
      </c>
      <c r="K1396" s="43"/>
      <c r="L1396" s="44">
        <v>14.74</v>
      </c>
      <c r="M1396" s="45">
        <v>52.21</v>
      </c>
      <c r="N1396" s="69">
        <v>769.58</v>
      </c>
    </row>
    <row r="1397" spans="1:14" hidden="1" x14ac:dyDescent="0.25">
      <c r="A1397" s="40"/>
      <c r="B1397" s="41" t="s">
        <v>70</v>
      </c>
      <c r="C1397" s="354" t="s">
        <v>74</v>
      </c>
      <c r="D1397" s="354"/>
      <c r="E1397" s="354"/>
      <c r="F1397" s="42"/>
      <c r="G1397" s="43"/>
      <c r="H1397" s="43"/>
      <c r="I1397" s="43"/>
      <c r="J1397" s="62">
        <v>12533.99</v>
      </c>
      <c r="K1397" s="43"/>
      <c r="L1397" s="44">
        <v>166.7</v>
      </c>
      <c r="M1397" s="45">
        <v>15.71</v>
      </c>
      <c r="N1397" s="46">
        <v>2618.86</v>
      </c>
    </row>
    <row r="1398" spans="1:14" hidden="1" x14ac:dyDescent="0.25">
      <c r="A1398" s="40"/>
      <c r="B1398" s="41" t="s">
        <v>75</v>
      </c>
      <c r="C1398" s="354" t="s">
        <v>76</v>
      </c>
      <c r="D1398" s="354"/>
      <c r="E1398" s="354"/>
      <c r="F1398" s="42"/>
      <c r="G1398" s="43"/>
      <c r="H1398" s="43"/>
      <c r="I1398" s="43"/>
      <c r="J1398" s="44">
        <v>820.22</v>
      </c>
      <c r="K1398" s="43"/>
      <c r="L1398" s="44">
        <v>10.91</v>
      </c>
      <c r="M1398" s="45">
        <v>52.21</v>
      </c>
      <c r="N1398" s="69">
        <v>569.61</v>
      </c>
    </row>
    <row r="1399" spans="1:14" hidden="1" x14ac:dyDescent="0.25">
      <c r="A1399" s="40"/>
      <c r="B1399" s="41" t="s">
        <v>88</v>
      </c>
      <c r="C1399" s="354" t="s">
        <v>98</v>
      </c>
      <c r="D1399" s="354"/>
      <c r="E1399" s="354"/>
      <c r="F1399" s="42"/>
      <c r="G1399" s="43"/>
      <c r="H1399" s="43"/>
      <c r="I1399" s="43"/>
      <c r="J1399" s="62">
        <v>230267.7</v>
      </c>
      <c r="K1399" s="43"/>
      <c r="L1399" s="62">
        <v>3062.56</v>
      </c>
      <c r="M1399" s="63">
        <v>9.5</v>
      </c>
      <c r="N1399" s="46">
        <v>29094.32</v>
      </c>
    </row>
    <row r="1400" spans="1:14" hidden="1" x14ac:dyDescent="0.25">
      <c r="A1400" s="47"/>
      <c r="B1400" s="41"/>
      <c r="C1400" s="354" t="s">
        <v>60</v>
      </c>
      <c r="D1400" s="354"/>
      <c r="E1400" s="354"/>
      <c r="F1400" s="42" t="s">
        <v>61</v>
      </c>
      <c r="G1400" s="45">
        <v>134.46</v>
      </c>
      <c r="H1400" s="43"/>
      <c r="I1400" s="73">
        <v>1.7883180000000001</v>
      </c>
      <c r="J1400" s="50"/>
      <c r="K1400" s="43"/>
      <c r="L1400" s="50"/>
      <c r="M1400" s="43"/>
      <c r="N1400" s="51"/>
    </row>
    <row r="1401" spans="1:14" hidden="1" x14ac:dyDescent="0.25">
      <c r="A1401" s="47"/>
      <c r="B1401" s="41"/>
      <c r="C1401" s="354" t="s">
        <v>77</v>
      </c>
      <c r="D1401" s="354"/>
      <c r="E1401" s="354"/>
      <c r="F1401" s="42" t="s">
        <v>61</v>
      </c>
      <c r="G1401" s="45">
        <v>54.89</v>
      </c>
      <c r="H1401" s="43"/>
      <c r="I1401" s="73">
        <v>0.73003700000000005</v>
      </c>
      <c r="J1401" s="50"/>
      <c r="K1401" s="43"/>
      <c r="L1401" s="50"/>
      <c r="M1401" s="43"/>
      <c r="N1401" s="51"/>
    </row>
    <row r="1402" spans="1:14" hidden="1" x14ac:dyDescent="0.25">
      <c r="A1402" s="52"/>
      <c r="B1402" s="41"/>
      <c r="C1402" s="355" t="s">
        <v>62</v>
      </c>
      <c r="D1402" s="355"/>
      <c r="E1402" s="355"/>
      <c r="F1402" s="53"/>
      <c r="G1402" s="54"/>
      <c r="H1402" s="54"/>
      <c r="I1402" s="54"/>
      <c r="J1402" s="65">
        <v>243909.64</v>
      </c>
      <c r="K1402" s="54"/>
      <c r="L1402" s="65">
        <v>3244</v>
      </c>
      <c r="M1402" s="54"/>
      <c r="N1402" s="56">
        <v>32482.76</v>
      </c>
    </row>
    <row r="1403" spans="1:14" hidden="1" x14ac:dyDescent="0.25">
      <c r="A1403" s="47"/>
      <c r="B1403" s="41"/>
      <c r="C1403" s="354" t="s">
        <v>63</v>
      </c>
      <c r="D1403" s="354"/>
      <c r="E1403" s="354"/>
      <c r="F1403" s="42"/>
      <c r="G1403" s="43"/>
      <c r="H1403" s="43"/>
      <c r="I1403" s="43"/>
      <c r="J1403" s="50"/>
      <c r="K1403" s="43"/>
      <c r="L1403" s="44">
        <v>25.65</v>
      </c>
      <c r="M1403" s="43"/>
      <c r="N1403" s="46">
        <v>1339.19</v>
      </c>
    </row>
    <row r="1404" spans="1:14" ht="22.5" hidden="1" x14ac:dyDescent="0.25">
      <c r="A1404" s="47"/>
      <c r="B1404" s="41" t="s">
        <v>78</v>
      </c>
      <c r="C1404" s="354" t="s">
        <v>79</v>
      </c>
      <c r="D1404" s="354"/>
      <c r="E1404" s="354"/>
      <c r="F1404" s="42" t="s">
        <v>66</v>
      </c>
      <c r="G1404" s="48">
        <v>109</v>
      </c>
      <c r="H1404" s="43"/>
      <c r="I1404" s="48">
        <v>109</v>
      </c>
      <c r="J1404" s="50"/>
      <c r="K1404" s="43"/>
      <c r="L1404" s="44">
        <v>27.96</v>
      </c>
      <c r="M1404" s="43"/>
      <c r="N1404" s="46">
        <v>1459.72</v>
      </c>
    </row>
    <row r="1405" spans="1:14" ht="45" hidden="1" x14ac:dyDescent="0.25">
      <c r="A1405" s="47"/>
      <c r="B1405" s="41" t="s">
        <v>80</v>
      </c>
      <c r="C1405" s="354" t="s">
        <v>81</v>
      </c>
      <c r="D1405" s="354"/>
      <c r="E1405" s="354"/>
      <c r="F1405" s="42" t="s">
        <v>66</v>
      </c>
      <c r="G1405" s="48">
        <v>65</v>
      </c>
      <c r="H1405" s="45">
        <v>0.85</v>
      </c>
      <c r="I1405" s="45">
        <v>55.25</v>
      </c>
      <c r="J1405" s="50"/>
      <c r="K1405" s="43"/>
      <c r="L1405" s="44">
        <v>14.17</v>
      </c>
      <c r="M1405" s="43"/>
      <c r="N1405" s="69">
        <v>739.9</v>
      </c>
    </row>
    <row r="1406" spans="1:14" hidden="1" x14ac:dyDescent="0.25">
      <c r="A1406" s="57"/>
      <c r="B1406" s="58"/>
      <c r="C1406" s="350" t="s">
        <v>69</v>
      </c>
      <c r="D1406" s="350"/>
      <c r="E1406" s="350"/>
      <c r="F1406" s="34"/>
      <c r="G1406" s="35"/>
      <c r="H1406" s="35"/>
      <c r="I1406" s="35"/>
      <c r="J1406" s="38"/>
      <c r="K1406" s="35"/>
      <c r="L1406" s="66">
        <v>3286.13</v>
      </c>
      <c r="M1406" s="54"/>
      <c r="N1406" s="60">
        <v>34682.379999999997</v>
      </c>
    </row>
    <row r="1407" spans="1:14" x14ac:dyDescent="0.25">
      <c r="A1407" s="351" t="s">
        <v>161</v>
      </c>
      <c r="B1407" s="352"/>
      <c r="C1407" s="352"/>
      <c r="D1407" s="352"/>
      <c r="E1407" s="352"/>
      <c r="F1407" s="352"/>
      <c r="G1407" s="352"/>
      <c r="H1407" s="352"/>
      <c r="I1407" s="352"/>
      <c r="J1407" s="352"/>
      <c r="K1407" s="352"/>
      <c r="L1407" s="352"/>
      <c r="M1407" s="352"/>
      <c r="N1407" s="353"/>
    </row>
    <row r="1408" spans="1:14" ht="38.25" customHeight="1" x14ac:dyDescent="0.25">
      <c r="A1408" s="32" t="s">
        <v>434</v>
      </c>
      <c r="B1408" s="33" t="s">
        <v>163</v>
      </c>
      <c r="C1408" s="350" t="s">
        <v>164</v>
      </c>
      <c r="D1408" s="350"/>
      <c r="E1408" s="350"/>
      <c r="F1408" s="34" t="s">
        <v>165</v>
      </c>
      <c r="G1408" s="35">
        <v>41.5</v>
      </c>
      <c r="H1408" s="36">
        <v>1</v>
      </c>
      <c r="I1408" s="70">
        <v>41.5</v>
      </c>
      <c r="J1408" s="59">
        <v>3.28</v>
      </c>
      <c r="K1408" s="35"/>
      <c r="L1408" s="59">
        <v>136.12</v>
      </c>
      <c r="M1408" s="61">
        <v>15.71</v>
      </c>
      <c r="N1408" s="60">
        <v>2138.4499999999998</v>
      </c>
    </row>
    <row r="1409" spans="1:14" hidden="1" x14ac:dyDescent="0.25">
      <c r="A1409" s="57"/>
      <c r="B1409" s="58"/>
      <c r="C1409" s="350" t="s">
        <v>69</v>
      </c>
      <c r="D1409" s="350"/>
      <c r="E1409" s="350"/>
      <c r="F1409" s="34"/>
      <c r="G1409" s="35"/>
      <c r="H1409" s="35"/>
      <c r="I1409" s="35"/>
      <c r="J1409" s="38"/>
      <c r="K1409" s="35"/>
      <c r="L1409" s="59">
        <v>136.12</v>
      </c>
      <c r="M1409" s="54"/>
      <c r="N1409" s="60">
        <v>2138.4499999999998</v>
      </c>
    </row>
    <row r="1410" spans="1:14" ht="36" customHeight="1" x14ac:dyDescent="0.25">
      <c r="A1410" s="32" t="s">
        <v>435</v>
      </c>
      <c r="B1410" s="33" t="s">
        <v>167</v>
      </c>
      <c r="C1410" s="350" t="s">
        <v>292</v>
      </c>
      <c r="D1410" s="350"/>
      <c r="E1410" s="350"/>
      <c r="F1410" s="34" t="s">
        <v>165</v>
      </c>
      <c r="G1410" s="35">
        <v>9.9</v>
      </c>
      <c r="H1410" s="36">
        <v>1</v>
      </c>
      <c r="I1410" s="70">
        <v>9.9</v>
      </c>
      <c r="J1410" s="59">
        <v>8.39</v>
      </c>
      <c r="K1410" s="35"/>
      <c r="L1410" s="59">
        <v>83.06</v>
      </c>
      <c r="M1410" s="61">
        <v>15.71</v>
      </c>
      <c r="N1410" s="60">
        <v>1304.8699999999999</v>
      </c>
    </row>
    <row r="1411" spans="1:14" hidden="1" x14ac:dyDescent="0.25">
      <c r="A1411" s="57"/>
      <c r="B1411" s="58"/>
      <c r="C1411" s="350" t="s">
        <v>69</v>
      </c>
      <c r="D1411" s="350"/>
      <c r="E1411" s="350"/>
      <c r="F1411" s="34"/>
      <c r="G1411" s="35"/>
      <c r="H1411" s="35"/>
      <c r="I1411" s="35"/>
      <c r="J1411" s="38"/>
      <c r="K1411" s="35"/>
      <c r="L1411" s="59">
        <v>83.06</v>
      </c>
      <c r="M1411" s="54"/>
      <c r="N1411" s="60">
        <v>1304.8699999999999</v>
      </c>
    </row>
    <row r="1412" spans="1:14" ht="34.5" customHeight="1" x14ac:dyDescent="0.25">
      <c r="A1412" s="32" t="s">
        <v>436</v>
      </c>
      <c r="B1412" s="33" t="s">
        <v>170</v>
      </c>
      <c r="C1412" s="350" t="s">
        <v>294</v>
      </c>
      <c r="D1412" s="350"/>
      <c r="E1412" s="350"/>
      <c r="F1412" s="34" t="s">
        <v>165</v>
      </c>
      <c r="G1412" s="35">
        <v>5</v>
      </c>
      <c r="H1412" s="36">
        <v>1</v>
      </c>
      <c r="I1412" s="36">
        <v>5</v>
      </c>
      <c r="J1412" s="59">
        <v>10.88</v>
      </c>
      <c r="K1412" s="35"/>
      <c r="L1412" s="59">
        <v>54.4</v>
      </c>
      <c r="M1412" s="61">
        <v>15.71</v>
      </c>
      <c r="N1412" s="94">
        <v>854.62</v>
      </c>
    </row>
    <row r="1413" spans="1:14" hidden="1" x14ac:dyDescent="0.25">
      <c r="A1413" s="57"/>
      <c r="B1413" s="58"/>
      <c r="C1413" s="350" t="s">
        <v>69</v>
      </c>
      <c r="D1413" s="350"/>
      <c r="E1413" s="350"/>
      <c r="F1413" s="34"/>
      <c r="G1413" s="35"/>
      <c r="H1413" s="35"/>
      <c r="I1413" s="35"/>
      <c r="J1413" s="38"/>
      <c r="K1413" s="35"/>
      <c r="L1413" s="59">
        <v>54.4</v>
      </c>
      <c r="M1413" s="54"/>
      <c r="N1413" s="94">
        <v>854.62</v>
      </c>
    </row>
    <row r="1414" spans="1:14" ht="35.25" customHeight="1" x14ac:dyDescent="0.25">
      <c r="A1414" s="32" t="s">
        <v>437</v>
      </c>
      <c r="B1414" s="33" t="s">
        <v>173</v>
      </c>
      <c r="C1414" s="350" t="s">
        <v>174</v>
      </c>
      <c r="D1414" s="350"/>
      <c r="E1414" s="350"/>
      <c r="F1414" s="34" t="s">
        <v>165</v>
      </c>
      <c r="G1414" s="35">
        <v>56.4</v>
      </c>
      <c r="H1414" s="36">
        <v>1</v>
      </c>
      <c r="I1414" s="70">
        <v>56.4</v>
      </c>
      <c r="J1414" s="59">
        <v>3.86</v>
      </c>
      <c r="K1414" s="35"/>
      <c r="L1414" s="59">
        <v>217.7</v>
      </c>
      <c r="M1414" s="61">
        <v>16.22</v>
      </c>
      <c r="N1414" s="60">
        <v>3531.09</v>
      </c>
    </row>
    <row r="1415" spans="1:14" hidden="1" x14ac:dyDescent="0.25">
      <c r="A1415" s="57"/>
      <c r="B1415" s="58"/>
      <c r="C1415" s="350" t="s">
        <v>69</v>
      </c>
      <c r="D1415" s="350"/>
      <c r="E1415" s="350"/>
      <c r="F1415" s="34"/>
      <c r="G1415" s="35"/>
      <c r="H1415" s="35"/>
      <c r="I1415" s="35"/>
      <c r="J1415" s="38"/>
      <c r="K1415" s="35"/>
      <c r="L1415" s="59">
        <v>217.7</v>
      </c>
      <c r="M1415" s="54"/>
      <c r="N1415" s="60">
        <v>3531.09</v>
      </c>
    </row>
    <row r="1416" spans="1:14" hidden="1" x14ac:dyDescent="0.25">
      <c r="A1416" s="75"/>
      <c r="B1416" s="76"/>
      <c r="C1416" s="77"/>
      <c r="D1416" s="77"/>
      <c r="E1416" s="77"/>
      <c r="F1416" s="77"/>
      <c r="G1416" s="78"/>
      <c r="H1416" s="78"/>
      <c r="I1416" s="78"/>
      <c r="J1416" s="78"/>
      <c r="K1416" s="79"/>
      <c r="L1416" s="78"/>
      <c r="M1416" s="79"/>
      <c r="N1416" s="80"/>
    </row>
    <row r="1417" spans="1:14" hidden="1" x14ac:dyDescent="0.25">
      <c r="A1417" s="57"/>
      <c r="B1417" s="81"/>
      <c r="C1417" s="349" t="s">
        <v>438</v>
      </c>
      <c r="D1417" s="349"/>
      <c r="E1417" s="349"/>
      <c r="F1417" s="349"/>
      <c r="G1417" s="349"/>
      <c r="H1417" s="349"/>
      <c r="I1417" s="349"/>
      <c r="J1417" s="349"/>
      <c r="K1417" s="349"/>
      <c r="L1417" s="82"/>
      <c r="M1417" s="83"/>
      <c r="N1417" s="84"/>
    </row>
    <row r="1418" spans="1:14" hidden="1" x14ac:dyDescent="0.25">
      <c r="A1418" s="85"/>
      <c r="B1418" s="41"/>
      <c r="C1418" s="348" t="s">
        <v>176</v>
      </c>
      <c r="D1418" s="348"/>
      <c r="E1418" s="348"/>
      <c r="F1418" s="348"/>
      <c r="G1418" s="348"/>
      <c r="H1418" s="348"/>
      <c r="I1418" s="348"/>
      <c r="J1418" s="348"/>
      <c r="K1418" s="348"/>
      <c r="L1418" s="86">
        <v>619666.81999999995</v>
      </c>
      <c r="M1418" s="87"/>
      <c r="N1418" s="88">
        <v>5993766.2300000004</v>
      </c>
    </row>
    <row r="1419" spans="1:14" hidden="1" x14ac:dyDescent="0.25">
      <c r="A1419" s="85"/>
      <c r="B1419" s="41"/>
      <c r="C1419" s="348" t="s">
        <v>177</v>
      </c>
      <c r="D1419" s="348"/>
      <c r="E1419" s="348"/>
      <c r="F1419" s="348"/>
      <c r="G1419" s="348"/>
      <c r="H1419" s="348"/>
      <c r="I1419" s="348"/>
      <c r="J1419" s="348"/>
      <c r="K1419" s="348"/>
      <c r="L1419" s="89"/>
      <c r="M1419" s="87"/>
      <c r="N1419" s="90"/>
    </row>
    <row r="1420" spans="1:14" hidden="1" x14ac:dyDescent="0.25">
      <c r="A1420" s="85"/>
      <c r="B1420" s="41"/>
      <c r="C1420" s="348" t="s">
        <v>178</v>
      </c>
      <c r="D1420" s="348"/>
      <c r="E1420" s="348"/>
      <c r="F1420" s="348"/>
      <c r="G1420" s="348"/>
      <c r="H1420" s="348"/>
      <c r="I1420" s="348"/>
      <c r="J1420" s="348"/>
      <c r="K1420" s="348"/>
      <c r="L1420" s="86">
        <v>1007.39</v>
      </c>
      <c r="M1420" s="87"/>
      <c r="N1420" s="88">
        <v>52595.83</v>
      </c>
    </row>
    <row r="1421" spans="1:14" hidden="1" x14ac:dyDescent="0.25">
      <c r="A1421" s="85"/>
      <c r="B1421" s="41"/>
      <c r="C1421" s="348" t="s">
        <v>179</v>
      </c>
      <c r="D1421" s="348"/>
      <c r="E1421" s="348"/>
      <c r="F1421" s="348"/>
      <c r="G1421" s="348"/>
      <c r="H1421" s="348"/>
      <c r="I1421" s="348"/>
      <c r="J1421" s="348"/>
      <c r="K1421" s="348"/>
      <c r="L1421" s="86">
        <v>9781.6299999999992</v>
      </c>
      <c r="M1421" s="87"/>
      <c r="N1421" s="88">
        <v>153669.4</v>
      </c>
    </row>
    <row r="1422" spans="1:14" hidden="1" x14ac:dyDescent="0.25">
      <c r="A1422" s="85"/>
      <c r="B1422" s="41"/>
      <c r="C1422" s="348" t="s">
        <v>180</v>
      </c>
      <c r="D1422" s="348"/>
      <c r="E1422" s="348"/>
      <c r="F1422" s="348"/>
      <c r="G1422" s="348"/>
      <c r="H1422" s="348"/>
      <c r="I1422" s="348"/>
      <c r="J1422" s="348"/>
      <c r="K1422" s="348"/>
      <c r="L1422" s="95">
        <v>419.52</v>
      </c>
      <c r="M1422" s="87"/>
      <c r="N1422" s="88">
        <v>21903.14</v>
      </c>
    </row>
    <row r="1423" spans="1:14" hidden="1" x14ac:dyDescent="0.25">
      <c r="A1423" s="85"/>
      <c r="B1423" s="41"/>
      <c r="C1423" s="348" t="s">
        <v>181</v>
      </c>
      <c r="D1423" s="348"/>
      <c r="E1423" s="348"/>
      <c r="F1423" s="348"/>
      <c r="G1423" s="348"/>
      <c r="H1423" s="348"/>
      <c r="I1423" s="348"/>
      <c r="J1423" s="348"/>
      <c r="K1423" s="348"/>
      <c r="L1423" s="86">
        <v>608523.98</v>
      </c>
      <c r="M1423" s="87"/>
      <c r="N1423" s="88">
        <v>5781831.46</v>
      </c>
    </row>
    <row r="1424" spans="1:14" hidden="1" x14ac:dyDescent="0.25">
      <c r="A1424" s="85"/>
      <c r="B1424" s="41"/>
      <c r="C1424" s="348" t="s">
        <v>182</v>
      </c>
      <c r="D1424" s="348"/>
      <c r="E1424" s="348"/>
      <c r="F1424" s="348"/>
      <c r="G1424" s="348"/>
      <c r="H1424" s="348"/>
      <c r="I1424" s="348"/>
      <c r="J1424" s="348"/>
      <c r="K1424" s="348"/>
      <c r="L1424" s="89"/>
      <c r="M1424" s="87"/>
      <c r="N1424" s="90"/>
    </row>
    <row r="1425" spans="1:14" hidden="1" x14ac:dyDescent="0.25">
      <c r="A1425" s="85"/>
      <c r="B1425" s="41"/>
      <c r="C1425" s="348" t="s">
        <v>183</v>
      </c>
      <c r="D1425" s="348"/>
      <c r="E1425" s="348"/>
      <c r="F1425" s="348"/>
      <c r="G1425" s="348"/>
      <c r="H1425" s="348"/>
      <c r="I1425" s="348"/>
      <c r="J1425" s="348"/>
      <c r="K1425" s="348"/>
      <c r="L1425" s="86">
        <v>608469.57999999996</v>
      </c>
      <c r="M1425" s="87"/>
      <c r="N1425" s="88">
        <v>5780976.8399999999</v>
      </c>
    </row>
    <row r="1426" spans="1:14" hidden="1" x14ac:dyDescent="0.25">
      <c r="A1426" s="85"/>
      <c r="B1426" s="41"/>
      <c r="C1426" s="348" t="s">
        <v>184</v>
      </c>
      <c r="D1426" s="348"/>
      <c r="E1426" s="348"/>
      <c r="F1426" s="348"/>
      <c r="G1426" s="348"/>
      <c r="H1426" s="348"/>
      <c r="I1426" s="348"/>
      <c r="J1426" s="348"/>
      <c r="K1426" s="348"/>
      <c r="L1426" s="95">
        <v>54.4</v>
      </c>
      <c r="M1426" s="87"/>
      <c r="N1426" s="96">
        <v>854.62</v>
      </c>
    </row>
    <row r="1427" spans="1:14" hidden="1" x14ac:dyDescent="0.25">
      <c r="A1427" s="85"/>
      <c r="B1427" s="41"/>
      <c r="C1427" s="348" t="s">
        <v>185</v>
      </c>
      <c r="D1427" s="348"/>
      <c r="E1427" s="348"/>
      <c r="F1427" s="348"/>
      <c r="G1427" s="348"/>
      <c r="H1427" s="348"/>
      <c r="I1427" s="348"/>
      <c r="J1427" s="348"/>
      <c r="K1427" s="348"/>
      <c r="L1427" s="95">
        <v>353.82</v>
      </c>
      <c r="M1427" s="87"/>
      <c r="N1427" s="88">
        <v>5669.54</v>
      </c>
    </row>
    <row r="1428" spans="1:14" hidden="1" x14ac:dyDescent="0.25">
      <c r="A1428" s="85"/>
      <c r="B1428" s="41"/>
      <c r="C1428" s="348" t="s">
        <v>186</v>
      </c>
      <c r="D1428" s="348"/>
      <c r="E1428" s="348"/>
      <c r="F1428" s="348"/>
      <c r="G1428" s="348"/>
      <c r="H1428" s="348"/>
      <c r="I1428" s="348"/>
      <c r="J1428" s="348"/>
      <c r="K1428" s="348"/>
      <c r="L1428" s="86">
        <v>620959.26</v>
      </c>
      <c r="M1428" s="87"/>
      <c r="N1428" s="88">
        <v>6077558.1500000004</v>
      </c>
    </row>
    <row r="1429" spans="1:14" hidden="1" x14ac:dyDescent="0.25">
      <c r="A1429" s="85"/>
      <c r="B1429" s="41"/>
      <c r="C1429" s="348" t="s">
        <v>187</v>
      </c>
      <c r="D1429" s="348"/>
      <c r="E1429" s="348"/>
      <c r="F1429" s="348"/>
      <c r="G1429" s="348"/>
      <c r="H1429" s="348"/>
      <c r="I1429" s="348"/>
      <c r="J1429" s="348"/>
      <c r="K1429" s="348"/>
      <c r="L1429" s="86">
        <v>620551.04</v>
      </c>
      <c r="M1429" s="87"/>
      <c r="N1429" s="88">
        <v>6071033.9900000002</v>
      </c>
    </row>
    <row r="1430" spans="1:14" hidden="1" x14ac:dyDescent="0.25">
      <c r="A1430" s="85"/>
      <c r="B1430" s="41"/>
      <c r="C1430" s="348" t="s">
        <v>188</v>
      </c>
      <c r="D1430" s="348"/>
      <c r="E1430" s="348"/>
      <c r="F1430" s="348"/>
      <c r="G1430" s="348"/>
      <c r="H1430" s="348"/>
      <c r="I1430" s="348"/>
      <c r="J1430" s="348"/>
      <c r="K1430" s="348"/>
      <c r="L1430" s="89"/>
      <c r="M1430" s="87"/>
      <c r="N1430" s="90"/>
    </row>
    <row r="1431" spans="1:14" hidden="1" x14ac:dyDescent="0.25">
      <c r="A1431" s="85"/>
      <c r="B1431" s="41"/>
      <c r="C1431" s="348" t="s">
        <v>189</v>
      </c>
      <c r="D1431" s="348"/>
      <c r="E1431" s="348"/>
      <c r="F1431" s="348"/>
      <c r="G1431" s="348"/>
      <c r="H1431" s="348"/>
      <c r="I1431" s="348"/>
      <c r="J1431" s="348"/>
      <c r="K1431" s="348"/>
      <c r="L1431" s="95">
        <v>755.47</v>
      </c>
      <c r="M1431" s="87"/>
      <c r="N1431" s="88">
        <v>39443.089999999997</v>
      </c>
    </row>
    <row r="1432" spans="1:14" hidden="1" x14ac:dyDescent="0.25">
      <c r="A1432" s="85"/>
      <c r="B1432" s="41"/>
      <c r="C1432" s="348" t="s">
        <v>190</v>
      </c>
      <c r="D1432" s="348"/>
      <c r="E1432" s="348"/>
      <c r="F1432" s="348"/>
      <c r="G1432" s="348"/>
      <c r="H1432" s="348"/>
      <c r="I1432" s="348"/>
      <c r="J1432" s="348"/>
      <c r="K1432" s="348"/>
      <c r="L1432" s="86">
        <v>9660.85</v>
      </c>
      <c r="M1432" s="87"/>
      <c r="N1432" s="88">
        <v>151771.95000000001</v>
      </c>
    </row>
    <row r="1433" spans="1:14" hidden="1" x14ac:dyDescent="0.25">
      <c r="A1433" s="85"/>
      <c r="B1433" s="41"/>
      <c r="C1433" s="348" t="s">
        <v>191</v>
      </c>
      <c r="D1433" s="348"/>
      <c r="E1433" s="348"/>
      <c r="F1433" s="348"/>
      <c r="G1433" s="348"/>
      <c r="H1433" s="348"/>
      <c r="I1433" s="348"/>
      <c r="J1433" s="348"/>
      <c r="K1433" s="348"/>
      <c r="L1433" s="95">
        <v>407.54</v>
      </c>
      <c r="M1433" s="87"/>
      <c r="N1433" s="88">
        <v>21277.66</v>
      </c>
    </row>
    <row r="1434" spans="1:14" hidden="1" x14ac:dyDescent="0.25">
      <c r="A1434" s="85"/>
      <c r="B1434" s="41"/>
      <c r="C1434" s="348" t="s">
        <v>192</v>
      </c>
      <c r="D1434" s="348"/>
      <c r="E1434" s="348"/>
      <c r="F1434" s="348"/>
      <c r="G1434" s="348"/>
      <c r="H1434" s="348"/>
      <c r="I1434" s="348"/>
      <c r="J1434" s="348"/>
      <c r="K1434" s="348"/>
      <c r="L1434" s="86">
        <v>608190.82999999996</v>
      </c>
      <c r="M1434" s="87"/>
      <c r="N1434" s="88">
        <v>5778328.71</v>
      </c>
    </row>
    <row r="1435" spans="1:14" hidden="1" x14ac:dyDescent="0.25">
      <c r="A1435" s="85"/>
      <c r="B1435" s="41"/>
      <c r="C1435" s="348" t="s">
        <v>193</v>
      </c>
      <c r="D1435" s="348"/>
      <c r="E1435" s="348"/>
      <c r="F1435" s="348"/>
      <c r="G1435" s="348"/>
      <c r="H1435" s="348"/>
      <c r="I1435" s="348"/>
      <c r="J1435" s="348"/>
      <c r="K1435" s="348"/>
      <c r="L1435" s="86">
        <v>1280.05</v>
      </c>
      <c r="M1435" s="87"/>
      <c r="N1435" s="88">
        <v>66831.44</v>
      </c>
    </row>
    <row r="1436" spans="1:14" hidden="1" x14ac:dyDescent="0.25">
      <c r="A1436" s="85"/>
      <c r="B1436" s="41"/>
      <c r="C1436" s="348" t="s">
        <v>194</v>
      </c>
      <c r="D1436" s="348"/>
      <c r="E1436" s="348"/>
      <c r="F1436" s="348"/>
      <c r="G1436" s="348"/>
      <c r="H1436" s="348"/>
      <c r="I1436" s="348"/>
      <c r="J1436" s="348"/>
      <c r="K1436" s="348"/>
      <c r="L1436" s="95">
        <v>663.84</v>
      </c>
      <c r="M1436" s="87"/>
      <c r="N1436" s="88">
        <v>34658.800000000003</v>
      </c>
    </row>
    <row r="1437" spans="1:14" hidden="1" x14ac:dyDescent="0.25">
      <c r="A1437" s="85"/>
      <c r="B1437" s="41"/>
      <c r="C1437" s="348" t="s">
        <v>195</v>
      </c>
      <c r="D1437" s="348"/>
      <c r="E1437" s="348"/>
      <c r="F1437" s="348"/>
      <c r="G1437" s="348"/>
      <c r="H1437" s="348"/>
      <c r="I1437" s="348"/>
      <c r="J1437" s="348"/>
      <c r="K1437" s="348"/>
      <c r="L1437" s="95">
        <v>353.82</v>
      </c>
      <c r="M1437" s="87"/>
      <c r="N1437" s="88">
        <v>5669.54</v>
      </c>
    </row>
    <row r="1438" spans="1:14" hidden="1" x14ac:dyDescent="0.25">
      <c r="A1438" s="85"/>
      <c r="B1438" s="41"/>
      <c r="C1438" s="348" t="s">
        <v>196</v>
      </c>
      <c r="D1438" s="348"/>
      <c r="E1438" s="348"/>
      <c r="F1438" s="348"/>
      <c r="G1438" s="348"/>
      <c r="H1438" s="348"/>
      <c r="I1438" s="348"/>
      <c r="J1438" s="348"/>
      <c r="K1438" s="348"/>
      <c r="L1438" s="95">
        <v>54.4</v>
      </c>
      <c r="M1438" s="87"/>
      <c r="N1438" s="96">
        <v>854.62</v>
      </c>
    </row>
    <row r="1439" spans="1:14" hidden="1" x14ac:dyDescent="0.25">
      <c r="A1439" s="85"/>
      <c r="B1439" s="41"/>
      <c r="C1439" s="348" t="s">
        <v>297</v>
      </c>
      <c r="D1439" s="348"/>
      <c r="E1439" s="348"/>
      <c r="F1439" s="348"/>
      <c r="G1439" s="348"/>
      <c r="H1439" s="348"/>
      <c r="I1439" s="348"/>
      <c r="J1439" s="348"/>
      <c r="K1439" s="348"/>
      <c r="L1439" s="86">
        <v>1023.55</v>
      </c>
      <c r="M1439" s="87"/>
      <c r="N1439" s="88">
        <v>37125.61</v>
      </c>
    </row>
    <row r="1440" spans="1:14" hidden="1" x14ac:dyDescent="0.25">
      <c r="A1440" s="85"/>
      <c r="B1440" s="41"/>
      <c r="C1440" s="348" t="s">
        <v>177</v>
      </c>
      <c r="D1440" s="348"/>
      <c r="E1440" s="348"/>
      <c r="F1440" s="348"/>
      <c r="G1440" s="348"/>
      <c r="H1440" s="348"/>
      <c r="I1440" s="348"/>
      <c r="J1440" s="348"/>
      <c r="K1440" s="348"/>
      <c r="L1440" s="89"/>
      <c r="M1440" s="87"/>
      <c r="N1440" s="90"/>
    </row>
    <row r="1441" spans="1:14" hidden="1" x14ac:dyDescent="0.25">
      <c r="A1441" s="85"/>
      <c r="B1441" s="41"/>
      <c r="C1441" s="348" t="s">
        <v>298</v>
      </c>
      <c r="D1441" s="348"/>
      <c r="E1441" s="348"/>
      <c r="F1441" s="348"/>
      <c r="G1441" s="348"/>
      <c r="H1441" s="348"/>
      <c r="I1441" s="348"/>
      <c r="J1441" s="348"/>
      <c r="K1441" s="348"/>
      <c r="L1441" s="95">
        <v>251.92</v>
      </c>
      <c r="M1441" s="87"/>
      <c r="N1441" s="88">
        <v>13152.74</v>
      </c>
    </row>
    <row r="1442" spans="1:14" hidden="1" x14ac:dyDescent="0.25">
      <c r="A1442" s="85"/>
      <c r="B1442" s="41"/>
      <c r="C1442" s="348" t="s">
        <v>299</v>
      </c>
      <c r="D1442" s="348"/>
      <c r="E1442" s="348"/>
      <c r="F1442" s="348"/>
      <c r="G1442" s="348"/>
      <c r="H1442" s="348"/>
      <c r="I1442" s="348"/>
      <c r="J1442" s="348"/>
      <c r="K1442" s="348"/>
      <c r="L1442" s="95">
        <v>120.78</v>
      </c>
      <c r="M1442" s="87"/>
      <c r="N1442" s="88">
        <v>1897.45</v>
      </c>
    </row>
    <row r="1443" spans="1:14" hidden="1" x14ac:dyDescent="0.25">
      <c r="A1443" s="85"/>
      <c r="B1443" s="41"/>
      <c r="C1443" s="348" t="s">
        <v>300</v>
      </c>
      <c r="D1443" s="348"/>
      <c r="E1443" s="348"/>
      <c r="F1443" s="348"/>
      <c r="G1443" s="348"/>
      <c r="H1443" s="348"/>
      <c r="I1443" s="348"/>
      <c r="J1443" s="348"/>
      <c r="K1443" s="348"/>
      <c r="L1443" s="95">
        <v>11.98</v>
      </c>
      <c r="M1443" s="87"/>
      <c r="N1443" s="96">
        <v>625.48</v>
      </c>
    </row>
    <row r="1444" spans="1:14" hidden="1" x14ac:dyDescent="0.25">
      <c r="A1444" s="85"/>
      <c r="B1444" s="41"/>
      <c r="C1444" s="348" t="s">
        <v>301</v>
      </c>
      <c r="D1444" s="348"/>
      <c r="E1444" s="348"/>
      <c r="F1444" s="348"/>
      <c r="G1444" s="348"/>
      <c r="H1444" s="348"/>
      <c r="I1444" s="348"/>
      <c r="J1444" s="348"/>
      <c r="K1444" s="348"/>
      <c r="L1444" s="95">
        <v>278.75</v>
      </c>
      <c r="M1444" s="87"/>
      <c r="N1444" s="88">
        <v>2648.13</v>
      </c>
    </row>
    <row r="1445" spans="1:14" hidden="1" x14ac:dyDescent="0.25">
      <c r="A1445" s="85"/>
      <c r="B1445" s="41"/>
      <c r="C1445" s="348" t="s">
        <v>302</v>
      </c>
      <c r="D1445" s="348"/>
      <c r="E1445" s="348"/>
      <c r="F1445" s="348"/>
      <c r="G1445" s="348"/>
      <c r="H1445" s="348"/>
      <c r="I1445" s="348"/>
      <c r="J1445" s="348"/>
      <c r="K1445" s="348"/>
      <c r="L1445" s="95">
        <v>242.79</v>
      </c>
      <c r="M1445" s="87"/>
      <c r="N1445" s="88">
        <v>12675.96</v>
      </c>
    </row>
    <row r="1446" spans="1:14" hidden="1" x14ac:dyDescent="0.25">
      <c r="A1446" s="85"/>
      <c r="B1446" s="41"/>
      <c r="C1446" s="348" t="s">
        <v>303</v>
      </c>
      <c r="D1446" s="348"/>
      <c r="E1446" s="348"/>
      <c r="F1446" s="348"/>
      <c r="G1446" s="348"/>
      <c r="H1446" s="348"/>
      <c r="I1446" s="348"/>
      <c r="J1446" s="348"/>
      <c r="K1446" s="348"/>
      <c r="L1446" s="95">
        <v>129.31</v>
      </c>
      <c r="M1446" s="87"/>
      <c r="N1446" s="88">
        <v>6751.33</v>
      </c>
    </row>
    <row r="1447" spans="1:14" hidden="1" x14ac:dyDescent="0.25">
      <c r="A1447" s="85"/>
      <c r="B1447" s="41"/>
      <c r="C1447" s="348" t="s">
        <v>197</v>
      </c>
      <c r="D1447" s="348"/>
      <c r="E1447" s="348"/>
      <c r="F1447" s="348"/>
      <c r="G1447" s="348"/>
      <c r="H1447" s="348"/>
      <c r="I1447" s="348"/>
      <c r="J1447" s="348"/>
      <c r="K1447" s="348"/>
      <c r="L1447" s="86">
        <v>1426.91</v>
      </c>
      <c r="M1447" s="87"/>
      <c r="N1447" s="88">
        <v>74498.97</v>
      </c>
    </row>
    <row r="1448" spans="1:14" hidden="1" x14ac:dyDescent="0.25">
      <c r="A1448" s="85"/>
      <c r="B1448" s="41"/>
      <c r="C1448" s="348" t="s">
        <v>198</v>
      </c>
      <c r="D1448" s="348"/>
      <c r="E1448" s="348"/>
      <c r="F1448" s="348"/>
      <c r="G1448" s="348"/>
      <c r="H1448" s="348"/>
      <c r="I1448" s="348"/>
      <c r="J1448" s="348"/>
      <c r="K1448" s="348"/>
      <c r="L1448" s="86">
        <v>1522.84</v>
      </c>
      <c r="M1448" s="87"/>
      <c r="N1448" s="88">
        <v>79507.399999999994</v>
      </c>
    </row>
    <row r="1449" spans="1:14" hidden="1" x14ac:dyDescent="0.25">
      <c r="A1449" s="85"/>
      <c r="B1449" s="41"/>
      <c r="C1449" s="348" t="s">
        <v>199</v>
      </c>
      <c r="D1449" s="348"/>
      <c r="E1449" s="348"/>
      <c r="F1449" s="348"/>
      <c r="G1449" s="348"/>
      <c r="H1449" s="348"/>
      <c r="I1449" s="348"/>
      <c r="J1449" s="348"/>
      <c r="K1449" s="348"/>
      <c r="L1449" s="95">
        <v>793.15</v>
      </c>
      <c r="M1449" s="87"/>
      <c r="N1449" s="88">
        <v>41410.129999999997</v>
      </c>
    </row>
    <row r="1450" spans="1:14" hidden="1" x14ac:dyDescent="0.25">
      <c r="A1450" s="85"/>
      <c r="B1450" s="81"/>
      <c r="C1450" s="349" t="s">
        <v>439</v>
      </c>
      <c r="D1450" s="349"/>
      <c r="E1450" s="349"/>
      <c r="F1450" s="349"/>
      <c r="G1450" s="349"/>
      <c r="H1450" s="349"/>
      <c r="I1450" s="349"/>
      <c r="J1450" s="349"/>
      <c r="K1450" s="349"/>
      <c r="L1450" s="91">
        <v>621982.81000000006</v>
      </c>
      <c r="M1450" s="83"/>
      <c r="N1450" s="92">
        <v>6114683.7599999998</v>
      </c>
    </row>
    <row r="1451" spans="1:14" hidden="1" x14ac:dyDescent="0.25">
      <c r="A1451" s="85"/>
      <c r="B1451" s="41"/>
      <c r="C1451" s="348" t="s">
        <v>201</v>
      </c>
      <c r="D1451" s="348"/>
      <c r="E1451" s="348"/>
      <c r="F1451" s="348"/>
      <c r="G1451" s="348"/>
      <c r="H1451" s="348"/>
      <c r="I1451" s="348"/>
      <c r="J1451" s="348"/>
      <c r="K1451" s="348"/>
      <c r="L1451" s="89"/>
      <c r="M1451" s="87"/>
      <c r="N1451" s="90"/>
    </row>
    <row r="1452" spans="1:14" hidden="1" x14ac:dyDescent="0.25">
      <c r="A1452" s="85"/>
      <c r="B1452" s="41"/>
      <c r="C1452" s="348" t="s">
        <v>202</v>
      </c>
      <c r="D1452" s="348"/>
      <c r="E1452" s="348"/>
      <c r="F1452" s="348"/>
      <c r="G1452" s="348"/>
      <c r="H1452" s="348"/>
      <c r="I1452" s="42" t="s">
        <v>440</v>
      </c>
      <c r="J1452" s="93"/>
      <c r="K1452" s="93"/>
      <c r="L1452" s="89"/>
      <c r="M1452" s="87"/>
      <c r="N1452" s="90"/>
    </row>
    <row r="1453" spans="1:14" hidden="1" x14ac:dyDescent="0.25">
      <c r="A1453" s="85"/>
      <c r="B1453" s="41"/>
      <c r="C1453" s="348" t="s">
        <v>204</v>
      </c>
      <c r="D1453" s="348"/>
      <c r="E1453" s="348"/>
      <c r="F1453" s="348"/>
      <c r="G1453" s="348"/>
      <c r="H1453" s="348"/>
      <c r="I1453" s="42" t="s">
        <v>441</v>
      </c>
      <c r="J1453" s="93"/>
      <c r="K1453" s="93"/>
      <c r="L1453" s="89"/>
      <c r="M1453" s="87"/>
      <c r="N1453" s="90"/>
    </row>
    <row r="1454" spans="1:14" x14ac:dyDescent="0.25">
      <c r="A1454" s="358" t="s">
        <v>442</v>
      </c>
      <c r="B1454" s="359"/>
      <c r="C1454" s="359"/>
      <c r="D1454" s="359"/>
      <c r="E1454" s="359"/>
      <c r="F1454" s="359"/>
      <c r="G1454" s="359"/>
      <c r="H1454" s="359"/>
      <c r="I1454" s="359"/>
      <c r="J1454" s="359"/>
      <c r="K1454" s="359"/>
      <c r="L1454" s="359"/>
      <c r="M1454" s="359"/>
      <c r="N1454" s="360"/>
    </row>
    <row r="1455" spans="1:14" ht="33" customHeight="1" x14ac:dyDescent="0.25">
      <c r="A1455" s="32" t="s">
        <v>443</v>
      </c>
      <c r="B1455" s="33" t="s">
        <v>208</v>
      </c>
      <c r="C1455" s="350" t="s">
        <v>209</v>
      </c>
      <c r="D1455" s="350"/>
      <c r="E1455" s="350"/>
      <c r="F1455" s="34" t="s">
        <v>210</v>
      </c>
      <c r="G1455" s="35">
        <v>1</v>
      </c>
      <c r="H1455" s="36">
        <v>1</v>
      </c>
      <c r="I1455" s="36">
        <v>1</v>
      </c>
      <c r="J1455" s="38"/>
      <c r="K1455" s="35"/>
      <c r="L1455" s="38"/>
      <c r="M1455" s="35"/>
      <c r="N1455" s="39"/>
    </row>
    <row r="1456" spans="1:14" hidden="1" x14ac:dyDescent="0.25">
      <c r="A1456" s="40"/>
      <c r="B1456" s="41" t="s">
        <v>55</v>
      </c>
      <c r="C1456" s="354" t="s">
        <v>59</v>
      </c>
      <c r="D1456" s="354"/>
      <c r="E1456" s="354"/>
      <c r="F1456" s="42"/>
      <c r="G1456" s="43"/>
      <c r="H1456" s="43"/>
      <c r="I1456" s="43"/>
      <c r="J1456" s="44">
        <v>298.64</v>
      </c>
      <c r="K1456" s="43"/>
      <c r="L1456" s="44">
        <v>298.64</v>
      </c>
      <c r="M1456" s="45">
        <v>52.21</v>
      </c>
      <c r="N1456" s="46">
        <v>15591.99</v>
      </c>
    </row>
    <row r="1457" spans="1:14" hidden="1" x14ac:dyDescent="0.25">
      <c r="A1457" s="40"/>
      <c r="B1457" s="41" t="s">
        <v>70</v>
      </c>
      <c r="C1457" s="354" t="s">
        <v>74</v>
      </c>
      <c r="D1457" s="354"/>
      <c r="E1457" s="354"/>
      <c r="F1457" s="42"/>
      <c r="G1457" s="43"/>
      <c r="H1457" s="43"/>
      <c r="I1457" s="43"/>
      <c r="J1457" s="44">
        <v>128.02000000000001</v>
      </c>
      <c r="K1457" s="43"/>
      <c r="L1457" s="44">
        <v>128.02000000000001</v>
      </c>
      <c r="M1457" s="45">
        <v>15.71</v>
      </c>
      <c r="N1457" s="46">
        <v>2011.19</v>
      </c>
    </row>
    <row r="1458" spans="1:14" hidden="1" x14ac:dyDescent="0.25">
      <c r="A1458" s="40"/>
      <c r="B1458" s="41" t="s">
        <v>75</v>
      </c>
      <c r="C1458" s="354" t="s">
        <v>76</v>
      </c>
      <c r="D1458" s="354"/>
      <c r="E1458" s="354"/>
      <c r="F1458" s="42"/>
      <c r="G1458" s="43"/>
      <c r="H1458" s="43"/>
      <c r="I1458" s="43"/>
      <c r="J1458" s="44">
        <v>19.84</v>
      </c>
      <c r="K1458" s="43"/>
      <c r="L1458" s="44">
        <v>19.84</v>
      </c>
      <c r="M1458" s="45">
        <v>52.21</v>
      </c>
      <c r="N1458" s="46">
        <v>1035.8499999999999</v>
      </c>
    </row>
    <row r="1459" spans="1:14" hidden="1" x14ac:dyDescent="0.25">
      <c r="A1459" s="47"/>
      <c r="B1459" s="41"/>
      <c r="C1459" s="354" t="s">
        <v>60</v>
      </c>
      <c r="D1459" s="354"/>
      <c r="E1459" s="354"/>
      <c r="F1459" s="42" t="s">
        <v>61</v>
      </c>
      <c r="G1459" s="45">
        <v>35.01</v>
      </c>
      <c r="H1459" s="43"/>
      <c r="I1459" s="45">
        <v>35.01</v>
      </c>
      <c r="J1459" s="50"/>
      <c r="K1459" s="43"/>
      <c r="L1459" s="50"/>
      <c r="M1459" s="43"/>
      <c r="N1459" s="51"/>
    </row>
    <row r="1460" spans="1:14" hidden="1" x14ac:dyDescent="0.25">
      <c r="A1460" s="47"/>
      <c r="B1460" s="41"/>
      <c r="C1460" s="354" t="s">
        <v>77</v>
      </c>
      <c r="D1460" s="354"/>
      <c r="E1460" s="354"/>
      <c r="F1460" s="42" t="s">
        <v>61</v>
      </c>
      <c r="G1460" s="45">
        <v>1.71</v>
      </c>
      <c r="H1460" s="43"/>
      <c r="I1460" s="45">
        <v>1.71</v>
      </c>
      <c r="J1460" s="50"/>
      <c r="K1460" s="43"/>
      <c r="L1460" s="50"/>
      <c r="M1460" s="43"/>
      <c r="N1460" s="51"/>
    </row>
    <row r="1461" spans="1:14" hidden="1" x14ac:dyDescent="0.25">
      <c r="A1461" s="52"/>
      <c r="B1461" s="41"/>
      <c r="C1461" s="355" t="s">
        <v>62</v>
      </c>
      <c r="D1461" s="355"/>
      <c r="E1461" s="355"/>
      <c r="F1461" s="53"/>
      <c r="G1461" s="54"/>
      <c r="H1461" s="54"/>
      <c r="I1461" s="54"/>
      <c r="J1461" s="55">
        <v>426.66</v>
      </c>
      <c r="K1461" s="54"/>
      <c r="L1461" s="55">
        <v>426.66</v>
      </c>
      <c r="M1461" s="54"/>
      <c r="N1461" s="56">
        <v>17603.18</v>
      </c>
    </row>
    <row r="1462" spans="1:14" hidden="1" x14ac:dyDescent="0.25">
      <c r="A1462" s="47"/>
      <c r="B1462" s="41"/>
      <c r="C1462" s="354" t="s">
        <v>63</v>
      </c>
      <c r="D1462" s="354"/>
      <c r="E1462" s="354"/>
      <c r="F1462" s="42"/>
      <c r="G1462" s="43"/>
      <c r="H1462" s="43"/>
      <c r="I1462" s="43"/>
      <c r="J1462" s="50"/>
      <c r="K1462" s="43"/>
      <c r="L1462" s="44">
        <v>318.48</v>
      </c>
      <c r="M1462" s="43"/>
      <c r="N1462" s="46">
        <v>16627.84</v>
      </c>
    </row>
    <row r="1463" spans="1:14" ht="22.5" hidden="1" x14ac:dyDescent="0.25">
      <c r="A1463" s="47"/>
      <c r="B1463" s="41" t="s">
        <v>78</v>
      </c>
      <c r="C1463" s="354" t="s">
        <v>79</v>
      </c>
      <c r="D1463" s="354"/>
      <c r="E1463" s="354"/>
      <c r="F1463" s="42" t="s">
        <v>66</v>
      </c>
      <c r="G1463" s="48">
        <v>109</v>
      </c>
      <c r="H1463" s="43"/>
      <c r="I1463" s="48">
        <v>109</v>
      </c>
      <c r="J1463" s="50"/>
      <c r="K1463" s="43"/>
      <c r="L1463" s="44">
        <v>347.14</v>
      </c>
      <c r="M1463" s="43"/>
      <c r="N1463" s="46">
        <v>18124.349999999999</v>
      </c>
    </row>
    <row r="1464" spans="1:14" ht="45" hidden="1" x14ac:dyDescent="0.25">
      <c r="A1464" s="47"/>
      <c r="B1464" s="41" t="s">
        <v>80</v>
      </c>
      <c r="C1464" s="354" t="s">
        <v>81</v>
      </c>
      <c r="D1464" s="354"/>
      <c r="E1464" s="354"/>
      <c r="F1464" s="42" t="s">
        <v>66</v>
      </c>
      <c r="G1464" s="48">
        <v>65</v>
      </c>
      <c r="H1464" s="45">
        <v>0.85</v>
      </c>
      <c r="I1464" s="45">
        <v>55.25</v>
      </c>
      <c r="J1464" s="50"/>
      <c r="K1464" s="43"/>
      <c r="L1464" s="44">
        <v>175.96</v>
      </c>
      <c r="M1464" s="43"/>
      <c r="N1464" s="46">
        <v>9186.8799999999992</v>
      </c>
    </row>
    <row r="1465" spans="1:14" hidden="1" x14ac:dyDescent="0.25">
      <c r="A1465" s="57"/>
      <c r="B1465" s="58"/>
      <c r="C1465" s="350" t="s">
        <v>69</v>
      </c>
      <c r="D1465" s="350"/>
      <c r="E1465" s="350"/>
      <c r="F1465" s="34"/>
      <c r="G1465" s="35"/>
      <c r="H1465" s="35"/>
      <c r="I1465" s="35"/>
      <c r="J1465" s="38"/>
      <c r="K1465" s="35"/>
      <c r="L1465" s="59">
        <v>949.76</v>
      </c>
      <c r="M1465" s="54"/>
      <c r="N1465" s="60">
        <v>44914.41</v>
      </c>
    </row>
    <row r="1466" spans="1:14" ht="29.25" customHeight="1" x14ac:dyDescent="0.25">
      <c r="A1466" s="32" t="s">
        <v>444</v>
      </c>
      <c r="B1466" s="33" t="s">
        <v>82</v>
      </c>
      <c r="C1466" s="350" t="s">
        <v>83</v>
      </c>
      <c r="D1466" s="350"/>
      <c r="E1466" s="350"/>
      <c r="F1466" s="34" t="s">
        <v>58</v>
      </c>
      <c r="G1466" s="35">
        <v>0.23599999999999999</v>
      </c>
      <c r="H1466" s="36">
        <v>1</v>
      </c>
      <c r="I1466" s="67">
        <v>0.23599999999999999</v>
      </c>
      <c r="J1466" s="38"/>
      <c r="K1466" s="35"/>
      <c r="L1466" s="38"/>
      <c r="M1466" s="35"/>
      <c r="N1466" s="39"/>
    </row>
    <row r="1467" spans="1:14" hidden="1" x14ac:dyDescent="0.25">
      <c r="A1467" s="40"/>
      <c r="B1467" s="41" t="s">
        <v>55</v>
      </c>
      <c r="C1467" s="354" t="s">
        <v>59</v>
      </c>
      <c r="D1467" s="354"/>
      <c r="E1467" s="354"/>
      <c r="F1467" s="42"/>
      <c r="G1467" s="43"/>
      <c r="H1467" s="43"/>
      <c r="I1467" s="43"/>
      <c r="J1467" s="44">
        <v>92.08</v>
      </c>
      <c r="K1467" s="43"/>
      <c r="L1467" s="44">
        <v>21.73</v>
      </c>
      <c r="M1467" s="45">
        <v>52.21</v>
      </c>
      <c r="N1467" s="46">
        <v>1134.52</v>
      </c>
    </row>
    <row r="1468" spans="1:14" hidden="1" x14ac:dyDescent="0.25">
      <c r="A1468" s="40"/>
      <c r="B1468" s="41" t="s">
        <v>70</v>
      </c>
      <c r="C1468" s="354" t="s">
        <v>74</v>
      </c>
      <c r="D1468" s="354"/>
      <c r="E1468" s="354"/>
      <c r="F1468" s="42"/>
      <c r="G1468" s="43"/>
      <c r="H1468" s="43"/>
      <c r="I1468" s="43"/>
      <c r="J1468" s="44">
        <v>287.60000000000002</v>
      </c>
      <c r="K1468" s="43"/>
      <c r="L1468" s="44">
        <v>67.87</v>
      </c>
      <c r="M1468" s="45">
        <v>15.71</v>
      </c>
      <c r="N1468" s="46">
        <v>1066.24</v>
      </c>
    </row>
    <row r="1469" spans="1:14" hidden="1" x14ac:dyDescent="0.25">
      <c r="A1469" s="40"/>
      <c r="B1469" s="41" t="s">
        <v>75</v>
      </c>
      <c r="C1469" s="354" t="s">
        <v>76</v>
      </c>
      <c r="D1469" s="354"/>
      <c r="E1469" s="354"/>
      <c r="F1469" s="42"/>
      <c r="G1469" s="43"/>
      <c r="H1469" s="43"/>
      <c r="I1469" s="43"/>
      <c r="J1469" s="44">
        <v>37.57</v>
      </c>
      <c r="K1469" s="43"/>
      <c r="L1469" s="44">
        <v>8.8699999999999992</v>
      </c>
      <c r="M1469" s="45">
        <v>52.21</v>
      </c>
      <c r="N1469" s="69">
        <v>463.1</v>
      </c>
    </row>
    <row r="1470" spans="1:14" hidden="1" x14ac:dyDescent="0.25">
      <c r="A1470" s="47"/>
      <c r="B1470" s="41"/>
      <c r="C1470" s="354" t="s">
        <v>60</v>
      </c>
      <c r="D1470" s="354"/>
      <c r="E1470" s="354"/>
      <c r="F1470" s="42" t="s">
        <v>61</v>
      </c>
      <c r="G1470" s="63">
        <v>11.7</v>
      </c>
      <c r="H1470" s="43"/>
      <c r="I1470" s="64">
        <v>2.7612000000000001</v>
      </c>
      <c r="J1470" s="50"/>
      <c r="K1470" s="43"/>
      <c r="L1470" s="50"/>
      <c r="M1470" s="43"/>
      <c r="N1470" s="51"/>
    </row>
    <row r="1471" spans="1:14" hidden="1" x14ac:dyDescent="0.25">
      <c r="A1471" s="47"/>
      <c r="B1471" s="41"/>
      <c r="C1471" s="354" t="s">
        <v>77</v>
      </c>
      <c r="D1471" s="354"/>
      <c r="E1471" s="354"/>
      <c r="F1471" s="42" t="s">
        <v>61</v>
      </c>
      <c r="G1471" s="45">
        <v>2.96</v>
      </c>
      <c r="H1471" s="43"/>
      <c r="I1471" s="68">
        <v>0.69855999999999996</v>
      </c>
      <c r="J1471" s="50"/>
      <c r="K1471" s="43"/>
      <c r="L1471" s="50"/>
      <c r="M1471" s="43"/>
      <c r="N1471" s="51"/>
    </row>
    <row r="1472" spans="1:14" hidden="1" x14ac:dyDescent="0.25">
      <c r="A1472" s="52"/>
      <c r="B1472" s="41"/>
      <c r="C1472" s="355" t="s">
        <v>62</v>
      </c>
      <c r="D1472" s="355"/>
      <c r="E1472" s="355"/>
      <c r="F1472" s="53"/>
      <c r="G1472" s="54"/>
      <c r="H1472" s="54"/>
      <c r="I1472" s="54"/>
      <c r="J1472" s="55">
        <v>379.68</v>
      </c>
      <c r="K1472" s="54"/>
      <c r="L1472" s="55">
        <v>89.6</v>
      </c>
      <c r="M1472" s="54"/>
      <c r="N1472" s="56">
        <v>2200.7600000000002</v>
      </c>
    </row>
    <row r="1473" spans="1:14" hidden="1" x14ac:dyDescent="0.25">
      <c r="A1473" s="47"/>
      <c r="B1473" s="41"/>
      <c r="C1473" s="354" t="s">
        <v>63</v>
      </c>
      <c r="D1473" s="354"/>
      <c r="E1473" s="354"/>
      <c r="F1473" s="42"/>
      <c r="G1473" s="43"/>
      <c r="H1473" s="43"/>
      <c r="I1473" s="43"/>
      <c r="J1473" s="50"/>
      <c r="K1473" s="43"/>
      <c r="L1473" s="44">
        <v>30.6</v>
      </c>
      <c r="M1473" s="43"/>
      <c r="N1473" s="46">
        <v>1597.62</v>
      </c>
    </row>
    <row r="1474" spans="1:14" hidden="1" x14ac:dyDescent="0.25">
      <c r="A1474" s="47"/>
      <c r="B1474" s="41" t="s">
        <v>84</v>
      </c>
      <c r="C1474" s="354" t="s">
        <v>85</v>
      </c>
      <c r="D1474" s="354"/>
      <c r="E1474" s="354"/>
      <c r="F1474" s="42" t="s">
        <v>66</v>
      </c>
      <c r="G1474" s="48">
        <v>102</v>
      </c>
      <c r="H1474" s="43"/>
      <c r="I1474" s="48">
        <v>102</v>
      </c>
      <c r="J1474" s="50"/>
      <c r="K1474" s="43"/>
      <c r="L1474" s="44">
        <v>31.21</v>
      </c>
      <c r="M1474" s="43"/>
      <c r="N1474" s="46">
        <v>1629.57</v>
      </c>
    </row>
    <row r="1475" spans="1:14" hidden="1" x14ac:dyDescent="0.25">
      <c r="A1475" s="47"/>
      <c r="B1475" s="41" t="s">
        <v>86</v>
      </c>
      <c r="C1475" s="354" t="s">
        <v>87</v>
      </c>
      <c r="D1475" s="354"/>
      <c r="E1475" s="354"/>
      <c r="F1475" s="42" t="s">
        <v>66</v>
      </c>
      <c r="G1475" s="48">
        <v>54</v>
      </c>
      <c r="H1475" s="43"/>
      <c r="I1475" s="48">
        <v>54</v>
      </c>
      <c r="J1475" s="50"/>
      <c r="K1475" s="43"/>
      <c r="L1475" s="44">
        <v>16.52</v>
      </c>
      <c r="M1475" s="43"/>
      <c r="N1475" s="69">
        <v>862.71</v>
      </c>
    </row>
    <row r="1476" spans="1:14" hidden="1" x14ac:dyDescent="0.25">
      <c r="A1476" s="57"/>
      <c r="B1476" s="58"/>
      <c r="C1476" s="350" t="s">
        <v>69</v>
      </c>
      <c r="D1476" s="350"/>
      <c r="E1476" s="350"/>
      <c r="F1476" s="34"/>
      <c r="G1476" s="35"/>
      <c r="H1476" s="35"/>
      <c r="I1476" s="35"/>
      <c r="J1476" s="38"/>
      <c r="K1476" s="35"/>
      <c r="L1476" s="59">
        <v>137.33000000000001</v>
      </c>
      <c r="M1476" s="54"/>
      <c r="N1476" s="60">
        <v>4693.04</v>
      </c>
    </row>
    <row r="1477" spans="1:14" x14ac:dyDescent="0.25">
      <c r="A1477" s="32" t="s">
        <v>445</v>
      </c>
      <c r="B1477" s="33" t="s">
        <v>89</v>
      </c>
      <c r="C1477" s="350" t="s">
        <v>90</v>
      </c>
      <c r="D1477" s="350"/>
      <c r="E1477" s="350"/>
      <c r="F1477" s="34" t="s">
        <v>58</v>
      </c>
      <c r="G1477" s="35">
        <v>0.1152</v>
      </c>
      <c r="H1477" s="36">
        <v>1</v>
      </c>
      <c r="I1477" s="37">
        <v>0.1152</v>
      </c>
      <c r="J1477" s="38"/>
      <c r="K1477" s="35"/>
      <c r="L1477" s="38"/>
      <c r="M1477" s="35"/>
      <c r="N1477" s="39"/>
    </row>
    <row r="1478" spans="1:14" hidden="1" x14ac:dyDescent="0.25">
      <c r="A1478" s="40"/>
      <c r="B1478" s="41" t="s">
        <v>55</v>
      </c>
      <c r="C1478" s="354" t="s">
        <v>59</v>
      </c>
      <c r="D1478" s="354"/>
      <c r="E1478" s="354"/>
      <c r="F1478" s="42"/>
      <c r="G1478" s="43"/>
      <c r="H1478" s="43"/>
      <c r="I1478" s="43"/>
      <c r="J1478" s="44">
        <v>106.88</v>
      </c>
      <c r="K1478" s="43"/>
      <c r="L1478" s="44">
        <v>12.31</v>
      </c>
      <c r="M1478" s="45">
        <v>52.21</v>
      </c>
      <c r="N1478" s="69">
        <v>642.71</v>
      </c>
    </row>
    <row r="1479" spans="1:14" hidden="1" x14ac:dyDescent="0.25">
      <c r="A1479" s="40"/>
      <c r="B1479" s="41" t="s">
        <v>70</v>
      </c>
      <c r="C1479" s="354" t="s">
        <v>74</v>
      </c>
      <c r="D1479" s="354"/>
      <c r="E1479" s="354"/>
      <c r="F1479" s="42"/>
      <c r="G1479" s="43"/>
      <c r="H1479" s="43"/>
      <c r="I1479" s="43"/>
      <c r="J1479" s="44">
        <v>241.58</v>
      </c>
      <c r="K1479" s="43"/>
      <c r="L1479" s="44">
        <v>27.83</v>
      </c>
      <c r="M1479" s="45">
        <v>15.71</v>
      </c>
      <c r="N1479" s="69">
        <v>437.21</v>
      </c>
    </row>
    <row r="1480" spans="1:14" hidden="1" x14ac:dyDescent="0.25">
      <c r="A1480" s="40"/>
      <c r="B1480" s="41" t="s">
        <v>75</v>
      </c>
      <c r="C1480" s="354" t="s">
        <v>76</v>
      </c>
      <c r="D1480" s="354"/>
      <c r="E1480" s="354"/>
      <c r="F1480" s="42"/>
      <c r="G1480" s="43"/>
      <c r="H1480" s="43"/>
      <c r="I1480" s="43"/>
      <c r="J1480" s="44">
        <v>26.36</v>
      </c>
      <c r="K1480" s="43"/>
      <c r="L1480" s="44">
        <v>3.04</v>
      </c>
      <c r="M1480" s="45">
        <v>52.21</v>
      </c>
      <c r="N1480" s="69">
        <v>158.72</v>
      </c>
    </row>
    <row r="1481" spans="1:14" hidden="1" x14ac:dyDescent="0.25">
      <c r="A1481" s="47"/>
      <c r="B1481" s="41"/>
      <c r="C1481" s="354" t="s">
        <v>60</v>
      </c>
      <c r="D1481" s="354"/>
      <c r="E1481" s="354"/>
      <c r="F1481" s="42" t="s">
        <v>61</v>
      </c>
      <c r="G1481" s="45">
        <v>12.53</v>
      </c>
      <c r="H1481" s="43"/>
      <c r="I1481" s="73">
        <v>1.4434560000000001</v>
      </c>
      <c r="J1481" s="50"/>
      <c r="K1481" s="43"/>
      <c r="L1481" s="50"/>
      <c r="M1481" s="43"/>
      <c r="N1481" s="51"/>
    </row>
    <row r="1482" spans="1:14" hidden="1" x14ac:dyDescent="0.25">
      <c r="A1482" s="47"/>
      <c r="B1482" s="41"/>
      <c r="C1482" s="354" t="s">
        <v>77</v>
      </c>
      <c r="D1482" s="354"/>
      <c r="E1482" s="354"/>
      <c r="F1482" s="42" t="s">
        <v>61</v>
      </c>
      <c r="G1482" s="45">
        <v>2.62</v>
      </c>
      <c r="H1482" s="43"/>
      <c r="I1482" s="73">
        <v>0.30182399999999998</v>
      </c>
      <c r="J1482" s="50"/>
      <c r="K1482" s="43"/>
      <c r="L1482" s="50"/>
      <c r="M1482" s="43"/>
      <c r="N1482" s="51"/>
    </row>
    <row r="1483" spans="1:14" hidden="1" x14ac:dyDescent="0.25">
      <c r="A1483" s="52"/>
      <c r="B1483" s="41"/>
      <c r="C1483" s="355" t="s">
        <v>62</v>
      </c>
      <c r="D1483" s="355"/>
      <c r="E1483" s="355"/>
      <c r="F1483" s="53"/>
      <c r="G1483" s="54"/>
      <c r="H1483" s="54"/>
      <c r="I1483" s="54"/>
      <c r="J1483" s="55">
        <v>348.46</v>
      </c>
      <c r="K1483" s="54"/>
      <c r="L1483" s="55">
        <v>40.14</v>
      </c>
      <c r="M1483" s="54"/>
      <c r="N1483" s="56">
        <v>1079.92</v>
      </c>
    </row>
    <row r="1484" spans="1:14" hidden="1" x14ac:dyDescent="0.25">
      <c r="A1484" s="47"/>
      <c r="B1484" s="41"/>
      <c r="C1484" s="354" t="s">
        <v>63</v>
      </c>
      <c r="D1484" s="354"/>
      <c r="E1484" s="354"/>
      <c r="F1484" s="42"/>
      <c r="G1484" s="43"/>
      <c r="H1484" s="43"/>
      <c r="I1484" s="43"/>
      <c r="J1484" s="50"/>
      <c r="K1484" s="43"/>
      <c r="L1484" s="44">
        <v>15.35</v>
      </c>
      <c r="M1484" s="43"/>
      <c r="N1484" s="69">
        <v>801.43</v>
      </c>
    </row>
    <row r="1485" spans="1:14" ht="22.5" hidden="1" x14ac:dyDescent="0.25">
      <c r="A1485" s="47"/>
      <c r="B1485" s="41" t="s">
        <v>91</v>
      </c>
      <c r="C1485" s="354" t="s">
        <v>92</v>
      </c>
      <c r="D1485" s="354"/>
      <c r="E1485" s="354"/>
      <c r="F1485" s="42" t="s">
        <v>66</v>
      </c>
      <c r="G1485" s="48">
        <v>92</v>
      </c>
      <c r="H1485" s="43"/>
      <c r="I1485" s="48">
        <v>92</v>
      </c>
      <c r="J1485" s="50"/>
      <c r="K1485" s="43"/>
      <c r="L1485" s="44">
        <v>14.12</v>
      </c>
      <c r="M1485" s="43"/>
      <c r="N1485" s="69">
        <v>737.32</v>
      </c>
    </row>
    <row r="1486" spans="1:14" ht="45" hidden="1" x14ac:dyDescent="0.25">
      <c r="A1486" s="47"/>
      <c r="B1486" s="41" t="s">
        <v>93</v>
      </c>
      <c r="C1486" s="354" t="s">
        <v>94</v>
      </c>
      <c r="D1486" s="354"/>
      <c r="E1486" s="354"/>
      <c r="F1486" s="42" t="s">
        <v>66</v>
      </c>
      <c r="G1486" s="48">
        <v>46</v>
      </c>
      <c r="H1486" s="45">
        <v>0.85</v>
      </c>
      <c r="I1486" s="63">
        <v>39.1</v>
      </c>
      <c r="J1486" s="50"/>
      <c r="K1486" s="43"/>
      <c r="L1486" s="44">
        <v>6</v>
      </c>
      <c r="M1486" s="43"/>
      <c r="N1486" s="69">
        <v>313.36</v>
      </c>
    </row>
    <row r="1487" spans="1:14" hidden="1" x14ac:dyDescent="0.25">
      <c r="A1487" s="57"/>
      <c r="B1487" s="58"/>
      <c r="C1487" s="350" t="s">
        <v>69</v>
      </c>
      <c r="D1487" s="350"/>
      <c r="E1487" s="350"/>
      <c r="F1487" s="34"/>
      <c r="G1487" s="35"/>
      <c r="H1487" s="35"/>
      <c r="I1487" s="35"/>
      <c r="J1487" s="38"/>
      <c r="K1487" s="35"/>
      <c r="L1487" s="59">
        <v>60.26</v>
      </c>
      <c r="M1487" s="54"/>
      <c r="N1487" s="60">
        <v>2130.6</v>
      </c>
    </row>
    <row r="1488" spans="1:14" x14ac:dyDescent="0.25">
      <c r="A1488" s="32" t="s">
        <v>446</v>
      </c>
      <c r="B1488" s="33" t="s">
        <v>96</v>
      </c>
      <c r="C1488" s="350" t="s">
        <v>97</v>
      </c>
      <c r="D1488" s="350"/>
      <c r="E1488" s="350"/>
      <c r="F1488" s="34" t="s">
        <v>58</v>
      </c>
      <c r="G1488" s="35">
        <v>0.115</v>
      </c>
      <c r="H1488" s="36">
        <v>1</v>
      </c>
      <c r="I1488" s="67">
        <v>0.115</v>
      </c>
      <c r="J1488" s="38"/>
      <c r="K1488" s="35"/>
      <c r="L1488" s="38"/>
      <c r="M1488" s="35"/>
      <c r="N1488" s="39"/>
    </row>
    <row r="1489" spans="1:14" hidden="1" x14ac:dyDescent="0.25">
      <c r="A1489" s="40"/>
      <c r="B1489" s="41" t="s">
        <v>55</v>
      </c>
      <c r="C1489" s="354" t="s">
        <v>59</v>
      </c>
      <c r="D1489" s="354"/>
      <c r="E1489" s="354"/>
      <c r="F1489" s="42"/>
      <c r="G1489" s="43"/>
      <c r="H1489" s="43"/>
      <c r="I1489" s="43"/>
      <c r="J1489" s="44">
        <v>173.23</v>
      </c>
      <c r="K1489" s="43"/>
      <c r="L1489" s="44">
        <v>19.920000000000002</v>
      </c>
      <c r="M1489" s="45">
        <v>52.21</v>
      </c>
      <c r="N1489" s="46">
        <v>1040.02</v>
      </c>
    </row>
    <row r="1490" spans="1:14" hidden="1" x14ac:dyDescent="0.25">
      <c r="A1490" s="40"/>
      <c r="B1490" s="41" t="s">
        <v>70</v>
      </c>
      <c r="C1490" s="354" t="s">
        <v>74</v>
      </c>
      <c r="D1490" s="354"/>
      <c r="E1490" s="354"/>
      <c r="F1490" s="42"/>
      <c r="G1490" s="43"/>
      <c r="H1490" s="43"/>
      <c r="I1490" s="43"/>
      <c r="J1490" s="62">
        <v>5268.76</v>
      </c>
      <c r="K1490" s="43"/>
      <c r="L1490" s="44">
        <v>605.91</v>
      </c>
      <c r="M1490" s="45">
        <v>15.71</v>
      </c>
      <c r="N1490" s="46">
        <v>9518.85</v>
      </c>
    </row>
    <row r="1491" spans="1:14" hidden="1" x14ac:dyDescent="0.25">
      <c r="A1491" s="40"/>
      <c r="B1491" s="41" t="s">
        <v>75</v>
      </c>
      <c r="C1491" s="354" t="s">
        <v>76</v>
      </c>
      <c r="D1491" s="354"/>
      <c r="E1491" s="354"/>
      <c r="F1491" s="42"/>
      <c r="G1491" s="43"/>
      <c r="H1491" s="43"/>
      <c r="I1491" s="43"/>
      <c r="J1491" s="44">
        <v>267.67</v>
      </c>
      <c r="K1491" s="43"/>
      <c r="L1491" s="44">
        <v>30.78</v>
      </c>
      <c r="M1491" s="45">
        <v>52.21</v>
      </c>
      <c r="N1491" s="46">
        <v>1607.02</v>
      </c>
    </row>
    <row r="1492" spans="1:14" hidden="1" x14ac:dyDescent="0.25">
      <c r="A1492" s="40"/>
      <c r="B1492" s="41" t="s">
        <v>88</v>
      </c>
      <c r="C1492" s="354" t="s">
        <v>98</v>
      </c>
      <c r="D1492" s="354"/>
      <c r="E1492" s="354"/>
      <c r="F1492" s="42"/>
      <c r="G1492" s="43"/>
      <c r="H1492" s="43"/>
      <c r="I1492" s="43"/>
      <c r="J1492" s="44">
        <v>17.079999999999998</v>
      </c>
      <c r="K1492" s="43"/>
      <c r="L1492" s="44">
        <v>1.96</v>
      </c>
      <c r="M1492" s="63">
        <v>9.5</v>
      </c>
      <c r="N1492" s="69">
        <v>18.62</v>
      </c>
    </row>
    <row r="1493" spans="1:14" hidden="1" x14ac:dyDescent="0.25">
      <c r="A1493" s="47"/>
      <c r="B1493" s="41"/>
      <c r="C1493" s="354" t="s">
        <v>60</v>
      </c>
      <c r="D1493" s="354"/>
      <c r="E1493" s="354"/>
      <c r="F1493" s="42" t="s">
        <v>61</v>
      </c>
      <c r="G1493" s="63">
        <v>21.6</v>
      </c>
      <c r="H1493" s="43"/>
      <c r="I1493" s="49">
        <v>2.484</v>
      </c>
      <c r="J1493" s="50"/>
      <c r="K1493" s="43"/>
      <c r="L1493" s="50"/>
      <c r="M1493" s="43"/>
      <c r="N1493" s="51"/>
    </row>
    <row r="1494" spans="1:14" hidden="1" x14ac:dyDescent="0.25">
      <c r="A1494" s="47"/>
      <c r="B1494" s="41"/>
      <c r="C1494" s="354" t="s">
        <v>77</v>
      </c>
      <c r="D1494" s="354"/>
      <c r="E1494" s="354"/>
      <c r="F1494" s="42" t="s">
        <v>61</v>
      </c>
      <c r="G1494" s="63">
        <v>20.6</v>
      </c>
      <c r="H1494" s="43"/>
      <c r="I1494" s="49">
        <v>2.3690000000000002</v>
      </c>
      <c r="J1494" s="50"/>
      <c r="K1494" s="43"/>
      <c r="L1494" s="50"/>
      <c r="M1494" s="43"/>
      <c r="N1494" s="51"/>
    </row>
    <row r="1495" spans="1:14" hidden="1" x14ac:dyDescent="0.25">
      <c r="A1495" s="52"/>
      <c r="B1495" s="41"/>
      <c r="C1495" s="355" t="s">
        <v>62</v>
      </c>
      <c r="D1495" s="355"/>
      <c r="E1495" s="355"/>
      <c r="F1495" s="53"/>
      <c r="G1495" s="54"/>
      <c r="H1495" s="54"/>
      <c r="I1495" s="54"/>
      <c r="J1495" s="65">
        <v>5459.07</v>
      </c>
      <c r="K1495" s="54"/>
      <c r="L1495" s="55">
        <v>627.79</v>
      </c>
      <c r="M1495" s="54"/>
      <c r="N1495" s="56">
        <v>10577.49</v>
      </c>
    </row>
    <row r="1496" spans="1:14" hidden="1" x14ac:dyDescent="0.25">
      <c r="A1496" s="47"/>
      <c r="B1496" s="41"/>
      <c r="C1496" s="354" t="s">
        <v>63</v>
      </c>
      <c r="D1496" s="354"/>
      <c r="E1496" s="354"/>
      <c r="F1496" s="42"/>
      <c r="G1496" s="43"/>
      <c r="H1496" s="43"/>
      <c r="I1496" s="43"/>
      <c r="J1496" s="50"/>
      <c r="K1496" s="43"/>
      <c r="L1496" s="44">
        <v>50.7</v>
      </c>
      <c r="M1496" s="43"/>
      <c r="N1496" s="46">
        <v>2647.04</v>
      </c>
    </row>
    <row r="1497" spans="1:14" ht="45" hidden="1" x14ac:dyDescent="0.25">
      <c r="A1497" s="47"/>
      <c r="B1497" s="41" t="s">
        <v>99</v>
      </c>
      <c r="C1497" s="354" t="s">
        <v>100</v>
      </c>
      <c r="D1497" s="354"/>
      <c r="E1497" s="354"/>
      <c r="F1497" s="42" t="s">
        <v>66</v>
      </c>
      <c r="G1497" s="48">
        <v>147</v>
      </c>
      <c r="H1497" s="43"/>
      <c r="I1497" s="48">
        <v>147</v>
      </c>
      <c r="J1497" s="50"/>
      <c r="K1497" s="43"/>
      <c r="L1497" s="44">
        <v>74.53</v>
      </c>
      <c r="M1497" s="43"/>
      <c r="N1497" s="46">
        <v>3891.15</v>
      </c>
    </row>
    <row r="1498" spans="1:14" ht="67.5" hidden="1" x14ac:dyDescent="0.25">
      <c r="A1498" s="47"/>
      <c r="B1498" s="41" t="s">
        <v>101</v>
      </c>
      <c r="C1498" s="354" t="s">
        <v>102</v>
      </c>
      <c r="D1498" s="354"/>
      <c r="E1498" s="354"/>
      <c r="F1498" s="42" t="s">
        <v>66</v>
      </c>
      <c r="G1498" s="48">
        <v>134</v>
      </c>
      <c r="H1498" s="45">
        <v>0.85</v>
      </c>
      <c r="I1498" s="63">
        <v>113.9</v>
      </c>
      <c r="J1498" s="50"/>
      <c r="K1498" s="43"/>
      <c r="L1498" s="44">
        <v>57.75</v>
      </c>
      <c r="M1498" s="43"/>
      <c r="N1498" s="46">
        <v>3014.98</v>
      </c>
    </row>
    <row r="1499" spans="1:14" hidden="1" x14ac:dyDescent="0.25">
      <c r="A1499" s="57"/>
      <c r="B1499" s="58"/>
      <c r="C1499" s="350" t="s">
        <v>69</v>
      </c>
      <c r="D1499" s="350"/>
      <c r="E1499" s="350"/>
      <c r="F1499" s="34"/>
      <c r="G1499" s="35"/>
      <c r="H1499" s="35"/>
      <c r="I1499" s="35"/>
      <c r="J1499" s="38"/>
      <c r="K1499" s="35"/>
      <c r="L1499" s="59">
        <v>760.07</v>
      </c>
      <c r="M1499" s="54"/>
      <c r="N1499" s="60">
        <v>17483.62</v>
      </c>
    </row>
    <row r="1500" spans="1:14" ht="22.5" x14ac:dyDescent="0.25">
      <c r="A1500" s="32" t="s">
        <v>447</v>
      </c>
      <c r="B1500" s="33" t="s">
        <v>104</v>
      </c>
      <c r="C1500" s="350" t="s">
        <v>105</v>
      </c>
      <c r="D1500" s="350"/>
      <c r="E1500" s="350"/>
      <c r="F1500" s="34" t="s">
        <v>106</v>
      </c>
      <c r="G1500" s="35">
        <v>14.49</v>
      </c>
      <c r="H1500" s="36">
        <v>1</v>
      </c>
      <c r="I1500" s="61">
        <v>14.49</v>
      </c>
      <c r="J1500" s="59">
        <v>646.32000000000005</v>
      </c>
      <c r="K1500" s="67">
        <v>1.012</v>
      </c>
      <c r="L1500" s="66">
        <v>9477.56</v>
      </c>
      <c r="M1500" s="70">
        <v>9.5</v>
      </c>
      <c r="N1500" s="60">
        <v>90036.82</v>
      </c>
    </row>
    <row r="1501" spans="1:14" hidden="1" x14ac:dyDescent="0.25">
      <c r="A1501" s="52"/>
      <c r="B1501" s="71"/>
      <c r="C1501" s="354" t="s">
        <v>107</v>
      </c>
      <c r="D1501" s="354"/>
      <c r="E1501" s="354"/>
      <c r="F1501" s="354"/>
      <c r="G1501" s="354"/>
      <c r="H1501" s="354"/>
      <c r="I1501" s="354"/>
      <c r="J1501" s="354"/>
      <c r="K1501" s="354"/>
      <c r="L1501" s="354"/>
      <c r="M1501" s="354"/>
      <c r="N1501" s="356"/>
    </row>
    <row r="1502" spans="1:14" hidden="1" x14ac:dyDescent="0.25">
      <c r="A1502" s="72"/>
      <c r="B1502" s="41"/>
      <c r="C1502" s="344" t="s">
        <v>108</v>
      </c>
      <c r="D1502" s="344"/>
      <c r="E1502" s="344"/>
      <c r="F1502" s="344"/>
      <c r="G1502" s="344"/>
      <c r="H1502" s="344"/>
      <c r="I1502" s="344"/>
      <c r="J1502" s="344"/>
      <c r="K1502" s="344"/>
      <c r="L1502" s="344"/>
      <c r="M1502" s="344"/>
      <c r="N1502" s="357"/>
    </row>
    <row r="1503" spans="1:14" hidden="1" x14ac:dyDescent="0.25">
      <c r="A1503" s="57"/>
      <c r="B1503" s="58"/>
      <c r="C1503" s="350" t="s">
        <v>69</v>
      </c>
      <c r="D1503" s="350"/>
      <c r="E1503" s="350"/>
      <c r="F1503" s="34"/>
      <c r="G1503" s="35"/>
      <c r="H1503" s="35"/>
      <c r="I1503" s="35"/>
      <c r="J1503" s="38"/>
      <c r="K1503" s="35"/>
      <c r="L1503" s="66">
        <v>9477.56</v>
      </c>
      <c r="M1503" s="54"/>
      <c r="N1503" s="60">
        <v>90036.82</v>
      </c>
    </row>
    <row r="1504" spans="1:14" ht="44.25" customHeight="1" x14ac:dyDescent="0.25">
      <c r="A1504" s="32" t="s">
        <v>448</v>
      </c>
      <c r="B1504" s="33" t="s">
        <v>241</v>
      </c>
      <c r="C1504" s="350" t="s">
        <v>242</v>
      </c>
      <c r="D1504" s="350"/>
      <c r="E1504" s="350"/>
      <c r="F1504" s="34" t="s">
        <v>210</v>
      </c>
      <c r="G1504" s="35">
        <v>1</v>
      </c>
      <c r="H1504" s="36">
        <v>1</v>
      </c>
      <c r="I1504" s="36">
        <v>1</v>
      </c>
      <c r="J1504" s="38"/>
      <c r="K1504" s="35"/>
      <c r="L1504" s="38"/>
      <c r="M1504" s="35"/>
      <c r="N1504" s="39"/>
    </row>
    <row r="1505" spans="1:14" hidden="1" x14ac:dyDescent="0.25">
      <c r="A1505" s="40"/>
      <c r="B1505" s="41" t="s">
        <v>55</v>
      </c>
      <c r="C1505" s="354" t="s">
        <v>59</v>
      </c>
      <c r="D1505" s="354"/>
      <c r="E1505" s="354"/>
      <c r="F1505" s="42"/>
      <c r="G1505" s="43"/>
      <c r="H1505" s="43"/>
      <c r="I1505" s="43"/>
      <c r="J1505" s="44">
        <v>316.8</v>
      </c>
      <c r="K1505" s="43"/>
      <c r="L1505" s="44">
        <v>316.8</v>
      </c>
      <c r="M1505" s="45">
        <v>52.21</v>
      </c>
      <c r="N1505" s="46">
        <v>16540.13</v>
      </c>
    </row>
    <row r="1506" spans="1:14" hidden="1" x14ac:dyDescent="0.25">
      <c r="A1506" s="40"/>
      <c r="B1506" s="41" t="s">
        <v>70</v>
      </c>
      <c r="C1506" s="354" t="s">
        <v>74</v>
      </c>
      <c r="D1506" s="354"/>
      <c r="E1506" s="354"/>
      <c r="F1506" s="42"/>
      <c r="G1506" s="43"/>
      <c r="H1506" s="43"/>
      <c r="I1506" s="43"/>
      <c r="J1506" s="62">
        <v>8602.08</v>
      </c>
      <c r="K1506" s="43"/>
      <c r="L1506" s="62">
        <v>8602.08</v>
      </c>
      <c r="M1506" s="45">
        <v>15.71</v>
      </c>
      <c r="N1506" s="46">
        <v>135138.68</v>
      </c>
    </row>
    <row r="1507" spans="1:14" hidden="1" x14ac:dyDescent="0.25">
      <c r="A1507" s="40"/>
      <c r="B1507" s="41" t="s">
        <v>75</v>
      </c>
      <c r="C1507" s="354" t="s">
        <v>76</v>
      </c>
      <c r="D1507" s="354"/>
      <c r="E1507" s="354"/>
      <c r="F1507" s="42"/>
      <c r="G1507" s="43"/>
      <c r="H1507" s="43"/>
      <c r="I1507" s="43"/>
      <c r="J1507" s="44">
        <v>328.35</v>
      </c>
      <c r="K1507" s="43"/>
      <c r="L1507" s="44">
        <v>328.35</v>
      </c>
      <c r="M1507" s="45">
        <v>52.21</v>
      </c>
      <c r="N1507" s="46">
        <v>17143.150000000001</v>
      </c>
    </row>
    <row r="1508" spans="1:14" hidden="1" x14ac:dyDescent="0.25">
      <c r="A1508" s="47"/>
      <c r="B1508" s="41"/>
      <c r="C1508" s="354" t="s">
        <v>60</v>
      </c>
      <c r="D1508" s="354"/>
      <c r="E1508" s="354"/>
      <c r="F1508" s="42" t="s">
        <v>61</v>
      </c>
      <c r="G1508" s="45">
        <v>34.51</v>
      </c>
      <c r="H1508" s="43"/>
      <c r="I1508" s="45">
        <v>34.51</v>
      </c>
      <c r="J1508" s="50"/>
      <c r="K1508" s="43"/>
      <c r="L1508" s="50"/>
      <c r="M1508" s="43"/>
      <c r="N1508" s="51"/>
    </row>
    <row r="1509" spans="1:14" hidden="1" x14ac:dyDescent="0.25">
      <c r="A1509" s="47"/>
      <c r="B1509" s="41"/>
      <c r="C1509" s="354" t="s">
        <v>77</v>
      </c>
      <c r="D1509" s="354"/>
      <c r="E1509" s="354"/>
      <c r="F1509" s="42" t="s">
        <v>61</v>
      </c>
      <c r="G1509" s="45">
        <v>25.66</v>
      </c>
      <c r="H1509" s="43"/>
      <c r="I1509" s="45">
        <v>25.66</v>
      </c>
      <c r="J1509" s="50"/>
      <c r="K1509" s="43"/>
      <c r="L1509" s="50"/>
      <c r="M1509" s="43"/>
      <c r="N1509" s="51"/>
    </row>
    <row r="1510" spans="1:14" hidden="1" x14ac:dyDescent="0.25">
      <c r="A1510" s="52"/>
      <c r="B1510" s="41"/>
      <c r="C1510" s="355" t="s">
        <v>62</v>
      </c>
      <c r="D1510" s="355"/>
      <c r="E1510" s="355"/>
      <c r="F1510" s="53"/>
      <c r="G1510" s="54"/>
      <c r="H1510" s="54"/>
      <c r="I1510" s="54"/>
      <c r="J1510" s="65">
        <v>8918.8799999999992</v>
      </c>
      <c r="K1510" s="54"/>
      <c r="L1510" s="65">
        <v>8918.8799999999992</v>
      </c>
      <c r="M1510" s="54"/>
      <c r="N1510" s="56">
        <v>151678.81</v>
      </c>
    </row>
    <row r="1511" spans="1:14" hidden="1" x14ac:dyDescent="0.25">
      <c r="A1511" s="47"/>
      <c r="B1511" s="41"/>
      <c r="C1511" s="354" t="s">
        <v>63</v>
      </c>
      <c r="D1511" s="354"/>
      <c r="E1511" s="354"/>
      <c r="F1511" s="42"/>
      <c r="G1511" s="43"/>
      <c r="H1511" s="43"/>
      <c r="I1511" s="43"/>
      <c r="J1511" s="50"/>
      <c r="K1511" s="43"/>
      <c r="L1511" s="44">
        <v>645.15</v>
      </c>
      <c r="M1511" s="43"/>
      <c r="N1511" s="46">
        <v>33683.279999999999</v>
      </c>
    </row>
    <row r="1512" spans="1:14" ht="22.5" hidden="1" x14ac:dyDescent="0.25">
      <c r="A1512" s="47"/>
      <c r="B1512" s="41" t="s">
        <v>78</v>
      </c>
      <c r="C1512" s="354" t="s">
        <v>79</v>
      </c>
      <c r="D1512" s="354"/>
      <c r="E1512" s="354"/>
      <c r="F1512" s="42" t="s">
        <v>66</v>
      </c>
      <c r="G1512" s="48">
        <v>109</v>
      </c>
      <c r="H1512" s="43"/>
      <c r="I1512" s="48">
        <v>109</v>
      </c>
      <c r="J1512" s="50"/>
      <c r="K1512" s="43"/>
      <c r="L1512" s="44">
        <v>703.21</v>
      </c>
      <c r="M1512" s="43"/>
      <c r="N1512" s="46">
        <v>36714.78</v>
      </c>
    </row>
    <row r="1513" spans="1:14" ht="45" hidden="1" x14ac:dyDescent="0.25">
      <c r="A1513" s="47"/>
      <c r="B1513" s="41" t="s">
        <v>80</v>
      </c>
      <c r="C1513" s="354" t="s">
        <v>81</v>
      </c>
      <c r="D1513" s="354"/>
      <c r="E1513" s="354"/>
      <c r="F1513" s="42" t="s">
        <v>66</v>
      </c>
      <c r="G1513" s="48">
        <v>65</v>
      </c>
      <c r="H1513" s="45">
        <v>0.85</v>
      </c>
      <c r="I1513" s="45">
        <v>55.25</v>
      </c>
      <c r="J1513" s="50"/>
      <c r="K1513" s="43"/>
      <c r="L1513" s="44">
        <v>356.45</v>
      </c>
      <c r="M1513" s="43"/>
      <c r="N1513" s="46">
        <v>18610.009999999998</v>
      </c>
    </row>
    <row r="1514" spans="1:14" hidden="1" x14ac:dyDescent="0.25">
      <c r="A1514" s="57"/>
      <c r="B1514" s="58"/>
      <c r="C1514" s="350" t="s">
        <v>69</v>
      </c>
      <c r="D1514" s="350"/>
      <c r="E1514" s="350"/>
      <c r="F1514" s="34"/>
      <c r="G1514" s="35"/>
      <c r="H1514" s="35"/>
      <c r="I1514" s="35"/>
      <c r="J1514" s="38"/>
      <c r="K1514" s="35"/>
      <c r="L1514" s="66">
        <v>9978.5400000000009</v>
      </c>
      <c r="M1514" s="54"/>
      <c r="N1514" s="60">
        <v>207003.6</v>
      </c>
    </row>
    <row r="1515" spans="1:14" ht="22.5" x14ac:dyDescent="0.25">
      <c r="A1515" s="32" t="s">
        <v>449</v>
      </c>
      <c r="B1515" s="33" t="s">
        <v>244</v>
      </c>
      <c r="C1515" s="350" t="s">
        <v>245</v>
      </c>
      <c r="D1515" s="350"/>
      <c r="E1515" s="350"/>
      <c r="F1515" s="34" t="s">
        <v>246</v>
      </c>
      <c r="G1515" s="35">
        <v>1</v>
      </c>
      <c r="H1515" s="36">
        <v>1</v>
      </c>
      <c r="I1515" s="36">
        <v>1</v>
      </c>
      <c r="J1515" s="66">
        <v>168421.05</v>
      </c>
      <c r="K1515" s="74">
        <v>1.04236</v>
      </c>
      <c r="L1515" s="66">
        <v>175555.37</v>
      </c>
      <c r="M1515" s="70">
        <v>9.5</v>
      </c>
      <c r="N1515" s="60">
        <v>1667776.02</v>
      </c>
    </row>
    <row r="1516" spans="1:14" hidden="1" x14ac:dyDescent="0.25">
      <c r="A1516" s="52"/>
      <c r="B1516" s="71"/>
      <c r="C1516" s="354" t="s">
        <v>247</v>
      </c>
      <c r="D1516" s="354"/>
      <c r="E1516" s="354"/>
      <c r="F1516" s="354"/>
      <c r="G1516" s="354"/>
      <c r="H1516" s="354"/>
      <c r="I1516" s="354"/>
      <c r="J1516" s="354"/>
      <c r="K1516" s="354"/>
      <c r="L1516" s="354"/>
      <c r="M1516" s="354"/>
      <c r="N1516" s="356"/>
    </row>
    <row r="1517" spans="1:14" hidden="1" x14ac:dyDescent="0.25">
      <c r="A1517" s="72"/>
      <c r="B1517" s="41"/>
      <c r="C1517" s="344" t="s">
        <v>123</v>
      </c>
      <c r="D1517" s="344"/>
      <c r="E1517" s="344"/>
      <c r="F1517" s="344"/>
      <c r="G1517" s="344"/>
      <c r="H1517" s="344"/>
      <c r="I1517" s="344"/>
      <c r="J1517" s="344"/>
      <c r="K1517" s="344"/>
      <c r="L1517" s="344"/>
      <c r="M1517" s="344"/>
      <c r="N1517" s="357"/>
    </row>
    <row r="1518" spans="1:14" hidden="1" x14ac:dyDescent="0.25">
      <c r="A1518" s="72"/>
      <c r="B1518" s="41"/>
      <c r="C1518" s="344" t="s">
        <v>108</v>
      </c>
      <c r="D1518" s="344"/>
      <c r="E1518" s="344"/>
      <c r="F1518" s="344"/>
      <c r="G1518" s="344"/>
      <c r="H1518" s="344"/>
      <c r="I1518" s="344"/>
      <c r="J1518" s="344"/>
      <c r="K1518" s="344"/>
      <c r="L1518" s="344"/>
      <c r="M1518" s="344"/>
      <c r="N1518" s="357"/>
    </row>
    <row r="1519" spans="1:14" hidden="1" x14ac:dyDescent="0.25">
      <c r="A1519" s="57"/>
      <c r="B1519" s="58"/>
      <c r="C1519" s="350" t="s">
        <v>69</v>
      </c>
      <c r="D1519" s="350"/>
      <c r="E1519" s="350"/>
      <c r="F1519" s="34"/>
      <c r="G1519" s="35"/>
      <c r="H1519" s="35"/>
      <c r="I1519" s="35"/>
      <c r="J1519" s="38"/>
      <c r="K1519" s="35"/>
      <c r="L1519" s="66">
        <v>175555.37</v>
      </c>
      <c r="M1519" s="54"/>
      <c r="N1519" s="60">
        <v>1667776.02</v>
      </c>
    </row>
    <row r="1520" spans="1:14" ht="22.5" x14ac:dyDescent="0.25">
      <c r="A1520" s="32" t="s">
        <v>450</v>
      </c>
      <c r="B1520" s="33" t="s">
        <v>249</v>
      </c>
      <c r="C1520" s="350" t="s">
        <v>451</v>
      </c>
      <c r="D1520" s="350"/>
      <c r="E1520" s="350"/>
      <c r="F1520" s="34" t="s">
        <v>246</v>
      </c>
      <c r="G1520" s="35">
        <v>1</v>
      </c>
      <c r="H1520" s="36">
        <v>1</v>
      </c>
      <c r="I1520" s="36">
        <v>1</v>
      </c>
      <c r="J1520" s="66">
        <v>363157.89</v>
      </c>
      <c r="K1520" s="74">
        <v>1.04236</v>
      </c>
      <c r="L1520" s="66">
        <v>378541.26</v>
      </c>
      <c r="M1520" s="70">
        <v>9.5</v>
      </c>
      <c r="N1520" s="60">
        <v>3596141.97</v>
      </c>
    </row>
    <row r="1521" spans="1:14" hidden="1" x14ac:dyDescent="0.25">
      <c r="A1521" s="52"/>
      <c r="B1521" s="71"/>
      <c r="C1521" s="354" t="s">
        <v>251</v>
      </c>
      <c r="D1521" s="354"/>
      <c r="E1521" s="354"/>
      <c r="F1521" s="354"/>
      <c r="G1521" s="354"/>
      <c r="H1521" s="354"/>
      <c r="I1521" s="354"/>
      <c r="J1521" s="354"/>
      <c r="K1521" s="354"/>
      <c r="L1521" s="354"/>
      <c r="M1521" s="354"/>
      <c r="N1521" s="356"/>
    </row>
    <row r="1522" spans="1:14" hidden="1" x14ac:dyDescent="0.25">
      <c r="A1522" s="72"/>
      <c r="B1522" s="41"/>
      <c r="C1522" s="344" t="s">
        <v>123</v>
      </c>
      <c r="D1522" s="344"/>
      <c r="E1522" s="344"/>
      <c r="F1522" s="344"/>
      <c r="G1522" s="344"/>
      <c r="H1522" s="344"/>
      <c r="I1522" s="344"/>
      <c r="J1522" s="344"/>
      <c r="K1522" s="344"/>
      <c r="L1522" s="344"/>
      <c r="M1522" s="344"/>
      <c r="N1522" s="357"/>
    </row>
    <row r="1523" spans="1:14" hidden="1" x14ac:dyDescent="0.25">
      <c r="A1523" s="72"/>
      <c r="B1523" s="41"/>
      <c r="C1523" s="344" t="s">
        <v>108</v>
      </c>
      <c r="D1523" s="344"/>
      <c r="E1523" s="344"/>
      <c r="F1523" s="344"/>
      <c r="G1523" s="344"/>
      <c r="H1523" s="344"/>
      <c r="I1523" s="344"/>
      <c r="J1523" s="344"/>
      <c r="K1523" s="344"/>
      <c r="L1523" s="344"/>
      <c r="M1523" s="344"/>
      <c r="N1523" s="357"/>
    </row>
    <row r="1524" spans="1:14" hidden="1" x14ac:dyDescent="0.25">
      <c r="A1524" s="57"/>
      <c r="B1524" s="58"/>
      <c r="C1524" s="350" t="s">
        <v>69</v>
      </c>
      <c r="D1524" s="350"/>
      <c r="E1524" s="350"/>
      <c r="F1524" s="34"/>
      <c r="G1524" s="35"/>
      <c r="H1524" s="35"/>
      <c r="I1524" s="35"/>
      <c r="J1524" s="38"/>
      <c r="K1524" s="35"/>
      <c r="L1524" s="66">
        <v>378541.26</v>
      </c>
      <c r="M1524" s="54"/>
      <c r="N1524" s="60">
        <v>3596141.97</v>
      </c>
    </row>
    <row r="1525" spans="1:14" ht="33" customHeight="1" x14ac:dyDescent="0.25">
      <c r="A1525" s="32" t="s">
        <v>452</v>
      </c>
      <c r="B1525" s="33" t="s">
        <v>253</v>
      </c>
      <c r="C1525" s="350" t="s">
        <v>254</v>
      </c>
      <c r="D1525" s="350"/>
      <c r="E1525" s="350"/>
      <c r="F1525" s="34" t="s">
        <v>115</v>
      </c>
      <c r="G1525" s="35">
        <v>1</v>
      </c>
      <c r="H1525" s="36">
        <v>1</v>
      </c>
      <c r="I1525" s="36">
        <v>1</v>
      </c>
      <c r="J1525" s="38"/>
      <c r="K1525" s="35"/>
      <c r="L1525" s="38"/>
      <c r="M1525" s="35"/>
      <c r="N1525" s="39"/>
    </row>
    <row r="1526" spans="1:14" hidden="1" x14ac:dyDescent="0.25">
      <c r="A1526" s="40"/>
      <c r="B1526" s="41" t="s">
        <v>55</v>
      </c>
      <c r="C1526" s="354" t="s">
        <v>59</v>
      </c>
      <c r="D1526" s="354"/>
      <c r="E1526" s="354"/>
      <c r="F1526" s="42"/>
      <c r="G1526" s="43"/>
      <c r="H1526" s="43"/>
      <c r="I1526" s="43"/>
      <c r="J1526" s="44">
        <v>251.92</v>
      </c>
      <c r="K1526" s="43"/>
      <c r="L1526" s="44">
        <v>251.92</v>
      </c>
      <c r="M1526" s="45">
        <v>52.21</v>
      </c>
      <c r="N1526" s="46">
        <v>13152.74</v>
      </c>
    </row>
    <row r="1527" spans="1:14" hidden="1" x14ac:dyDescent="0.25">
      <c r="A1527" s="40"/>
      <c r="B1527" s="41" t="s">
        <v>70</v>
      </c>
      <c r="C1527" s="354" t="s">
        <v>74</v>
      </c>
      <c r="D1527" s="354"/>
      <c r="E1527" s="354"/>
      <c r="F1527" s="42"/>
      <c r="G1527" s="43"/>
      <c r="H1527" s="43"/>
      <c r="I1527" s="43"/>
      <c r="J1527" s="44">
        <v>120.78</v>
      </c>
      <c r="K1527" s="43"/>
      <c r="L1527" s="44">
        <v>120.78</v>
      </c>
      <c r="M1527" s="45">
        <v>15.71</v>
      </c>
      <c r="N1527" s="46">
        <v>1897.45</v>
      </c>
    </row>
    <row r="1528" spans="1:14" hidden="1" x14ac:dyDescent="0.25">
      <c r="A1528" s="40"/>
      <c r="B1528" s="41" t="s">
        <v>75</v>
      </c>
      <c r="C1528" s="354" t="s">
        <v>76</v>
      </c>
      <c r="D1528" s="354"/>
      <c r="E1528" s="354"/>
      <c r="F1528" s="42"/>
      <c r="G1528" s="43"/>
      <c r="H1528" s="43"/>
      <c r="I1528" s="43"/>
      <c r="J1528" s="44">
        <v>11.98</v>
      </c>
      <c r="K1528" s="43"/>
      <c r="L1528" s="44">
        <v>11.98</v>
      </c>
      <c r="M1528" s="45">
        <v>52.21</v>
      </c>
      <c r="N1528" s="69">
        <v>625.48</v>
      </c>
    </row>
    <row r="1529" spans="1:14" hidden="1" x14ac:dyDescent="0.25">
      <c r="A1529" s="40"/>
      <c r="B1529" s="41" t="s">
        <v>88</v>
      </c>
      <c r="C1529" s="354" t="s">
        <v>98</v>
      </c>
      <c r="D1529" s="354"/>
      <c r="E1529" s="354"/>
      <c r="F1529" s="42"/>
      <c r="G1529" s="43"/>
      <c r="H1529" s="43"/>
      <c r="I1529" s="43"/>
      <c r="J1529" s="44">
        <v>812.09</v>
      </c>
      <c r="K1529" s="43"/>
      <c r="L1529" s="44">
        <v>812.09</v>
      </c>
      <c r="M1529" s="63">
        <v>9.5</v>
      </c>
      <c r="N1529" s="46">
        <v>7714.86</v>
      </c>
    </row>
    <row r="1530" spans="1:14" hidden="1" x14ac:dyDescent="0.25">
      <c r="A1530" s="47"/>
      <c r="B1530" s="41"/>
      <c r="C1530" s="354" t="s">
        <v>60</v>
      </c>
      <c r="D1530" s="354"/>
      <c r="E1530" s="354"/>
      <c r="F1530" s="42" t="s">
        <v>61</v>
      </c>
      <c r="G1530" s="63">
        <v>26.8</v>
      </c>
      <c r="H1530" s="43"/>
      <c r="I1530" s="63">
        <v>26.8</v>
      </c>
      <c r="J1530" s="50"/>
      <c r="K1530" s="43"/>
      <c r="L1530" s="50"/>
      <c r="M1530" s="43"/>
      <c r="N1530" s="51"/>
    </row>
    <row r="1531" spans="1:14" hidden="1" x14ac:dyDescent="0.25">
      <c r="A1531" s="47"/>
      <c r="B1531" s="41"/>
      <c r="C1531" s="354" t="s">
        <v>77</v>
      </c>
      <c r="D1531" s="354"/>
      <c r="E1531" s="354"/>
      <c r="F1531" s="42" t="s">
        <v>61</v>
      </c>
      <c r="G1531" s="45">
        <v>0.92</v>
      </c>
      <c r="H1531" s="43"/>
      <c r="I1531" s="45">
        <v>0.92</v>
      </c>
      <c r="J1531" s="50"/>
      <c r="K1531" s="43"/>
      <c r="L1531" s="50"/>
      <c r="M1531" s="43"/>
      <c r="N1531" s="51"/>
    </row>
    <row r="1532" spans="1:14" hidden="1" x14ac:dyDescent="0.25">
      <c r="A1532" s="52"/>
      <c r="B1532" s="41"/>
      <c r="C1532" s="355" t="s">
        <v>62</v>
      </c>
      <c r="D1532" s="355"/>
      <c r="E1532" s="355"/>
      <c r="F1532" s="53"/>
      <c r="G1532" s="54"/>
      <c r="H1532" s="54"/>
      <c r="I1532" s="54"/>
      <c r="J1532" s="65">
        <v>1184.79</v>
      </c>
      <c r="K1532" s="54"/>
      <c r="L1532" s="65">
        <v>1184.79</v>
      </c>
      <c r="M1532" s="54"/>
      <c r="N1532" s="56">
        <v>22765.05</v>
      </c>
    </row>
    <row r="1533" spans="1:14" hidden="1" x14ac:dyDescent="0.25">
      <c r="A1533" s="47"/>
      <c r="B1533" s="41"/>
      <c r="C1533" s="354" t="s">
        <v>63</v>
      </c>
      <c r="D1533" s="354"/>
      <c r="E1533" s="354"/>
      <c r="F1533" s="42"/>
      <c r="G1533" s="43"/>
      <c r="H1533" s="43"/>
      <c r="I1533" s="43"/>
      <c r="J1533" s="50"/>
      <c r="K1533" s="43"/>
      <c r="L1533" s="44">
        <v>263.89999999999998</v>
      </c>
      <c r="M1533" s="43"/>
      <c r="N1533" s="46">
        <v>13778.22</v>
      </c>
    </row>
    <row r="1534" spans="1:14" hidden="1" x14ac:dyDescent="0.25">
      <c r="A1534" s="47"/>
      <c r="B1534" s="41" t="s">
        <v>255</v>
      </c>
      <c r="C1534" s="354" t="s">
        <v>256</v>
      </c>
      <c r="D1534" s="354"/>
      <c r="E1534" s="354"/>
      <c r="F1534" s="42" t="s">
        <v>66</v>
      </c>
      <c r="G1534" s="48">
        <v>92</v>
      </c>
      <c r="H1534" s="43"/>
      <c r="I1534" s="48">
        <v>92</v>
      </c>
      <c r="J1534" s="50"/>
      <c r="K1534" s="43"/>
      <c r="L1534" s="44">
        <v>242.79</v>
      </c>
      <c r="M1534" s="43"/>
      <c r="N1534" s="46">
        <v>12675.96</v>
      </c>
    </row>
    <row r="1535" spans="1:14" hidden="1" x14ac:dyDescent="0.25">
      <c r="A1535" s="47"/>
      <c r="B1535" s="41" t="s">
        <v>257</v>
      </c>
      <c r="C1535" s="354" t="s">
        <v>258</v>
      </c>
      <c r="D1535" s="354"/>
      <c r="E1535" s="354"/>
      <c r="F1535" s="42" t="s">
        <v>66</v>
      </c>
      <c r="G1535" s="48">
        <v>49</v>
      </c>
      <c r="H1535" s="43"/>
      <c r="I1535" s="48">
        <v>49</v>
      </c>
      <c r="J1535" s="50"/>
      <c r="K1535" s="43"/>
      <c r="L1535" s="44">
        <v>129.31</v>
      </c>
      <c r="M1535" s="43"/>
      <c r="N1535" s="46">
        <v>6751.33</v>
      </c>
    </row>
    <row r="1536" spans="1:14" hidden="1" x14ac:dyDescent="0.25">
      <c r="A1536" s="57"/>
      <c r="B1536" s="58"/>
      <c r="C1536" s="350" t="s">
        <v>69</v>
      </c>
      <c r="D1536" s="350"/>
      <c r="E1536" s="350"/>
      <c r="F1536" s="34"/>
      <c r="G1536" s="35"/>
      <c r="H1536" s="35"/>
      <c r="I1536" s="35"/>
      <c r="J1536" s="38"/>
      <c r="K1536" s="35"/>
      <c r="L1536" s="66">
        <v>1556.89</v>
      </c>
      <c r="M1536" s="54"/>
      <c r="N1536" s="60">
        <v>42192.34</v>
      </c>
    </row>
    <row r="1537" spans="1:14" x14ac:dyDescent="0.25">
      <c r="A1537" s="32" t="s">
        <v>453</v>
      </c>
      <c r="B1537" s="33" t="s">
        <v>260</v>
      </c>
      <c r="C1537" s="350" t="s">
        <v>261</v>
      </c>
      <c r="D1537" s="350"/>
      <c r="E1537" s="350"/>
      <c r="F1537" s="34" t="s">
        <v>115</v>
      </c>
      <c r="G1537" s="35">
        <v>-2</v>
      </c>
      <c r="H1537" s="36">
        <v>1</v>
      </c>
      <c r="I1537" s="36">
        <v>-2</v>
      </c>
      <c r="J1537" s="59">
        <v>266.67</v>
      </c>
      <c r="K1537" s="35"/>
      <c r="L1537" s="59">
        <v>-533.34</v>
      </c>
      <c r="M1537" s="70">
        <v>9.5</v>
      </c>
      <c r="N1537" s="60">
        <v>-5066.7299999999996</v>
      </c>
    </row>
    <row r="1538" spans="1:14" hidden="1" x14ac:dyDescent="0.25">
      <c r="A1538" s="57"/>
      <c r="B1538" s="58"/>
      <c r="C1538" s="350" t="s">
        <v>69</v>
      </c>
      <c r="D1538" s="350"/>
      <c r="E1538" s="350"/>
      <c r="F1538" s="34"/>
      <c r="G1538" s="35"/>
      <c r="H1538" s="35"/>
      <c r="I1538" s="35"/>
      <c r="J1538" s="38"/>
      <c r="K1538" s="35"/>
      <c r="L1538" s="59">
        <v>-533.34</v>
      </c>
      <c r="M1538" s="54"/>
      <c r="N1538" s="60">
        <v>-5066.7299999999996</v>
      </c>
    </row>
    <row r="1539" spans="1:14" ht="22.5" x14ac:dyDescent="0.25">
      <c r="A1539" s="32" t="s">
        <v>454</v>
      </c>
      <c r="B1539" s="33" t="s">
        <v>263</v>
      </c>
      <c r="C1539" s="350" t="s">
        <v>264</v>
      </c>
      <c r="D1539" s="350"/>
      <c r="E1539" s="350"/>
      <c r="F1539" s="34" t="s">
        <v>115</v>
      </c>
      <c r="G1539" s="35">
        <v>2</v>
      </c>
      <c r="H1539" s="36">
        <v>1</v>
      </c>
      <c r="I1539" s="36">
        <v>2</v>
      </c>
      <c r="J1539" s="66">
        <v>4429.58</v>
      </c>
      <c r="K1539" s="74">
        <v>1.04236</v>
      </c>
      <c r="L1539" s="66">
        <v>9234.43</v>
      </c>
      <c r="M1539" s="70">
        <v>9.5</v>
      </c>
      <c r="N1539" s="60">
        <v>87727.09</v>
      </c>
    </row>
    <row r="1540" spans="1:14" hidden="1" x14ac:dyDescent="0.25">
      <c r="A1540" s="52"/>
      <c r="B1540" s="71"/>
      <c r="C1540" s="354" t="s">
        <v>265</v>
      </c>
      <c r="D1540" s="354"/>
      <c r="E1540" s="354"/>
      <c r="F1540" s="354"/>
      <c r="G1540" s="354"/>
      <c r="H1540" s="354"/>
      <c r="I1540" s="354"/>
      <c r="J1540" s="354"/>
      <c r="K1540" s="354"/>
      <c r="L1540" s="354"/>
      <c r="M1540" s="354"/>
      <c r="N1540" s="356"/>
    </row>
    <row r="1541" spans="1:14" hidden="1" x14ac:dyDescent="0.25">
      <c r="A1541" s="72"/>
      <c r="B1541" s="41"/>
      <c r="C1541" s="344" t="s">
        <v>123</v>
      </c>
      <c r="D1541" s="344"/>
      <c r="E1541" s="344"/>
      <c r="F1541" s="344"/>
      <c r="G1541" s="344"/>
      <c r="H1541" s="344"/>
      <c r="I1541" s="344"/>
      <c r="J1541" s="344"/>
      <c r="K1541" s="344"/>
      <c r="L1541" s="344"/>
      <c r="M1541" s="344"/>
      <c r="N1541" s="357"/>
    </row>
    <row r="1542" spans="1:14" hidden="1" x14ac:dyDescent="0.25">
      <c r="A1542" s="72"/>
      <c r="B1542" s="41"/>
      <c r="C1542" s="344" t="s">
        <v>108</v>
      </c>
      <c r="D1542" s="344"/>
      <c r="E1542" s="344"/>
      <c r="F1542" s="344"/>
      <c r="G1542" s="344"/>
      <c r="H1542" s="344"/>
      <c r="I1542" s="344"/>
      <c r="J1542" s="344"/>
      <c r="K1542" s="344"/>
      <c r="L1542" s="344"/>
      <c r="M1542" s="344"/>
      <c r="N1542" s="357"/>
    </row>
    <row r="1543" spans="1:14" hidden="1" x14ac:dyDescent="0.25">
      <c r="A1543" s="57"/>
      <c r="B1543" s="58"/>
      <c r="C1543" s="350" t="s">
        <v>69</v>
      </c>
      <c r="D1543" s="350"/>
      <c r="E1543" s="350"/>
      <c r="F1543" s="34"/>
      <c r="G1543" s="35"/>
      <c r="H1543" s="35"/>
      <c r="I1543" s="35"/>
      <c r="J1543" s="38"/>
      <c r="K1543" s="35"/>
      <c r="L1543" s="66">
        <v>9234.43</v>
      </c>
      <c r="M1543" s="54"/>
      <c r="N1543" s="60">
        <v>87727.09</v>
      </c>
    </row>
    <row r="1544" spans="1:14" ht="22.5" x14ac:dyDescent="0.25">
      <c r="A1544" s="32" t="s">
        <v>455</v>
      </c>
      <c r="B1544" s="33" t="s">
        <v>267</v>
      </c>
      <c r="C1544" s="350" t="s">
        <v>268</v>
      </c>
      <c r="D1544" s="350"/>
      <c r="E1544" s="350"/>
      <c r="F1544" s="34" t="s">
        <v>115</v>
      </c>
      <c r="G1544" s="35">
        <v>1</v>
      </c>
      <c r="H1544" s="36">
        <v>1</v>
      </c>
      <c r="I1544" s="36">
        <v>1</v>
      </c>
      <c r="J1544" s="66">
        <v>15832.63</v>
      </c>
      <c r="K1544" s="74">
        <v>1.04236</v>
      </c>
      <c r="L1544" s="66">
        <v>16503.3</v>
      </c>
      <c r="M1544" s="70">
        <v>9.5</v>
      </c>
      <c r="N1544" s="60">
        <v>156781.35</v>
      </c>
    </row>
    <row r="1545" spans="1:14" hidden="1" x14ac:dyDescent="0.25">
      <c r="A1545" s="52"/>
      <c r="B1545" s="71"/>
      <c r="C1545" s="354" t="s">
        <v>269</v>
      </c>
      <c r="D1545" s="354"/>
      <c r="E1545" s="354"/>
      <c r="F1545" s="354"/>
      <c r="G1545" s="354"/>
      <c r="H1545" s="354"/>
      <c r="I1545" s="354"/>
      <c r="J1545" s="354"/>
      <c r="K1545" s="354"/>
      <c r="L1545" s="354"/>
      <c r="M1545" s="354"/>
      <c r="N1545" s="356"/>
    </row>
    <row r="1546" spans="1:14" hidden="1" x14ac:dyDescent="0.25">
      <c r="A1546" s="72"/>
      <c r="B1546" s="41"/>
      <c r="C1546" s="344" t="s">
        <v>123</v>
      </c>
      <c r="D1546" s="344"/>
      <c r="E1546" s="344"/>
      <c r="F1546" s="344"/>
      <c r="G1546" s="344"/>
      <c r="H1546" s="344"/>
      <c r="I1546" s="344"/>
      <c r="J1546" s="344"/>
      <c r="K1546" s="344"/>
      <c r="L1546" s="344"/>
      <c r="M1546" s="344"/>
      <c r="N1546" s="357"/>
    </row>
    <row r="1547" spans="1:14" hidden="1" x14ac:dyDescent="0.25">
      <c r="A1547" s="72"/>
      <c r="B1547" s="41"/>
      <c r="C1547" s="344" t="s">
        <v>108</v>
      </c>
      <c r="D1547" s="344"/>
      <c r="E1547" s="344"/>
      <c r="F1547" s="344"/>
      <c r="G1547" s="344"/>
      <c r="H1547" s="344"/>
      <c r="I1547" s="344"/>
      <c r="J1547" s="344"/>
      <c r="K1547" s="344"/>
      <c r="L1547" s="344"/>
      <c r="M1547" s="344"/>
      <c r="N1547" s="357"/>
    </row>
    <row r="1548" spans="1:14" hidden="1" x14ac:dyDescent="0.25">
      <c r="A1548" s="57"/>
      <c r="B1548" s="58"/>
      <c r="C1548" s="350" t="s">
        <v>69</v>
      </c>
      <c r="D1548" s="350"/>
      <c r="E1548" s="350"/>
      <c r="F1548" s="34"/>
      <c r="G1548" s="35"/>
      <c r="H1548" s="35"/>
      <c r="I1548" s="35"/>
      <c r="J1548" s="38"/>
      <c r="K1548" s="35"/>
      <c r="L1548" s="66">
        <v>16503.3</v>
      </c>
      <c r="M1548" s="54"/>
      <c r="N1548" s="60">
        <v>156781.35</v>
      </c>
    </row>
    <row r="1549" spans="1:14" ht="22.5" x14ac:dyDescent="0.25">
      <c r="A1549" s="32" t="s">
        <v>456</v>
      </c>
      <c r="B1549" s="33" t="s">
        <v>120</v>
      </c>
      <c r="C1549" s="350" t="s">
        <v>271</v>
      </c>
      <c r="D1549" s="350"/>
      <c r="E1549" s="350"/>
      <c r="F1549" s="34" t="s">
        <v>115</v>
      </c>
      <c r="G1549" s="35">
        <v>1</v>
      </c>
      <c r="H1549" s="36">
        <v>1</v>
      </c>
      <c r="I1549" s="36">
        <v>1</v>
      </c>
      <c r="J1549" s="59">
        <v>421.93</v>
      </c>
      <c r="K1549" s="74">
        <v>1.04236</v>
      </c>
      <c r="L1549" s="59">
        <v>439.8</v>
      </c>
      <c r="M1549" s="70">
        <v>9.5</v>
      </c>
      <c r="N1549" s="60">
        <v>4178.1000000000004</v>
      </c>
    </row>
    <row r="1550" spans="1:14" hidden="1" x14ac:dyDescent="0.25">
      <c r="A1550" s="52"/>
      <c r="B1550" s="71"/>
      <c r="C1550" s="354" t="s">
        <v>272</v>
      </c>
      <c r="D1550" s="354"/>
      <c r="E1550" s="354"/>
      <c r="F1550" s="354"/>
      <c r="G1550" s="354"/>
      <c r="H1550" s="354"/>
      <c r="I1550" s="354"/>
      <c r="J1550" s="354"/>
      <c r="K1550" s="354"/>
      <c r="L1550" s="354"/>
      <c r="M1550" s="354"/>
      <c r="N1550" s="356"/>
    </row>
    <row r="1551" spans="1:14" hidden="1" x14ac:dyDescent="0.25">
      <c r="A1551" s="72"/>
      <c r="B1551" s="41"/>
      <c r="C1551" s="344" t="s">
        <v>123</v>
      </c>
      <c r="D1551" s="344"/>
      <c r="E1551" s="344"/>
      <c r="F1551" s="344"/>
      <c r="G1551" s="344"/>
      <c r="H1551" s="344"/>
      <c r="I1551" s="344"/>
      <c r="J1551" s="344"/>
      <c r="K1551" s="344"/>
      <c r="L1551" s="344"/>
      <c r="M1551" s="344"/>
      <c r="N1551" s="357"/>
    </row>
    <row r="1552" spans="1:14" hidden="1" x14ac:dyDescent="0.25">
      <c r="A1552" s="72"/>
      <c r="B1552" s="41"/>
      <c r="C1552" s="344" t="s">
        <v>108</v>
      </c>
      <c r="D1552" s="344"/>
      <c r="E1552" s="344"/>
      <c r="F1552" s="344"/>
      <c r="G1552" s="344"/>
      <c r="H1552" s="344"/>
      <c r="I1552" s="344"/>
      <c r="J1552" s="344"/>
      <c r="K1552" s="344"/>
      <c r="L1552" s="344"/>
      <c r="M1552" s="344"/>
      <c r="N1552" s="357"/>
    </row>
    <row r="1553" spans="1:14" hidden="1" x14ac:dyDescent="0.25">
      <c r="A1553" s="57"/>
      <c r="B1553" s="58"/>
      <c r="C1553" s="350" t="s">
        <v>69</v>
      </c>
      <c r="D1553" s="350"/>
      <c r="E1553" s="350"/>
      <c r="F1553" s="34"/>
      <c r="G1553" s="35"/>
      <c r="H1553" s="35"/>
      <c r="I1553" s="35"/>
      <c r="J1553" s="38"/>
      <c r="K1553" s="35"/>
      <c r="L1553" s="59">
        <v>439.8</v>
      </c>
      <c r="M1553" s="54"/>
      <c r="N1553" s="60">
        <v>4178.1000000000004</v>
      </c>
    </row>
    <row r="1554" spans="1:14" x14ac:dyDescent="0.25">
      <c r="A1554" s="32" t="s">
        <v>457</v>
      </c>
      <c r="B1554" s="33" t="s">
        <v>274</v>
      </c>
      <c r="C1554" s="350" t="s">
        <v>275</v>
      </c>
      <c r="D1554" s="350"/>
      <c r="E1554" s="350"/>
      <c r="F1554" s="34" t="s">
        <v>276</v>
      </c>
      <c r="G1554" s="35">
        <v>0.06</v>
      </c>
      <c r="H1554" s="36">
        <v>1</v>
      </c>
      <c r="I1554" s="61">
        <v>0.06</v>
      </c>
      <c r="J1554" s="38"/>
      <c r="K1554" s="35"/>
      <c r="L1554" s="38"/>
      <c r="M1554" s="35"/>
      <c r="N1554" s="39"/>
    </row>
    <row r="1555" spans="1:14" hidden="1" x14ac:dyDescent="0.25">
      <c r="A1555" s="40"/>
      <c r="B1555" s="41" t="s">
        <v>55</v>
      </c>
      <c r="C1555" s="354" t="s">
        <v>59</v>
      </c>
      <c r="D1555" s="354"/>
      <c r="E1555" s="354"/>
      <c r="F1555" s="42"/>
      <c r="G1555" s="43"/>
      <c r="H1555" s="43"/>
      <c r="I1555" s="43"/>
      <c r="J1555" s="62">
        <v>1183.68</v>
      </c>
      <c r="K1555" s="43"/>
      <c r="L1555" s="44">
        <v>71.02</v>
      </c>
      <c r="M1555" s="45">
        <v>52.21</v>
      </c>
      <c r="N1555" s="46">
        <v>3707.95</v>
      </c>
    </row>
    <row r="1556" spans="1:14" hidden="1" x14ac:dyDescent="0.25">
      <c r="A1556" s="40"/>
      <c r="B1556" s="41" t="s">
        <v>70</v>
      </c>
      <c r="C1556" s="354" t="s">
        <v>74</v>
      </c>
      <c r="D1556" s="354"/>
      <c r="E1556" s="354"/>
      <c r="F1556" s="42"/>
      <c r="G1556" s="43"/>
      <c r="H1556" s="43"/>
      <c r="I1556" s="43"/>
      <c r="J1556" s="44">
        <v>946.33</v>
      </c>
      <c r="K1556" s="43"/>
      <c r="L1556" s="44">
        <v>56.78</v>
      </c>
      <c r="M1556" s="45">
        <v>15.71</v>
      </c>
      <c r="N1556" s="69">
        <v>892.01</v>
      </c>
    </row>
    <row r="1557" spans="1:14" hidden="1" x14ac:dyDescent="0.25">
      <c r="A1557" s="40"/>
      <c r="B1557" s="41" t="s">
        <v>75</v>
      </c>
      <c r="C1557" s="354" t="s">
        <v>76</v>
      </c>
      <c r="D1557" s="354"/>
      <c r="E1557" s="354"/>
      <c r="F1557" s="42"/>
      <c r="G1557" s="43"/>
      <c r="H1557" s="43"/>
      <c r="I1557" s="43"/>
      <c r="J1557" s="44">
        <v>90.65</v>
      </c>
      <c r="K1557" s="43"/>
      <c r="L1557" s="44">
        <v>5.44</v>
      </c>
      <c r="M1557" s="45">
        <v>52.21</v>
      </c>
      <c r="N1557" s="69">
        <v>284.02</v>
      </c>
    </row>
    <row r="1558" spans="1:14" hidden="1" x14ac:dyDescent="0.25">
      <c r="A1558" s="40"/>
      <c r="B1558" s="41" t="s">
        <v>88</v>
      </c>
      <c r="C1558" s="354" t="s">
        <v>98</v>
      </c>
      <c r="D1558" s="354"/>
      <c r="E1558" s="354"/>
      <c r="F1558" s="42"/>
      <c r="G1558" s="43"/>
      <c r="H1558" s="43"/>
      <c r="I1558" s="43"/>
      <c r="J1558" s="62">
        <v>8608.9</v>
      </c>
      <c r="K1558" s="43"/>
      <c r="L1558" s="44">
        <v>516.53</v>
      </c>
      <c r="M1558" s="63">
        <v>9.5</v>
      </c>
      <c r="N1558" s="46">
        <v>4907.04</v>
      </c>
    </row>
    <row r="1559" spans="1:14" hidden="1" x14ac:dyDescent="0.25">
      <c r="A1559" s="47"/>
      <c r="B1559" s="41"/>
      <c r="C1559" s="354" t="s">
        <v>60</v>
      </c>
      <c r="D1559" s="354"/>
      <c r="E1559" s="354"/>
      <c r="F1559" s="42" t="s">
        <v>61</v>
      </c>
      <c r="G1559" s="48">
        <v>137</v>
      </c>
      <c r="H1559" s="43"/>
      <c r="I1559" s="45">
        <v>8.2200000000000006</v>
      </c>
      <c r="J1559" s="50"/>
      <c r="K1559" s="43"/>
      <c r="L1559" s="50"/>
      <c r="M1559" s="43"/>
      <c r="N1559" s="51"/>
    </row>
    <row r="1560" spans="1:14" hidden="1" x14ac:dyDescent="0.25">
      <c r="A1560" s="47"/>
      <c r="B1560" s="41"/>
      <c r="C1560" s="354" t="s">
        <v>77</v>
      </c>
      <c r="D1560" s="354"/>
      <c r="E1560" s="354"/>
      <c r="F1560" s="42" t="s">
        <v>61</v>
      </c>
      <c r="G1560" s="45">
        <v>8.01</v>
      </c>
      <c r="H1560" s="43"/>
      <c r="I1560" s="64">
        <v>0.48060000000000003</v>
      </c>
      <c r="J1560" s="50"/>
      <c r="K1560" s="43"/>
      <c r="L1560" s="50"/>
      <c r="M1560" s="43"/>
      <c r="N1560" s="51"/>
    </row>
    <row r="1561" spans="1:14" hidden="1" x14ac:dyDescent="0.25">
      <c r="A1561" s="52"/>
      <c r="B1561" s="41"/>
      <c r="C1561" s="355" t="s">
        <v>62</v>
      </c>
      <c r="D1561" s="355"/>
      <c r="E1561" s="355"/>
      <c r="F1561" s="53"/>
      <c r="G1561" s="54"/>
      <c r="H1561" s="54"/>
      <c r="I1561" s="54"/>
      <c r="J1561" s="65">
        <v>10738.91</v>
      </c>
      <c r="K1561" s="54"/>
      <c r="L1561" s="55">
        <v>644.33000000000004</v>
      </c>
      <c r="M1561" s="54"/>
      <c r="N1561" s="56">
        <v>9507</v>
      </c>
    </row>
    <row r="1562" spans="1:14" hidden="1" x14ac:dyDescent="0.25">
      <c r="A1562" s="47"/>
      <c r="B1562" s="41"/>
      <c r="C1562" s="354" t="s">
        <v>63</v>
      </c>
      <c r="D1562" s="354"/>
      <c r="E1562" s="354"/>
      <c r="F1562" s="42"/>
      <c r="G1562" s="43"/>
      <c r="H1562" s="43"/>
      <c r="I1562" s="43"/>
      <c r="J1562" s="50"/>
      <c r="K1562" s="43"/>
      <c r="L1562" s="44">
        <v>76.459999999999994</v>
      </c>
      <c r="M1562" s="43"/>
      <c r="N1562" s="46">
        <v>3991.97</v>
      </c>
    </row>
    <row r="1563" spans="1:14" hidden="1" x14ac:dyDescent="0.25">
      <c r="A1563" s="47"/>
      <c r="B1563" s="41" t="s">
        <v>277</v>
      </c>
      <c r="C1563" s="354" t="s">
        <v>278</v>
      </c>
      <c r="D1563" s="354"/>
      <c r="E1563" s="354"/>
      <c r="F1563" s="42" t="s">
        <v>66</v>
      </c>
      <c r="G1563" s="48">
        <v>106</v>
      </c>
      <c r="H1563" s="43"/>
      <c r="I1563" s="48">
        <v>106</v>
      </c>
      <c r="J1563" s="50"/>
      <c r="K1563" s="43"/>
      <c r="L1563" s="44">
        <v>81.05</v>
      </c>
      <c r="M1563" s="43"/>
      <c r="N1563" s="46">
        <v>4231.49</v>
      </c>
    </row>
    <row r="1564" spans="1:14" ht="33.75" hidden="1" x14ac:dyDescent="0.25">
      <c r="A1564" s="47"/>
      <c r="B1564" s="41" t="s">
        <v>279</v>
      </c>
      <c r="C1564" s="354" t="s">
        <v>280</v>
      </c>
      <c r="D1564" s="354"/>
      <c r="E1564" s="354"/>
      <c r="F1564" s="42" t="s">
        <v>66</v>
      </c>
      <c r="G1564" s="48">
        <v>56</v>
      </c>
      <c r="H1564" s="45">
        <v>0.85</v>
      </c>
      <c r="I1564" s="63">
        <v>47.6</v>
      </c>
      <c r="J1564" s="50"/>
      <c r="K1564" s="43"/>
      <c r="L1564" s="44">
        <v>36.39</v>
      </c>
      <c r="M1564" s="43"/>
      <c r="N1564" s="46">
        <v>1900.18</v>
      </c>
    </row>
    <row r="1565" spans="1:14" hidden="1" x14ac:dyDescent="0.25">
      <c r="A1565" s="57"/>
      <c r="B1565" s="58"/>
      <c r="C1565" s="350" t="s">
        <v>69</v>
      </c>
      <c r="D1565" s="350"/>
      <c r="E1565" s="350"/>
      <c r="F1565" s="34"/>
      <c r="G1565" s="35"/>
      <c r="H1565" s="35"/>
      <c r="I1565" s="35"/>
      <c r="J1565" s="38"/>
      <c r="K1565" s="35"/>
      <c r="L1565" s="59">
        <v>761.77</v>
      </c>
      <c r="M1565" s="54"/>
      <c r="N1565" s="60">
        <v>15638.67</v>
      </c>
    </row>
    <row r="1566" spans="1:14" x14ac:dyDescent="0.25">
      <c r="A1566" s="32" t="s">
        <v>458</v>
      </c>
      <c r="B1566" s="33" t="s">
        <v>282</v>
      </c>
      <c r="C1566" s="350" t="s">
        <v>283</v>
      </c>
      <c r="D1566" s="350"/>
      <c r="E1566" s="350"/>
      <c r="F1566" s="34" t="s">
        <v>127</v>
      </c>
      <c r="G1566" s="35">
        <v>-2.9000000000000001E-2</v>
      </c>
      <c r="H1566" s="36">
        <v>1</v>
      </c>
      <c r="I1566" s="67">
        <v>-2.9000000000000001E-2</v>
      </c>
      <c r="J1566" s="66">
        <v>9727.3700000000008</v>
      </c>
      <c r="K1566" s="35"/>
      <c r="L1566" s="59">
        <v>-282.08999999999997</v>
      </c>
      <c r="M1566" s="70">
        <v>9.5</v>
      </c>
      <c r="N1566" s="60">
        <v>-2679.86</v>
      </c>
    </row>
    <row r="1567" spans="1:14" hidden="1" x14ac:dyDescent="0.25">
      <c r="A1567" s="57"/>
      <c r="B1567" s="58"/>
      <c r="C1567" s="350" t="s">
        <v>69</v>
      </c>
      <c r="D1567" s="350"/>
      <c r="E1567" s="350"/>
      <c r="F1567" s="34"/>
      <c r="G1567" s="35"/>
      <c r="H1567" s="35"/>
      <c r="I1567" s="35"/>
      <c r="J1567" s="38"/>
      <c r="K1567" s="35"/>
      <c r="L1567" s="59">
        <v>-282.08999999999997</v>
      </c>
      <c r="M1567" s="54"/>
      <c r="N1567" s="60">
        <v>-2679.86</v>
      </c>
    </row>
    <row r="1568" spans="1:14" ht="22.5" x14ac:dyDescent="0.25">
      <c r="A1568" s="32" t="s">
        <v>459</v>
      </c>
      <c r="B1568" s="33" t="s">
        <v>120</v>
      </c>
      <c r="C1568" s="350" t="s">
        <v>285</v>
      </c>
      <c r="D1568" s="350"/>
      <c r="E1568" s="350"/>
      <c r="F1568" s="34" t="s">
        <v>130</v>
      </c>
      <c r="G1568" s="35">
        <v>0.36</v>
      </c>
      <c r="H1568" s="36">
        <v>1</v>
      </c>
      <c r="I1568" s="61">
        <v>0.36</v>
      </c>
      <c r="J1568" s="66">
        <v>37646.32</v>
      </c>
      <c r="K1568" s="74">
        <v>1.04236</v>
      </c>
      <c r="L1568" s="66">
        <v>14126.77</v>
      </c>
      <c r="M1568" s="70">
        <v>9.5</v>
      </c>
      <c r="N1568" s="60">
        <v>134204.32</v>
      </c>
    </row>
    <row r="1569" spans="1:14" hidden="1" x14ac:dyDescent="0.25">
      <c r="A1569" s="52"/>
      <c r="B1569" s="71"/>
      <c r="C1569" s="354" t="s">
        <v>137</v>
      </c>
      <c r="D1569" s="354"/>
      <c r="E1569" s="354"/>
      <c r="F1569" s="354"/>
      <c r="G1569" s="354"/>
      <c r="H1569" s="354"/>
      <c r="I1569" s="354"/>
      <c r="J1569" s="354"/>
      <c r="K1569" s="354"/>
      <c r="L1569" s="354"/>
      <c r="M1569" s="354"/>
      <c r="N1569" s="356"/>
    </row>
    <row r="1570" spans="1:14" hidden="1" x14ac:dyDescent="0.25">
      <c r="A1570" s="72"/>
      <c r="B1570" s="41"/>
      <c r="C1570" s="344" t="s">
        <v>123</v>
      </c>
      <c r="D1570" s="344"/>
      <c r="E1570" s="344"/>
      <c r="F1570" s="344"/>
      <c r="G1570" s="344"/>
      <c r="H1570" s="344"/>
      <c r="I1570" s="344"/>
      <c r="J1570" s="344"/>
      <c r="K1570" s="344"/>
      <c r="L1570" s="344"/>
      <c r="M1570" s="344"/>
      <c r="N1570" s="357"/>
    </row>
    <row r="1571" spans="1:14" hidden="1" x14ac:dyDescent="0.25">
      <c r="A1571" s="72"/>
      <c r="B1571" s="41"/>
      <c r="C1571" s="344" t="s">
        <v>108</v>
      </c>
      <c r="D1571" s="344"/>
      <c r="E1571" s="344"/>
      <c r="F1571" s="344"/>
      <c r="G1571" s="344"/>
      <c r="H1571" s="344"/>
      <c r="I1571" s="344"/>
      <c r="J1571" s="344"/>
      <c r="K1571" s="344"/>
      <c r="L1571" s="344"/>
      <c r="M1571" s="344"/>
      <c r="N1571" s="357"/>
    </row>
    <row r="1572" spans="1:14" hidden="1" x14ac:dyDescent="0.25">
      <c r="A1572" s="57"/>
      <c r="B1572" s="58"/>
      <c r="C1572" s="350" t="s">
        <v>69</v>
      </c>
      <c r="D1572" s="350"/>
      <c r="E1572" s="350"/>
      <c r="F1572" s="34"/>
      <c r="G1572" s="35"/>
      <c r="H1572" s="35"/>
      <c r="I1572" s="35"/>
      <c r="J1572" s="38"/>
      <c r="K1572" s="35"/>
      <c r="L1572" s="66">
        <v>14126.77</v>
      </c>
      <c r="M1572" s="54"/>
      <c r="N1572" s="60">
        <v>134204.32</v>
      </c>
    </row>
    <row r="1573" spans="1:14" ht="22.5" x14ac:dyDescent="0.25">
      <c r="A1573" s="32" t="s">
        <v>460</v>
      </c>
      <c r="B1573" s="33" t="s">
        <v>120</v>
      </c>
      <c r="C1573" s="350" t="s">
        <v>129</v>
      </c>
      <c r="D1573" s="350"/>
      <c r="E1573" s="350"/>
      <c r="F1573" s="34" t="s">
        <v>130</v>
      </c>
      <c r="G1573" s="35">
        <v>2.9000000000000001E-2</v>
      </c>
      <c r="H1573" s="36">
        <v>1</v>
      </c>
      <c r="I1573" s="67">
        <v>2.9000000000000001E-2</v>
      </c>
      <c r="J1573" s="66">
        <v>27894.74</v>
      </c>
      <c r="K1573" s="74">
        <v>1.04236</v>
      </c>
      <c r="L1573" s="59">
        <v>843.21</v>
      </c>
      <c r="M1573" s="70">
        <v>9.5</v>
      </c>
      <c r="N1573" s="60">
        <v>8010.5</v>
      </c>
    </row>
    <row r="1574" spans="1:14" hidden="1" x14ac:dyDescent="0.25">
      <c r="A1574" s="52"/>
      <c r="B1574" s="71"/>
      <c r="C1574" s="354" t="s">
        <v>131</v>
      </c>
      <c r="D1574" s="354"/>
      <c r="E1574" s="354"/>
      <c r="F1574" s="354"/>
      <c r="G1574" s="354"/>
      <c r="H1574" s="354"/>
      <c r="I1574" s="354"/>
      <c r="J1574" s="354"/>
      <c r="K1574" s="354"/>
      <c r="L1574" s="354"/>
      <c r="M1574" s="354"/>
      <c r="N1574" s="356"/>
    </row>
    <row r="1575" spans="1:14" hidden="1" x14ac:dyDescent="0.25">
      <c r="A1575" s="72"/>
      <c r="B1575" s="41"/>
      <c r="C1575" s="344" t="s">
        <v>123</v>
      </c>
      <c r="D1575" s="344"/>
      <c r="E1575" s="344"/>
      <c r="F1575" s="344"/>
      <c r="G1575" s="344"/>
      <c r="H1575" s="344"/>
      <c r="I1575" s="344"/>
      <c r="J1575" s="344"/>
      <c r="K1575" s="344"/>
      <c r="L1575" s="344"/>
      <c r="M1575" s="344"/>
      <c r="N1575" s="357"/>
    </row>
    <row r="1576" spans="1:14" hidden="1" x14ac:dyDescent="0.25">
      <c r="A1576" s="72"/>
      <c r="B1576" s="41"/>
      <c r="C1576" s="344" t="s">
        <v>108</v>
      </c>
      <c r="D1576" s="344"/>
      <c r="E1576" s="344"/>
      <c r="F1576" s="344"/>
      <c r="G1576" s="344"/>
      <c r="H1576" s="344"/>
      <c r="I1576" s="344"/>
      <c r="J1576" s="344"/>
      <c r="K1576" s="344"/>
      <c r="L1576" s="344"/>
      <c r="M1576" s="344"/>
      <c r="N1576" s="357"/>
    </row>
    <row r="1577" spans="1:14" hidden="1" x14ac:dyDescent="0.25">
      <c r="A1577" s="57"/>
      <c r="B1577" s="58"/>
      <c r="C1577" s="350" t="s">
        <v>69</v>
      </c>
      <c r="D1577" s="350"/>
      <c r="E1577" s="350"/>
      <c r="F1577" s="34"/>
      <c r="G1577" s="35"/>
      <c r="H1577" s="35"/>
      <c r="I1577" s="35"/>
      <c r="J1577" s="38"/>
      <c r="K1577" s="35"/>
      <c r="L1577" s="59">
        <v>843.21</v>
      </c>
      <c r="M1577" s="54"/>
      <c r="N1577" s="60">
        <v>8010.5</v>
      </c>
    </row>
    <row r="1578" spans="1:14" ht="44.25" customHeight="1" x14ac:dyDescent="0.25">
      <c r="A1578" s="32" t="s">
        <v>461</v>
      </c>
      <c r="B1578" s="33" t="s">
        <v>288</v>
      </c>
      <c r="C1578" s="350" t="s">
        <v>289</v>
      </c>
      <c r="D1578" s="350"/>
      <c r="E1578" s="350"/>
      <c r="F1578" s="34" t="s">
        <v>160</v>
      </c>
      <c r="G1578" s="35">
        <v>1.3299999999999999E-2</v>
      </c>
      <c r="H1578" s="36">
        <v>1</v>
      </c>
      <c r="I1578" s="37">
        <v>1.3299999999999999E-2</v>
      </c>
      <c r="J1578" s="38"/>
      <c r="K1578" s="35"/>
      <c r="L1578" s="38"/>
      <c r="M1578" s="35"/>
      <c r="N1578" s="39"/>
    </row>
    <row r="1579" spans="1:14" hidden="1" x14ac:dyDescent="0.25">
      <c r="A1579" s="40"/>
      <c r="B1579" s="41" t="s">
        <v>55</v>
      </c>
      <c r="C1579" s="354" t="s">
        <v>59</v>
      </c>
      <c r="D1579" s="354"/>
      <c r="E1579" s="354"/>
      <c r="F1579" s="42"/>
      <c r="G1579" s="43"/>
      <c r="H1579" s="43"/>
      <c r="I1579" s="43"/>
      <c r="J1579" s="62">
        <v>1107.95</v>
      </c>
      <c r="K1579" s="43"/>
      <c r="L1579" s="44">
        <v>14.74</v>
      </c>
      <c r="M1579" s="45">
        <v>52.21</v>
      </c>
      <c r="N1579" s="69">
        <v>769.58</v>
      </c>
    </row>
    <row r="1580" spans="1:14" hidden="1" x14ac:dyDescent="0.25">
      <c r="A1580" s="40"/>
      <c r="B1580" s="41" t="s">
        <v>70</v>
      </c>
      <c r="C1580" s="354" t="s">
        <v>74</v>
      </c>
      <c r="D1580" s="354"/>
      <c r="E1580" s="354"/>
      <c r="F1580" s="42"/>
      <c r="G1580" s="43"/>
      <c r="H1580" s="43"/>
      <c r="I1580" s="43"/>
      <c r="J1580" s="62">
        <v>12533.99</v>
      </c>
      <c r="K1580" s="43"/>
      <c r="L1580" s="44">
        <v>166.7</v>
      </c>
      <c r="M1580" s="45">
        <v>15.71</v>
      </c>
      <c r="N1580" s="46">
        <v>2618.86</v>
      </c>
    </row>
    <row r="1581" spans="1:14" hidden="1" x14ac:dyDescent="0.25">
      <c r="A1581" s="40"/>
      <c r="B1581" s="41" t="s">
        <v>75</v>
      </c>
      <c r="C1581" s="354" t="s">
        <v>76</v>
      </c>
      <c r="D1581" s="354"/>
      <c r="E1581" s="354"/>
      <c r="F1581" s="42"/>
      <c r="G1581" s="43"/>
      <c r="H1581" s="43"/>
      <c r="I1581" s="43"/>
      <c r="J1581" s="44">
        <v>820.22</v>
      </c>
      <c r="K1581" s="43"/>
      <c r="L1581" s="44">
        <v>10.91</v>
      </c>
      <c r="M1581" s="45">
        <v>52.21</v>
      </c>
      <c r="N1581" s="69">
        <v>569.61</v>
      </c>
    </row>
    <row r="1582" spans="1:14" hidden="1" x14ac:dyDescent="0.25">
      <c r="A1582" s="40"/>
      <c r="B1582" s="41" t="s">
        <v>88</v>
      </c>
      <c r="C1582" s="354" t="s">
        <v>98</v>
      </c>
      <c r="D1582" s="354"/>
      <c r="E1582" s="354"/>
      <c r="F1582" s="42"/>
      <c r="G1582" s="43"/>
      <c r="H1582" s="43"/>
      <c r="I1582" s="43"/>
      <c r="J1582" s="62">
        <v>230267.7</v>
      </c>
      <c r="K1582" s="43"/>
      <c r="L1582" s="62">
        <v>3062.56</v>
      </c>
      <c r="M1582" s="63">
        <v>9.5</v>
      </c>
      <c r="N1582" s="46">
        <v>29094.32</v>
      </c>
    </row>
    <row r="1583" spans="1:14" hidden="1" x14ac:dyDescent="0.25">
      <c r="A1583" s="47"/>
      <c r="B1583" s="41"/>
      <c r="C1583" s="354" t="s">
        <v>60</v>
      </c>
      <c r="D1583" s="354"/>
      <c r="E1583" s="354"/>
      <c r="F1583" s="42" t="s">
        <v>61</v>
      </c>
      <c r="G1583" s="45">
        <v>134.46</v>
      </c>
      <c r="H1583" s="43"/>
      <c r="I1583" s="73">
        <v>1.7883180000000001</v>
      </c>
      <c r="J1583" s="50"/>
      <c r="K1583" s="43"/>
      <c r="L1583" s="50"/>
      <c r="M1583" s="43"/>
      <c r="N1583" s="51"/>
    </row>
    <row r="1584" spans="1:14" hidden="1" x14ac:dyDescent="0.25">
      <c r="A1584" s="47"/>
      <c r="B1584" s="41"/>
      <c r="C1584" s="354" t="s">
        <v>77</v>
      </c>
      <c r="D1584" s="354"/>
      <c r="E1584" s="354"/>
      <c r="F1584" s="42" t="s">
        <v>61</v>
      </c>
      <c r="G1584" s="45">
        <v>54.89</v>
      </c>
      <c r="H1584" s="43"/>
      <c r="I1584" s="73">
        <v>0.73003700000000005</v>
      </c>
      <c r="J1584" s="50"/>
      <c r="K1584" s="43"/>
      <c r="L1584" s="50"/>
      <c r="M1584" s="43"/>
      <c r="N1584" s="51"/>
    </row>
    <row r="1585" spans="1:14" hidden="1" x14ac:dyDescent="0.25">
      <c r="A1585" s="52"/>
      <c r="B1585" s="41"/>
      <c r="C1585" s="355" t="s">
        <v>62</v>
      </c>
      <c r="D1585" s="355"/>
      <c r="E1585" s="355"/>
      <c r="F1585" s="53"/>
      <c r="G1585" s="54"/>
      <c r="H1585" s="54"/>
      <c r="I1585" s="54"/>
      <c r="J1585" s="65">
        <v>243909.64</v>
      </c>
      <c r="K1585" s="54"/>
      <c r="L1585" s="65">
        <v>3244</v>
      </c>
      <c r="M1585" s="54"/>
      <c r="N1585" s="56">
        <v>32482.76</v>
      </c>
    </row>
    <row r="1586" spans="1:14" hidden="1" x14ac:dyDescent="0.25">
      <c r="A1586" s="47"/>
      <c r="B1586" s="41"/>
      <c r="C1586" s="354" t="s">
        <v>63</v>
      </c>
      <c r="D1586" s="354"/>
      <c r="E1586" s="354"/>
      <c r="F1586" s="42"/>
      <c r="G1586" s="43"/>
      <c r="H1586" s="43"/>
      <c r="I1586" s="43"/>
      <c r="J1586" s="50"/>
      <c r="K1586" s="43"/>
      <c r="L1586" s="44">
        <v>25.65</v>
      </c>
      <c r="M1586" s="43"/>
      <c r="N1586" s="46">
        <v>1339.19</v>
      </c>
    </row>
    <row r="1587" spans="1:14" ht="22.5" hidden="1" x14ac:dyDescent="0.25">
      <c r="A1587" s="47"/>
      <c r="B1587" s="41" t="s">
        <v>78</v>
      </c>
      <c r="C1587" s="354" t="s">
        <v>79</v>
      </c>
      <c r="D1587" s="354"/>
      <c r="E1587" s="354"/>
      <c r="F1587" s="42" t="s">
        <v>66</v>
      </c>
      <c r="G1587" s="48">
        <v>109</v>
      </c>
      <c r="H1587" s="43"/>
      <c r="I1587" s="48">
        <v>109</v>
      </c>
      <c r="J1587" s="50"/>
      <c r="K1587" s="43"/>
      <c r="L1587" s="44">
        <v>27.96</v>
      </c>
      <c r="M1587" s="43"/>
      <c r="N1587" s="46">
        <v>1459.72</v>
      </c>
    </row>
    <row r="1588" spans="1:14" ht="45" hidden="1" x14ac:dyDescent="0.25">
      <c r="A1588" s="47"/>
      <c r="B1588" s="41" t="s">
        <v>80</v>
      </c>
      <c r="C1588" s="354" t="s">
        <v>81</v>
      </c>
      <c r="D1588" s="354"/>
      <c r="E1588" s="354"/>
      <c r="F1588" s="42" t="s">
        <v>66</v>
      </c>
      <c r="G1588" s="48">
        <v>65</v>
      </c>
      <c r="H1588" s="45">
        <v>0.85</v>
      </c>
      <c r="I1588" s="45">
        <v>55.25</v>
      </c>
      <c r="J1588" s="50"/>
      <c r="K1588" s="43"/>
      <c r="L1588" s="44">
        <v>14.17</v>
      </c>
      <c r="M1588" s="43"/>
      <c r="N1588" s="69">
        <v>739.9</v>
      </c>
    </row>
    <row r="1589" spans="1:14" hidden="1" x14ac:dyDescent="0.25">
      <c r="A1589" s="57"/>
      <c r="B1589" s="58"/>
      <c r="C1589" s="350" t="s">
        <v>69</v>
      </c>
      <c r="D1589" s="350"/>
      <c r="E1589" s="350"/>
      <c r="F1589" s="34"/>
      <c r="G1589" s="35"/>
      <c r="H1589" s="35"/>
      <c r="I1589" s="35"/>
      <c r="J1589" s="38"/>
      <c r="K1589" s="35"/>
      <c r="L1589" s="66">
        <v>3286.13</v>
      </c>
      <c r="M1589" s="54"/>
      <c r="N1589" s="60">
        <v>34682.379999999997</v>
      </c>
    </row>
    <row r="1590" spans="1:14" x14ac:dyDescent="0.25">
      <c r="A1590" s="351" t="s">
        <v>161</v>
      </c>
      <c r="B1590" s="352"/>
      <c r="C1590" s="352"/>
      <c r="D1590" s="352"/>
      <c r="E1590" s="352"/>
      <c r="F1590" s="352"/>
      <c r="G1590" s="352"/>
      <c r="H1590" s="352"/>
      <c r="I1590" s="352"/>
      <c r="J1590" s="352"/>
      <c r="K1590" s="352"/>
      <c r="L1590" s="352"/>
      <c r="M1590" s="352"/>
      <c r="N1590" s="353"/>
    </row>
    <row r="1591" spans="1:14" ht="39.75" customHeight="1" x14ac:dyDescent="0.25">
      <c r="A1591" s="32" t="s">
        <v>462</v>
      </c>
      <c r="B1591" s="33" t="s">
        <v>163</v>
      </c>
      <c r="C1591" s="350" t="s">
        <v>164</v>
      </c>
      <c r="D1591" s="350"/>
      <c r="E1591" s="350"/>
      <c r="F1591" s="34" t="s">
        <v>165</v>
      </c>
      <c r="G1591" s="35">
        <v>41.3</v>
      </c>
      <c r="H1591" s="36">
        <v>1</v>
      </c>
      <c r="I1591" s="70">
        <v>41.3</v>
      </c>
      <c r="J1591" s="59">
        <v>3.28</v>
      </c>
      <c r="K1591" s="35"/>
      <c r="L1591" s="59">
        <v>135.46</v>
      </c>
      <c r="M1591" s="61">
        <v>15.71</v>
      </c>
      <c r="N1591" s="60">
        <v>2128.08</v>
      </c>
    </row>
    <row r="1592" spans="1:14" hidden="1" x14ac:dyDescent="0.25">
      <c r="A1592" s="57"/>
      <c r="B1592" s="58"/>
      <c r="C1592" s="350" t="s">
        <v>69</v>
      </c>
      <c r="D1592" s="350"/>
      <c r="E1592" s="350"/>
      <c r="F1592" s="34"/>
      <c r="G1592" s="35"/>
      <c r="H1592" s="35"/>
      <c r="I1592" s="35"/>
      <c r="J1592" s="38"/>
      <c r="K1592" s="35"/>
      <c r="L1592" s="59">
        <v>135.46</v>
      </c>
      <c r="M1592" s="54"/>
      <c r="N1592" s="60">
        <v>2128.08</v>
      </c>
    </row>
    <row r="1593" spans="1:14" ht="39" customHeight="1" x14ac:dyDescent="0.25">
      <c r="A1593" s="32" t="s">
        <v>463</v>
      </c>
      <c r="B1593" s="33" t="s">
        <v>167</v>
      </c>
      <c r="C1593" s="350" t="s">
        <v>292</v>
      </c>
      <c r="D1593" s="350"/>
      <c r="E1593" s="350"/>
      <c r="F1593" s="34" t="s">
        <v>165</v>
      </c>
      <c r="G1593" s="35">
        <v>12.1</v>
      </c>
      <c r="H1593" s="36">
        <v>1</v>
      </c>
      <c r="I1593" s="70">
        <v>12.1</v>
      </c>
      <c r="J1593" s="59">
        <v>8.39</v>
      </c>
      <c r="K1593" s="35"/>
      <c r="L1593" s="59">
        <v>101.52</v>
      </c>
      <c r="M1593" s="61">
        <v>15.71</v>
      </c>
      <c r="N1593" s="60">
        <v>1594.88</v>
      </c>
    </row>
    <row r="1594" spans="1:14" hidden="1" x14ac:dyDescent="0.25">
      <c r="A1594" s="57"/>
      <c r="B1594" s="58"/>
      <c r="C1594" s="350" t="s">
        <v>69</v>
      </c>
      <c r="D1594" s="350"/>
      <c r="E1594" s="350"/>
      <c r="F1594" s="34"/>
      <c r="G1594" s="35"/>
      <c r="H1594" s="35"/>
      <c r="I1594" s="35"/>
      <c r="J1594" s="38"/>
      <c r="K1594" s="35"/>
      <c r="L1594" s="59">
        <v>101.52</v>
      </c>
      <c r="M1594" s="54"/>
      <c r="N1594" s="60">
        <v>1594.88</v>
      </c>
    </row>
    <row r="1595" spans="1:14" ht="28.5" customHeight="1" x14ac:dyDescent="0.25">
      <c r="A1595" s="32" t="s">
        <v>464</v>
      </c>
      <c r="B1595" s="33" t="s">
        <v>170</v>
      </c>
      <c r="C1595" s="350" t="s">
        <v>294</v>
      </c>
      <c r="D1595" s="350"/>
      <c r="E1595" s="350"/>
      <c r="F1595" s="34" t="s">
        <v>165</v>
      </c>
      <c r="G1595" s="35">
        <v>5</v>
      </c>
      <c r="H1595" s="36">
        <v>1</v>
      </c>
      <c r="I1595" s="36">
        <v>5</v>
      </c>
      <c r="J1595" s="59">
        <v>10.88</v>
      </c>
      <c r="K1595" s="35"/>
      <c r="L1595" s="59">
        <v>54.4</v>
      </c>
      <c r="M1595" s="61">
        <v>15.71</v>
      </c>
      <c r="N1595" s="94">
        <v>854.62</v>
      </c>
    </row>
    <row r="1596" spans="1:14" hidden="1" x14ac:dyDescent="0.25">
      <c r="A1596" s="57"/>
      <c r="B1596" s="58"/>
      <c r="C1596" s="350" t="s">
        <v>69</v>
      </c>
      <c r="D1596" s="350"/>
      <c r="E1596" s="350"/>
      <c r="F1596" s="34"/>
      <c r="G1596" s="35"/>
      <c r="H1596" s="35"/>
      <c r="I1596" s="35"/>
      <c r="J1596" s="38"/>
      <c r="K1596" s="35"/>
      <c r="L1596" s="59">
        <v>54.4</v>
      </c>
      <c r="M1596" s="54"/>
      <c r="N1596" s="94">
        <v>854.62</v>
      </c>
    </row>
    <row r="1597" spans="1:14" ht="39" customHeight="1" x14ac:dyDescent="0.25">
      <c r="A1597" s="32" t="s">
        <v>465</v>
      </c>
      <c r="B1597" s="33" t="s">
        <v>173</v>
      </c>
      <c r="C1597" s="350" t="s">
        <v>174</v>
      </c>
      <c r="D1597" s="350"/>
      <c r="E1597" s="350"/>
      <c r="F1597" s="34" t="s">
        <v>165</v>
      </c>
      <c r="G1597" s="35">
        <v>58.4</v>
      </c>
      <c r="H1597" s="36">
        <v>1</v>
      </c>
      <c r="I1597" s="70">
        <v>58.4</v>
      </c>
      <c r="J1597" s="59">
        <v>3.86</v>
      </c>
      <c r="K1597" s="35"/>
      <c r="L1597" s="59">
        <v>225.42</v>
      </c>
      <c r="M1597" s="61">
        <v>16.22</v>
      </c>
      <c r="N1597" s="60">
        <v>3656.31</v>
      </c>
    </row>
    <row r="1598" spans="1:14" hidden="1" x14ac:dyDescent="0.25">
      <c r="A1598" s="57"/>
      <c r="B1598" s="58"/>
      <c r="C1598" s="350" t="s">
        <v>69</v>
      </c>
      <c r="D1598" s="350"/>
      <c r="E1598" s="350"/>
      <c r="F1598" s="34"/>
      <c r="G1598" s="35"/>
      <c r="H1598" s="35"/>
      <c r="I1598" s="35"/>
      <c r="J1598" s="38"/>
      <c r="K1598" s="35"/>
      <c r="L1598" s="59">
        <v>225.42</v>
      </c>
      <c r="M1598" s="54"/>
      <c r="N1598" s="60">
        <v>3656.31</v>
      </c>
    </row>
    <row r="1599" spans="1:14" hidden="1" x14ac:dyDescent="0.25">
      <c r="A1599" s="75"/>
      <c r="B1599" s="76"/>
      <c r="C1599" s="77"/>
      <c r="D1599" s="77"/>
      <c r="E1599" s="77"/>
      <c r="F1599" s="77"/>
      <c r="G1599" s="78"/>
      <c r="H1599" s="78"/>
      <c r="I1599" s="78"/>
      <c r="J1599" s="78"/>
      <c r="K1599" s="79"/>
      <c r="L1599" s="78"/>
      <c r="M1599" s="79"/>
      <c r="N1599" s="80"/>
    </row>
    <row r="1600" spans="1:14" hidden="1" x14ac:dyDescent="0.25">
      <c r="A1600" s="57"/>
      <c r="B1600" s="81"/>
      <c r="C1600" s="349" t="s">
        <v>466</v>
      </c>
      <c r="D1600" s="349"/>
      <c r="E1600" s="349"/>
      <c r="F1600" s="349"/>
      <c r="G1600" s="349"/>
      <c r="H1600" s="349"/>
      <c r="I1600" s="349"/>
      <c r="J1600" s="349"/>
      <c r="K1600" s="349"/>
      <c r="L1600" s="82"/>
      <c r="M1600" s="83"/>
      <c r="N1600" s="84"/>
    </row>
    <row r="1601" spans="1:14" hidden="1" x14ac:dyDescent="0.25">
      <c r="A1601" s="85"/>
      <c r="B1601" s="41"/>
      <c r="C1601" s="348" t="s">
        <v>176</v>
      </c>
      <c r="D1601" s="348"/>
      <c r="E1601" s="348"/>
      <c r="F1601" s="348"/>
      <c r="G1601" s="348"/>
      <c r="H1601" s="348"/>
      <c r="I1601" s="348"/>
      <c r="J1601" s="348"/>
      <c r="K1601" s="348"/>
      <c r="L1601" s="86">
        <v>619599.26</v>
      </c>
      <c r="M1601" s="87"/>
      <c r="N1601" s="88">
        <v>5993238.4400000004</v>
      </c>
    </row>
    <row r="1602" spans="1:14" hidden="1" x14ac:dyDescent="0.25">
      <c r="A1602" s="85"/>
      <c r="B1602" s="41"/>
      <c r="C1602" s="348" t="s">
        <v>177</v>
      </c>
      <c r="D1602" s="348"/>
      <c r="E1602" s="348"/>
      <c r="F1602" s="348"/>
      <c r="G1602" s="348"/>
      <c r="H1602" s="348"/>
      <c r="I1602" s="348"/>
      <c r="J1602" s="348"/>
      <c r="K1602" s="348"/>
      <c r="L1602" s="89"/>
      <c r="M1602" s="87"/>
      <c r="N1602" s="90"/>
    </row>
    <row r="1603" spans="1:14" hidden="1" x14ac:dyDescent="0.25">
      <c r="A1603" s="85"/>
      <c r="B1603" s="41"/>
      <c r="C1603" s="348" t="s">
        <v>178</v>
      </c>
      <c r="D1603" s="348"/>
      <c r="E1603" s="348"/>
      <c r="F1603" s="348"/>
      <c r="G1603" s="348"/>
      <c r="H1603" s="348"/>
      <c r="I1603" s="348"/>
      <c r="J1603" s="348"/>
      <c r="K1603" s="348"/>
      <c r="L1603" s="86">
        <v>1007.08</v>
      </c>
      <c r="M1603" s="87"/>
      <c r="N1603" s="88">
        <v>52579.64</v>
      </c>
    </row>
    <row r="1604" spans="1:14" hidden="1" x14ac:dyDescent="0.25">
      <c r="A1604" s="85"/>
      <c r="B1604" s="41"/>
      <c r="C1604" s="348" t="s">
        <v>179</v>
      </c>
      <c r="D1604" s="348"/>
      <c r="E1604" s="348"/>
      <c r="F1604" s="348"/>
      <c r="G1604" s="348"/>
      <c r="H1604" s="348"/>
      <c r="I1604" s="348"/>
      <c r="J1604" s="348"/>
      <c r="K1604" s="348"/>
      <c r="L1604" s="86">
        <v>9775.9699999999993</v>
      </c>
      <c r="M1604" s="87"/>
      <c r="N1604" s="88">
        <v>153580.49</v>
      </c>
    </row>
    <row r="1605" spans="1:14" hidden="1" x14ac:dyDescent="0.25">
      <c r="A1605" s="85"/>
      <c r="B1605" s="41"/>
      <c r="C1605" s="348" t="s">
        <v>180</v>
      </c>
      <c r="D1605" s="348"/>
      <c r="E1605" s="348"/>
      <c r="F1605" s="348"/>
      <c r="G1605" s="348"/>
      <c r="H1605" s="348"/>
      <c r="I1605" s="348"/>
      <c r="J1605" s="348"/>
      <c r="K1605" s="348"/>
      <c r="L1605" s="95">
        <v>419.21</v>
      </c>
      <c r="M1605" s="87"/>
      <c r="N1605" s="88">
        <v>21886.95</v>
      </c>
    </row>
    <row r="1606" spans="1:14" hidden="1" x14ac:dyDescent="0.25">
      <c r="A1606" s="85"/>
      <c r="B1606" s="41"/>
      <c r="C1606" s="348" t="s">
        <v>181</v>
      </c>
      <c r="D1606" s="348"/>
      <c r="E1606" s="348"/>
      <c r="F1606" s="348"/>
      <c r="G1606" s="348"/>
      <c r="H1606" s="348"/>
      <c r="I1606" s="348"/>
      <c r="J1606" s="348"/>
      <c r="K1606" s="348"/>
      <c r="L1606" s="86">
        <v>608455.32999999996</v>
      </c>
      <c r="M1606" s="87"/>
      <c r="N1606" s="88">
        <v>5781293.9199999999</v>
      </c>
    </row>
    <row r="1607" spans="1:14" hidden="1" x14ac:dyDescent="0.25">
      <c r="A1607" s="85"/>
      <c r="B1607" s="41"/>
      <c r="C1607" s="348" t="s">
        <v>182</v>
      </c>
      <c r="D1607" s="348"/>
      <c r="E1607" s="348"/>
      <c r="F1607" s="348"/>
      <c r="G1607" s="348"/>
      <c r="H1607" s="348"/>
      <c r="I1607" s="348"/>
      <c r="J1607" s="348"/>
      <c r="K1607" s="348"/>
      <c r="L1607" s="89"/>
      <c r="M1607" s="87"/>
      <c r="N1607" s="90"/>
    </row>
    <row r="1608" spans="1:14" hidden="1" x14ac:dyDescent="0.25">
      <c r="A1608" s="85"/>
      <c r="B1608" s="41"/>
      <c r="C1608" s="348" t="s">
        <v>183</v>
      </c>
      <c r="D1608" s="348"/>
      <c r="E1608" s="348"/>
      <c r="F1608" s="348"/>
      <c r="G1608" s="348"/>
      <c r="H1608" s="348"/>
      <c r="I1608" s="348"/>
      <c r="J1608" s="348"/>
      <c r="K1608" s="348"/>
      <c r="L1608" s="86">
        <v>608400.93000000005</v>
      </c>
      <c r="M1608" s="87"/>
      <c r="N1608" s="88">
        <v>5780439.2999999998</v>
      </c>
    </row>
    <row r="1609" spans="1:14" hidden="1" x14ac:dyDescent="0.25">
      <c r="A1609" s="85"/>
      <c r="B1609" s="41"/>
      <c r="C1609" s="348" t="s">
        <v>184</v>
      </c>
      <c r="D1609" s="348"/>
      <c r="E1609" s="348"/>
      <c r="F1609" s="348"/>
      <c r="G1609" s="348"/>
      <c r="H1609" s="348"/>
      <c r="I1609" s="348"/>
      <c r="J1609" s="348"/>
      <c r="K1609" s="348"/>
      <c r="L1609" s="95">
        <v>54.4</v>
      </c>
      <c r="M1609" s="87"/>
      <c r="N1609" s="96">
        <v>854.62</v>
      </c>
    </row>
    <row r="1610" spans="1:14" hidden="1" x14ac:dyDescent="0.25">
      <c r="A1610" s="85"/>
      <c r="B1610" s="41"/>
      <c r="C1610" s="348" t="s">
        <v>185</v>
      </c>
      <c r="D1610" s="348"/>
      <c r="E1610" s="348"/>
      <c r="F1610" s="348"/>
      <c r="G1610" s="348"/>
      <c r="H1610" s="348"/>
      <c r="I1610" s="348"/>
      <c r="J1610" s="348"/>
      <c r="K1610" s="348"/>
      <c r="L1610" s="95">
        <v>360.88</v>
      </c>
      <c r="M1610" s="87"/>
      <c r="N1610" s="88">
        <v>5784.39</v>
      </c>
    </row>
    <row r="1611" spans="1:14" hidden="1" x14ac:dyDescent="0.25">
      <c r="A1611" s="85"/>
      <c r="B1611" s="41"/>
      <c r="C1611" s="348" t="s">
        <v>186</v>
      </c>
      <c r="D1611" s="348"/>
      <c r="E1611" s="348"/>
      <c r="F1611" s="348"/>
      <c r="G1611" s="348"/>
      <c r="H1611" s="348"/>
      <c r="I1611" s="348"/>
      <c r="J1611" s="348"/>
      <c r="K1611" s="348"/>
      <c r="L1611" s="86">
        <v>620890.27</v>
      </c>
      <c r="M1611" s="87"/>
      <c r="N1611" s="88">
        <v>6076956.5199999996</v>
      </c>
    </row>
    <row r="1612" spans="1:14" hidden="1" x14ac:dyDescent="0.25">
      <c r="A1612" s="85"/>
      <c r="B1612" s="41"/>
      <c r="C1612" s="348" t="s">
        <v>187</v>
      </c>
      <c r="D1612" s="348"/>
      <c r="E1612" s="348"/>
      <c r="F1612" s="348"/>
      <c r="G1612" s="348"/>
      <c r="H1612" s="348"/>
      <c r="I1612" s="348"/>
      <c r="J1612" s="348"/>
      <c r="K1612" s="348"/>
      <c r="L1612" s="86">
        <v>620474.99</v>
      </c>
      <c r="M1612" s="87"/>
      <c r="N1612" s="88">
        <v>6070317.5099999998</v>
      </c>
    </row>
    <row r="1613" spans="1:14" hidden="1" x14ac:dyDescent="0.25">
      <c r="A1613" s="85"/>
      <c r="B1613" s="41"/>
      <c r="C1613" s="348" t="s">
        <v>188</v>
      </c>
      <c r="D1613" s="348"/>
      <c r="E1613" s="348"/>
      <c r="F1613" s="348"/>
      <c r="G1613" s="348"/>
      <c r="H1613" s="348"/>
      <c r="I1613" s="348"/>
      <c r="J1613" s="348"/>
      <c r="K1613" s="348"/>
      <c r="L1613" s="89"/>
      <c r="M1613" s="87"/>
      <c r="N1613" s="90"/>
    </row>
    <row r="1614" spans="1:14" hidden="1" x14ac:dyDescent="0.25">
      <c r="A1614" s="85"/>
      <c r="B1614" s="41"/>
      <c r="C1614" s="348" t="s">
        <v>189</v>
      </c>
      <c r="D1614" s="348"/>
      <c r="E1614" s="348"/>
      <c r="F1614" s="348"/>
      <c r="G1614" s="348"/>
      <c r="H1614" s="348"/>
      <c r="I1614" s="348"/>
      <c r="J1614" s="348"/>
      <c r="K1614" s="348"/>
      <c r="L1614" s="95">
        <v>755.16</v>
      </c>
      <c r="M1614" s="87"/>
      <c r="N1614" s="88">
        <v>39426.9</v>
      </c>
    </row>
    <row r="1615" spans="1:14" hidden="1" x14ac:dyDescent="0.25">
      <c r="A1615" s="85"/>
      <c r="B1615" s="41"/>
      <c r="C1615" s="348" t="s">
        <v>190</v>
      </c>
      <c r="D1615" s="348"/>
      <c r="E1615" s="348"/>
      <c r="F1615" s="348"/>
      <c r="G1615" s="348"/>
      <c r="H1615" s="348"/>
      <c r="I1615" s="348"/>
      <c r="J1615" s="348"/>
      <c r="K1615" s="348"/>
      <c r="L1615" s="86">
        <v>9655.19</v>
      </c>
      <c r="M1615" s="87"/>
      <c r="N1615" s="88">
        <v>151683.04</v>
      </c>
    </row>
    <row r="1616" spans="1:14" hidden="1" x14ac:dyDescent="0.25">
      <c r="A1616" s="85"/>
      <c r="B1616" s="41"/>
      <c r="C1616" s="348" t="s">
        <v>191</v>
      </c>
      <c r="D1616" s="348"/>
      <c r="E1616" s="348"/>
      <c r="F1616" s="348"/>
      <c r="G1616" s="348"/>
      <c r="H1616" s="348"/>
      <c r="I1616" s="348"/>
      <c r="J1616" s="348"/>
      <c r="K1616" s="348"/>
      <c r="L1616" s="95">
        <v>407.23</v>
      </c>
      <c r="M1616" s="87"/>
      <c r="N1616" s="88">
        <v>21261.47</v>
      </c>
    </row>
    <row r="1617" spans="1:14" hidden="1" x14ac:dyDescent="0.25">
      <c r="A1617" s="85"/>
      <c r="B1617" s="41"/>
      <c r="C1617" s="348" t="s">
        <v>192</v>
      </c>
      <c r="D1617" s="348"/>
      <c r="E1617" s="348"/>
      <c r="F1617" s="348"/>
      <c r="G1617" s="348"/>
      <c r="H1617" s="348"/>
      <c r="I1617" s="348"/>
      <c r="J1617" s="348"/>
      <c r="K1617" s="348"/>
      <c r="L1617" s="86">
        <v>608122.18000000005</v>
      </c>
      <c r="M1617" s="87"/>
      <c r="N1617" s="88">
        <v>5777791.1699999999</v>
      </c>
    </row>
    <row r="1618" spans="1:14" hidden="1" x14ac:dyDescent="0.25">
      <c r="A1618" s="85"/>
      <c r="B1618" s="41"/>
      <c r="C1618" s="348" t="s">
        <v>193</v>
      </c>
      <c r="D1618" s="348"/>
      <c r="E1618" s="348"/>
      <c r="F1618" s="348"/>
      <c r="G1618" s="348"/>
      <c r="H1618" s="348"/>
      <c r="I1618" s="348"/>
      <c r="J1618" s="348"/>
      <c r="K1618" s="348"/>
      <c r="L1618" s="86">
        <v>1279.22</v>
      </c>
      <c r="M1618" s="87"/>
      <c r="N1618" s="88">
        <v>66788.38</v>
      </c>
    </row>
    <row r="1619" spans="1:14" hidden="1" x14ac:dyDescent="0.25">
      <c r="A1619" s="85"/>
      <c r="B1619" s="41"/>
      <c r="C1619" s="348" t="s">
        <v>194</v>
      </c>
      <c r="D1619" s="348"/>
      <c r="E1619" s="348"/>
      <c r="F1619" s="348"/>
      <c r="G1619" s="348"/>
      <c r="H1619" s="348"/>
      <c r="I1619" s="348"/>
      <c r="J1619" s="348"/>
      <c r="K1619" s="348"/>
      <c r="L1619" s="95">
        <v>663.24</v>
      </c>
      <c r="M1619" s="87"/>
      <c r="N1619" s="88">
        <v>34628.019999999997</v>
      </c>
    </row>
    <row r="1620" spans="1:14" hidden="1" x14ac:dyDescent="0.25">
      <c r="A1620" s="85"/>
      <c r="B1620" s="41"/>
      <c r="C1620" s="348" t="s">
        <v>195</v>
      </c>
      <c r="D1620" s="348"/>
      <c r="E1620" s="348"/>
      <c r="F1620" s="348"/>
      <c r="G1620" s="348"/>
      <c r="H1620" s="348"/>
      <c r="I1620" s="348"/>
      <c r="J1620" s="348"/>
      <c r="K1620" s="348"/>
      <c r="L1620" s="95">
        <v>360.88</v>
      </c>
      <c r="M1620" s="87"/>
      <c r="N1620" s="88">
        <v>5784.39</v>
      </c>
    </row>
    <row r="1621" spans="1:14" hidden="1" x14ac:dyDescent="0.25">
      <c r="A1621" s="85"/>
      <c r="B1621" s="41"/>
      <c r="C1621" s="348" t="s">
        <v>196</v>
      </c>
      <c r="D1621" s="348"/>
      <c r="E1621" s="348"/>
      <c r="F1621" s="348"/>
      <c r="G1621" s="348"/>
      <c r="H1621" s="348"/>
      <c r="I1621" s="348"/>
      <c r="J1621" s="348"/>
      <c r="K1621" s="348"/>
      <c r="L1621" s="95">
        <v>54.4</v>
      </c>
      <c r="M1621" s="87"/>
      <c r="N1621" s="96">
        <v>854.62</v>
      </c>
    </row>
    <row r="1622" spans="1:14" hidden="1" x14ac:dyDescent="0.25">
      <c r="A1622" s="85"/>
      <c r="B1622" s="41"/>
      <c r="C1622" s="348" t="s">
        <v>297</v>
      </c>
      <c r="D1622" s="348"/>
      <c r="E1622" s="348"/>
      <c r="F1622" s="348"/>
      <c r="G1622" s="348"/>
      <c r="H1622" s="348"/>
      <c r="I1622" s="348"/>
      <c r="J1622" s="348"/>
      <c r="K1622" s="348"/>
      <c r="L1622" s="86">
        <v>1023.55</v>
      </c>
      <c r="M1622" s="87"/>
      <c r="N1622" s="88">
        <v>37125.61</v>
      </c>
    </row>
    <row r="1623" spans="1:14" hidden="1" x14ac:dyDescent="0.25">
      <c r="A1623" s="85"/>
      <c r="B1623" s="41"/>
      <c r="C1623" s="348" t="s">
        <v>177</v>
      </c>
      <c r="D1623" s="348"/>
      <c r="E1623" s="348"/>
      <c r="F1623" s="348"/>
      <c r="G1623" s="348"/>
      <c r="H1623" s="348"/>
      <c r="I1623" s="348"/>
      <c r="J1623" s="348"/>
      <c r="K1623" s="348"/>
      <c r="L1623" s="89"/>
      <c r="M1623" s="87"/>
      <c r="N1623" s="90"/>
    </row>
    <row r="1624" spans="1:14" hidden="1" x14ac:dyDescent="0.25">
      <c r="A1624" s="85"/>
      <c r="B1624" s="41"/>
      <c r="C1624" s="348" t="s">
        <v>298</v>
      </c>
      <c r="D1624" s="348"/>
      <c r="E1624" s="348"/>
      <c r="F1624" s="348"/>
      <c r="G1624" s="348"/>
      <c r="H1624" s="348"/>
      <c r="I1624" s="348"/>
      <c r="J1624" s="348"/>
      <c r="K1624" s="348"/>
      <c r="L1624" s="95">
        <v>251.92</v>
      </c>
      <c r="M1624" s="87"/>
      <c r="N1624" s="88">
        <v>13152.74</v>
      </c>
    </row>
    <row r="1625" spans="1:14" hidden="1" x14ac:dyDescent="0.25">
      <c r="A1625" s="85"/>
      <c r="B1625" s="41"/>
      <c r="C1625" s="348" t="s">
        <v>299</v>
      </c>
      <c r="D1625" s="348"/>
      <c r="E1625" s="348"/>
      <c r="F1625" s="348"/>
      <c r="G1625" s="348"/>
      <c r="H1625" s="348"/>
      <c r="I1625" s="348"/>
      <c r="J1625" s="348"/>
      <c r="K1625" s="348"/>
      <c r="L1625" s="95">
        <v>120.78</v>
      </c>
      <c r="M1625" s="87"/>
      <c r="N1625" s="88">
        <v>1897.45</v>
      </c>
    </row>
    <row r="1626" spans="1:14" hidden="1" x14ac:dyDescent="0.25">
      <c r="A1626" s="85"/>
      <c r="B1626" s="41"/>
      <c r="C1626" s="348" t="s">
        <v>300</v>
      </c>
      <c r="D1626" s="348"/>
      <c r="E1626" s="348"/>
      <c r="F1626" s="348"/>
      <c r="G1626" s="348"/>
      <c r="H1626" s="348"/>
      <c r="I1626" s="348"/>
      <c r="J1626" s="348"/>
      <c r="K1626" s="348"/>
      <c r="L1626" s="95">
        <v>11.98</v>
      </c>
      <c r="M1626" s="87"/>
      <c r="N1626" s="96">
        <v>625.48</v>
      </c>
    </row>
    <row r="1627" spans="1:14" hidden="1" x14ac:dyDescent="0.25">
      <c r="A1627" s="85"/>
      <c r="B1627" s="41"/>
      <c r="C1627" s="348" t="s">
        <v>301</v>
      </c>
      <c r="D1627" s="348"/>
      <c r="E1627" s="348"/>
      <c r="F1627" s="348"/>
      <c r="G1627" s="348"/>
      <c r="H1627" s="348"/>
      <c r="I1627" s="348"/>
      <c r="J1627" s="348"/>
      <c r="K1627" s="348"/>
      <c r="L1627" s="95">
        <v>278.75</v>
      </c>
      <c r="M1627" s="87"/>
      <c r="N1627" s="88">
        <v>2648.13</v>
      </c>
    </row>
    <row r="1628" spans="1:14" hidden="1" x14ac:dyDescent="0.25">
      <c r="A1628" s="85"/>
      <c r="B1628" s="41"/>
      <c r="C1628" s="348" t="s">
        <v>302</v>
      </c>
      <c r="D1628" s="348"/>
      <c r="E1628" s="348"/>
      <c r="F1628" s="348"/>
      <c r="G1628" s="348"/>
      <c r="H1628" s="348"/>
      <c r="I1628" s="348"/>
      <c r="J1628" s="348"/>
      <c r="K1628" s="348"/>
      <c r="L1628" s="95">
        <v>242.79</v>
      </c>
      <c r="M1628" s="87"/>
      <c r="N1628" s="88">
        <v>12675.96</v>
      </c>
    </row>
    <row r="1629" spans="1:14" hidden="1" x14ac:dyDescent="0.25">
      <c r="A1629" s="85"/>
      <c r="B1629" s="41"/>
      <c r="C1629" s="348" t="s">
        <v>303</v>
      </c>
      <c r="D1629" s="348"/>
      <c r="E1629" s="348"/>
      <c r="F1629" s="348"/>
      <c r="G1629" s="348"/>
      <c r="H1629" s="348"/>
      <c r="I1629" s="348"/>
      <c r="J1629" s="348"/>
      <c r="K1629" s="348"/>
      <c r="L1629" s="95">
        <v>129.31</v>
      </c>
      <c r="M1629" s="87"/>
      <c r="N1629" s="88">
        <v>6751.33</v>
      </c>
    </row>
    <row r="1630" spans="1:14" hidden="1" x14ac:dyDescent="0.25">
      <c r="A1630" s="85"/>
      <c r="B1630" s="41"/>
      <c r="C1630" s="348" t="s">
        <v>197</v>
      </c>
      <c r="D1630" s="348"/>
      <c r="E1630" s="348"/>
      <c r="F1630" s="348"/>
      <c r="G1630" s="348"/>
      <c r="H1630" s="348"/>
      <c r="I1630" s="348"/>
      <c r="J1630" s="348"/>
      <c r="K1630" s="348"/>
      <c r="L1630" s="86">
        <v>1426.29</v>
      </c>
      <c r="M1630" s="87"/>
      <c r="N1630" s="88">
        <v>74466.59</v>
      </c>
    </row>
    <row r="1631" spans="1:14" hidden="1" x14ac:dyDescent="0.25">
      <c r="A1631" s="85"/>
      <c r="B1631" s="41"/>
      <c r="C1631" s="348" t="s">
        <v>198</v>
      </c>
      <c r="D1631" s="348"/>
      <c r="E1631" s="348"/>
      <c r="F1631" s="348"/>
      <c r="G1631" s="348"/>
      <c r="H1631" s="348"/>
      <c r="I1631" s="348"/>
      <c r="J1631" s="348"/>
      <c r="K1631" s="348"/>
      <c r="L1631" s="86">
        <v>1522.01</v>
      </c>
      <c r="M1631" s="87"/>
      <c r="N1631" s="88">
        <v>79464.34</v>
      </c>
    </row>
    <row r="1632" spans="1:14" hidden="1" x14ac:dyDescent="0.25">
      <c r="A1632" s="85"/>
      <c r="B1632" s="41"/>
      <c r="C1632" s="348" t="s">
        <v>199</v>
      </c>
      <c r="D1632" s="348"/>
      <c r="E1632" s="348"/>
      <c r="F1632" s="348"/>
      <c r="G1632" s="348"/>
      <c r="H1632" s="348"/>
      <c r="I1632" s="348"/>
      <c r="J1632" s="348"/>
      <c r="K1632" s="348"/>
      <c r="L1632" s="95">
        <v>792.55</v>
      </c>
      <c r="M1632" s="87"/>
      <c r="N1632" s="88">
        <v>41379.35</v>
      </c>
    </row>
    <row r="1633" spans="1:14" hidden="1" x14ac:dyDescent="0.25">
      <c r="A1633" s="85"/>
      <c r="B1633" s="81"/>
      <c r="C1633" s="349" t="s">
        <v>467</v>
      </c>
      <c r="D1633" s="349"/>
      <c r="E1633" s="349"/>
      <c r="F1633" s="349"/>
      <c r="G1633" s="349"/>
      <c r="H1633" s="349"/>
      <c r="I1633" s="349"/>
      <c r="J1633" s="349"/>
      <c r="K1633" s="349"/>
      <c r="L1633" s="91">
        <v>621913.81999999995</v>
      </c>
      <c r="M1633" s="83"/>
      <c r="N1633" s="92">
        <v>6114082.1299999999</v>
      </c>
    </row>
    <row r="1634" spans="1:14" hidden="1" x14ac:dyDescent="0.25">
      <c r="A1634" s="85"/>
      <c r="B1634" s="41"/>
      <c r="C1634" s="348" t="s">
        <v>201</v>
      </c>
      <c r="D1634" s="348"/>
      <c r="E1634" s="348"/>
      <c r="F1634" s="348"/>
      <c r="G1634" s="348"/>
      <c r="H1634" s="348"/>
      <c r="I1634" s="348"/>
      <c r="J1634" s="348"/>
      <c r="K1634" s="348"/>
      <c r="L1634" s="89"/>
      <c r="M1634" s="87"/>
      <c r="N1634" s="90"/>
    </row>
    <row r="1635" spans="1:14" hidden="1" x14ac:dyDescent="0.25">
      <c r="A1635" s="85"/>
      <c r="B1635" s="41"/>
      <c r="C1635" s="348" t="s">
        <v>202</v>
      </c>
      <c r="D1635" s="348"/>
      <c r="E1635" s="348"/>
      <c r="F1635" s="348"/>
      <c r="G1635" s="348"/>
      <c r="H1635" s="348"/>
      <c r="I1635" s="42" t="s">
        <v>468</v>
      </c>
      <c r="J1635" s="93"/>
      <c r="K1635" s="93"/>
      <c r="L1635" s="89"/>
      <c r="M1635" s="87"/>
      <c r="N1635" s="90"/>
    </row>
    <row r="1636" spans="1:14" hidden="1" x14ac:dyDescent="0.25">
      <c r="A1636" s="85"/>
      <c r="B1636" s="41"/>
      <c r="C1636" s="348" t="s">
        <v>204</v>
      </c>
      <c r="D1636" s="348"/>
      <c r="E1636" s="348"/>
      <c r="F1636" s="348"/>
      <c r="G1636" s="348"/>
      <c r="H1636" s="348"/>
      <c r="I1636" s="42" t="s">
        <v>469</v>
      </c>
      <c r="J1636" s="93"/>
      <c r="K1636" s="93"/>
      <c r="L1636" s="89"/>
      <c r="M1636" s="87"/>
      <c r="N1636" s="90"/>
    </row>
    <row r="1637" spans="1:14" x14ac:dyDescent="0.25">
      <c r="A1637" s="358" t="s">
        <v>470</v>
      </c>
      <c r="B1637" s="359"/>
      <c r="C1637" s="359"/>
      <c r="D1637" s="359"/>
      <c r="E1637" s="359"/>
      <c r="F1637" s="359"/>
      <c r="G1637" s="359"/>
      <c r="H1637" s="359"/>
      <c r="I1637" s="359"/>
      <c r="J1637" s="359"/>
      <c r="K1637" s="359"/>
      <c r="L1637" s="359"/>
      <c r="M1637" s="359"/>
      <c r="N1637" s="360"/>
    </row>
    <row r="1638" spans="1:14" ht="37.5" customHeight="1" x14ac:dyDescent="0.25">
      <c r="A1638" s="32" t="s">
        <v>471</v>
      </c>
      <c r="B1638" s="33" t="s">
        <v>208</v>
      </c>
      <c r="C1638" s="350" t="s">
        <v>209</v>
      </c>
      <c r="D1638" s="350"/>
      <c r="E1638" s="350"/>
      <c r="F1638" s="34" t="s">
        <v>210</v>
      </c>
      <c r="G1638" s="35">
        <v>1</v>
      </c>
      <c r="H1638" s="36">
        <v>1</v>
      </c>
      <c r="I1638" s="36">
        <v>1</v>
      </c>
      <c r="J1638" s="38"/>
      <c r="K1638" s="35"/>
      <c r="L1638" s="38"/>
      <c r="M1638" s="35"/>
      <c r="N1638" s="39"/>
    </row>
    <row r="1639" spans="1:14" hidden="1" x14ac:dyDescent="0.25">
      <c r="A1639" s="40"/>
      <c r="B1639" s="41" t="s">
        <v>55</v>
      </c>
      <c r="C1639" s="354" t="s">
        <v>59</v>
      </c>
      <c r="D1639" s="354"/>
      <c r="E1639" s="354"/>
      <c r="F1639" s="42"/>
      <c r="G1639" s="43"/>
      <c r="H1639" s="43"/>
      <c r="I1639" s="43"/>
      <c r="J1639" s="44">
        <v>298.64</v>
      </c>
      <c r="K1639" s="43"/>
      <c r="L1639" s="44">
        <v>298.64</v>
      </c>
      <c r="M1639" s="45">
        <v>52.21</v>
      </c>
      <c r="N1639" s="46">
        <v>15591.99</v>
      </c>
    </row>
    <row r="1640" spans="1:14" hidden="1" x14ac:dyDescent="0.25">
      <c r="A1640" s="40"/>
      <c r="B1640" s="41" t="s">
        <v>70</v>
      </c>
      <c r="C1640" s="354" t="s">
        <v>74</v>
      </c>
      <c r="D1640" s="354"/>
      <c r="E1640" s="354"/>
      <c r="F1640" s="42"/>
      <c r="G1640" s="43"/>
      <c r="H1640" s="43"/>
      <c r="I1640" s="43"/>
      <c r="J1640" s="44">
        <v>128.02000000000001</v>
      </c>
      <c r="K1640" s="43"/>
      <c r="L1640" s="44">
        <v>128.02000000000001</v>
      </c>
      <c r="M1640" s="45">
        <v>15.71</v>
      </c>
      <c r="N1640" s="46">
        <v>2011.19</v>
      </c>
    </row>
    <row r="1641" spans="1:14" hidden="1" x14ac:dyDescent="0.25">
      <c r="A1641" s="40"/>
      <c r="B1641" s="41" t="s">
        <v>75</v>
      </c>
      <c r="C1641" s="354" t="s">
        <v>76</v>
      </c>
      <c r="D1641" s="354"/>
      <c r="E1641" s="354"/>
      <c r="F1641" s="42"/>
      <c r="G1641" s="43"/>
      <c r="H1641" s="43"/>
      <c r="I1641" s="43"/>
      <c r="J1641" s="44">
        <v>19.84</v>
      </c>
      <c r="K1641" s="43"/>
      <c r="L1641" s="44">
        <v>19.84</v>
      </c>
      <c r="M1641" s="45">
        <v>52.21</v>
      </c>
      <c r="N1641" s="46">
        <v>1035.8499999999999</v>
      </c>
    </row>
    <row r="1642" spans="1:14" hidden="1" x14ac:dyDescent="0.25">
      <c r="A1642" s="47"/>
      <c r="B1642" s="41"/>
      <c r="C1642" s="354" t="s">
        <v>60</v>
      </c>
      <c r="D1642" s="354"/>
      <c r="E1642" s="354"/>
      <c r="F1642" s="42" t="s">
        <v>61</v>
      </c>
      <c r="G1642" s="45">
        <v>35.01</v>
      </c>
      <c r="H1642" s="43"/>
      <c r="I1642" s="45">
        <v>35.01</v>
      </c>
      <c r="J1642" s="50"/>
      <c r="K1642" s="43"/>
      <c r="L1642" s="50"/>
      <c r="M1642" s="43"/>
      <c r="N1642" s="51"/>
    </row>
    <row r="1643" spans="1:14" hidden="1" x14ac:dyDescent="0.25">
      <c r="A1643" s="47"/>
      <c r="B1643" s="41"/>
      <c r="C1643" s="354" t="s">
        <v>77</v>
      </c>
      <c r="D1643" s="354"/>
      <c r="E1643" s="354"/>
      <c r="F1643" s="42" t="s">
        <v>61</v>
      </c>
      <c r="G1643" s="45">
        <v>1.71</v>
      </c>
      <c r="H1643" s="43"/>
      <c r="I1643" s="45">
        <v>1.71</v>
      </c>
      <c r="J1643" s="50"/>
      <c r="K1643" s="43"/>
      <c r="L1643" s="50"/>
      <c r="M1643" s="43"/>
      <c r="N1643" s="51"/>
    </row>
    <row r="1644" spans="1:14" hidden="1" x14ac:dyDescent="0.25">
      <c r="A1644" s="52"/>
      <c r="B1644" s="41"/>
      <c r="C1644" s="355" t="s">
        <v>62</v>
      </c>
      <c r="D1644" s="355"/>
      <c r="E1644" s="355"/>
      <c r="F1644" s="53"/>
      <c r="G1644" s="54"/>
      <c r="H1644" s="54"/>
      <c r="I1644" s="54"/>
      <c r="J1644" s="55">
        <v>426.66</v>
      </c>
      <c r="K1644" s="54"/>
      <c r="L1644" s="55">
        <v>426.66</v>
      </c>
      <c r="M1644" s="54"/>
      <c r="N1644" s="56">
        <v>17603.18</v>
      </c>
    </row>
    <row r="1645" spans="1:14" hidden="1" x14ac:dyDescent="0.25">
      <c r="A1645" s="47"/>
      <c r="B1645" s="41"/>
      <c r="C1645" s="354" t="s">
        <v>63</v>
      </c>
      <c r="D1645" s="354"/>
      <c r="E1645" s="354"/>
      <c r="F1645" s="42"/>
      <c r="G1645" s="43"/>
      <c r="H1645" s="43"/>
      <c r="I1645" s="43"/>
      <c r="J1645" s="50"/>
      <c r="K1645" s="43"/>
      <c r="L1645" s="44">
        <v>318.48</v>
      </c>
      <c r="M1645" s="43"/>
      <c r="N1645" s="46">
        <v>16627.84</v>
      </c>
    </row>
    <row r="1646" spans="1:14" ht="22.5" hidden="1" x14ac:dyDescent="0.25">
      <c r="A1646" s="47"/>
      <c r="B1646" s="41" t="s">
        <v>78</v>
      </c>
      <c r="C1646" s="354" t="s">
        <v>79</v>
      </c>
      <c r="D1646" s="354"/>
      <c r="E1646" s="354"/>
      <c r="F1646" s="42" t="s">
        <v>66</v>
      </c>
      <c r="G1646" s="48">
        <v>109</v>
      </c>
      <c r="H1646" s="43"/>
      <c r="I1646" s="48">
        <v>109</v>
      </c>
      <c r="J1646" s="50"/>
      <c r="K1646" s="43"/>
      <c r="L1646" s="44">
        <v>347.14</v>
      </c>
      <c r="M1646" s="43"/>
      <c r="N1646" s="46">
        <v>18124.349999999999</v>
      </c>
    </row>
    <row r="1647" spans="1:14" ht="45" hidden="1" x14ac:dyDescent="0.25">
      <c r="A1647" s="47"/>
      <c r="B1647" s="41" t="s">
        <v>80</v>
      </c>
      <c r="C1647" s="354" t="s">
        <v>81</v>
      </c>
      <c r="D1647" s="354"/>
      <c r="E1647" s="354"/>
      <c r="F1647" s="42" t="s">
        <v>66</v>
      </c>
      <c r="G1647" s="48">
        <v>65</v>
      </c>
      <c r="H1647" s="45">
        <v>0.85</v>
      </c>
      <c r="I1647" s="45">
        <v>55.25</v>
      </c>
      <c r="J1647" s="50"/>
      <c r="K1647" s="43"/>
      <c r="L1647" s="44">
        <v>175.96</v>
      </c>
      <c r="M1647" s="43"/>
      <c r="N1647" s="46">
        <v>9186.8799999999992</v>
      </c>
    </row>
    <row r="1648" spans="1:14" hidden="1" x14ac:dyDescent="0.25">
      <c r="A1648" s="57"/>
      <c r="B1648" s="58"/>
      <c r="C1648" s="350" t="s">
        <v>69</v>
      </c>
      <c r="D1648" s="350"/>
      <c r="E1648" s="350"/>
      <c r="F1648" s="34"/>
      <c r="G1648" s="35"/>
      <c r="H1648" s="35"/>
      <c r="I1648" s="35"/>
      <c r="J1648" s="38"/>
      <c r="K1648" s="35"/>
      <c r="L1648" s="59">
        <v>949.76</v>
      </c>
      <c r="M1648" s="54"/>
      <c r="N1648" s="60">
        <v>44914.41</v>
      </c>
    </row>
    <row r="1649" spans="1:14" ht="31.5" customHeight="1" x14ac:dyDescent="0.25">
      <c r="A1649" s="32" t="s">
        <v>472</v>
      </c>
      <c r="B1649" s="33" t="s">
        <v>82</v>
      </c>
      <c r="C1649" s="350" t="s">
        <v>83</v>
      </c>
      <c r="D1649" s="350"/>
      <c r="E1649" s="350"/>
      <c r="F1649" s="34" t="s">
        <v>58</v>
      </c>
      <c r="G1649" s="35">
        <v>0.28399999999999997</v>
      </c>
      <c r="H1649" s="36">
        <v>1</v>
      </c>
      <c r="I1649" s="67">
        <v>0.28399999999999997</v>
      </c>
      <c r="J1649" s="38"/>
      <c r="K1649" s="35"/>
      <c r="L1649" s="38"/>
      <c r="M1649" s="35"/>
      <c r="N1649" s="39"/>
    </row>
    <row r="1650" spans="1:14" hidden="1" x14ac:dyDescent="0.25">
      <c r="A1650" s="40"/>
      <c r="B1650" s="41" t="s">
        <v>55</v>
      </c>
      <c r="C1650" s="354" t="s">
        <v>59</v>
      </c>
      <c r="D1650" s="354"/>
      <c r="E1650" s="354"/>
      <c r="F1650" s="42"/>
      <c r="G1650" s="43"/>
      <c r="H1650" s="43"/>
      <c r="I1650" s="43"/>
      <c r="J1650" s="44">
        <v>92.08</v>
      </c>
      <c r="K1650" s="43"/>
      <c r="L1650" s="44">
        <v>26.15</v>
      </c>
      <c r="M1650" s="45">
        <v>52.21</v>
      </c>
      <c r="N1650" s="46">
        <v>1365.29</v>
      </c>
    </row>
    <row r="1651" spans="1:14" hidden="1" x14ac:dyDescent="0.25">
      <c r="A1651" s="40"/>
      <c r="B1651" s="41" t="s">
        <v>70</v>
      </c>
      <c r="C1651" s="354" t="s">
        <v>74</v>
      </c>
      <c r="D1651" s="354"/>
      <c r="E1651" s="354"/>
      <c r="F1651" s="42"/>
      <c r="G1651" s="43"/>
      <c r="H1651" s="43"/>
      <c r="I1651" s="43"/>
      <c r="J1651" s="44">
        <v>287.60000000000002</v>
      </c>
      <c r="K1651" s="43"/>
      <c r="L1651" s="44">
        <v>81.680000000000007</v>
      </c>
      <c r="M1651" s="45">
        <v>15.71</v>
      </c>
      <c r="N1651" s="46">
        <v>1283.19</v>
      </c>
    </row>
    <row r="1652" spans="1:14" hidden="1" x14ac:dyDescent="0.25">
      <c r="A1652" s="40"/>
      <c r="B1652" s="41" t="s">
        <v>75</v>
      </c>
      <c r="C1652" s="354" t="s">
        <v>76</v>
      </c>
      <c r="D1652" s="354"/>
      <c r="E1652" s="354"/>
      <c r="F1652" s="42"/>
      <c r="G1652" s="43"/>
      <c r="H1652" s="43"/>
      <c r="I1652" s="43"/>
      <c r="J1652" s="44">
        <v>37.57</v>
      </c>
      <c r="K1652" s="43"/>
      <c r="L1652" s="44">
        <v>10.67</v>
      </c>
      <c r="M1652" s="45">
        <v>52.21</v>
      </c>
      <c r="N1652" s="69">
        <v>557.08000000000004</v>
      </c>
    </row>
    <row r="1653" spans="1:14" hidden="1" x14ac:dyDescent="0.25">
      <c r="A1653" s="47"/>
      <c r="B1653" s="41"/>
      <c r="C1653" s="354" t="s">
        <v>60</v>
      </c>
      <c r="D1653" s="354"/>
      <c r="E1653" s="354"/>
      <c r="F1653" s="42" t="s">
        <v>61</v>
      </c>
      <c r="G1653" s="63">
        <v>11.7</v>
      </c>
      <c r="H1653" s="43"/>
      <c r="I1653" s="64">
        <v>3.3228</v>
      </c>
      <c r="J1653" s="50"/>
      <c r="K1653" s="43"/>
      <c r="L1653" s="50"/>
      <c r="M1653" s="43"/>
      <c r="N1653" s="51"/>
    </row>
    <row r="1654" spans="1:14" hidden="1" x14ac:dyDescent="0.25">
      <c r="A1654" s="47"/>
      <c r="B1654" s="41"/>
      <c r="C1654" s="354" t="s">
        <v>77</v>
      </c>
      <c r="D1654" s="354"/>
      <c r="E1654" s="354"/>
      <c r="F1654" s="42" t="s">
        <v>61</v>
      </c>
      <c r="G1654" s="45">
        <v>2.96</v>
      </c>
      <c r="H1654" s="43"/>
      <c r="I1654" s="68">
        <v>0.84064000000000005</v>
      </c>
      <c r="J1654" s="50"/>
      <c r="K1654" s="43"/>
      <c r="L1654" s="50"/>
      <c r="M1654" s="43"/>
      <c r="N1654" s="51"/>
    </row>
    <row r="1655" spans="1:14" hidden="1" x14ac:dyDescent="0.25">
      <c r="A1655" s="52"/>
      <c r="B1655" s="41"/>
      <c r="C1655" s="355" t="s">
        <v>62</v>
      </c>
      <c r="D1655" s="355"/>
      <c r="E1655" s="355"/>
      <c r="F1655" s="53"/>
      <c r="G1655" s="54"/>
      <c r="H1655" s="54"/>
      <c r="I1655" s="54"/>
      <c r="J1655" s="55">
        <v>379.68</v>
      </c>
      <c r="K1655" s="54"/>
      <c r="L1655" s="55">
        <v>107.83</v>
      </c>
      <c r="M1655" s="54"/>
      <c r="N1655" s="56">
        <v>2648.48</v>
      </c>
    </row>
    <row r="1656" spans="1:14" hidden="1" x14ac:dyDescent="0.25">
      <c r="A1656" s="47"/>
      <c r="B1656" s="41"/>
      <c r="C1656" s="354" t="s">
        <v>63</v>
      </c>
      <c r="D1656" s="354"/>
      <c r="E1656" s="354"/>
      <c r="F1656" s="42"/>
      <c r="G1656" s="43"/>
      <c r="H1656" s="43"/>
      <c r="I1656" s="43"/>
      <c r="J1656" s="50"/>
      <c r="K1656" s="43"/>
      <c r="L1656" s="44">
        <v>36.82</v>
      </c>
      <c r="M1656" s="43"/>
      <c r="N1656" s="46">
        <v>1922.37</v>
      </c>
    </row>
    <row r="1657" spans="1:14" hidden="1" x14ac:dyDescent="0.25">
      <c r="A1657" s="47"/>
      <c r="B1657" s="41" t="s">
        <v>84</v>
      </c>
      <c r="C1657" s="354" t="s">
        <v>85</v>
      </c>
      <c r="D1657" s="354"/>
      <c r="E1657" s="354"/>
      <c r="F1657" s="42" t="s">
        <v>66</v>
      </c>
      <c r="G1657" s="48">
        <v>102</v>
      </c>
      <c r="H1657" s="43"/>
      <c r="I1657" s="48">
        <v>102</v>
      </c>
      <c r="J1657" s="50"/>
      <c r="K1657" s="43"/>
      <c r="L1657" s="44">
        <v>37.56</v>
      </c>
      <c r="M1657" s="43"/>
      <c r="N1657" s="46">
        <v>1960.82</v>
      </c>
    </row>
    <row r="1658" spans="1:14" hidden="1" x14ac:dyDescent="0.25">
      <c r="A1658" s="47"/>
      <c r="B1658" s="41" t="s">
        <v>86</v>
      </c>
      <c r="C1658" s="354" t="s">
        <v>87</v>
      </c>
      <c r="D1658" s="354"/>
      <c r="E1658" s="354"/>
      <c r="F1658" s="42" t="s">
        <v>66</v>
      </c>
      <c r="G1658" s="48">
        <v>54</v>
      </c>
      <c r="H1658" s="43"/>
      <c r="I1658" s="48">
        <v>54</v>
      </c>
      <c r="J1658" s="50"/>
      <c r="K1658" s="43"/>
      <c r="L1658" s="44">
        <v>19.88</v>
      </c>
      <c r="M1658" s="43"/>
      <c r="N1658" s="46">
        <v>1038.08</v>
      </c>
    </row>
    <row r="1659" spans="1:14" hidden="1" x14ac:dyDescent="0.25">
      <c r="A1659" s="57"/>
      <c r="B1659" s="58"/>
      <c r="C1659" s="350" t="s">
        <v>69</v>
      </c>
      <c r="D1659" s="350"/>
      <c r="E1659" s="350"/>
      <c r="F1659" s="34"/>
      <c r="G1659" s="35"/>
      <c r="H1659" s="35"/>
      <c r="I1659" s="35"/>
      <c r="J1659" s="38"/>
      <c r="K1659" s="35"/>
      <c r="L1659" s="59">
        <v>165.27</v>
      </c>
      <c r="M1659" s="54"/>
      <c r="N1659" s="60">
        <v>5647.38</v>
      </c>
    </row>
    <row r="1660" spans="1:14" ht="30.75" customHeight="1" x14ac:dyDescent="0.25">
      <c r="A1660" s="32" t="s">
        <v>473</v>
      </c>
      <c r="B1660" s="33" t="s">
        <v>89</v>
      </c>
      <c r="C1660" s="350" t="s">
        <v>90</v>
      </c>
      <c r="D1660" s="350"/>
      <c r="E1660" s="350"/>
      <c r="F1660" s="34" t="s">
        <v>58</v>
      </c>
      <c r="G1660" s="35">
        <v>0.1336</v>
      </c>
      <c r="H1660" s="36">
        <v>1</v>
      </c>
      <c r="I1660" s="37">
        <v>0.1336</v>
      </c>
      <c r="J1660" s="38"/>
      <c r="K1660" s="35"/>
      <c r="L1660" s="38"/>
      <c r="M1660" s="35"/>
      <c r="N1660" s="39"/>
    </row>
    <row r="1661" spans="1:14" hidden="1" x14ac:dyDescent="0.25">
      <c r="A1661" s="40"/>
      <c r="B1661" s="41" t="s">
        <v>55</v>
      </c>
      <c r="C1661" s="354" t="s">
        <v>59</v>
      </c>
      <c r="D1661" s="354"/>
      <c r="E1661" s="354"/>
      <c r="F1661" s="42"/>
      <c r="G1661" s="43"/>
      <c r="H1661" s="43"/>
      <c r="I1661" s="43"/>
      <c r="J1661" s="44">
        <v>106.88</v>
      </c>
      <c r="K1661" s="43"/>
      <c r="L1661" s="44">
        <v>14.28</v>
      </c>
      <c r="M1661" s="45">
        <v>52.21</v>
      </c>
      <c r="N1661" s="69">
        <v>745.56</v>
      </c>
    </row>
    <row r="1662" spans="1:14" hidden="1" x14ac:dyDescent="0.25">
      <c r="A1662" s="40"/>
      <c r="B1662" s="41" t="s">
        <v>70</v>
      </c>
      <c r="C1662" s="354" t="s">
        <v>74</v>
      </c>
      <c r="D1662" s="354"/>
      <c r="E1662" s="354"/>
      <c r="F1662" s="42"/>
      <c r="G1662" s="43"/>
      <c r="H1662" s="43"/>
      <c r="I1662" s="43"/>
      <c r="J1662" s="44">
        <v>241.58</v>
      </c>
      <c r="K1662" s="43"/>
      <c r="L1662" s="44">
        <v>32.28</v>
      </c>
      <c r="M1662" s="45">
        <v>15.71</v>
      </c>
      <c r="N1662" s="69">
        <v>507.12</v>
      </c>
    </row>
    <row r="1663" spans="1:14" hidden="1" x14ac:dyDescent="0.25">
      <c r="A1663" s="40"/>
      <c r="B1663" s="41" t="s">
        <v>75</v>
      </c>
      <c r="C1663" s="354" t="s">
        <v>76</v>
      </c>
      <c r="D1663" s="354"/>
      <c r="E1663" s="354"/>
      <c r="F1663" s="42"/>
      <c r="G1663" s="43"/>
      <c r="H1663" s="43"/>
      <c r="I1663" s="43"/>
      <c r="J1663" s="44">
        <v>26.36</v>
      </c>
      <c r="K1663" s="43"/>
      <c r="L1663" s="44">
        <v>3.52</v>
      </c>
      <c r="M1663" s="45">
        <v>52.21</v>
      </c>
      <c r="N1663" s="69">
        <v>183.78</v>
      </c>
    </row>
    <row r="1664" spans="1:14" hidden="1" x14ac:dyDescent="0.25">
      <c r="A1664" s="47"/>
      <c r="B1664" s="41"/>
      <c r="C1664" s="354" t="s">
        <v>60</v>
      </c>
      <c r="D1664" s="354"/>
      <c r="E1664" s="354"/>
      <c r="F1664" s="42" t="s">
        <v>61</v>
      </c>
      <c r="G1664" s="45">
        <v>12.53</v>
      </c>
      <c r="H1664" s="43"/>
      <c r="I1664" s="73">
        <v>1.6740079999999999</v>
      </c>
      <c r="J1664" s="50"/>
      <c r="K1664" s="43"/>
      <c r="L1664" s="50"/>
      <c r="M1664" s="43"/>
      <c r="N1664" s="51"/>
    </row>
    <row r="1665" spans="1:14" hidden="1" x14ac:dyDescent="0.25">
      <c r="A1665" s="47"/>
      <c r="B1665" s="41"/>
      <c r="C1665" s="354" t="s">
        <v>77</v>
      </c>
      <c r="D1665" s="354"/>
      <c r="E1665" s="354"/>
      <c r="F1665" s="42" t="s">
        <v>61</v>
      </c>
      <c r="G1665" s="45">
        <v>2.62</v>
      </c>
      <c r="H1665" s="43"/>
      <c r="I1665" s="73">
        <v>0.35003200000000001</v>
      </c>
      <c r="J1665" s="50"/>
      <c r="K1665" s="43"/>
      <c r="L1665" s="50"/>
      <c r="M1665" s="43"/>
      <c r="N1665" s="51"/>
    </row>
    <row r="1666" spans="1:14" hidden="1" x14ac:dyDescent="0.25">
      <c r="A1666" s="52"/>
      <c r="B1666" s="41"/>
      <c r="C1666" s="355" t="s">
        <v>62</v>
      </c>
      <c r="D1666" s="355"/>
      <c r="E1666" s="355"/>
      <c r="F1666" s="53"/>
      <c r="G1666" s="54"/>
      <c r="H1666" s="54"/>
      <c r="I1666" s="54"/>
      <c r="J1666" s="55">
        <v>348.46</v>
      </c>
      <c r="K1666" s="54"/>
      <c r="L1666" s="55">
        <v>46.56</v>
      </c>
      <c r="M1666" s="54"/>
      <c r="N1666" s="56">
        <v>1252.68</v>
      </c>
    </row>
    <row r="1667" spans="1:14" hidden="1" x14ac:dyDescent="0.25">
      <c r="A1667" s="47"/>
      <c r="B1667" s="41"/>
      <c r="C1667" s="354" t="s">
        <v>63</v>
      </c>
      <c r="D1667" s="354"/>
      <c r="E1667" s="354"/>
      <c r="F1667" s="42"/>
      <c r="G1667" s="43"/>
      <c r="H1667" s="43"/>
      <c r="I1667" s="43"/>
      <c r="J1667" s="50"/>
      <c r="K1667" s="43"/>
      <c r="L1667" s="44">
        <v>17.8</v>
      </c>
      <c r="M1667" s="43"/>
      <c r="N1667" s="69">
        <v>929.34</v>
      </c>
    </row>
    <row r="1668" spans="1:14" ht="22.5" hidden="1" x14ac:dyDescent="0.25">
      <c r="A1668" s="47"/>
      <c r="B1668" s="41" t="s">
        <v>91</v>
      </c>
      <c r="C1668" s="354" t="s">
        <v>92</v>
      </c>
      <c r="D1668" s="354"/>
      <c r="E1668" s="354"/>
      <c r="F1668" s="42" t="s">
        <v>66</v>
      </c>
      <c r="G1668" s="48">
        <v>92</v>
      </c>
      <c r="H1668" s="43"/>
      <c r="I1668" s="48">
        <v>92</v>
      </c>
      <c r="J1668" s="50"/>
      <c r="K1668" s="43"/>
      <c r="L1668" s="44">
        <v>16.38</v>
      </c>
      <c r="M1668" s="43"/>
      <c r="N1668" s="69">
        <v>854.99</v>
      </c>
    </row>
    <row r="1669" spans="1:14" ht="45" hidden="1" x14ac:dyDescent="0.25">
      <c r="A1669" s="47"/>
      <c r="B1669" s="41" t="s">
        <v>93</v>
      </c>
      <c r="C1669" s="354" t="s">
        <v>94</v>
      </c>
      <c r="D1669" s="354"/>
      <c r="E1669" s="354"/>
      <c r="F1669" s="42" t="s">
        <v>66</v>
      </c>
      <c r="G1669" s="48">
        <v>46</v>
      </c>
      <c r="H1669" s="45">
        <v>0.85</v>
      </c>
      <c r="I1669" s="63">
        <v>39.1</v>
      </c>
      <c r="J1669" s="50"/>
      <c r="K1669" s="43"/>
      <c r="L1669" s="44">
        <v>6.96</v>
      </c>
      <c r="M1669" s="43"/>
      <c r="N1669" s="69">
        <v>363.37</v>
      </c>
    </row>
    <row r="1670" spans="1:14" hidden="1" x14ac:dyDescent="0.25">
      <c r="A1670" s="57"/>
      <c r="B1670" s="58"/>
      <c r="C1670" s="350" t="s">
        <v>69</v>
      </c>
      <c r="D1670" s="350"/>
      <c r="E1670" s="350"/>
      <c r="F1670" s="34"/>
      <c r="G1670" s="35"/>
      <c r="H1670" s="35"/>
      <c r="I1670" s="35"/>
      <c r="J1670" s="38"/>
      <c r="K1670" s="35"/>
      <c r="L1670" s="59">
        <v>69.900000000000006</v>
      </c>
      <c r="M1670" s="54"/>
      <c r="N1670" s="60">
        <v>2471.04</v>
      </c>
    </row>
    <row r="1671" spans="1:14" ht="21" customHeight="1" x14ac:dyDescent="0.25">
      <c r="A1671" s="32" t="s">
        <v>474</v>
      </c>
      <c r="B1671" s="33" t="s">
        <v>96</v>
      </c>
      <c r="C1671" s="350" t="s">
        <v>97</v>
      </c>
      <c r="D1671" s="350"/>
      <c r="E1671" s="350"/>
      <c r="F1671" s="34" t="s">
        <v>58</v>
      </c>
      <c r="G1671" s="35">
        <v>0.13400000000000001</v>
      </c>
      <c r="H1671" s="36">
        <v>1</v>
      </c>
      <c r="I1671" s="67">
        <v>0.13400000000000001</v>
      </c>
      <c r="J1671" s="38"/>
      <c r="K1671" s="35"/>
      <c r="L1671" s="38"/>
      <c r="M1671" s="35"/>
      <c r="N1671" s="39"/>
    </row>
    <row r="1672" spans="1:14" hidden="1" x14ac:dyDescent="0.25">
      <c r="A1672" s="40"/>
      <c r="B1672" s="41" t="s">
        <v>55</v>
      </c>
      <c r="C1672" s="354" t="s">
        <v>59</v>
      </c>
      <c r="D1672" s="354"/>
      <c r="E1672" s="354"/>
      <c r="F1672" s="42"/>
      <c r="G1672" s="43"/>
      <c r="H1672" s="43"/>
      <c r="I1672" s="43"/>
      <c r="J1672" s="44">
        <v>173.23</v>
      </c>
      <c r="K1672" s="43"/>
      <c r="L1672" s="44">
        <v>23.21</v>
      </c>
      <c r="M1672" s="45">
        <v>52.21</v>
      </c>
      <c r="N1672" s="46">
        <v>1211.79</v>
      </c>
    </row>
    <row r="1673" spans="1:14" hidden="1" x14ac:dyDescent="0.25">
      <c r="A1673" s="40"/>
      <c r="B1673" s="41" t="s">
        <v>70</v>
      </c>
      <c r="C1673" s="354" t="s">
        <v>74</v>
      </c>
      <c r="D1673" s="354"/>
      <c r="E1673" s="354"/>
      <c r="F1673" s="42"/>
      <c r="G1673" s="43"/>
      <c r="H1673" s="43"/>
      <c r="I1673" s="43"/>
      <c r="J1673" s="62">
        <v>5268.76</v>
      </c>
      <c r="K1673" s="43"/>
      <c r="L1673" s="44">
        <v>706.01</v>
      </c>
      <c r="M1673" s="45">
        <v>15.71</v>
      </c>
      <c r="N1673" s="46">
        <v>11091.42</v>
      </c>
    </row>
    <row r="1674" spans="1:14" hidden="1" x14ac:dyDescent="0.25">
      <c r="A1674" s="40"/>
      <c r="B1674" s="41" t="s">
        <v>75</v>
      </c>
      <c r="C1674" s="354" t="s">
        <v>76</v>
      </c>
      <c r="D1674" s="354"/>
      <c r="E1674" s="354"/>
      <c r="F1674" s="42"/>
      <c r="G1674" s="43"/>
      <c r="H1674" s="43"/>
      <c r="I1674" s="43"/>
      <c r="J1674" s="44">
        <v>267.67</v>
      </c>
      <c r="K1674" s="43"/>
      <c r="L1674" s="44">
        <v>35.869999999999997</v>
      </c>
      <c r="M1674" s="45">
        <v>52.21</v>
      </c>
      <c r="N1674" s="46">
        <v>1872.77</v>
      </c>
    </row>
    <row r="1675" spans="1:14" hidden="1" x14ac:dyDescent="0.25">
      <c r="A1675" s="40"/>
      <c r="B1675" s="41" t="s">
        <v>88</v>
      </c>
      <c r="C1675" s="354" t="s">
        <v>98</v>
      </c>
      <c r="D1675" s="354"/>
      <c r="E1675" s="354"/>
      <c r="F1675" s="42"/>
      <c r="G1675" s="43"/>
      <c r="H1675" s="43"/>
      <c r="I1675" s="43"/>
      <c r="J1675" s="44">
        <v>17.079999999999998</v>
      </c>
      <c r="K1675" s="43"/>
      <c r="L1675" s="44">
        <v>2.29</v>
      </c>
      <c r="M1675" s="63">
        <v>9.5</v>
      </c>
      <c r="N1675" s="69">
        <v>21.76</v>
      </c>
    </row>
    <row r="1676" spans="1:14" hidden="1" x14ac:dyDescent="0.25">
      <c r="A1676" s="47"/>
      <c r="B1676" s="41"/>
      <c r="C1676" s="354" t="s">
        <v>60</v>
      </c>
      <c r="D1676" s="354"/>
      <c r="E1676" s="354"/>
      <c r="F1676" s="42" t="s">
        <v>61</v>
      </c>
      <c r="G1676" s="63">
        <v>21.6</v>
      </c>
      <c r="H1676" s="43"/>
      <c r="I1676" s="64">
        <v>2.8944000000000001</v>
      </c>
      <c r="J1676" s="50"/>
      <c r="K1676" s="43"/>
      <c r="L1676" s="50"/>
      <c r="M1676" s="43"/>
      <c r="N1676" s="51"/>
    </row>
    <row r="1677" spans="1:14" hidden="1" x14ac:dyDescent="0.25">
      <c r="A1677" s="47"/>
      <c r="B1677" s="41"/>
      <c r="C1677" s="354" t="s">
        <v>77</v>
      </c>
      <c r="D1677" s="354"/>
      <c r="E1677" s="354"/>
      <c r="F1677" s="42" t="s">
        <v>61</v>
      </c>
      <c r="G1677" s="63">
        <v>20.6</v>
      </c>
      <c r="H1677" s="43"/>
      <c r="I1677" s="64">
        <v>2.7604000000000002</v>
      </c>
      <c r="J1677" s="50"/>
      <c r="K1677" s="43"/>
      <c r="L1677" s="50"/>
      <c r="M1677" s="43"/>
      <c r="N1677" s="51"/>
    </row>
    <row r="1678" spans="1:14" hidden="1" x14ac:dyDescent="0.25">
      <c r="A1678" s="52"/>
      <c r="B1678" s="41"/>
      <c r="C1678" s="355" t="s">
        <v>62</v>
      </c>
      <c r="D1678" s="355"/>
      <c r="E1678" s="355"/>
      <c r="F1678" s="53"/>
      <c r="G1678" s="54"/>
      <c r="H1678" s="54"/>
      <c r="I1678" s="54"/>
      <c r="J1678" s="65">
        <v>5459.07</v>
      </c>
      <c r="K1678" s="54"/>
      <c r="L1678" s="55">
        <v>731.51</v>
      </c>
      <c r="M1678" s="54"/>
      <c r="N1678" s="56">
        <v>12324.97</v>
      </c>
    </row>
    <row r="1679" spans="1:14" hidden="1" x14ac:dyDescent="0.25">
      <c r="A1679" s="47"/>
      <c r="B1679" s="41"/>
      <c r="C1679" s="354" t="s">
        <v>63</v>
      </c>
      <c r="D1679" s="354"/>
      <c r="E1679" s="354"/>
      <c r="F1679" s="42"/>
      <c r="G1679" s="43"/>
      <c r="H1679" s="43"/>
      <c r="I1679" s="43"/>
      <c r="J1679" s="50"/>
      <c r="K1679" s="43"/>
      <c r="L1679" s="44">
        <v>59.08</v>
      </c>
      <c r="M1679" s="43"/>
      <c r="N1679" s="46">
        <v>3084.56</v>
      </c>
    </row>
    <row r="1680" spans="1:14" ht="45" hidden="1" x14ac:dyDescent="0.25">
      <c r="A1680" s="47"/>
      <c r="B1680" s="41" t="s">
        <v>99</v>
      </c>
      <c r="C1680" s="354" t="s">
        <v>100</v>
      </c>
      <c r="D1680" s="354"/>
      <c r="E1680" s="354"/>
      <c r="F1680" s="42" t="s">
        <v>66</v>
      </c>
      <c r="G1680" s="48">
        <v>147</v>
      </c>
      <c r="H1680" s="43"/>
      <c r="I1680" s="48">
        <v>147</v>
      </c>
      <c r="J1680" s="50"/>
      <c r="K1680" s="43"/>
      <c r="L1680" s="44">
        <v>86.85</v>
      </c>
      <c r="M1680" s="43"/>
      <c r="N1680" s="46">
        <v>4534.3</v>
      </c>
    </row>
    <row r="1681" spans="1:14" ht="67.5" hidden="1" x14ac:dyDescent="0.25">
      <c r="A1681" s="47"/>
      <c r="B1681" s="41" t="s">
        <v>101</v>
      </c>
      <c r="C1681" s="354" t="s">
        <v>102</v>
      </c>
      <c r="D1681" s="354"/>
      <c r="E1681" s="354"/>
      <c r="F1681" s="42" t="s">
        <v>66</v>
      </c>
      <c r="G1681" s="48">
        <v>134</v>
      </c>
      <c r="H1681" s="45">
        <v>0.85</v>
      </c>
      <c r="I1681" s="63">
        <v>113.9</v>
      </c>
      <c r="J1681" s="50"/>
      <c r="K1681" s="43"/>
      <c r="L1681" s="44">
        <v>67.290000000000006</v>
      </c>
      <c r="M1681" s="43"/>
      <c r="N1681" s="46">
        <v>3513.31</v>
      </c>
    </row>
    <row r="1682" spans="1:14" hidden="1" x14ac:dyDescent="0.25">
      <c r="A1682" s="57"/>
      <c r="B1682" s="58"/>
      <c r="C1682" s="350" t="s">
        <v>69</v>
      </c>
      <c r="D1682" s="350"/>
      <c r="E1682" s="350"/>
      <c r="F1682" s="34"/>
      <c r="G1682" s="35"/>
      <c r="H1682" s="35"/>
      <c r="I1682" s="35"/>
      <c r="J1682" s="38"/>
      <c r="K1682" s="35"/>
      <c r="L1682" s="59">
        <v>885.65</v>
      </c>
      <c r="M1682" s="54"/>
      <c r="N1682" s="60">
        <v>20372.580000000002</v>
      </c>
    </row>
    <row r="1683" spans="1:14" ht="22.5" x14ac:dyDescent="0.25">
      <c r="A1683" s="32" t="s">
        <v>475</v>
      </c>
      <c r="B1683" s="33" t="s">
        <v>104</v>
      </c>
      <c r="C1683" s="350" t="s">
        <v>105</v>
      </c>
      <c r="D1683" s="350"/>
      <c r="E1683" s="350"/>
      <c r="F1683" s="34" t="s">
        <v>106</v>
      </c>
      <c r="G1683" s="35">
        <v>14.49</v>
      </c>
      <c r="H1683" s="36">
        <v>1</v>
      </c>
      <c r="I1683" s="61">
        <v>14.49</v>
      </c>
      <c r="J1683" s="59">
        <v>646.32000000000005</v>
      </c>
      <c r="K1683" s="67">
        <v>1.012</v>
      </c>
      <c r="L1683" s="66">
        <v>9477.56</v>
      </c>
      <c r="M1683" s="70">
        <v>9.5</v>
      </c>
      <c r="N1683" s="60">
        <v>90036.82</v>
      </c>
    </row>
    <row r="1684" spans="1:14" hidden="1" x14ac:dyDescent="0.25">
      <c r="A1684" s="52"/>
      <c r="B1684" s="71"/>
      <c r="C1684" s="354" t="s">
        <v>107</v>
      </c>
      <c r="D1684" s="354"/>
      <c r="E1684" s="354"/>
      <c r="F1684" s="354"/>
      <c r="G1684" s="354"/>
      <c r="H1684" s="354"/>
      <c r="I1684" s="354"/>
      <c r="J1684" s="354"/>
      <c r="K1684" s="354"/>
      <c r="L1684" s="354"/>
      <c r="M1684" s="354"/>
      <c r="N1684" s="356"/>
    </row>
    <row r="1685" spans="1:14" hidden="1" x14ac:dyDescent="0.25">
      <c r="A1685" s="72"/>
      <c r="B1685" s="41"/>
      <c r="C1685" s="344" t="s">
        <v>108</v>
      </c>
      <c r="D1685" s="344"/>
      <c r="E1685" s="344"/>
      <c r="F1685" s="344"/>
      <c r="G1685" s="344"/>
      <c r="H1685" s="344"/>
      <c r="I1685" s="344"/>
      <c r="J1685" s="344"/>
      <c r="K1685" s="344"/>
      <c r="L1685" s="344"/>
      <c r="M1685" s="344"/>
      <c r="N1685" s="357"/>
    </row>
    <row r="1686" spans="1:14" hidden="1" x14ac:dyDescent="0.25">
      <c r="A1686" s="57"/>
      <c r="B1686" s="58"/>
      <c r="C1686" s="350" t="s">
        <v>69</v>
      </c>
      <c r="D1686" s="350"/>
      <c r="E1686" s="350"/>
      <c r="F1686" s="34"/>
      <c r="G1686" s="35"/>
      <c r="H1686" s="35"/>
      <c r="I1686" s="35"/>
      <c r="J1686" s="38"/>
      <c r="K1686" s="35"/>
      <c r="L1686" s="66">
        <v>9477.56</v>
      </c>
      <c r="M1686" s="54"/>
      <c r="N1686" s="60">
        <v>90036.82</v>
      </c>
    </row>
    <row r="1687" spans="1:14" ht="33" customHeight="1" x14ac:dyDescent="0.25">
      <c r="A1687" s="32" t="s">
        <v>476</v>
      </c>
      <c r="B1687" s="33" t="s">
        <v>241</v>
      </c>
      <c r="C1687" s="350" t="s">
        <v>242</v>
      </c>
      <c r="D1687" s="350"/>
      <c r="E1687" s="350"/>
      <c r="F1687" s="34" t="s">
        <v>210</v>
      </c>
      <c r="G1687" s="35">
        <v>1</v>
      </c>
      <c r="H1687" s="36">
        <v>1</v>
      </c>
      <c r="I1687" s="36">
        <v>1</v>
      </c>
      <c r="J1687" s="38"/>
      <c r="K1687" s="35"/>
      <c r="L1687" s="38"/>
      <c r="M1687" s="35"/>
      <c r="N1687" s="39"/>
    </row>
    <row r="1688" spans="1:14" hidden="1" x14ac:dyDescent="0.25">
      <c r="A1688" s="40"/>
      <c r="B1688" s="41" t="s">
        <v>55</v>
      </c>
      <c r="C1688" s="354" t="s">
        <v>59</v>
      </c>
      <c r="D1688" s="354"/>
      <c r="E1688" s="354"/>
      <c r="F1688" s="42"/>
      <c r="G1688" s="43"/>
      <c r="H1688" s="43"/>
      <c r="I1688" s="43"/>
      <c r="J1688" s="44">
        <v>316.8</v>
      </c>
      <c r="K1688" s="43"/>
      <c r="L1688" s="44">
        <v>316.8</v>
      </c>
      <c r="M1688" s="45">
        <v>52.21</v>
      </c>
      <c r="N1688" s="46">
        <v>16540.13</v>
      </c>
    </row>
    <row r="1689" spans="1:14" hidden="1" x14ac:dyDescent="0.25">
      <c r="A1689" s="40"/>
      <c r="B1689" s="41" t="s">
        <v>70</v>
      </c>
      <c r="C1689" s="354" t="s">
        <v>74</v>
      </c>
      <c r="D1689" s="354"/>
      <c r="E1689" s="354"/>
      <c r="F1689" s="42"/>
      <c r="G1689" s="43"/>
      <c r="H1689" s="43"/>
      <c r="I1689" s="43"/>
      <c r="J1689" s="62">
        <v>8602.08</v>
      </c>
      <c r="K1689" s="43"/>
      <c r="L1689" s="62">
        <v>8602.08</v>
      </c>
      <c r="M1689" s="45">
        <v>15.71</v>
      </c>
      <c r="N1689" s="46">
        <v>135138.68</v>
      </c>
    </row>
    <row r="1690" spans="1:14" hidden="1" x14ac:dyDescent="0.25">
      <c r="A1690" s="40"/>
      <c r="B1690" s="41" t="s">
        <v>75</v>
      </c>
      <c r="C1690" s="354" t="s">
        <v>76</v>
      </c>
      <c r="D1690" s="354"/>
      <c r="E1690" s="354"/>
      <c r="F1690" s="42"/>
      <c r="G1690" s="43"/>
      <c r="H1690" s="43"/>
      <c r="I1690" s="43"/>
      <c r="J1690" s="44">
        <v>328.35</v>
      </c>
      <c r="K1690" s="43"/>
      <c r="L1690" s="44">
        <v>328.35</v>
      </c>
      <c r="M1690" s="45">
        <v>52.21</v>
      </c>
      <c r="N1690" s="46">
        <v>17143.150000000001</v>
      </c>
    </row>
    <row r="1691" spans="1:14" hidden="1" x14ac:dyDescent="0.25">
      <c r="A1691" s="47"/>
      <c r="B1691" s="41"/>
      <c r="C1691" s="354" t="s">
        <v>60</v>
      </c>
      <c r="D1691" s="354"/>
      <c r="E1691" s="354"/>
      <c r="F1691" s="42" t="s">
        <v>61</v>
      </c>
      <c r="G1691" s="45">
        <v>34.51</v>
      </c>
      <c r="H1691" s="43"/>
      <c r="I1691" s="45">
        <v>34.51</v>
      </c>
      <c r="J1691" s="50"/>
      <c r="K1691" s="43"/>
      <c r="L1691" s="50"/>
      <c r="M1691" s="43"/>
      <c r="N1691" s="51"/>
    </row>
    <row r="1692" spans="1:14" hidden="1" x14ac:dyDescent="0.25">
      <c r="A1692" s="47"/>
      <c r="B1692" s="41"/>
      <c r="C1692" s="354" t="s">
        <v>77</v>
      </c>
      <c r="D1692" s="354"/>
      <c r="E1692" s="354"/>
      <c r="F1692" s="42" t="s">
        <v>61</v>
      </c>
      <c r="G1692" s="45">
        <v>25.66</v>
      </c>
      <c r="H1692" s="43"/>
      <c r="I1692" s="45">
        <v>25.66</v>
      </c>
      <c r="J1692" s="50"/>
      <c r="K1692" s="43"/>
      <c r="L1692" s="50"/>
      <c r="M1692" s="43"/>
      <c r="N1692" s="51"/>
    </row>
    <row r="1693" spans="1:14" hidden="1" x14ac:dyDescent="0.25">
      <c r="A1693" s="52"/>
      <c r="B1693" s="41"/>
      <c r="C1693" s="355" t="s">
        <v>62</v>
      </c>
      <c r="D1693" s="355"/>
      <c r="E1693" s="355"/>
      <c r="F1693" s="53"/>
      <c r="G1693" s="54"/>
      <c r="H1693" s="54"/>
      <c r="I1693" s="54"/>
      <c r="J1693" s="65">
        <v>8918.8799999999992</v>
      </c>
      <c r="K1693" s="54"/>
      <c r="L1693" s="65">
        <v>8918.8799999999992</v>
      </c>
      <c r="M1693" s="54"/>
      <c r="N1693" s="56">
        <v>151678.81</v>
      </c>
    </row>
    <row r="1694" spans="1:14" hidden="1" x14ac:dyDescent="0.25">
      <c r="A1694" s="47"/>
      <c r="B1694" s="41"/>
      <c r="C1694" s="354" t="s">
        <v>63</v>
      </c>
      <c r="D1694" s="354"/>
      <c r="E1694" s="354"/>
      <c r="F1694" s="42"/>
      <c r="G1694" s="43"/>
      <c r="H1694" s="43"/>
      <c r="I1694" s="43"/>
      <c r="J1694" s="50"/>
      <c r="K1694" s="43"/>
      <c r="L1694" s="44">
        <v>645.15</v>
      </c>
      <c r="M1694" s="43"/>
      <c r="N1694" s="46">
        <v>33683.279999999999</v>
      </c>
    </row>
    <row r="1695" spans="1:14" ht="22.5" hidden="1" x14ac:dyDescent="0.25">
      <c r="A1695" s="47"/>
      <c r="B1695" s="41" t="s">
        <v>78</v>
      </c>
      <c r="C1695" s="354" t="s">
        <v>79</v>
      </c>
      <c r="D1695" s="354"/>
      <c r="E1695" s="354"/>
      <c r="F1695" s="42" t="s">
        <v>66</v>
      </c>
      <c r="G1695" s="48">
        <v>109</v>
      </c>
      <c r="H1695" s="43"/>
      <c r="I1695" s="48">
        <v>109</v>
      </c>
      <c r="J1695" s="50"/>
      <c r="K1695" s="43"/>
      <c r="L1695" s="44">
        <v>703.21</v>
      </c>
      <c r="M1695" s="43"/>
      <c r="N1695" s="46">
        <v>36714.78</v>
      </c>
    </row>
    <row r="1696" spans="1:14" ht="45" hidden="1" x14ac:dyDescent="0.25">
      <c r="A1696" s="47"/>
      <c r="B1696" s="41" t="s">
        <v>80</v>
      </c>
      <c r="C1696" s="354" t="s">
        <v>81</v>
      </c>
      <c r="D1696" s="354"/>
      <c r="E1696" s="354"/>
      <c r="F1696" s="42" t="s">
        <v>66</v>
      </c>
      <c r="G1696" s="48">
        <v>65</v>
      </c>
      <c r="H1696" s="45">
        <v>0.85</v>
      </c>
      <c r="I1696" s="45">
        <v>55.25</v>
      </c>
      <c r="J1696" s="50"/>
      <c r="K1696" s="43"/>
      <c r="L1696" s="44">
        <v>356.45</v>
      </c>
      <c r="M1696" s="43"/>
      <c r="N1696" s="46">
        <v>18610.009999999998</v>
      </c>
    </row>
    <row r="1697" spans="1:14" hidden="1" x14ac:dyDescent="0.25">
      <c r="A1697" s="57"/>
      <c r="B1697" s="58"/>
      <c r="C1697" s="350" t="s">
        <v>69</v>
      </c>
      <c r="D1697" s="350"/>
      <c r="E1697" s="350"/>
      <c r="F1697" s="34"/>
      <c r="G1697" s="35"/>
      <c r="H1697" s="35"/>
      <c r="I1697" s="35"/>
      <c r="J1697" s="38"/>
      <c r="K1697" s="35"/>
      <c r="L1697" s="66">
        <v>9978.5400000000009</v>
      </c>
      <c r="M1697" s="54"/>
      <c r="N1697" s="60">
        <v>207003.6</v>
      </c>
    </row>
    <row r="1698" spans="1:14" ht="22.5" x14ac:dyDescent="0.25">
      <c r="A1698" s="32" t="s">
        <v>477</v>
      </c>
      <c r="B1698" s="33" t="s">
        <v>244</v>
      </c>
      <c r="C1698" s="350" t="s">
        <v>245</v>
      </c>
      <c r="D1698" s="350"/>
      <c r="E1698" s="350"/>
      <c r="F1698" s="34" t="s">
        <v>246</v>
      </c>
      <c r="G1698" s="35">
        <v>1</v>
      </c>
      <c r="H1698" s="36">
        <v>1</v>
      </c>
      <c r="I1698" s="36">
        <v>1</v>
      </c>
      <c r="J1698" s="66">
        <v>168421.05</v>
      </c>
      <c r="K1698" s="74">
        <v>1.04236</v>
      </c>
      <c r="L1698" s="66">
        <v>175555.37</v>
      </c>
      <c r="M1698" s="70">
        <v>9.5</v>
      </c>
      <c r="N1698" s="60">
        <v>1667776.02</v>
      </c>
    </row>
    <row r="1699" spans="1:14" hidden="1" x14ac:dyDescent="0.25">
      <c r="A1699" s="52"/>
      <c r="B1699" s="71"/>
      <c r="C1699" s="354" t="s">
        <v>247</v>
      </c>
      <c r="D1699" s="354"/>
      <c r="E1699" s="354"/>
      <c r="F1699" s="354"/>
      <c r="G1699" s="354"/>
      <c r="H1699" s="354"/>
      <c r="I1699" s="354"/>
      <c r="J1699" s="354"/>
      <c r="K1699" s="354"/>
      <c r="L1699" s="354"/>
      <c r="M1699" s="354"/>
      <c r="N1699" s="356"/>
    </row>
    <row r="1700" spans="1:14" hidden="1" x14ac:dyDescent="0.25">
      <c r="A1700" s="72"/>
      <c r="B1700" s="41"/>
      <c r="C1700" s="344" t="s">
        <v>123</v>
      </c>
      <c r="D1700" s="344"/>
      <c r="E1700" s="344"/>
      <c r="F1700" s="344"/>
      <c r="G1700" s="344"/>
      <c r="H1700" s="344"/>
      <c r="I1700" s="344"/>
      <c r="J1700" s="344"/>
      <c r="K1700" s="344"/>
      <c r="L1700" s="344"/>
      <c r="M1700" s="344"/>
      <c r="N1700" s="357"/>
    </row>
    <row r="1701" spans="1:14" hidden="1" x14ac:dyDescent="0.25">
      <c r="A1701" s="72"/>
      <c r="B1701" s="41"/>
      <c r="C1701" s="344" t="s">
        <v>108</v>
      </c>
      <c r="D1701" s="344"/>
      <c r="E1701" s="344"/>
      <c r="F1701" s="344"/>
      <c r="G1701" s="344"/>
      <c r="H1701" s="344"/>
      <c r="I1701" s="344"/>
      <c r="J1701" s="344"/>
      <c r="K1701" s="344"/>
      <c r="L1701" s="344"/>
      <c r="M1701" s="344"/>
      <c r="N1701" s="357"/>
    </row>
    <row r="1702" spans="1:14" hidden="1" x14ac:dyDescent="0.25">
      <c r="A1702" s="57"/>
      <c r="B1702" s="58"/>
      <c r="C1702" s="350" t="s">
        <v>69</v>
      </c>
      <c r="D1702" s="350"/>
      <c r="E1702" s="350"/>
      <c r="F1702" s="34"/>
      <c r="G1702" s="35"/>
      <c r="H1702" s="35"/>
      <c r="I1702" s="35"/>
      <c r="J1702" s="38"/>
      <c r="K1702" s="35"/>
      <c r="L1702" s="66">
        <v>175555.37</v>
      </c>
      <c r="M1702" s="54"/>
      <c r="N1702" s="60">
        <v>1667776.02</v>
      </c>
    </row>
    <row r="1703" spans="1:14" ht="22.5" x14ac:dyDescent="0.25">
      <c r="A1703" s="32" t="s">
        <v>478</v>
      </c>
      <c r="B1703" s="33" t="s">
        <v>249</v>
      </c>
      <c r="C1703" s="350" t="s">
        <v>250</v>
      </c>
      <c r="D1703" s="350"/>
      <c r="E1703" s="350"/>
      <c r="F1703" s="34" t="s">
        <v>246</v>
      </c>
      <c r="G1703" s="35">
        <v>1</v>
      </c>
      <c r="H1703" s="36">
        <v>1</v>
      </c>
      <c r="I1703" s="36">
        <v>1</v>
      </c>
      <c r="J1703" s="66">
        <v>363157.89</v>
      </c>
      <c r="K1703" s="74">
        <v>1.04236</v>
      </c>
      <c r="L1703" s="66">
        <v>378541.26</v>
      </c>
      <c r="M1703" s="70">
        <v>9.5</v>
      </c>
      <c r="N1703" s="60">
        <v>3596141.97</v>
      </c>
    </row>
    <row r="1704" spans="1:14" hidden="1" x14ac:dyDescent="0.25">
      <c r="A1704" s="52"/>
      <c r="B1704" s="71"/>
      <c r="C1704" s="354" t="s">
        <v>251</v>
      </c>
      <c r="D1704" s="354"/>
      <c r="E1704" s="354"/>
      <c r="F1704" s="354"/>
      <c r="G1704" s="354"/>
      <c r="H1704" s="354"/>
      <c r="I1704" s="354"/>
      <c r="J1704" s="354"/>
      <c r="K1704" s="354"/>
      <c r="L1704" s="354"/>
      <c r="M1704" s="354"/>
      <c r="N1704" s="356"/>
    </row>
    <row r="1705" spans="1:14" hidden="1" x14ac:dyDescent="0.25">
      <c r="A1705" s="72"/>
      <c r="B1705" s="41"/>
      <c r="C1705" s="344" t="s">
        <v>123</v>
      </c>
      <c r="D1705" s="344"/>
      <c r="E1705" s="344"/>
      <c r="F1705" s="344"/>
      <c r="G1705" s="344"/>
      <c r="H1705" s="344"/>
      <c r="I1705" s="344"/>
      <c r="J1705" s="344"/>
      <c r="K1705" s="344"/>
      <c r="L1705" s="344"/>
      <c r="M1705" s="344"/>
      <c r="N1705" s="357"/>
    </row>
    <row r="1706" spans="1:14" hidden="1" x14ac:dyDescent="0.25">
      <c r="A1706" s="72"/>
      <c r="B1706" s="41"/>
      <c r="C1706" s="344" t="s">
        <v>108</v>
      </c>
      <c r="D1706" s="344"/>
      <c r="E1706" s="344"/>
      <c r="F1706" s="344"/>
      <c r="G1706" s="344"/>
      <c r="H1706" s="344"/>
      <c r="I1706" s="344"/>
      <c r="J1706" s="344"/>
      <c r="K1706" s="344"/>
      <c r="L1706" s="344"/>
      <c r="M1706" s="344"/>
      <c r="N1706" s="357"/>
    </row>
    <row r="1707" spans="1:14" hidden="1" x14ac:dyDescent="0.25">
      <c r="A1707" s="57"/>
      <c r="B1707" s="58"/>
      <c r="C1707" s="350" t="s">
        <v>69</v>
      </c>
      <c r="D1707" s="350"/>
      <c r="E1707" s="350"/>
      <c r="F1707" s="34"/>
      <c r="G1707" s="35"/>
      <c r="H1707" s="35"/>
      <c r="I1707" s="35"/>
      <c r="J1707" s="38"/>
      <c r="K1707" s="35"/>
      <c r="L1707" s="66">
        <v>378541.26</v>
      </c>
      <c r="M1707" s="54"/>
      <c r="N1707" s="60">
        <v>3596141.97</v>
      </c>
    </row>
    <row r="1708" spans="1:14" ht="33.75" customHeight="1" x14ac:dyDescent="0.25">
      <c r="A1708" s="32" t="s">
        <v>479</v>
      </c>
      <c r="B1708" s="33" t="s">
        <v>253</v>
      </c>
      <c r="C1708" s="350" t="s">
        <v>254</v>
      </c>
      <c r="D1708" s="350"/>
      <c r="E1708" s="350"/>
      <c r="F1708" s="34" t="s">
        <v>115</v>
      </c>
      <c r="G1708" s="35">
        <v>1</v>
      </c>
      <c r="H1708" s="36">
        <v>1</v>
      </c>
      <c r="I1708" s="36">
        <v>1</v>
      </c>
      <c r="J1708" s="38"/>
      <c r="K1708" s="35"/>
      <c r="L1708" s="38"/>
      <c r="M1708" s="35"/>
      <c r="N1708" s="39"/>
    </row>
    <row r="1709" spans="1:14" hidden="1" x14ac:dyDescent="0.25">
      <c r="A1709" s="40"/>
      <c r="B1709" s="41" t="s">
        <v>55</v>
      </c>
      <c r="C1709" s="354" t="s">
        <v>59</v>
      </c>
      <c r="D1709" s="354"/>
      <c r="E1709" s="354"/>
      <c r="F1709" s="42"/>
      <c r="G1709" s="43"/>
      <c r="H1709" s="43"/>
      <c r="I1709" s="43"/>
      <c r="J1709" s="44">
        <v>251.92</v>
      </c>
      <c r="K1709" s="43"/>
      <c r="L1709" s="44">
        <v>251.92</v>
      </c>
      <c r="M1709" s="45">
        <v>52.21</v>
      </c>
      <c r="N1709" s="46">
        <v>13152.74</v>
      </c>
    </row>
    <row r="1710" spans="1:14" hidden="1" x14ac:dyDescent="0.25">
      <c r="A1710" s="40"/>
      <c r="B1710" s="41" t="s">
        <v>70</v>
      </c>
      <c r="C1710" s="354" t="s">
        <v>74</v>
      </c>
      <c r="D1710" s="354"/>
      <c r="E1710" s="354"/>
      <c r="F1710" s="42"/>
      <c r="G1710" s="43"/>
      <c r="H1710" s="43"/>
      <c r="I1710" s="43"/>
      <c r="J1710" s="44">
        <v>120.78</v>
      </c>
      <c r="K1710" s="43"/>
      <c r="L1710" s="44">
        <v>120.78</v>
      </c>
      <c r="M1710" s="45">
        <v>15.71</v>
      </c>
      <c r="N1710" s="46">
        <v>1897.45</v>
      </c>
    </row>
    <row r="1711" spans="1:14" hidden="1" x14ac:dyDescent="0.25">
      <c r="A1711" s="40"/>
      <c r="B1711" s="41" t="s">
        <v>75</v>
      </c>
      <c r="C1711" s="354" t="s">
        <v>76</v>
      </c>
      <c r="D1711" s="354"/>
      <c r="E1711" s="354"/>
      <c r="F1711" s="42"/>
      <c r="G1711" s="43"/>
      <c r="H1711" s="43"/>
      <c r="I1711" s="43"/>
      <c r="J1711" s="44">
        <v>11.98</v>
      </c>
      <c r="K1711" s="43"/>
      <c r="L1711" s="44">
        <v>11.98</v>
      </c>
      <c r="M1711" s="45">
        <v>52.21</v>
      </c>
      <c r="N1711" s="69">
        <v>625.48</v>
      </c>
    </row>
    <row r="1712" spans="1:14" hidden="1" x14ac:dyDescent="0.25">
      <c r="A1712" s="40"/>
      <c r="B1712" s="41" t="s">
        <v>88</v>
      </c>
      <c r="C1712" s="354" t="s">
        <v>98</v>
      </c>
      <c r="D1712" s="354"/>
      <c r="E1712" s="354"/>
      <c r="F1712" s="42"/>
      <c r="G1712" s="43"/>
      <c r="H1712" s="43"/>
      <c r="I1712" s="43"/>
      <c r="J1712" s="44">
        <v>812.09</v>
      </c>
      <c r="K1712" s="43"/>
      <c r="L1712" s="44">
        <v>812.09</v>
      </c>
      <c r="M1712" s="63">
        <v>9.5</v>
      </c>
      <c r="N1712" s="46">
        <v>7714.86</v>
      </c>
    </row>
    <row r="1713" spans="1:14" hidden="1" x14ac:dyDescent="0.25">
      <c r="A1713" s="47"/>
      <c r="B1713" s="41"/>
      <c r="C1713" s="354" t="s">
        <v>60</v>
      </c>
      <c r="D1713" s="354"/>
      <c r="E1713" s="354"/>
      <c r="F1713" s="42" t="s">
        <v>61</v>
      </c>
      <c r="G1713" s="63">
        <v>26.8</v>
      </c>
      <c r="H1713" s="43"/>
      <c r="I1713" s="63">
        <v>26.8</v>
      </c>
      <c r="J1713" s="50"/>
      <c r="K1713" s="43"/>
      <c r="L1713" s="50"/>
      <c r="M1713" s="43"/>
      <c r="N1713" s="51"/>
    </row>
    <row r="1714" spans="1:14" hidden="1" x14ac:dyDescent="0.25">
      <c r="A1714" s="47"/>
      <c r="B1714" s="41"/>
      <c r="C1714" s="354" t="s">
        <v>77</v>
      </c>
      <c r="D1714" s="354"/>
      <c r="E1714" s="354"/>
      <c r="F1714" s="42" t="s">
        <v>61</v>
      </c>
      <c r="G1714" s="45">
        <v>0.92</v>
      </c>
      <c r="H1714" s="43"/>
      <c r="I1714" s="45">
        <v>0.92</v>
      </c>
      <c r="J1714" s="50"/>
      <c r="K1714" s="43"/>
      <c r="L1714" s="50"/>
      <c r="M1714" s="43"/>
      <c r="N1714" s="51"/>
    </row>
    <row r="1715" spans="1:14" hidden="1" x14ac:dyDescent="0.25">
      <c r="A1715" s="52"/>
      <c r="B1715" s="41"/>
      <c r="C1715" s="355" t="s">
        <v>62</v>
      </c>
      <c r="D1715" s="355"/>
      <c r="E1715" s="355"/>
      <c r="F1715" s="53"/>
      <c r="G1715" s="54"/>
      <c r="H1715" s="54"/>
      <c r="I1715" s="54"/>
      <c r="J1715" s="65">
        <v>1184.79</v>
      </c>
      <c r="K1715" s="54"/>
      <c r="L1715" s="65">
        <v>1184.79</v>
      </c>
      <c r="M1715" s="54"/>
      <c r="N1715" s="56">
        <v>22765.05</v>
      </c>
    </row>
    <row r="1716" spans="1:14" hidden="1" x14ac:dyDescent="0.25">
      <c r="A1716" s="47"/>
      <c r="B1716" s="41"/>
      <c r="C1716" s="354" t="s">
        <v>63</v>
      </c>
      <c r="D1716" s="354"/>
      <c r="E1716" s="354"/>
      <c r="F1716" s="42"/>
      <c r="G1716" s="43"/>
      <c r="H1716" s="43"/>
      <c r="I1716" s="43"/>
      <c r="J1716" s="50"/>
      <c r="K1716" s="43"/>
      <c r="L1716" s="44">
        <v>263.89999999999998</v>
      </c>
      <c r="M1716" s="43"/>
      <c r="N1716" s="46">
        <v>13778.22</v>
      </c>
    </row>
    <row r="1717" spans="1:14" hidden="1" x14ac:dyDescent="0.25">
      <c r="A1717" s="47"/>
      <c r="B1717" s="41" t="s">
        <v>255</v>
      </c>
      <c r="C1717" s="354" t="s">
        <v>256</v>
      </c>
      <c r="D1717" s="354"/>
      <c r="E1717" s="354"/>
      <c r="F1717" s="42" t="s">
        <v>66</v>
      </c>
      <c r="G1717" s="48">
        <v>92</v>
      </c>
      <c r="H1717" s="43"/>
      <c r="I1717" s="48">
        <v>92</v>
      </c>
      <c r="J1717" s="50"/>
      <c r="K1717" s="43"/>
      <c r="L1717" s="44">
        <v>242.79</v>
      </c>
      <c r="M1717" s="43"/>
      <c r="N1717" s="46">
        <v>12675.96</v>
      </c>
    </row>
    <row r="1718" spans="1:14" hidden="1" x14ac:dyDescent="0.25">
      <c r="A1718" s="47"/>
      <c r="B1718" s="41" t="s">
        <v>257</v>
      </c>
      <c r="C1718" s="354" t="s">
        <v>258</v>
      </c>
      <c r="D1718" s="354"/>
      <c r="E1718" s="354"/>
      <c r="F1718" s="42" t="s">
        <v>66</v>
      </c>
      <c r="G1718" s="48">
        <v>49</v>
      </c>
      <c r="H1718" s="43"/>
      <c r="I1718" s="48">
        <v>49</v>
      </c>
      <c r="J1718" s="50"/>
      <c r="K1718" s="43"/>
      <c r="L1718" s="44">
        <v>129.31</v>
      </c>
      <c r="M1718" s="43"/>
      <c r="N1718" s="46">
        <v>6751.33</v>
      </c>
    </row>
    <row r="1719" spans="1:14" hidden="1" x14ac:dyDescent="0.25">
      <c r="A1719" s="57"/>
      <c r="B1719" s="58"/>
      <c r="C1719" s="350" t="s">
        <v>69</v>
      </c>
      <c r="D1719" s="350"/>
      <c r="E1719" s="350"/>
      <c r="F1719" s="34"/>
      <c r="G1719" s="35"/>
      <c r="H1719" s="35"/>
      <c r="I1719" s="35"/>
      <c r="J1719" s="38"/>
      <c r="K1719" s="35"/>
      <c r="L1719" s="66">
        <v>1556.89</v>
      </c>
      <c r="M1719" s="54"/>
      <c r="N1719" s="60">
        <v>42192.34</v>
      </c>
    </row>
    <row r="1720" spans="1:14" x14ac:dyDescent="0.25">
      <c r="A1720" s="32" t="s">
        <v>480</v>
      </c>
      <c r="B1720" s="33" t="s">
        <v>260</v>
      </c>
      <c r="C1720" s="350" t="s">
        <v>261</v>
      </c>
      <c r="D1720" s="350"/>
      <c r="E1720" s="350"/>
      <c r="F1720" s="34" t="s">
        <v>115</v>
      </c>
      <c r="G1720" s="35">
        <v>-2</v>
      </c>
      <c r="H1720" s="36">
        <v>1</v>
      </c>
      <c r="I1720" s="36">
        <v>-2</v>
      </c>
      <c r="J1720" s="59">
        <v>266.67</v>
      </c>
      <c r="K1720" s="35"/>
      <c r="L1720" s="59">
        <v>-533.34</v>
      </c>
      <c r="M1720" s="70">
        <v>9.5</v>
      </c>
      <c r="N1720" s="60">
        <v>-5066.7299999999996</v>
      </c>
    </row>
    <row r="1721" spans="1:14" hidden="1" x14ac:dyDescent="0.25">
      <c r="A1721" s="57"/>
      <c r="B1721" s="58"/>
      <c r="C1721" s="350" t="s">
        <v>69</v>
      </c>
      <c r="D1721" s="350"/>
      <c r="E1721" s="350"/>
      <c r="F1721" s="34"/>
      <c r="G1721" s="35"/>
      <c r="H1721" s="35"/>
      <c r="I1721" s="35"/>
      <c r="J1721" s="38"/>
      <c r="K1721" s="35"/>
      <c r="L1721" s="59">
        <v>-533.34</v>
      </c>
      <c r="M1721" s="54"/>
      <c r="N1721" s="60">
        <v>-5066.7299999999996</v>
      </c>
    </row>
    <row r="1722" spans="1:14" ht="22.5" x14ac:dyDescent="0.25">
      <c r="A1722" s="32" t="s">
        <v>481</v>
      </c>
      <c r="B1722" s="33" t="s">
        <v>263</v>
      </c>
      <c r="C1722" s="350" t="s">
        <v>264</v>
      </c>
      <c r="D1722" s="350"/>
      <c r="E1722" s="350"/>
      <c r="F1722" s="34" t="s">
        <v>115</v>
      </c>
      <c r="G1722" s="35">
        <v>2</v>
      </c>
      <c r="H1722" s="36">
        <v>1</v>
      </c>
      <c r="I1722" s="36">
        <v>2</v>
      </c>
      <c r="J1722" s="66">
        <v>4429.58</v>
      </c>
      <c r="K1722" s="74">
        <v>1.04236</v>
      </c>
      <c r="L1722" s="66">
        <v>9234.43</v>
      </c>
      <c r="M1722" s="70">
        <v>9.5</v>
      </c>
      <c r="N1722" s="60">
        <v>87727.09</v>
      </c>
    </row>
    <row r="1723" spans="1:14" hidden="1" x14ac:dyDescent="0.25">
      <c r="A1723" s="52"/>
      <c r="B1723" s="71"/>
      <c r="C1723" s="354" t="s">
        <v>265</v>
      </c>
      <c r="D1723" s="354"/>
      <c r="E1723" s="354"/>
      <c r="F1723" s="354"/>
      <c r="G1723" s="354"/>
      <c r="H1723" s="354"/>
      <c r="I1723" s="354"/>
      <c r="J1723" s="354"/>
      <c r="K1723" s="354"/>
      <c r="L1723" s="354"/>
      <c r="M1723" s="354"/>
      <c r="N1723" s="356"/>
    </row>
    <row r="1724" spans="1:14" hidden="1" x14ac:dyDescent="0.25">
      <c r="A1724" s="72"/>
      <c r="B1724" s="41"/>
      <c r="C1724" s="344" t="s">
        <v>123</v>
      </c>
      <c r="D1724" s="344"/>
      <c r="E1724" s="344"/>
      <c r="F1724" s="344"/>
      <c r="G1724" s="344"/>
      <c r="H1724" s="344"/>
      <c r="I1724" s="344"/>
      <c r="J1724" s="344"/>
      <c r="K1724" s="344"/>
      <c r="L1724" s="344"/>
      <c r="M1724" s="344"/>
      <c r="N1724" s="357"/>
    </row>
    <row r="1725" spans="1:14" hidden="1" x14ac:dyDescent="0.25">
      <c r="A1725" s="72"/>
      <c r="B1725" s="41"/>
      <c r="C1725" s="344" t="s">
        <v>108</v>
      </c>
      <c r="D1725" s="344"/>
      <c r="E1725" s="344"/>
      <c r="F1725" s="344"/>
      <c r="G1725" s="344"/>
      <c r="H1725" s="344"/>
      <c r="I1725" s="344"/>
      <c r="J1725" s="344"/>
      <c r="K1725" s="344"/>
      <c r="L1725" s="344"/>
      <c r="M1725" s="344"/>
      <c r="N1725" s="357"/>
    </row>
    <row r="1726" spans="1:14" hidden="1" x14ac:dyDescent="0.25">
      <c r="A1726" s="57"/>
      <c r="B1726" s="58"/>
      <c r="C1726" s="350" t="s">
        <v>69</v>
      </c>
      <c r="D1726" s="350"/>
      <c r="E1726" s="350"/>
      <c r="F1726" s="34"/>
      <c r="G1726" s="35"/>
      <c r="H1726" s="35"/>
      <c r="I1726" s="35"/>
      <c r="J1726" s="38"/>
      <c r="K1726" s="35"/>
      <c r="L1726" s="66">
        <v>9234.43</v>
      </c>
      <c r="M1726" s="54"/>
      <c r="N1726" s="60">
        <v>87727.09</v>
      </c>
    </row>
    <row r="1727" spans="1:14" ht="22.5" x14ac:dyDescent="0.25">
      <c r="A1727" s="32" t="s">
        <v>482</v>
      </c>
      <c r="B1727" s="33" t="s">
        <v>267</v>
      </c>
      <c r="C1727" s="350" t="s">
        <v>268</v>
      </c>
      <c r="D1727" s="350"/>
      <c r="E1727" s="350"/>
      <c r="F1727" s="34" t="s">
        <v>115</v>
      </c>
      <c r="G1727" s="35">
        <v>1</v>
      </c>
      <c r="H1727" s="36">
        <v>1</v>
      </c>
      <c r="I1727" s="36">
        <v>1</v>
      </c>
      <c r="J1727" s="66">
        <v>15832.63</v>
      </c>
      <c r="K1727" s="74">
        <v>1.04236</v>
      </c>
      <c r="L1727" s="66">
        <v>16503.3</v>
      </c>
      <c r="M1727" s="70">
        <v>9.5</v>
      </c>
      <c r="N1727" s="60">
        <v>156781.35</v>
      </c>
    </row>
    <row r="1728" spans="1:14" hidden="1" x14ac:dyDescent="0.25">
      <c r="A1728" s="52"/>
      <c r="B1728" s="71"/>
      <c r="C1728" s="354" t="s">
        <v>269</v>
      </c>
      <c r="D1728" s="354"/>
      <c r="E1728" s="354"/>
      <c r="F1728" s="354"/>
      <c r="G1728" s="354"/>
      <c r="H1728" s="354"/>
      <c r="I1728" s="354"/>
      <c r="J1728" s="354"/>
      <c r="K1728" s="354"/>
      <c r="L1728" s="354"/>
      <c r="M1728" s="354"/>
      <c r="N1728" s="356"/>
    </row>
    <row r="1729" spans="1:14" hidden="1" x14ac:dyDescent="0.25">
      <c r="A1729" s="72"/>
      <c r="B1729" s="41"/>
      <c r="C1729" s="344" t="s">
        <v>123</v>
      </c>
      <c r="D1729" s="344"/>
      <c r="E1729" s="344"/>
      <c r="F1729" s="344"/>
      <c r="G1729" s="344"/>
      <c r="H1729" s="344"/>
      <c r="I1729" s="344"/>
      <c r="J1729" s="344"/>
      <c r="K1729" s="344"/>
      <c r="L1729" s="344"/>
      <c r="M1729" s="344"/>
      <c r="N1729" s="357"/>
    </row>
    <row r="1730" spans="1:14" hidden="1" x14ac:dyDescent="0.25">
      <c r="A1730" s="72"/>
      <c r="B1730" s="41"/>
      <c r="C1730" s="344" t="s">
        <v>108</v>
      </c>
      <c r="D1730" s="344"/>
      <c r="E1730" s="344"/>
      <c r="F1730" s="344"/>
      <c r="G1730" s="344"/>
      <c r="H1730" s="344"/>
      <c r="I1730" s="344"/>
      <c r="J1730" s="344"/>
      <c r="K1730" s="344"/>
      <c r="L1730" s="344"/>
      <c r="M1730" s="344"/>
      <c r="N1730" s="357"/>
    </row>
    <row r="1731" spans="1:14" hidden="1" x14ac:dyDescent="0.25">
      <c r="A1731" s="57"/>
      <c r="B1731" s="58"/>
      <c r="C1731" s="350" t="s">
        <v>69</v>
      </c>
      <c r="D1731" s="350"/>
      <c r="E1731" s="350"/>
      <c r="F1731" s="34"/>
      <c r="G1731" s="35"/>
      <c r="H1731" s="35"/>
      <c r="I1731" s="35"/>
      <c r="J1731" s="38"/>
      <c r="K1731" s="35"/>
      <c r="L1731" s="66">
        <v>16503.3</v>
      </c>
      <c r="M1731" s="54"/>
      <c r="N1731" s="60">
        <v>156781.35</v>
      </c>
    </row>
    <row r="1732" spans="1:14" ht="22.5" x14ac:dyDescent="0.25">
      <c r="A1732" s="32" t="s">
        <v>483</v>
      </c>
      <c r="B1732" s="33" t="s">
        <v>120</v>
      </c>
      <c r="C1732" s="350" t="s">
        <v>271</v>
      </c>
      <c r="D1732" s="350"/>
      <c r="E1732" s="350"/>
      <c r="F1732" s="34" t="s">
        <v>115</v>
      </c>
      <c r="G1732" s="35">
        <v>1</v>
      </c>
      <c r="H1732" s="36">
        <v>1</v>
      </c>
      <c r="I1732" s="36">
        <v>1</v>
      </c>
      <c r="J1732" s="59">
        <v>421.93</v>
      </c>
      <c r="K1732" s="74">
        <v>1.04236</v>
      </c>
      <c r="L1732" s="59">
        <v>439.8</v>
      </c>
      <c r="M1732" s="70">
        <v>9.5</v>
      </c>
      <c r="N1732" s="60">
        <v>4178.1000000000004</v>
      </c>
    </row>
    <row r="1733" spans="1:14" hidden="1" x14ac:dyDescent="0.25">
      <c r="A1733" s="52"/>
      <c r="B1733" s="71"/>
      <c r="C1733" s="354" t="s">
        <v>272</v>
      </c>
      <c r="D1733" s="354"/>
      <c r="E1733" s="354"/>
      <c r="F1733" s="354"/>
      <c r="G1733" s="354"/>
      <c r="H1733" s="354"/>
      <c r="I1733" s="354"/>
      <c r="J1733" s="354"/>
      <c r="K1733" s="354"/>
      <c r="L1733" s="354"/>
      <c r="M1733" s="354"/>
      <c r="N1733" s="356"/>
    </row>
    <row r="1734" spans="1:14" hidden="1" x14ac:dyDescent="0.25">
      <c r="A1734" s="72"/>
      <c r="B1734" s="41"/>
      <c r="C1734" s="344" t="s">
        <v>123</v>
      </c>
      <c r="D1734" s="344"/>
      <c r="E1734" s="344"/>
      <c r="F1734" s="344"/>
      <c r="G1734" s="344"/>
      <c r="H1734" s="344"/>
      <c r="I1734" s="344"/>
      <c r="J1734" s="344"/>
      <c r="K1734" s="344"/>
      <c r="L1734" s="344"/>
      <c r="M1734" s="344"/>
      <c r="N1734" s="357"/>
    </row>
    <row r="1735" spans="1:14" hidden="1" x14ac:dyDescent="0.25">
      <c r="A1735" s="72"/>
      <c r="B1735" s="41"/>
      <c r="C1735" s="344" t="s">
        <v>108</v>
      </c>
      <c r="D1735" s="344"/>
      <c r="E1735" s="344"/>
      <c r="F1735" s="344"/>
      <c r="G1735" s="344"/>
      <c r="H1735" s="344"/>
      <c r="I1735" s="344"/>
      <c r="J1735" s="344"/>
      <c r="K1735" s="344"/>
      <c r="L1735" s="344"/>
      <c r="M1735" s="344"/>
      <c r="N1735" s="357"/>
    </row>
    <row r="1736" spans="1:14" hidden="1" x14ac:dyDescent="0.25">
      <c r="A1736" s="57"/>
      <c r="B1736" s="58"/>
      <c r="C1736" s="350" t="s">
        <v>69</v>
      </c>
      <c r="D1736" s="350"/>
      <c r="E1736" s="350"/>
      <c r="F1736" s="34"/>
      <c r="G1736" s="35"/>
      <c r="H1736" s="35"/>
      <c r="I1736" s="35"/>
      <c r="J1736" s="38"/>
      <c r="K1736" s="35"/>
      <c r="L1736" s="59">
        <v>439.8</v>
      </c>
      <c r="M1736" s="54"/>
      <c r="N1736" s="60">
        <v>4178.1000000000004</v>
      </c>
    </row>
    <row r="1737" spans="1:14" ht="32.25" customHeight="1" x14ac:dyDescent="0.25">
      <c r="A1737" s="32" t="s">
        <v>484</v>
      </c>
      <c r="B1737" s="33" t="s">
        <v>274</v>
      </c>
      <c r="C1737" s="350" t="s">
        <v>275</v>
      </c>
      <c r="D1737" s="350"/>
      <c r="E1737" s="350"/>
      <c r="F1737" s="34" t="s">
        <v>276</v>
      </c>
      <c r="G1737" s="35">
        <v>0.06</v>
      </c>
      <c r="H1737" s="36">
        <v>1</v>
      </c>
      <c r="I1737" s="61">
        <v>0.06</v>
      </c>
      <c r="J1737" s="38"/>
      <c r="K1737" s="35"/>
      <c r="L1737" s="38"/>
      <c r="M1737" s="35"/>
      <c r="N1737" s="39"/>
    </row>
    <row r="1738" spans="1:14" hidden="1" x14ac:dyDescent="0.25">
      <c r="A1738" s="40"/>
      <c r="B1738" s="41" t="s">
        <v>55</v>
      </c>
      <c r="C1738" s="354" t="s">
        <v>59</v>
      </c>
      <c r="D1738" s="354"/>
      <c r="E1738" s="354"/>
      <c r="F1738" s="42"/>
      <c r="G1738" s="43"/>
      <c r="H1738" s="43"/>
      <c r="I1738" s="43"/>
      <c r="J1738" s="62">
        <v>1187.5</v>
      </c>
      <c r="K1738" s="43"/>
      <c r="L1738" s="44">
        <v>71.25</v>
      </c>
      <c r="M1738" s="45">
        <v>52.21</v>
      </c>
      <c r="N1738" s="46">
        <v>3719.96</v>
      </c>
    </row>
    <row r="1739" spans="1:14" hidden="1" x14ac:dyDescent="0.25">
      <c r="A1739" s="40"/>
      <c r="B1739" s="41" t="s">
        <v>70</v>
      </c>
      <c r="C1739" s="354" t="s">
        <v>74</v>
      </c>
      <c r="D1739" s="354"/>
      <c r="E1739" s="354"/>
      <c r="F1739" s="42"/>
      <c r="G1739" s="43"/>
      <c r="H1739" s="43"/>
      <c r="I1739" s="43"/>
      <c r="J1739" s="44">
        <v>946.33</v>
      </c>
      <c r="K1739" s="43"/>
      <c r="L1739" s="44">
        <v>56.78</v>
      </c>
      <c r="M1739" s="45">
        <v>15.71</v>
      </c>
      <c r="N1739" s="69">
        <v>892.01</v>
      </c>
    </row>
    <row r="1740" spans="1:14" hidden="1" x14ac:dyDescent="0.25">
      <c r="A1740" s="40"/>
      <c r="B1740" s="41" t="s">
        <v>75</v>
      </c>
      <c r="C1740" s="354" t="s">
        <v>76</v>
      </c>
      <c r="D1740" s="354"/>
      <c r="E1740" s="354"/>
      <c r="F1740" s="42"/>
      <c r="G1740" s="43"/>
      <c r="H1740" s="43"/>
      <c r="I1740" s="43"/>
      <c r="J1740" s="44">
        <v>90.65</v>
      </c>
      <c r="K1740" s="43"/>
      <c r="L1740" s="44">
        <v>5.44</v>
      </c>
      <c r="M1740" s="45">
        <v>52.21</v>
      </c>
      <c r="N1740" s="69">
        <v>284.02</v>
      </c>
    </row>
    <row r="1741" spans="1:14" hidden="1" x14ac:dyDescent="0.25">
      <c r="A1741" s="40"/>
      <c r="B1741" s="41" t="s">
        <v>88</v>
      </c>
      <c r="C1741" s="354" t="s">
        <v>98</v>
      </c>
      <c r="D1741" s="354"/>
      <c r="E1741" s="354"/>
      <c r="F1741" s="42"/>
      <c r="G1741" s="43"/>
      <c r="H1741" s="43"/>
      <c r="I1741" s="43"/>
      <c r="J1741" s="62">
        <v>8532.7999999999993</v>
      </c>
      <c r="K1741" s="43"/>
      <c r="L1741" s="44">
        <v>511.97</v>
      </c>
      <c r="M1741" s="63">
        <v>9.5</v>
      </c>
      <c r="N1741" s="46">
        <v>4863.72</v>
      </c>
    </row>
    <row r="1742" spans="1:14" hidden="1" x14ac:dyDescent="0.25">
      <c r="A1742" s="47"/>
      <c r="B1742" s="41"/>
      <c r="C1742" s="354" t="s">
        <v>60</v>
      </c>
      <c r="D1742" s="354"/>
      <c r="E1742" s="354"/>
      <c r="F1742" s="42" t="s">
        <v>61</v>
      </c>
      <c r="G1742" s="48">
        <v>137</v>
      </c>
      <c r="H1742" s="43"/>
      <c r="I1742" s="45">
        <v>8.2200000000000006</v>
      </c>
      <c r="J1742" s="50"/>
      <c r="K1742" s="43"/>
      <c r="L1742" s="50"/>
      <c r="M1742" s="43"/>
      <c r="N1742" s="51"/>
    </row>
    <row r="1743" spans="1:14" hidden="1" x14ac:dyDescent="0.25">
      <c r="A1743" s="47"/>
      <c r="B1743" s="41"/>
      <c r="C1743" s="354" t="s">
        <v>77</v>
      </c>
      <c r="D1743" s="354"/>
      <c r="E1743" s="354"/>
      <c r="F1743" s="42" t="s">
        <v>61</v>
      </c>
      <c r="G1743" s="45">
        <v>8.01</v>
      </c>
      <c r="H1743" s="43"/>
      <c r="I1743" s="64">
        <v>0.48060000000000003</v>
      </c>
      <c r="J1743" s="50"/>
      <c r="K1743" s="43"/>
      <c r="L1743" s="50"/>
      <c r="M1743" s="43"/>
      <c r="N1743" s="51"/>
    </row>
    <row r="1744" spans="1:14" hidden="1" x14ac:dyDescent="0.25">
      <c r="A1744" s="52"/>
      <c r="B1744" s="41"/>
      <c r="C1744" s="355" t="s">
        <v>62</v>
      </c>
      <c r="D1744" s="355"/>
      <c r="E1744" s="355"/>
      <c r="F1744" s="53"/>
      <c r="G1744" s="54"/>
      <c r="H1744" s="54"/>
      <c r="I1744" s="54"/>
      <c r="J1744" s="65">
        <v>10666.63</v>
      </c>
      <c r="K1744" s="54"/>
      <c r="L1744" s="55">
        <v>640</v>
      </c>
      <c r="M1744" s="54"/>
      <c r="N1744" s="56">
        <v>9475.69</v>
      </c>
    </row>
    <row r="1745" spans="1:14" hidden="1" x14ac:dyDescent="0.25">
      <c r="A1745" s="47"/>
      <c r="B1745" s="41"/>
      <c r="C1745" s="354" t="s">
        <v>63</v>
      </c>
      <c r="D1745" s="354"/>
      <c r="E1745" s="354"/>
      <c r="F1745" s="42"/>
      <c r="G1745" s="43"/>
      <c r="H1745" s="43"/>
      <c r="I1745" s="43"/>
      <c r="J1745" s="50"/>
      <c r="K1745" s="43"/>
      <c r="L1745" s="44">
        <v>76.69</v>
      </c>
      <c r="M1745" s="43"/>
      <c r="N1745" s="46">
        <v>4003.98</v>
      </c>
    </row>
    <row r="1746" spans="1:14" hidden="1" x14ac:dyDescent="0.25">
      <c r="A1746" s="47"/>
      <c r="B1746" s="41" t="s">
        <v>277</v>
      </c>
      <c r="C1746" s="354" t="s">
        <v>278</v>
      </c>
      <c r="D1746" s="354"/>
      <c r="E1746" s="354"/>
      <c r="F1746" s="42" t="s">
        <v>66</v>
      </c>
      <c r="G1746" s="48">
        <v>106</v>
      </c>
      <c r="H1746" s="43"/>
      <c r="I1746" s="48">
        <v>106</v>
      </c>
      <c r="J1746" s="50"/>
      <c r="K1746" s="43"/>
      <c r="L1746" s="44">
        <v>81.290000000000006</v>
      </c>
      <c r="M1746" s="43"/>
      <c r="N1746" s="46">
        <v>4244.22</v>
      </c>
    </row>
    <row r="1747" spans="1:14" ht="33.75" hidden="1" x14ac:dyDescent="0.25">
      <c r="A1747" s="47"/>
      <c r="B1747" s="41" t="s">
        <v>279</v>
      </c>
      <c r="C1747" s="354" t="s">
        <v>280</v>
      </c>
      <c r="D1747" s="354"/>
      <c r="E1747" s="354"/>
      <c r="F1747" s="42" t="s">
        <v>66</v>
      </c>
      <c r="G1747" s="48">
        <v>56</v>
      </c>
      <c r="H1747" s="45">
        <v>0.85</v>
      </c>
      <c r="I1747" s="63">
        <v>47.6</v>
      </c>
      <c r="J1747" s="50"/>
      <c r="K1747" s="43"/>
      <c r="L1747" s="44">
        <v>36.5</v>
      </c>
      <c r="M1747" s="43"/>
      <c r="N1747" s="46">
        <v>1905.89</v>
      </c>
    </row>
    <row r="1748" spans="1:14" hidden="1" x14ac:dyDescent="0.25">
      <c r="A1748" s="57"/>
      <c r="B1748" s="58"/>
      <c r="C1748" s="350" t="s">
        <v>69</v>
      </c>
      <c r="D1748" s="350"/>
      <c r="E1748" s="350"/>
      <c r="F1748" s="34"/>
      <c r="G1748" s="35"/>
      <c r="H1748" s="35"/>
      <c r="I1748" s="35"/>
      <c r="J1748" s="38"/>
      <c r="K1748" s="35"/>
      <c r="L1748" s="59">
        <v>757.79</v>
      </c>
      <c r="M1748" s="54"/>
      <c r="N1748" s="60">
        <v>15625.8</v>
      </c>
    </row>
    <row r="1749" spans="1:14" x14ac:dyDescent="0.25">
      <c r="A1749" s="32" t="s">
        <v>485</v>
      </c>
      <c r="B1749" s="33" t="s">
        <v>282</v>
      </c>
      <c r="C1749" s="350" t="s">
        <v>283</v>
      </c>
      <c r="D1749" s="350"/>
      <c r="E1749" s="350"/>
      <c r="F1749" s="34" t="s">
        <v>127</v>
      </c>
      <c r="G1749" s="35">
        <v>-2.9000000000000001E-2</v>
      </c>
      <c r="H1749" s="36">
        <v>1</v>
      </c>
      <c r="I1749" s="67">
        <v>-2.9000000000000001E-2</v>
      </c>
      <c r="J1749" s="66">
        <v>9727</v>
      </c>
      <c r="K1749" s="35"/>
      <c r="L1749" s="59">
        <v>-282.08</v>
      </c>
      <c r="M1749" s="70">
        <v>9.5</v>
      </c>
      <c r="N1749" s="60">
        <v>-2679.76</v>
      </c>
    </row>
    <row r="1750" spans="1:14" hidden="1" x14ac:dyDescent="0.25">
      <c r="A1750" s="57"/>
      <c r="B1750" s="58"/>
      <c r="C1750" s="350" t="s">
        <v>69</v>
      </c>
      <c r="D1750" s="350"/>
      <c r="E1750" s="350"/>
      <c r="F1750" s="34"/>
      <c r="G1750" s="35"/>
      <c r="H1750" s="35"/>
      <c r="I1750" s="35"/>
      <c r="J1750" s="38"/>
      <c r="K1750" s="35"/>
      <c r="L1750" s="59">
        <v>-282.08</v>
      </c>
      <c r="M1750" s="54"/>
      <c r="N1750" s="60">
        <v>-2679.76</v>
      </c>
    </row>
    <row r="1751" spans="1:14" ht="22.5" x14ac:dyDescent="0.25">
      <c r="A1751" s="32" t="s">
        <v>486</v>
      </c>
      <c r="B1751" s="33" t="s">
        <v>120</v>
      </c>
      <c r="C1751" s="350" t="s">
        <v>285</v>
      </c>
      <c r="D1751" s="350"/>
      <c r="E1751" s="350"/>
      <c r="F1751" s="34" t="s">
        <v>130</v>
      </c>
      <c r="G1751" s="35">
        <v>0.36</v>
      </c>
      <c r="H1751" s="36">
        <v>1</v>
      </c>
      <c r="I1751" s="61">
        <v>0.36</v>
      </c>
      <c r="J1751" s="66">
        <v>37646.32</v>
      </c>
      <c r="K1751" s="74">
        <v>1.04236</v>
      </c>
      <c r="L1751" s="66">
        <v>14126.77</v>
      </c>
      <c r="M1751" s="70">
        <v>9.5</v>
      </c>
      <c r="N1751" s="60">
        <v>134204.32</v>
      </c>
    </row>
    <row r="1752" spans="1:14" hidden="1" x14ac:dyDescent="0.25">
      <c r="A1752" s="52"/>
      <c r="B1752" s="71"/>
      <c r="C1752" s="354" t="s">
        <v>137</v>
      </c>
      <c r="D1752" s="354"/>
      <c r="E1752" s="354"/>
      <c r="F1752" s="354"/>
      <c r="G1752" s="354"/>
      <c r="H1752" s="354"/>
      <c r="I1752" s="354"/>
      <c r="J1752" s="354"/>
      <c r="K1752" s="354"/>
      <c r="L1752" s="354"/>
      <c r="M1752" s="354"/>
      <c r="N1752" s="356"/>
    </row>
    <row r="1753" spans="1:14" hidden="1" x14ac:dyDescent="0.25">
      <c r="A1753" s="72"/>
      <c r="B1753" s="41"/>
      <c r="C1753" s="344" t="s">
        <v>123</v>
      </c>
      <c r="D1753" s="344"/>
      <c r="E1753" s="344"/>
      <c r="F1753" s="344"/>
      <c r="G1753" s="344"/>
      <c r="H1753" s="344"/>
      <c r="I1753" s="344"/>
      <c r="J1753" s="344"/>
      <c r="K1753" s="344"/>
      <c r="L1753" s="344"/>
      <c r="M1753" s="344"/>
      <c r="N1753" s="357"/>
    </row>
    <row r="1754" spans="1:14" hidden="1" x14ac:dyDescent="0.25">
      <c r="A1754" s="72"/>
      <c r="B1754" s="41"/>
      <c r="C1754" s="344" t="s">
        <v>108</v>
      </c>
      <c r="D1754" s="344"/>
      <c r="E1754" s="344"/>
      <c r="F1754" s="344"/>
      <c r="G1754" s="344"/>
      <c r="H1754" s="344"/>
      <c r="I1754" s="344"/>
      <c r="J1754" s="344"/>
      <c r="K1754" s="344"/>
      <c r="L1754" s="344"/>
      <c r="M1754" s="344"/>
      <c r="N1754" s="357"/>
    </row>
    <row r="1755" spans="1:14" hidden="1" x14ac:dyDescent="0.25">
      <c r="A1755" s="57"/>
      <c r="B1755" s="58"/>
      <c r="C1755" s="350" t="s">
        <v>69</v>
      </c>
      <c r="D1755" s="350"/>
      <c r="E1755" s="350"/>
      <c r="F1755" s="34"/>
      <c r="G1755" s="35"/>
      <c r="H1755" s="35"/>
      <c r="I1755" s="35"/>
      <c r="J1755" s="38"/>
      <c r="K1755" s="35"/>
      <c r="L1755" s="66">
        <v>14126.77</v>
      </c>
      <c r="M1755" s="54"/>
      <c r="N1755" s="60">
        <v>134204.32</v>
      </c>
    </row>
    <row r="1756" spans="1:14" ht="22.5" x14ac:dyDescent="0.25">
      <c r="A1756" s="32" t="s">
        <v>487</v>
      </c>
      <c r="B1756" s="33" t="s">
        <v>120</v>
      </c>
      <c r="C1756" s="350" t="s">
        <v>129</v>
      </c>
      <c r="D1756" s="350"/>
      <c r="E1756" s="350"/>
      <c r="F1756" s="34" t="s">
        <v>130</v>
      </c>
      <c r="G1756" s="35">
        <v>2.9000000000000001E-2</v>
      </c>
      <c r="H1756" s="36">
        <v>1</v>
      </c>
      <c r="I1756" s="67">
        <v>2.9000000000000001E-2</v>
      </c>
      <c r="J1756" s="66">
        <v>27894.74</v>
      </c>
      <c r="K1756" s="74">
        <v>1.04236</v>
      </c>
      <c r="L1756" s="59">
        <v>843.21</v>
      </c>
      <c r="M1756" s="70">
        <v>9.5</v>
      </c>
      <c r="N1756" s="60">
        <v>8010.5</v>
      </c>
    </row>
    <row r="1757" spans="1:14" hidden="1" x14ac:dyDescent="0.25">
      <c r="A1757" s="52"/>
      <c r="B1757" s="71"/>
      <c r="C1757" s="354" t="s">
        <v>131</v>
      </c>
      <c r="D1757" s="354"/>
      <c r="E1757" s="354"/>
      <c r="F1757" s="354"/>
      <c r="G1757" s="354"/>
      <c r="H1757" s="354"/>
      <c r="I1757" s="354"/>
      <c r="J1757" s="354"/>
      <c r="K1757" s="354"/>
      <c r="L1757" s="354"/>
      <c r="M1757" s="354"/>
      <c r="N1757" s="356"/>
    </row>
    <row r="1758" spans="1:14" hidden="1" x14ac:dyDescent="0.25">
      <c r="A1758" s="72"/>
      <c r="B1758" s="41"/>
      <c r="C1758" s="344" t="s">
        <v>123</v>
      </c>
      <c r="D1758" s="344"/>
      <c r="E1758" s="344"/>
      <c r="F1758" s="344"/>
      <c r="G1758" s="344"/>
      <c r="H1758" s="344"/>
      <c r="I1758" s="344"/>
      <c r="J1758" s="344"/>
      <c r="K1758" s="344"/>
      <c r="L1758" s="344"/>
      <c r="M1758" s="344"/>
      <c r="N1758" s="357"/>
    </row>
    <row r="1759" spans="1:14" hidden="1" x14ac:dyDescent="0.25">
      <c r="A1759" s="72"/>
      <c r="B1759" s="41"/>
      <c r="C1759" s="344" t="s">
        <v>108</v>
      </c>
      <c r="D1759" s="344"/>
      <c r="E1759" s="344"/>
      <c r="F1759" s="344"/>
      <c r="G1759" s="344"/>
      <c r="H1759" s="344"/>
      <c r="I1759" s="344"/>
      <c r="J1759" s="344"/>
      <c r="K1759" s="344"/>
      <c r="L1759" s="344"/>
      <c r="M1759" s="344"/>
      <c r="N1759" s="357"/>
    </row>
    <row r="1760" spans="1:14" hidden="1" x14ac:dyDescent="0.25">
      <c r="A1760" s="57"/>
      <c r="B1760" s="58"/>
      <c r="C1760" s="350" t="s">
        <v>69</v>
      </c>
      <c r="D1760" s="350"/>
      <c r="E1760" s="350"/>
      <c r="F1760" s="34"/>
      <c r="G1760" s="35"/>
      <c r="H1760" s="35"/>
      <c r="I1760" s="35"/>
      <c r="J1760" s="38"/>
      <c r="K1760" s="35"/>
      <c r="L1760" s="59">
        <v>843.21</v>
      </c>
      <c r="M1760" s="54"/>
      <c r="N1760" s="60">
        <v>8010.5</v>
      </c>
    </row>
    <row r="1761" spans="1:14" ht="36" customHeight="1" x14ac:dyDescent="0.25">
      <c r="A1761" s="32" t="s">
        <v>488</v>
      </c>
      <c r="B1761" s="33" t="s">
        <v>288</v>
      </c>
      <c r="C1761" s="350" t="s">
        <v>289</v>
      </c>
      <c r="D1761" s="350"/>
      <c r="E1761" s="350"/>
      <c r="F1761" s="34" t="s">
        <v>160</v>
      </c>
      <c r="G1761" s="35">
        <v>1.3299999999999999E-2</v>
      </c>
      <c r="H1761" s="36">
        <v>1</v>
      </c>
      <c r="I1761" s="37">
        <v>1.3299999999999999E-2</v>
      </c>
      <c r="J1761" s="38"/>
      <c r="K1761" s="35"/>
      <c r="L1761" s="38"/>
      <c r="M1761" s="35"/>
      <c r="N1761" s="39"/>
    </row>
    <row r="1762" spans="1:14" hidden="1" x14ac:dyDescent="0.25">
      <c r="A1762" s="40"/>
      <c r="B1762" s="41" t="s">
        <v>55</v>
      </c>
      <c r="C1762" s="354" t="s">
        <v>59</v>
      </c>
      <c r="D1762" s="354"/>
      <c r="E1762" s="354"/>
      <c r="F1762" s="42"/>
      <c r="G1762" s="43"/>
      <c r="H1762" s="43"/>
      <c r="I1762" s="43"/>
      <c r="J1762" s="62">
        <v>1107.95</v>
      </c>
      <c r="K1762" s="43"/>
      <c r="L1762" s="44">
        <v>14.74</v>
      </c>
      <c r="M1762" s="45">
        <v>52.21</v>
      </c>
      <c r="N1762" s="69">
        <v>769.58</v>
      </c>
    </row>
    <row r="1763" spans="1:14" hidden="1" x14ac:dyDescent="0.25">
      <c r="A1763" s="40"/>
      <c r="B1763" s="41" t="s">
        <v>70</v>
      </c>
      <c r="C1763" s="354" t="s">
        <v>74</v>
      </c>
      <c r="D1763" s="354"/>
      <c r="E1763" s="354"/>
      <c r="F1763" s="42"/>
      <c r="G1763" s="43"/>
      <c r="H1763" s="43"/>
      <c r="I1763" s="43"/>
      <c r="J1763" s="62">
        <v>12533.99</v>
      </c>
      <c r="K1763" s="43"/>
      <c r="L1763" s="44">
        <v>166.7</v>
      </c>
      <c r="M1763" s="45">
        <v>15.71</v>
      </c>
      <c r="N1763" s="46">
        <v>2618.86</v>
      </c>
    </row>
    <row r="1764" spans="1:14" hidden="1" x14ac:dyDescent="0.25">
      <c r="A1764" s="40"/>
      <c r="B1764" s="41" t="s">
        <v>75</v>
      </c>
      <c r="C1764" s="354" t="s">
        <v>76</v>
      </c>
      <c r="D1764" s="354"/>
      <c r="E1764" s="354"/>
      <c r="F1764" s="42"/>
      <c r="G1764" s="43"/>
      <c r="H1764" s="43"/>
      <c r="I1764" s="43"/>
      <c r="J1764" s="44">
        <v>820.23</v>
      </c>
      <c r="K1764" s="43"/>
      <c r="L1764" s="44">
        <v>10.91</v>
      </c>
      <c r="M1764" s="45">
        <v>52.21</v>
      </c>
      <c r="N1764" s="69">
        <v>569.61</v>
      </c>
    </row>
    <row r="1765" spans="1:14" hidden="1" x14ac:dyDescent="0.25">
      <c r="A1765" s="40"/>
      <c r="B1765" s="41" t="s">
        <v>88</v>
      </c>
      <c r="C1765" s="354" t="s">
        <v>98</v>
      </c>
      <c r="D1765" s="354"/>
      <c r="E1765" s="354"/>
      <c r="F1765" s="42"/>
      <c r="G1765" s="43"/>
      <c r="H1765" s="43"/>
      <c r="I1765" s="43"/>
      <c r="J1765" s="62">
        <v>230267.7</v>
      </c>
      <c r="K1765" s="43"/>
      <c r="L1765" s="62">
        <v>3062.56</v>
      </c>
      <c r="M1765" s="63">
        <v>9.5</v>
      </c>
      <c r="N1765" s="46">
        <v>29094.32</v>
      </c>
    </row>
    <row r="1766" spans="1:14" hidden="1" x14ac:dyDescent="0.25">
      <c r="A1766" s="47"/>
      <c r="B1766" s="41"/>
      <c r="C1766" s="354" t="s">
        <v>60</v>
      </c>
      <c r="D1766" s="354"/>
      <c r="E1766" s="354"/>
      <c r="F1766" s="42" t="s">
        <v>61</v>
      </c>
      <c r="G1766" s="45">
        <v>134.46</v>
      </c>
      <c r="H1766" s="43"/>
      <c r="I1766" s="73">
        <v>1.7883180000000001</v>
      </c>
      <c r="J1766" s="50"/>
      <c r="K1766" s="43"/>
      <c r="L1766" s="50"/>
      <c r="M1766" s="43"/>
      <c r="N1766" s="51"/>
    </row>
    <row r="1767" spans="1:14" hidden="1" x14ac:dyDescent="0.25">
      <c r="A1767" s="47"/>
      <c r="B1767" s="41"/>
      <c r="C1767" s="354" t="s">
        <v>77</v>
      </c>
      <c r="D1767" s="354"/>
      <c r="E1767" s="354"/>
      <c r="F1767" s="42" t="s">
        <v>61</v>
      </c>
      <c r="G1767" s="45">
        <v>54.89</v>
      </c>
      <c r="H1767" s="43"/>
      <c r="I1767" s="73">
        <v>0.73003700000000005</v>
      </c>
      <c r="J1767" s="50"/>
      <c r="K1767" s="43"/>
      <c r="L1767" s="50"/>
      <c r="M1767" s="43"/>
      <c r="N1767" s="51"/>
    </row>
    <row r="1768" spans="1:14" hidden="1" x14ac:dyDescent="0.25">
      <c r="A1768" s="52"/>
      <c r="B1768" s="41"/>
      <c r="C1768" s="355" t="s">
        <v>62</v>
      </c>
      <c r="D1768" s="355"/>
      <c r="E1768" s="355"/>
      <c r="F1768" s="53"/>
      <c r="G1768" s="54"/>
      <c r="H1768" s="54"/>
      <c r="I1768" s="54"/>
      <c r="J1768" s="65">
        <v>243909.64</v>
      </c>
      <c r="K1768" s="54"/>
      <c r="L1768" s="65">
        <v>3244</v>
      </c>
      <c r="M1768" s="54"/>
      <c r="N1768" s="56">
        <v>32482.76</v>
      </c>
    </row>
    <row r="1769" spans="1:14" hidden="1" x14ac:dyDescent="0.25">
      <c r="A1769" s="47"/>
      <c r="B1769" s="41"/>
      <c r="C1769" s="354" t="s">
        <v>63</v>
      </c>
      <c r="D1769" s="354"/>
      <c r="E1769" s="354"/>
      <c r="F1769" s="42"/>
      <c r="G1769" s="43"/>
      <c r="H1769" s="43"/>
      <c r="I1769" s="43"/>
      <c r="J1769" s="50"/>
      <c r="K1769" s="43"/>
      <c r="L1769" s="44">
        <v>25.65</v>
      </c>
      <c r="M1769" s="43"/>
      <c r="N1769" s="46">
        <v>1339.19</v>
      </c>
    </row>
    <row r="1770" spans="1:14" ht="22.5" hidden="1" x14ac:dyDescent="0.25">
      <c r="A1770" s="47"/>
      <c r="B1770" s="41" t="s">
        <v>78</v>
      </c>
      <c r="C1770" s="354" t="s">
        <v>79</v>
      </c>
      <c r="D1770" s="354"/>
      <c r="E1770" s="354"/>
      <c r="F1770" s="42" t="s">
        <v>66</v>
      </c>
      <c r="G1770" s="48">
        <v>109</v>
      </c>
      <c r="H1770" s="43"/>
      <c r="I1770" s="48">
        <v>109</v>
      </c>
      <c r="J1770" s="50"/>
      <c r="K1770" s="43"/>
      <c r="L1770" s="44">
        <v>27.96</v>
      </c>
      <c r="M1770" s="43"/>
      <c r="N1770" s="46">
        <v>1459.72</v>
      </c>
    </row>
    <row r="1771" spans="1:14" ht="45" hidden="1" x14ac:dyDescent="0.25">
      <c r="A1771" s="47"/>
      <c r="B1771" s="41" t="s">
        <v>80</v>
      </c>
      <c r="C1771" s="354" t="s">
        <v>81</v>
      </c>
      <c r="D1771" s="354"/>
      <c r="E1771" s="354"/>
      <c r="F1771" s="42" t="s">
        <v>66</v>
      </c>
      <c r="G1771" s="48">
        <v>65</v>
      </c>
      <c r="H1771" s="45">
        <v>0.85</v>
      </c>
      <c r="I1771" s="45">
        <v>55.25</v>
      </c>
      <c r="J1771" s="50"/>
      <c r="K1771" s="43"/>
      <c r="L1771" s="44">
        <v>14.17</v>
      </c>
      <c r="M1771" s="43"/>
      <c r="N1771" s="69">
        <v>739.9</v>
      </c>
    </row>
    <row r="1772" spans="1:14" hidden="1" x14ac:dyDescent="0.25">
      <c r="A1772" s="57"/>
      <c r="B1772" s="58"/>
      <c r="C1772" s="350" t="s">
        <v>69</v>
      </c>
      <c r="D1772" s="350"/>
      <c r="E1772" s="350"/>
      <c r="F1772" s="34"/>
      <c r="G1772" s="35"/>
      <c r="H1772" s="35"/>
      <c r="I1772" s="35"/>
      <c r="J1772" s="38"/>
      <c r="K1772" s="35"/>
      <c r="L1772" s="66">
        <v>3286.13</v>
      </c>
      <c r="M1772" s="54"/>
      <c r="N1772" s="60">
        <v>34682.379999999997</v>
      </c>
    </row>
    <row r="1773" spans="1:14" x14ac:dyDescent="0.25">
      <c r="A1773" s="351" t="s">
        <v>161</v>
      </c>
      <c r="B1773" s="352"/>
      <c r="C1773" s="352"/>
      <c r="D1773" s="352"/>
      <c r="E1773" s="352"/>
      <c r="F1773" s="352"/>
      <c r="G1773" s="352"/>
      <c r="H1773" s="352"/>
      <c r="I1773" s="352"/>
      <c r="J1773" s="352"/>
      <c r="K1773" s="352"/>
      <c r="L1773" s="352"/>
      <c r="M1773" s="352"/>
      <c r="N1773" s="353"/>
    </row>
    <row r="1774" spans="1:14" ht="36" customHeight="1" x14ac:dyDescent="0.25">
      <c r="A1774" s="32" t="s">
        <v>489</v>
      </c>
      <c r="B1774" s="33" t="s">
        <v>163</v>
      </c>
      <c r="C1774" s="350" t="s">
        <v>164</v>
      </c>
      <c r="D1774" s="350"/>
      <c r="E1774" s="350"/>
      <c r="F1774" s="34" t="s">
        <v>165</v>
      </c>
      <c r="G1774" s="35">
        <v>49.6</v>
      </c>
      <c r="H1774" s="36">
        <v>1</v>
      </c>
      <c r="I1774" s="70">
        <v>49.6</v>
      </c>
      <c r="J1774" s="59">
        <v>3.28</v>
      </c>
      <c r="K1774" s="35"/>
      <c r="L1774" s="59">
        <v>162.69</v>
      </c>
      <c r="M1774" s="61">
        <v>15.71</v>
      </c>
      <c r="N1774" s="60">
        <v>2555.86</v>
      </c>
    </row>
    <row r="1775" spans="1:14" hidden="1" x14ac:dyDescent="0.25">
      <c r="A1775" s="57"/>
      <c r="B1775" s="58"/>
      <c r="C1775" s="350" t="s">
        <v>69</v>
      </c>
      <c r="D1775" s="350"/>
      <c r="E1775" s="350"/>
      <c r="F1775" s="34"/>
      <c r="G1775" s="35"/>
      <c r="H1775" s="35"/>
      <c r="I1775" s="35"/>
      <c r="J1775" s="38"/>
      <c r="K1775" s="35"/>
      <c r="L1775" s="59">
        <v>162.69</v>
      </c>
      <c r="M1775" s="54"/>
      <c r="N1775" s="60">
        <v>2555.86</v>
      </c>
    </row>
    <row r="1776" spans="1:14" ht="42.75" customHeight="1" x14ac:dyDescent="0.25">
      <c r="A1776" s="32" t="s">
        <v>490</v>
      </c>
      <c r="B1776" s="33" t="s">
        <v>167</v>
      </c>
      <c r="C1776" s="350" t="s">
        <v>292</v>
      </c>
      <c r="D1776" s="350"/>
      <c r="E1776" s="350"/>
      <c r="F1776" s="34" t="s">
        <v>165</v>
      </c>
      <c r="G1776" s="35">
        <v>9.9</v>
      </c>
      <c r="H1776" s="36">
        <v>1</v>
      </c>
      <c r="I1776" s="70">
        <v>9.9</v>
      </c>
      <c r="J1776" s="59">
        <v>8.39</v>
      </c>
      <c r="K1776" s="35"/>
      <c r="L1776" s="59">
        <v>83.06</v>
      </c>
      <c r="M1776" s="61">
        <v>15.71</v>
      </c>
      <c r="N1776" s="60">
        <v>1304.8699999999999</v>
      </c>
    </row>
    <row r="1777" spans="1:14" hidden="1" x14ac:dyDescent="0.25">
      <c r="A1777" s="57"/>
      <c r="B1777" s="58"/>
      <c r="C1777" s="350" t="s">
        <v>69</v>
      </c>
      <c r="D1777" s="350"/>
      <c r="E1777" s="350"/>
      <c r="F1777" s="34"/>
      <c r="G1777" s="35"/>
      <c r="H1777" s="35"/>
      <c r="I1777" s="35"/>
      <c r="J1777" s="38"/>
      <c r="K1777" s="35"/>
      <c r="L1777" s="59">
        <v>83.06</v>
      </c>
      <c r="M1777" s="54"/>
      <c r="N1777" s="60">
        <v>1304.8699999999999</v>
      </c>
    </row>
    <row r="1778" spans="1:14" ht="34.5" customHeight="1" x14ac:dyDescent="0.25">
      <c r="A1778" s="32" t="s">
        <v>491</v>
      </c>
      <c r="B1778" s="33" t="s">
        <v>170</v>
      </c>
      <c r="C1778" s="350" t="s">
        <v>294</v>
      </c>
      <c r="D1778" s="350"/>
      <c r="E1778" s="350"/>
      <c r="F1778" s="34" t="s">
        <v>165</v>
      </c>
      <c r="G1778" s="35">
        <v>5</v>
      </c>
      <c r="H1778" s="36">
        <v>1</v>
      </c>
      <c r="I1778" s="36">
        <v>5</v>
      </c>
      <c r="J1778" s="59">
        <v>10.88</v>
      </c>
      <c r="K1778" s="35"/>
      <c r="L1778" s="59">
        <v>54.4</v>
      </c>
      <c r="M1778" s="61">
        <v>15.71</v>
      </c>
      <c r="N1778" s="94">
        <v>854.62</v>
      </c>
    </row>
    <row r="1779" spans="1:14" hidden="1" x14ac:dyDescent="0.25">
      <c r="A1779" s="57"/>
      <c r="B1779" s="58"/>
      <c r="C1779" s="350" t="s">
        <v>69</v>
      </c>
      <c r="D1779" s="350"/>
      <c r="E1779" s="350"/>
      <c r="F1779" s="34"/>
      <c r="G1779" s="35"/>
      <c r="H1779" s="35"/>
      <c r="I1779" s="35"/>
      <c r="J1779" s="38"/>
      <c r="K1779" s="35"/>
      <c r="L1779" s="59">
        <v>54.4</v>
      </c>
      <c r="M1779" s="54"/>
      <c r="N1779" s="94">
        <v>854.62</v>
      </c>
    </row>
    <row r="1780" spans="1:14" ht="36.75" customHeight="1" x14ac:dyDescent="0.25">
      <c r="A1780" s="32" t="s">
        <v>492</v>
      </c>
      <c r="B1780" s="33" t="s">
        <v>173</v>
      </c>
      <c r="C1780" s="350" t="s">
        <v>174</v>
      </c>
      <c r="D1780" s="350"/>
      <c r="E1780" s="350"/>
      <c r="F1780" s="34" t="s">
        <v>165</v>
      </c>
      <c r="G1780" s="35">
        <v>64.5</v>
      </c>
      <c r="H1780" s="36">
        <v>1</v>
      </c>
      <c r="I1780" s="70">
        <v>64.5</v>
      </c>
      <c r="J1780" s="59">
        <v>3.86</v>
      </c>
      <c r="K1780" s="35"/>
      <c r="L1780" s="59">
        <v>248.97</v>
      </c>
      <c r="M1780" s="61">
        <v>16.22</v>
      </c>
      <c r="N1780" s="60">
        <v>4038.29</v>
      </c>
    </row>
    <row r="1781" spans="1:14" hidden="1" x14ac:dyDescent="0.25">
      <c r="A1781" s="57"/>
      <c r="B1781" s="58"/>
      <c r="C1781" s="350" t="s">
        <v>69</v>
      </c>
      <c r="D1781" s="350"/>
      <c r="E1781" s="350"/>
      <c r="F1781" s="34"/>
      <c r="G1781" s="35"/>
      <c r="H1781" s="35"/>
      <c r="I1781" s="35"/>
      <c r="J1781" s="38"/>
      <c r="K1781" s="35"/>
      <c r="L1781" s="59">
        <v>248.97</v>
      </c>
      <c r="M1781" s="54"/>
      <c r="N1781" s="60">
        <v>4038.29</v>
      </c>
    </row>
    <row r="1782" spans="1:14" hidden="1" x14ac:dyDescent="0.25">
      <c r="A1782" s="75"/>
      <c r="B1782" s="76"/>
      <c r="C1782" s="77"/>
      <c r="D1782" s="77"/>
      <c r="E1782" s="77"/>
      <c r="F1782" s="77"/>
      <c r="G1782" s="78"/>
      <c r="H1782" s="78"/>
      <c r="I1782" s="78"/>
      <c r="J1782" s="78"/>
      <c r="K1782" s="79"/>
      <c r="L1782" s="78"/>
      <c r="M1782" s="79"/>
      <c r="N1782" s="80"/>
    </row>
    <row r="1783" spans="1:14" hidden="1" x14ac:dyDescent="0.25">
      <c r="A1783" s="57"/>
      <c r="B1783" s="81"/>
      <c r="C1783" s="349" t="s">
        <v>493</v>
      </c>
      <c r="D1783" s="349"/>
      <c r="E1783" s="349"/>
      <c r="F1783" s="349"/>
      <c r="G1783" s="349"/>
      <c r="H1783" s="349"/>
      <c r="I1783" s="349"/>
      <c r="J1783" s="349"/>
      <c r="K1783" s="349"/>
      <c r="L1783" s="82"/>
      <c r="M1783" s="83"/>
      <c r="N1783" s="84"/>
    </row>
    <row r="1784" spans="1:14" hidden="1" x14ac:dyDescent="0.25">
      <c r="A1784" s="85"/>
      <c r="B1784" s="41"/>
      <c r="C1784" s="348" t="s">
        <v>176</v>
      </c>
      <c r="D1784" s="348"/>
      <c r="E1784" s="348"/>
      <c r="F1784" s="348"/>
      <c r="G1784" s="348"/>
      <c r="H1784" s="348"/>
      <c r="I1784" s="348"/>
      <c r="J1784" s="348"/>
      <c r="K1784" s="348"/>
      <c r="L1784" s="86">
        <v>619755.63</v>
      </c>
      <c r="M1784" s="87"/>
      <c r="N1784" s="88">
        <v>5996094.9400000004</v>
      </c>
    </row>
    <row r="1785" spans="1:14" hidden="1" x14ac:dyDescent="0.25">
      <c r="A1785" s="85"/>
      <c r="B1785" s="41"/>
      <c r="C1785" s="348" t="s">
        <v>177</v>
      </c>
      <c r="D1785" s="348"/>
      <c r="E1785" s="348"/>
      <c r="F1785" s="348"/>
      <c r="G1785" s="348"/>
      <c r="H1785" s="348"/>
      <c r="I1785" s="348"/>
      <c r="J1785" s="348"/>
      <c r="K1785" s="348"/>
      <c r="L1785" s="89"/>
      <c r="M1785" s="87"/>
      <c r="N1785" s="90"/>
    </row>
    <row r="1786" spans="1:14" hidden="1" x14ac:dyDescent="0.25">
      <c r="A1786" s="85"/>
      <c r="B1786" s="41"/>
      <c r="C1786" s="348" t="s">
        <v>178</v>
      </c>
      <c r="D1786" s="348"/>
      <c r="E1786" s="348"/>
      <c r="F1786" s="348"/>
      <c r="G1786" s="348"/>
      <c r="H1786" s="348"/>
      <c r="I1786" s="348"/>
      <c r="J1786" s="348"/>
      <c r="K1786" s="348"/>
      <c r="L1786" s="86">
        <v>1016.99</v>
      </c>
      <c r="M1786" s="87"/>
      <c r="N1786" s="88">
        <v>53097.04</v>
      </c>
    </row>
    <row r="1787" spans="1:14" hidden="1" x14ac:dyDescent="0.25">
      <c r="A1787" s="85"/>
      <c r="B1787" s="41"/>
      <c r="C1787" s="348" t="s">
        <v>179</v>
      </c>
      <c r="D1787" s="348"/>
      <c r="E1787" s="348"/>
      <c r="F1787" s="348"/>
      <c r="G1787" s="348"/>
      <c r="H1787" s="348"/>
      <c r="I1787" s="348"/>
      <c r="J1787" s="348"/>
      <c r="K1787" s="348"/>
      <c r="L1787" s="86">
        <v>9894.33</v>
      </c>
      <c r="M1787" s="87"/>
      <c r="N1787" s="88">
        <v>155439.92000000001</v>
      </c>
    </row>
    <row r="1788" spans="1:14" hidden="1" x14ac:dyDescent="0.25">
      <c r="A1788" s="85"/>
      <c r="B1788" s="41"/>
      <c r="C1788" s="348" t="s">
        <v>180</v>
      </c>
      <c r="D1788" s="348"/>
      <c r="E1788" s="348"/>
      <c r="F1788" s="348"/>
      <c r="G1788" s="348"/>
      <c r="H1788" s="348"/>
      <c r="I1788" s="348"/>
      <c r="J1788" s="348"/>
      <c r="K1788" s="348"/>
      <c r="L1788" s="95">
        <v>426.58</v>
      </c>
      <c r="M1788" s="87"/>
      <c r="N1788" s="88">
        <v>22271.74</v>
      </c>
    </row>
    <row r="1789" spans="1:14" hidden="1" x14ac:dyDescent="0.25">
      <c r="A1789" s="85"/>
      <c r="B1789" s="41"/>
      <c r="C1789" s="348" t="s">
        <v>181</v>
      </c>
      <c r="D1789" s="348"/>
      <c r="E1789" s="348"/>
      <c r="F1789" s="348"/>
      <c r="G1789" s="348"/>
      <c r="H1789" s="348"/>
      <c r="I1789" s="348"/>
      <c r="J1789" s="348"/>
      <c r="K1789" s="348"/>
      <c r="L1789" s="86">
        <v>608432.65</v>
      </c>
      <c r="M1789" s="87"/>
      <c r="N1789" s="88">
        <v>5780963.8300000001</v>
      </c>
    </row>
    <row r="1790" spans="1:14" hidden="1" x14ac:dyDescent="0.25">
      <c r="A1790" s="85"/>
      <c r="B1790" s="41"/>
      <c r="C1790" s="348" t="s">
        <v>182</v>
      </c>
      <c r="D1790" s="348"/>
      <c r="E1790" s="348"/>
      <c r="F1790" s="348"/>
      <c r="G1790" s="348"/>
      <c r="H1790" s="348"/>
      <c r="I1790" s="348"/>
      <c r="J1790" s="348"/>
      <c r="K1790" s="348"/>
      <c r="L1790" s="89"/>
      <c r="M1790" s="87"/>
      <c r="N1790" s="90"/>
    </row>
    <row r="1791" spans="1:14" hidden="1" x14ac:dyDescent="0.25">
      <c r="A1791" s="85"/>
      <c r="B1791" s="41"/>
      <c r="C1791" s="348" t="s">
        <v>183</v>
      </c>
      <c r="D1791" s="348"/>
      <c r="E1791" s="348"/>
      <c r="F1791" s="348"/>
      <c r="G1791" s="348"/>
      <c r="H1791" s="348"/>
      <c r="I1791" s="348"/>
      <c r="J1791" s="348"/>
      <c r="K1791" s="348"/>
      <c r="L1791" s="86">
        <v>608378.25</v>
      </c>
      <c r="M1791" s="87"/>
      <c r="N1791" s="88">
        <v>5780109.21</v>
      </c>
    </row>
    <row r="1792" spans="1:14" hidden="1" x14ac:dyDescent="0.25">
      <c r="A1792" s="85"/>
      <c r="B1792" s="41"/>
      <c r="C1792" s="348" t="s">
        <v>184</v>
      </c>
      <c r="D1792" s="348"/>
      <c r="E1792" s="348"/>
      <c r="F1792" s="348"/>
      <c r="G1792" s="348"/>
      <c r="H1792" s="348"/>
      <c r="I1792" s="348"/>
      <c r="J1792" s="348"/>
      <c r="K1792" s="348"/>
      <c r="L1792" s="95">
        <v>54.4</v>
      </c>
      <c r="M1792" s="87"/>
      <c r="N1792" s="96">
        <v>854.62</v>
      </c>
    </row>
    <row r="1793" spans="1:14" hidden="1" x14ac:dyDescent="0.25">
      <c r="A1793" s="85"/>
      <c r="B1793" s="41"/>
      <c r="C1793" s="348" t="s">
        <v>185</v>
      </c>
      <c r="D1793" s="348"/>
      <c r="E1793" s="348"/>
      <c r="F1793" s="348"/>
      <c r="G1793" s="348"/>
      <c r="H1793" s="348"/>
      <c r="I1793" s="348"/>
      <c r="J1793" s="348"/>
      <c r="K1793" s="348"/>
      <c r="L1793" s="95">
        <v>411.66</v>
      </c>
      <c r="M1793" s="87"/>
      <c r="N1793" s="88">
        <v>6594.15</v>
      </c>
    </row>
    <row r="1794" spans="1:14" hidden="1" x14ac:dyDescent="0.25">
      <c r="A1794" s="85"/>
      <c r="B1794" s="41"/>
      <c r="C1794" s="348" t="s">
        <v>186</v>
      </c>
      <c r="D1794" s="348"/>
      <c r="E1794" s="348"/>
      <c r="F1794" s="348"/>
      <c r="G1794" s="348"/>
      <c r="H1794" s="348"/>
      <c r="I1794" s="348"/>
      <c r="J1794" s="348"/>
      <c r="K1794" s="348"/>
      <c r="L1794" s="86">
        <v>621081.78</v>
      </c>
      <c r="M1794" s="87"/>
      <c r="N1794" s="88">
        <v>6081647.2400000002</v>
      </c>
    </row>
    <row r="1795" spans="1:14" hidden="1" x14ac:dyDescent="0.25">
      <c r="A1795" s="85"/>
      <c r="B1795" s="41"/>
      <c r="C1795" s="348" t="s">
        <v>187</v>
      </c>
      <c r="D1795" s="348"/>
      <c r="E1795" s="348"/>
      <c r="F1795" s="348"/>
      <c r="G1795" s="348"/>
      <c r="H1795" s="348"/>
      <c r="I1795" s="348"/>
      <c r="J1795" s="348"/>
      <c r="K1795" s="348"/>
      <c r="L1795" s="86">
        <v>620615.72</v>
      </c>
      <c r="M1795" s="87"/>
      <c r="N1795" s="88">
        <v>6074198.4699999997</v>
      </c>
    </row>
    <row r="1796" spans="1:14" hidden="1" x14ac:dyDescent="0.25">
      <c r="A1796" s="85"/>
      <c r="B1796" s="41"/>
      <c r="C1796" s="348" t="s">
        <v>188</v>
      </c>
      <c r="D1796" s="348"/>
      <c r="E1796" s="348"/>
      <c r="F1796" s="348"/>
      <c r="G1796" s="348"/>
      <c r="H1796" s="348"/>
      <c r="I1796" s="348"/>
      <c r="J1796" s="348"/>
      <c r="K1796" s="348"/>
      <c r="L1796" s="89"/>
      <c r="M1796" s="87"/>
      <c r="N1796" s="90"/>
    </row>
    <row r="1797" spans="1:14" hidden="1" x14ac:dyDescent="0.25">
      <c r="A1797" s="85"/>
      <c r="B1797" s="41"/>
      <c r="C1797" s="348" t="s">
        <v>189</v>
      </c>
      <c r="D1797" s="348"/>
      <c r="E1797" s="348"/>
      <c r="F1797" s="348"/>
      <c r="G1797" s="348"/>
      <c r="H1797" s="348"/>
      <c r="I1797" s="348"/>
      <c r="J1797" s="348"/>
      <c r="K1797" s="348"/>
      <c r="L1797" s="95">
        <v>765.07</v>
      </c>
      <c r="M1797" s="87"/>
      <c r="N1797" s="88">
        <v>39944.300000000003</v>
      </c>
    </row>
    <row r="1798" spans="1:14" hidden="1" x14ac:dyDescent="0.25">
      <c r="A1798" s="85"/>
      <c r="B1798" s="41"/>
      <c r="C1798" s="348" t="s">
        <v>190</v>
      </c>
      <c r="D1798" s="348"/>
      <c r="E1798" s="348"/>
      <c r="F1798" s="348"/>
      <c r="G1798" s="348"/>
      <c r="H1798" s="348"/>
      <c r="I1798" s="348"/>
      <c r="J1798" s="348"/>
      <c r="K1798" s="348"/>
      <c r="L1798" s="86">
        <v>9773.5499999999993</v>
      </c>
      <c r="M1798" s="87"/>
      <c r="N1798" s="88">
        <v>153542.47</v>
      </c>
    </row>
    <row r="1799" spans="1:14" hidden="1" x14ac:dyDescent="0.25">
      <c r="A1799" s="85"/>
      <c r="B1799" s="41"/>
      <c r="C1799" s="348" t="s">
        <v>191</v>
      </c>
      <c r="D1799" s="348"/>
      <c r="E1799" s="348"/>
      <c r="F1799" s="348"/>
      <c r="G1799" s="348"/>
      <c r="H1799" s="348"/>
      <c r="I1799" s="348"/>
      <c r="J1799" s="348"/>
      <c r="K1799" s="348"/>
      <c r="L1799" s="95">
        <v>414.6</v>
      </c>
      <c r="M1799" s="87"/>
      <c r="N1799" s="88">
        <v>21646.26</v>
      </c>
    </row>
    <row r="1800" spans="1:14" hidden="1" x14ac:dyDescent="0.25">
      <c r="A1800" s="85"/>
      <c r="B1800" s="41"/>
      <c r="C1800" s="348" t="s">
        <v>192</v>
      </c>
      <c r="D1800" s="348"/>
      <c r="E1800" s="348"/>
      <c r="F1800" s="348"/>
      <c r="G1800" s="348"/>
      <c r="H1800" s="348"/>
      <c r="I1800" s="348"/>
      <c r="J1800" s="348"/>
      <c r="K1800" s="348"/>
      <c r="L1800" s="86">
        <v>608099.5</v>
      </c>
      <c r="M1800" s="87"/>
      <c r="N1800" s="88">
        <v>5777461.0800000001</v>
      </c>
    </row>
    <row r="1801" spans="1:14" hidden="1" x14ac:dyDescent="0.25">
      <c r="A1801" s="85"/>
      <c r="B1801" s="41"/>
      <c r="C1801" s="348" t="s">
        <v>193</v>
      </c>
      <c r="D1801" s="348"/>
      <c r="E1801" s="348"/>
      <c r="F1801" s="348"/>
      <c r="G1801" s="348"/>
      <c r="H1801" s="348"/>
      <c r="I1801" s="348"/>
      <c r="J1801" s="348"/>
      <c r="K1801" s="348"/>
      <c r="L1801" s="86">
        <v>1300.3900000000001</v>
      </c>
      <c r="M1801" s="87"/>
      <c r="N1801" s="88">
        <v>67893.179999999993</v>
      </c>
    </row>
    <row r="1802" spans="1:14" hidden="1" x14ac:dyDescent="0.25">
      <c r="A1802" s="85"/>
      <c r="B1802" s="41"/>
      <c r="C1802" s="348" t="s">
        <v>194</v>
      </c>
      <c r="D1802" s="348"/>
      <c r="E1802" s="348"/>
      <c r="F1802" s="348"/>
      <c r="G1802" s="348"/>
      <c r="H1802" s="348"/>
      <c r="I1802" s="348"/>
      <c r="J1802" s="348"/>
      <c r="K1802" s="348"/>
      <c r="L1802" s="95">
        <v>677.21</v>
      </c>
      <c r="M1802" s="87"/>
      <c r="N1802" s="88">
        <v>35357.440000000002</v>
      </c>
    </row>
    <row r="1803" spans="1:14" hidden="1" x14ac:dyDescent="0.25">
      <c r="A1803" s="85"/>
      <c r="B1803" s="41"/>
      <c r="C1803" s="348" t="s">
        <v>195</v>
      </c>
      <c r="D1803" s="348"/>
      <c r="E1803" s="348"/>
      <c r="F1803" s="348"/>
      <c r="G1803" s="348"/>
      <c r="H1803" s="348"/>
      <c r="I1803" s="348"/>
      <c r="J1803" s="348"/>
      <c r="K1803" s="348"/>
      <c r="L1803" s="95">
        <v>411.66</v>
      </c>
      <c r="M1803" s="87"/>
      <c r="N1803" s="88">
        <v>6594.15</v>
      </c>
    </row>
    <row r="1804" spans="1:14" hidden="1" x14ac:dyDescent="0.25">
      <c r="A1804" s="85"/>
      <c r="B1804" s="41"/>
      <c r="C1804" s="348" t="s">
        <v>196</v>
      </c>
      <c r="D1804" s="348"/>
      <c r="E1804" s="348"/>
      <c r="F1804" s="348"/>
      <c r="G1804" s="348"/>
      <c r="H1804" s="348"/>
      <c r="I1804" s="348"/>
      <c r="J1804" s="348"/>
      <c r="K1804" s="348"/>
      <c r="L1804" s="95">
        <v>54.4</v>
      </c>
      <c r="M1804" s="87"/>
      <c r="N1804" s="96">
        <v>854.62</v>
      </c>
    </row>
    <row r="1805" spans="1:14" hidden="1" x14ac:dyDescent="0.25">
      <c r="A1805" s="85"/>
      <c r="B1805" s="41"/>
      <c r="C1805" s="348" t="s">
        <v>297</v>
      </c>
      <c r="D1805" s="348"/>
      <c r="E1805" s="348"/>
      <c r="F1805" s="348"/>
      <c r="G1805" s="348"/>
      <c r="H1805" s="348"/>
      <c r="I1805" s="348"/>
      <c r="J1805" s="348"/>
      <c r="K1805" s="348"/>
      <c r="L1805" s="86">
        <v>1023.55</v>
      </c>
      <c r="M1805" s="87"/>
      <c r="N1805" s="88">
        <v>37125.61</v>
      </c>
    </row>
    <row r="1806" spans="1:14" hidden="1" x14ac:dyDescent="0.25">
      <c r="A1806" s="85"/>
      <c r="B1806" s="41"/>
      <c r="C1806" s="348" t="s">
        <v>177</v>
      </c>
      <c r="D1806" s="348"/>
      <c r="E1806" s="348"/>
      <c r="F1806" s="348"/>
      <c r="G1806" s="348"/>
      <c r="H1806" s="348"/>
      <c r="I1806" s="348"/>
      <c r="J1806" s="348"/>
      <c r="K1806" s="348"/>
      <c r="L1806" s="89"/>
      <c r="M1806" s="87"/>
      <c r="N1806" s="90"/>
    </row>
    <row r="1807" spans="1:14" hidden="1" x14ac:dyDescent="0.25">
      <c r="A1807" s="85"/>
      <c r="B1807" s="41"/>
      <c r="C1807" s="348" t="s">
        <v>298</v>
      </c>
      <c r="D1807" s="348"/>
      <c r="E1807" s="348"/>
      <c r="F1807" s="348"/>
      <c r="G1807" s="348"/>
      <c r="H1807" s="348"/>
      <c r="I1807" s="348"/>
      <c r="J1807" s="348"/>
      <c r="K1807" s="348"/>
      <c r="L1807" s="95">
        <v>251.92</v>
      </c>
      <c r="M1807" s="87"/>
      <c r="N1807" s="88">
        <v>13152.74</v>
      </c>
    </row>
    <row r="1808" spans="1:14" hidden="1" x14ac:dyDescent="0.25">
      <c r="A1808" s="85"/>
      <c r="B1808" s="41"/>
      <c r="C1808" s="348" t="s">
        <v>299</v>
      </c>
      <c r="D1808" s="348"/>
      <c r="E1808" s="348"/>
      <c r="F1808" s="348"/>
      <c r="G1808" s="348"/>
      <c r="H1808" s="348"/>
      <c r="I1808" s="348"/>
      <c r="J1808" s="348"/>
      <c r="K1808" s="348"/>
      <c r="L1808" s="95">
        <v>120.78</v>
      </c>
      <c r="M1808" s="87"/>
      <c r="N1808" s="88">
        <v>1897.45</v>
      </c>
    </row>
    <row r="1809" spans="1:14" hidden="1" x14ac:dyDescent="0.25">
      <c r="A1809" s="85"/>
      <c r="B1809" s="41"/>
      <c r="C1809" s="348" t="s">
        <v>300</v>
      </c>
      <c r="D1809" s="348"/>
      <c r="E1809" s="348"/>
      <c r="F1809" s="348"/>
      <c r="G1809" s="348"/>
      <c r="H1809" s="348"/>
      <c r="I1809" s="348"/>
      <c r="J1809" s="348"/>
      <c r="K1809" s="348"/>
      <c r="L1809" s="95">
        <v>11.98</v>
      </c>
      <c r="M1809" s="87"/>
      <c r="N1809" s="96">
        <v>625.48</v>
      </c>
    </row>
    <row r="1810" spans="1:14" hidden="1" x14ac:dyDescent="0.25">
      <c r="A1810" s="85"/>
      <c r="B1810" s="41"/>
      <c r="C1810" s="348" t="s">
        <v>301</v>
      </c>
      <c r="D1810" s="348"/>
      <c r="E1810" s="348"/>
      <c r="F1810" s="348"/>
      <c r="G1810" s="348"/>
      <c r="H1810" s="348"/>
      <c r="I1810" s="348"/>
      <c r="J1810" s="348"/>
      <c r="K1810" s="348"/>
      <c r="L1810" s="95">
        <v>278.75</v>
      </c>
      <c r="M1810" s="87"/>
      <c r="N1810" s="88">
        <v>2648.13</v>
      </c>
    </row>
    <row r="1811" spans="1:14" hidden="1" x14ac:dyDescent="0.25">
      <c r="A1811" s="85"/>
      <c r="B1811" s="41"/>
      <c r="C1811" s="348" t="s">
        <v>302</v>
      </c>
      <c r="D1811" s="348"/>
      <c r="E1811" s="348"/>
      <c r="F1811" s="348"/>
      <c r="G1811" s="348"/>
      <c r="H1811" s="348"/>
      <c r="I1811" s="348"/>
      <c r="J1811" s="348"/>
      <c r="K1811" s="348"/>
      <c r="L1811" s="95">
        <v>242.79</v>
      </c>
      <c r="M1811" s="87"/>
      <c r="N1811" s="88">
        <v>12675.96</v>
      </c>
    </row>
    <row r="1812" spans="1:14" hidden="1" x14ac:dyDescent="0.25">
      <c r="A1812" s="85"/>
      <c r="B1812" s="41"/>
      <c r="C1812" s="348" t="s">
        <v>303</v>
      </c>
      <c r="D1812" s="348"/>
      <c r="E1812" s="348"/>
      <c r="F1812" s="348"/>
      <c r="G1812" s="348"/>
      <c r="H1812" s="348"/>
      <c r="I1812" s="348"/>
      <c r="J1812" s="348"/>
      <c r="K1812" s="348"/>
      <c r="L1812" s="95">
        <v>129.31</v>
      </c>
      <c r="M1812" s="87"/>
      <c r="N1812" s="88">
        <v>6751.33</v>
      </c>
    </row>
    <row r="1813" spans="1:14" hidden="1" x14ac:dyDescent="0.25">
      <c r="A1813" s="85"/>
      <c r="B1813" s="41"/>
      <c r="C1813" s="348" t="s">
        <v>197</v>
      </c>
      <c r="D1813" s="348"/>
      <c r="E1813" s="348"/>
      <c r="F1813" s="348"/>
      <c r="G1813" s="348"/>
      <c r="H1813" s="348"/>
      <c r="I1813" s="348"/>
      <c r="J1813" s="348"/>
      <c r="K1813" s="348"/>
      <c r="L1813" s="86">
        <v>1443.57</v>
      </c>
      <c r="M1813" s="87"/>
      <c r="N1813" s="88">
        <v>75368.78</v>
      </c>
    </row>
    <row r="1814" spans="1:14" hidden="1" x14ac:dyDescent="0.25">
      <c r="A1814" s="85"/>
      <c r="B1814" s="41"/>
      <c r="C1814" s="348" t="s">
        <v>198</v>
      </c>
      <c r="D1814" s="348"/>
      <c r="E1814" s="348"/>
      <c r="F1814" s="348"/>
      <c r="G1814" s="348"/>
      <c r="H1814" s="348"/>
      <c r="I1814" s="348"/>
      <c r="J1814" s="348"/>
      <c r="K1814" s="348"/>
      <c r="L1814" s="86">
        <v>1543.18</v>
      </c>
      <c r="M1814" s="87"/>
      <c r="N1814" s="88">
        <v>80569.14</v>
      </c>
    </row>
    <row r="1815" spans="1:14" hidden="1" x14ac:dyDescent="0.25">
      <c r="A1815" s="85"/>
      <c r="B1815" s="41"/>
      <c r="C1815" s="348" t="s">
        <v>199</v>
      </c>
      <c r="D1815" s="348"/>
      <c r="E1815" s="348"/>
      <c r="F1815" s="348"/>
      <c r="G1815" s="348"/>
      <c r="H1815" s="348"/>
      <c r="I1815" s="348"/>
      <c r="J1815" s="348"/>
      <c r="K1815" s="348"/>
      <c r="L1815" s="95">
        <v>806.52</v>
      </c>
      <c r="M1815" s="87"/>
      <c r="N1815" s="88">
        <v>42108.77</v>
      </c>
    </row>
    <row r="1816" spans="1:14" hidden="1" x14ac:dyDescent="0.25">
      <c r="A1816" s="85"/>
      <c r="B1816" s="81"/>
      <c r="C1816" s="349" t="s">
        <v>494</v>
      </c>
      <c r="D1816" s="349"/>
      <c r="E1816" s="349"/>
      <c r="F1816" s="349"/>
      <c r="G1816" s="349"/>
      <c r="H1816" s="349"/>
      <c r="I1816" s="349"/>
      <c r="J1816" s="349"/>
      <c r="K1816" s="349"/>
      <c r="L1816" s="91">
        <v>622105.32999999996</v>
      </c>
      <c r="M1816" s="83"/>
      <c r="N1816" s="92">
        <v>6118772.8499999996</v>
      </c>
    </row>
    <row r="1817" spans="1:14" hidden="1" x14ac:dyDescent="0.25">
      <c r="A1817" s="85"/>
      <c r="B1817" s="41"/>
      <c r="C1817" s="348" t="s">
        <v>201</v>
      </c>
      <c r="D1817" s="348"/>
      <c r="E1817" s="348"/>
      <c r="F1817" s="348"/>
      <c r="G1817" s="348"/>
      <c r="H1817" s="348"/>
      <c r="I1817" s="348"/>
      <c r="J1817" s="348"/>
      <c r="K1817" s="348"/>
      <c r="L1817" s="89"/>
      <c r="M1817" s="87"/>
      <c r="N1817" s="90"/>
    </row>
    <row r="1818" spans="1:14" hidden="1" x14ac:dyDescent="0.25">
      <c r="A1818" s="85"/>
      <c r="B1818" s="41"/>
      <c r="C1818" s="348" t="s">
        <v>202</v>
      </c>
      <c r="D1818" s="348"/>
      <c r="E1818" s="348"/>
      <c r="F1818" s="348"/>
      <c r="G1818" s="348"/>
      <c r="H1818" s="348"/>
      <c r="I1818" s="42" t="s">
        <v>495</v>
      </c>
      <c r="J1818" s="93"/>
      <c r="K1818" s="93"/>
      <c r="L1818" s="89"/>
      <c r="M1818" s="87"/>
      <c r="N1818" s="90"/>
    </row>
    <row r="1819" spans="1:14" hidden="1" x14ac:dyDescent="0.25">
      <c r="A1819" s="85"/>
      <c r="B1819" s="41"/>
      <c r="C1819" s="348" t="s">
        <v>204</v>
      </c>
      <c r="D1819" s="348"/>
      <c r="E1819" s="348"/>
      <c r="F1819" s="348"/>
      <c r="G1819" s="348"/>
      <c r="H1819" s="348"/>
      <c r="I1819" s="42" t="s">
        <v>496</v>
      </c>
      <c r="J1819" s="93"/>
      <c r="K1819" s="93"/>
      <c r="L1819" s="89"/>
      <c r="M1819" s="87"/>
      <c r="N1819" s="90"/>
    </row>
    <row r="1820" spans="1:14" hidden="1" x14ac:dyDescent="0.25">
      <c r="A1820" s="98"/>
      <c r="B1820" s="99"/>
      <c r="C1820" s="99"/>
      <c r="D1820" s="99"/>
      <c r="E1820" s="99"/>
      <c r="F1820" s="99"/>
      <c r="G1820" s="99"/>
      <c r="H1820" s="99"/>
      <c r="I1820" s="99"/>
      <c r="J1820" s="99"/>
      <c r="K1820" s="99"/>
      <c r="L1820" s="100"/>
      <c r="M1820" s="100"/>
      <c r="N1820" s="101"/>
    </row>
    <row r="1821" spans="1:14" x14ac:dyDescent="0.25">
      <c r="A1821" s="102"/>
      <c r="B1821" s="81"/>
      <c r="C1821" s="349" t="s">
        <v>497</v>
      </c>
      <c r="D1821" s="349"/>
      <c r="E1821" s="349"/>
      <c r="F1821" s="349"/>
      <c r="G1821" s="349"/>
      <c r="H1821" s="349"/>
      <c r="I1821" s="349"/>
      <c r="J1821" s="349"/>
      <c r="K1821" s="349"/>
      <c r="L1821" s="82"/>
      <c r="M1821" s="83"/>
      <c r="N1821" s="84"/>
    </row>
    <row r="1822" spans="1:14" x14ac:dyDescent="0.25">
      <c r="A1822" s="85"/>
      <c r="B1822" s="41"/>
      <c r="C1822" s="348" t="s">
        <v>176</v>
      </c>
      <c r="D1822" s="348"/>
      <c r="E1822" s="348"/>
      <c r="F1822" s="348"/>
      <c r="G1822" s="348"/>
      <c r="H1822" s="348"/>
      <c r="I1822" s="348"/>
      <c r="J1822" s="348"/>
      <c r="K1822" s="348"/>
      <c r="L1822" s="86">
        <v>7845884.9199999999</v>
      </c>
      <c r="M1822" s="87"/>
      <c r="N1822" s="88">
        <v>76022197.049999997</v>
      </c>
    </row>
    <row r="1823" spans="1:14" x14ac:dyDescent="0.25">
      <c r="A1823" s="85"/>
      <c r="B1823" s="41"/>
      <c r="C1823" s="348" t="s">
        <v>177</v>
      </c>
      <c r="D1823" s="348"/>
      <c r="E1823" s="348"/>
      <c r="F1823" s="348"/>
      <c r="G1823" s="348"/>
      <c r="H1823" s="348"/>
      <c r="I1823" s="348"/>
      <c r="J1823" s="348"/>
      <c r="K1823" s="348"/>
      <c r="L1823" s="89"/>
      <c r="M1823" s="87"/>
      <c r="N1823" s="90"/>
    </row>
    <row r="1824" spans="1:14" x14ac:dyDescent="0.25">
      <c r="A1824" s="85"/>
      <c r="B1824" s="41"/>
      <c r="C1824" s="348" t="s">
        <v>178</v>
      </c>
      <c r="D1824" s="348"/>
      <c r="E1824" s="348"/>
      <c r="F1824" s="348"/>
      <c r="G1824" s="348"/>
      <c r="H1824" s="348"/>
      <c r="I1824" s="348"/>
      <c r="J1824" s="348"/>
      <c r="K1824" s="348"/>
      <c r="L1824" s="86">
        <v>15115.85</v>
      </c>
      <c r="M1824" s="87"/>
      <c r="N1824" s="88">
        <v>789198.49</v>
      </c>
    </row>
    <row r="1825" spans="1:14" x14ac:dyDescent="0.25">
      <c r="A1825" s="85"/>
      <c r="B1825" s="41"/>
      <c r="C1825" s="348" t="s">
        <v>179</v>
      </c>
      <c r="D1825" s="348"/>
      <c r="E1825" s="348"/>
      <c r="F1825" s="348"/>
      <c r="G1825" s="348"/>
      <c r="H1825" s="348"/>
      <c r="I1825" s="348"/>
      <c r="J1825" s="348"/>
      <c r="K1825" s="348"/>
      <c r="L1825" s="86">
        <v>121054.15</v>
      </c>
      <c r="M1825" s="87"/>
      <c r="N1825" s="88">
        <v>1901760.63</v>
      </c>
    </row>
    <row r="1826" spans="1:14" x14ac:dyDescent="0.25">
      <c r="A1826" s="85"/>
      <c r="B1826" s="41"/>
      <c r="C1826" s="348" t="s">
        <v>180</v>
      </c>
      <c r="D1826" s="348"/>
      <c r="E1826" s="348"/>
      <c r="F1826" s="348"/>
      <c r="G1826" s="348"/>
      <c r="H1826" s="348"/>
      <c r="I1826" s="348"/>
      <c r="J1826" s="348"/>
      <c r="K1826" s="348"/>
      <c r="L1826" s="86">
        <v>5954.2</v>
      </c>
      <c r="M1826" s="87"/>
      <c r="N1826" s="88">
        <v>310868.77</v>
      </c>
    </row>
    <row r="1827" spans="1:14" x14ac:dyDescent="0.25">
      <c r="A1827" s="85"/>
      <c r="B1827" s="41"/>
      <c r="C1827" s="348" t="s">
        <v>181</v>
      </c>
      <c r="D1827" s="348"/>
      <c r="E1827" s="348"/>
      <c r="F1827" s="348"/>
      <c r="G1827" s="348"/>
      <c r="H1827" s="348"/>
      <c r="I1827" s="348"/>
      <c r="J1827" s="348"/>
      <c r="K1827" s="348"/>
      <c r="L1827" s="86">
        <v>7699601.6799999997</v>
      </c>
      <c r="M1827" s="87"/>
      <c r="N1827" s="88">
        <v>73169221.920000002</v>
      </c>
    </row>
    <row r="1828" spans="1:14" x14ac:dyDescent="0.25">
      <c r="A1828" s="85"/>
      <c r="B1828" s="41"/>
      <c r="C1828" s="348" t="s">
        <v>182</v>
      </c>
      <c r="D1828" s="348"/>
      <c r="E1828" s="348"/>
      <c r="F1828" s="348"/>
      <c r="G1828" s="348"/>
      <c r="H1828" s="348"/>
      <c r="I1828" s="348"/>
      <c r="J1828" s="348"/>
      <c r="K1828" s="348"/>
      <c r="L1828" s="89"/>
      <c r="M1828" s="87"/>
      <c r="N1828" s="90"/>
    </row>
    <row r="1829" spans="1:14" x14ac:dyDescent="0.25">
      <c r="A1829" s="85"/>
      <c r="B1829" s="41"/>
      <c r="C1829" s="348" t="s">
        <v>183</v>
      </c>
      <c r="D1829" s="348"/>
      <c r="E1829" s="348"/>
      <c r="F1829" s="348"/>
      <c r="G1829" s="348"/>
      <c r="H1829" s="348"/>
      <c r="I1829" s="348"/>
      <c r="J1829" s="348"/>
      <c r="K1829" s="348"/>
      <c r="L1829" s="86">
        <v>7697547.5199999996</v>
      </c>
      <c r="M1829" s="87"/>
      <c r="N1829" s="88">
        <v>73136951.090000004</v>
      </c>
    </row>
    <row r="1830" spans="1:14" x14ac:dyDescent="0.25">
      <c r="A1830" s="85"/>
      <c r="B1830" s="41"/>
      <c r="C1830" s="348" t="s">
        <v>184</v>
      </c>
      <c r="D1830" s="348"/>
      <c r="E1830" s="348"/>
      <c r="F1830" s="348"/>
      <c r="G1830" s="348"/>
      <c r="H1830" s="348"/>
      <c r="I1830" s="348"/>
      <c r="J1830" s="348"/>
      <c r="K1830" s="348"/>
      <c r="L1830" s="86">
        <v>2054.16</v>
      </c>
      <c r="M1830" s="87"/>
      <c r="N1830" s="88">
        <v>32270.83</v>
      </c>
    </row>
    <row r="1831" spans="1:14" x14ac:dyDescent="0.25">
      <c r="A1831" s="85"/>
      <c r="B1831" s="41"/>
      <c r="C1831" s="348" t="s">
        <v>185</v>
      </c>
      <c r="D1831" s="348"/>
      <c r="E1831" s="348"/>
      <c r="F1831" s="348"/>
      <c r="G1831" s="348"/>
      <c r="H1831" s="348"/>
      <c r="I1831" s="348"/>
      <c r="J1831" s="348"/>
      <c r="K1831" s="348"/>
      <c r="L1831" s="86">
        <v>10113.24</v>
      </c>
      <c r="M1831" s="87"/>
      <c r="N1831" s="88">
        <v>162016.01</v>
      </c>
    </row>
    <row r="1832" spans="1:14" x14ac:dyDescent="0.25">
      <c r="A1832" s="85"/>
      <c r="B1832" s="41"/>
      <c r="C1832" s="348" t="s">
        <v>186</v>
      </c>
      <c r="D1832" s="348"/>
      <c r="E1832" s="348"/>
      <c r="F1832" s="348"/>
      <c r="G1832" s="348"/>
      <c r="H1832" s="348"/>
      <c r="I1832" s="348"/>
      <c r="J1832" s="348"/>
      <c r="K1832" s="348"/>
      <c r="L1832" s="86">
        <v>7872792.6699999999</v>
      </c>
      <c r="M1832" s="87"/>
      <c r="N1832" s="88">
        <v>77557565.579999998</v>
      </c>
    </row>
    <row r="1833" spans="1:14" x14ac:dyDescent="0.25">
      <c r="A1833" s="85"/>
      <c r="B1833" s="41"/>
      <c r="C1833" s="348" t="s">
        <v>187</v>
      </c>
      <c r="D1833" s="348"/>
      <c r="E1833" s="348"/>
      <c r="F1833" s="348"/>
      <c r="G1833" s="348"/>
      <c r="H1833" s="348"/>
      <c r="I1833" s="348"/>
      <c r="J1833" s="348"/>
      <c r="K1833" s="348"/>
      <c r="L1833" s="86">
        <v>7860625.2699999996</v>
      </c>
      <c r="M1833" s="87"/>
      <c r="N1833" s="88">
        <v>77363278.739999995</v>
      </c>
    </row>
    <row r="1834" spans="1:14" x14ac:dyDescent="0.25">
      <c r="A1834" s="85"/>
      <c r="B1834" s="41"/>
      <c r="C1834" s="348" t="s">
        <v>188</v>
      </c>
      <c r="D1834" s="348"/>
      <c r="E1834" s="348"/>
      <c r="F1834" s="348"/>
      <c r="G1834" s="348"/>
      <c r="H1834" s="348"/>
      <c r="I1834" s="348"/>
      <c r="J1834" s="348"/>
      <c r="K1834" s="348"/>
      <c r="L1834" s="89"/>
      <c r="M1834" s="87"/>
      <c r="N1834" s="90"/>
    </row>
    <row r="1835" spans="1:14" x14ac:dyDescent="0.25">
      <c r="A1835" s="85"/>
      <c r="B1835" s="41"/>
      <c r="C1835" s="348" t="s">
        <v>189</v>
      </c>
      <c r="D1835" s="348"/>
      <c r="E1835" s="348"/>
      <c r="F1835" s="348"/>
      <c r="G1835" s="348"/>
      <c r="H1835" s="348"/>
      <c r="I1835" s="348"/>
      <c r="J1835" s="348"/>
      <c r="K1835" s="348"/>
      <c r="L1835" s="86">
        <v>13100.49</v>
      </c>
      <c r="M1835" s="87"/>
      <c r="N1835" s="88">
        <v>683976.57</v>
      </c>
    </row>
    <row r="1836" spans="1:14" x14ac:dyDescent="0.25">
      <c r="A1836" s="85"/>
      <c r="B1836" s="41"/>
      <c r="C1836" s="348" t="s">
        <v>190</v>
      </c>
      <c r="D1836" s="348"/>
      <c r="E1836" s="348"/>
      <c r="F1836" s="348"/>
      <c r="G1836" s="348"/>
      <c r="H1836" s="348"/>
      <c r="I1836" s="348"/>
      <c r="J1836" s="348"/>
      <c r="K1836" s="348"/>
      <c r="L1836" s="86">
        <v>120087.91</v>
      </c>
      <c r="M1836" s="87"/>
      <c r="N1836" s="88">
        <v>1886581.03</v>
      </c>
    </row>
    <row r="1837" spans="1:14" x14ac:dyDescent="0.25">
      <c r="A1837" s="85"/>
      <c r="B1837" s="41"/>
      <c r="C1837" s="348" t="s">
        <v>191</v>
      </c>
      <c r="D1837" s="348"/>
      <c r="E1837" s="348"/>
      <c r="F1837" s="348"/>
      <c r="G1837" s="348"/>
      <c r="H1837" s="348"/>
      <c r="I1837" s="348"/>
      <c r="J1837" s="348"/>
      <c r="K1837" s="348"/>
      <c r="L1837" s="86">
        <v>5858.36</v>
      </c>
      <c r="M1837" s="87"/>
      <c r="N1837" s="88">
        <v>305864.93</v>
      </c>
    </row>
    <row r="1838" spans="1:14" x14ac:dyDescent="0.25">
      <c r="A1838" s="85"/>
      <c r="B1838" s="41"/>
      <c r="C1838" s="348" t="s">
        <v>192</v>
      </c>
      <c r="D1838" s="348"/>
      <c r="E1838" s="348"/>
      <c r="F1838" s="348"/>
      <c r="G1838" s="348"/>
      <c r="H1838" s="348"/>
      <c r="I1838" s="348"/>
      <c r="J1838" s="348"/>
      <c r="K1838" s="348"/>
      <c r="L1838" s="86">
        <v>7695317.5199999996</v>
      </c>
      <c r="M1838" s="87"/>
      <c r="N1838" s="88">
        <v>73115766.049999997</v>
      </c>
    </row>
    <row r="1839" spans="1:14" x14ac:dyDescent="0.25">
      <c r="A1839" s="85"/>
      <c r="B1839" s="41"/>
      <c r="C1839" s="348" t="s">
        <v>193</v>
      </c>
      <c r="D1839" s="348"/>
      <c r="E1839" s="348"/>
      <c r="F1839" s="348"/>
      <c r="G1839" s="348"/>
      <c r="H1839" s="348"/>
      <c r="I1839" s="348"/>
      <c r="J1839" s="348"/>
      <c r="K1839" s="348"/>
      <c r="L1839" s="86">
        <v>21000.38</v>
      </c>
      <c r="M1839" s="87"/>
      <c r="N1839" s="88">
        <v>1096431.76</v>
      </c>
    </row>
    <row r="1840" spans="1:14" x14ac:dyDescent="0.25">
      <c r="A1840" s="85"/>
      <c r="B1840" s="41"/>
      <c r="C1840" s="348" t="s">
        <v>194</v>
      </c>
      <c r="D1840" s="348"/>
      <c r="E1840" s="348"/>
      <c r="F1840" s="348"/>
      <c r="G1840" s="348"/>
      <c r="H1840" s="348"/>
      <c r="I1840" s="348"/>
      <c r="J1840" s="348"/>
      <c r="K1840" s="348"/>
      <c r="L1840" s="86">
        <v>11118.97</v>
      </c>
      <c r="M1840" s="87"/>
      <c r="N1840" s="88">
        <v>580523.32999999996</v>
      </c>
    </row>
    <row r="1841" spans="1:14" x14ac:dyDescent="0.25">
      <c r="A1841" s="85"/>
      <c r="B1841" s="41"/>
      <c r="C1841" s="348" t="s">
        <v>195</v>
      </c>
      <c r="D1841" s="348"/>
      <c r="E1841" s="348"/>
      <c r="F1841" s="348"/>
      <c r="G1841" s="348"/>
      <c r="H1841" s="348"/>
      <c r="I1841" s="348"/>
      <c r="J1841" s="348"/>
      <c r="K1841" s="348"/>
      <c r="L1841" s="86">
        <v>10113.24</v>
      </c>
      <c r="M1841" s="87"/>
      <c r="N1841" s="88">
        <v>162016.01</v>
      </c>
    </row>
    <row r="1842" spans="1:14" x14ac:dyDescent="0.25">
      <c r="A1842" s="85"/>
      <c r="B1842" s="41"/>
      <c r="C1842" s="348" t="s">
        <v>196</v>
      </c>
      <c r="D1842" s="348"/>
      <c r="E1842" s="348"/>
      <c r="F1842" s="348"/>
      <c r="G1842" s="348"/>
      <c r="H1842" s="348"/>
      <c r="I1842" s="348"/>
      <c r="J1842" s="348"/>
      <c r="K1842" s="348"/>
      <c r="L1842" s="86">
        <v>2054.16</v>
      </c>
      <c r="M1842" s="87"/>
      <c r="N1842" s="88">
        <v>32270.83</v>
      </c>
    </row>
    <row r="1843" spans="1:14" x14ac:dyDescent="0.25">
      <c r="A1843" s="85"/>
      <c r="B1843" s="41"/>
      <c r="C1843" s="348" t="s">
        <v>297</v>
      </c>
      <c r="D1843" s="348"/>
      <c r="E1843" s="348"/>
      <c r="F1843" s="348"/>
      <c r="G1843" s="348"/>
      <c r="H1843" s="348"/>
      <c r="I1843" s="348"/>
      <c r="J1843" s="348"/>
      <c r="K1843" s="348"/>
      <c r="L1843" s="86">
        <v>8188.4</v>
      </c>
      <c r="M1843" s="87"/>
      <c r="N1843" s="88">
        <v>297004.88</v>
      </c>
    </row>
    <row r="1844" spans="1:14" x14ac:dyDescent="0.25">
      <c r="A1844" s="85"/>
      <c r="B1844" s="41"/>
      <c r="C1844" s="348" t="s">
        <v>177</v>
      </c>
      <c r="D1844" s="348"/>
      <c r="E1844" s="348"/>
      <c r="F1844" s="348"/>
      <c r="G1844" s="348"/>
      <c r="H1844" s="348"/>
      <c r="I1844" s="348"/>
      <c r="J1844" s="348"/>
      <c r="K1844" s="348"/>
      <c r="L1844" s="89"/>
      <c r="M1844" s="87"/>
      <c r="N1844" s="90"/>
    </row>
    <row r="1845" spans="1:14" x14ac:dyDescent="0.25">
      <c r="A1845" s="85"/>
      <c r="B1845" s="41"/>
      <c r="C1845" s="348" t="s">
        <v>298</v>
      </c>
      <c r="D1845" s="348"/>
      <c r="E1845" s="348"/>
      <c r="F1845" s="348"/>
      <c r="G1845" s="348"/>
      <c r="H1845" s="348"/>
      <c r="I1845" s="348"/>
      <c r="J1845" s="348"/>
      <c r="K1845" s="348"/>
      <c r="L1845" s="86">
        <v>2015.36</v>
      </c>
      <c r="M1845" s="87"/>
      <c r="N1845" s="88">
        <v>105221.92</v>
      </c>
    </row>
    <row r="1846" spans="1:14" x14ac:dyDescent="0.25">
      <c r="A1846" s="85"/>
      <c r="B1846" s="41"/>
      <c r="C1846" s="348" t="s">
        <v>299</v>
      </c>
      <c r="D1846" s="348"/>
      <c r="E1846" s="348"/>
      <c r="F1846" s="348"/>
      <c r="G1846" s="348"/>
      <c r="H1846" s="348"/>
      <c r="I1846" s="348"/>
      <c r="J1846" s="348"/>
      <c r="K1846" s="348"/>
      <c r="L1846" s="95">
        <v>966.24</v>
      </c>
      <c r="M1846" s="87"/>
      <c r="N1846" s="88">
        <v>15179.6</v>
      </c>
    </row>
    <row r="1847" spans="1:14" x14ac:dyDescent="0.25">
      <c r="A1847" s="85"/>
      <c r="B1847" s="41"/>
      <c r="C1847" s="348" t="s">
        <v>300</v>
      </c>
      <c r="D1847" s="348"/>
      <c r="E1847" s="348"/>
      <c r="F1847" s="348"/>
      <c r="G1847" s="348"/>
      <c r="H1847" s="348"/>
      <c r="I1847" s="348"/>
      <c r="J1847" s="348"/>
      <c r="K1847" s="348"/>
      <c r="L1847" s="95">
        <v>95.84</v>
      </c>
      <c r="M1847" s="87"/>
      <c r="N1847" s="88">
        <v>5003.84</v>
      </c>
    </row>
    <row r="1848" spans="1:14" x14ac:dyDescent="0.25">
      <c r="A1848" s="85"/>
      <c r="B1848" s="41"/>
      <c r="C1848" s="348" t="s">
        <v>301</v>
      </c>
      <c r="D1848" s="348"/>
      <c r="E1848" s="348"/>
      <c r="F1848" s="348"/>
      <c r="G1848" s="348"/>
      <c r="H1848" s="348"/>
      <c r="I1848" s="348"/>
      <c r="J1848" s="348"/>
      <c r="K1848" s="348"/>
      <c r="L1848" s="86">
        <v>2230</v>
      </c>
      <c r="M1848" s="87"/>
      <c r="N1848" s="88">
        <v>21185.040000000001</v>
      </c>
    </row>
    <row r="1849" spans="1:14" x14ac:dyDescent="0.25">
      <c r="A1849" s="85"/>
      <c r="B1849" s="41"/>
      <c r="C1849" s="348" t="s">
        <v>302</v>
      </c>
      <c r="D1849" s="348"/>
      <c r="E1849" s="348"/>
      <c r="F1849" s="348"/>
      <c r="G1849" s="348"/>
      <c r="H1849" s="348"/>
      <c r="I1849" s="348"/>
      <c r="J1849" s="348"/>
      <c r="K1849" s="348"/>
      <c r="L1849" s="86">
        <v>1942.32</v>
      </c>
      <c r="M1849" s="87"/>
      <c r="N1849" s="88">
        <v>101407.67999999999</v>
      </c>
    </row>
    <row r="1850" spans="1:14" x14ac:dyDescent="0.25">
      <c r="A1850" s="85"/>
      <c r="B1850" s="41"/>
      <c r="C1850" s="348" t="s">
        <v>303</v>
      </c>
      <c r="D1850" s="348"/>
      <c r="E1850" s="348"/>
      <c r="F1850" s="348"/>
      <c r="G1850" s="348"/>
      <c r="H1850" s="348"/>
      <c r="I1850" s="348"/>
      <c r="J1850" s="348"/>
      <c r="K1850" s="348"/>
      <c r="L1850" s="86">
        <v>1034.48</v>
      </c>
      <c r="M1850" s="87"/>
      <c r="N1850" s="88">
        <v>54010.64</v>
      </c>
    </row>
    <row r="1851" spans="1:14" x14ac:dyDescent="0.25">
      <c r="A1851" s="85"/>
      <c r="B1851" s="81"/>
      <c r="C1851" s="349" t="s">
        <v>498</v>
      </c>
      <c r="D1851" s="349"/>
      <c r="E1851" s="349"/>
      <c r="F1851" s="349"/>
      <c r="G1851" s="349"/>
      <c r="H1851" s="349"/>
      <c r="I1851" s="349"/>
      <c r="J1851" s="349"/>
      <c r="K1851" s="349"/>
      <c r="L1851" s="91">
        <v>7880981.0700000003</v>
      </c>
      <c r="M1851" s="83"/>
      <c r="N1851" s="92">
        <v>77854570.459999993</v>
      </c>
    </row>
    <row r="1852" spans="1:14" x14ac:dyDescent="0.25">
      <c r="A1852" s="85"/>
      <c r="B1852" s="41"/>
      <c r="C1852" s="348" t="s">
        <v>197</v>
      </c>
      <c r="D1852" s="348"/>
      <c r="E1852" s="348"/>
      <c r="F1852" s="348"/>
      <c r="G1852" s="348"/>
      <c r="H1852" s="348"/>
      <c r="I1852" s="348"/>
      <c r="J1852" s="348"/>
      <c r="K1852" s="348"/>
      <c r="L1852" s="86">
        <v>21070.05</v>
      </c>
      <c r="M1852" s="87"/>
      <c r="N1852" s="88">
        <v>1100067.26</v>
      </c>
    </row>
    <row r="1853" spans="1:14" x14ac:dyDescent="0.25">
      <c r="A1853" s="85"/>
      <c r="B1853" s="41"/>
      <c r="C1853" s="348" t="s">
        <v>198</v>
      </c>
      <c r="D1853" s="348"/>
      <c r="E1853" s="348"/>
      <c r="F1853" s="348"/>
      <c r="G1853" s="348"/>
      <c r="H1853" s="348"/>
      <c r="I1853" s="348"/>
      <c r="J1853" s="348"/>
      <c r="K1853" s="348"/>
      <c r="L1853" s="86">
        <v>22942.7</v>
      </c>
      <c r="M1853" s="87"/>
      <c r="N1853" s="88">
        <v>1197839.44</v>
      </c>
    </row>
    <row r="1854" spans="1:14" x14ac:dyDescent="0.25">
      <c r="A1854" s="85"/>
      <c r="B1854" s="41"/>
      <c r="C1854" s="348" t="s">
        <v>199</v>
      </c>
      <c r="D1854" s="348"/>
      <c r="E1854" s="348"/>
      <c r="F1854" s="348"/>
      <c r="G1854" s="348"/>
      <c r="H1854" s="348"/>
      <c r="I1854" s="348"/>
      <c r="J1854" s="348"/>
      <c r="K1854" s="348"/>
      <c r="L1854" s="86">
        <v>12153.45</v>
      </c>
      <c r="M1854" s="87"/>
      <c r="N1854" s="88">
        <v>634533.97</v>
      </c>
    </row>
    <row r="1855" spans="1:14" x14ac:dyDescent="0.25">
      <c r="A1855" s="85"/>
      <c r="B1855" s="41"/>
      <c r="C1855" s="348" t="s">
        <v>499</v>
      </c>
      <c r="D1855" s="348"/>
      <c r="E1855" s="348"/>
      <c r="F1855" s="348"/>
      <c r="G1855" s="348"/>
      <c r="H1855" s="348"/>
      <c r="I1855" s="348"/>
      <c r="J1855" s="348"/>
      <c r="K1855" s="348"/>
      <c r="L1855" s="86">
        <v>1576196.21</v>
      </c>
      <c r="M1855" s="87"/>
      <c r="N1855" s="88">
        <v>15570914.09</v>
      </c>
    </row>
    <row r="1856" spans="1:14" x14ac:dyDescent="0.25">
      <c r="A1856" s="85"/>
      <c r="B1856" s="81"/>
      <c r="C1856" s="349" t="s">
        <v>500</v>
      </c>
      <c r="D1856" s="349"/>
      <c r="E1856" s="349"/>
      <c r="F1856" s="349"/>
      <c r="G1856" s="349"/>
      <c r="H1856" s="349"/>
      <c r="I1856" s="349"/>
      <c r="J1856" s="349"/>
      <c r="K1856" s="349"/>
      <c r="L1856" s="91">
        <v>9457177.2799999993</v>
      </c>
      <c r="M1856" s="83"/>
      <c r="N1856" s="92">
        <v>93425484.549999997</v>
      </c>
    </row>
    <row r="1857" spans="1:14" x14ac:dyDescent="0.25">
      <c r="A1857" s="98"/>
      <c r="B1857" s="79"/>
      <c r="C1857" s="77"/>
      <c r="D1857" s="77"/>
      <c r="E1857" s="77"/>
      <c r="F1857" s="77"/>
      <c r="G1857" s="77"/>
      <c r="H1857" s="77"/>
      <c r="I1857" s="77"/>
      <c r="J1857" s="77"/>
      <c r="K1857" s="77"/>
      <c r="L1857" s="103"/>
      <c r="M1857" s="104"/>
      <c r="N1857" s="105"/>
    </row>
    <row r="1858" spans="1:14" x14ac:dyDescent="0.25">
      <c r="A1858" s="106"/>
      <c r="B1858" s="107"/>
      <c r="C1858" s="107"/>
      <c r="D1858" s="107"/>
      <c r="E1858" s="107"/>
      <c r="F1858" s="107"/>
      <c r="G1858" s="107"/>
      <c r="H1858" s="107"/>
      <c r="I1858" s="107"/>
      <c r="J1858" s="107"/>
      <c r="K1858" s="107"/>
      <c r="L1858" s="107"/>
      <c r="M1858" s="107"/>
      <c r="N1858" s="107"/>
    </row>
    <row r="1859" spans="1:14" x14ac:dyDescent="0.25">
      <c r="A1859" s="3"/>
      <c r="B1859" s="89" t="s">
        <v>501</v>
      </c>
      <c r="C1859" s="345" t="s">
        <v>515</v>
      </c>
      <c r="D1859" s="345"/>
      <c r="E1859" s="345"/>
      <c r="F1859" s="345"/>
      <c r="G1859" s="345"/>
      <c r="H1859" s="346"/>
      <c r="I1859" s="346"/>
      <c r="J1859" s="346"/>
      <c r="K1859" s="346"/>
      <c r="L1859" s="346"/>
    </row>
    <row r="1860" spans="1:14" x14ac:dyDescent="0.25">
      <c r="A1860" s="5"/>
      <c r="B1860" s="108"/>
      <c r="C1860" s="347" t="s">
        <v>514</v>
      </c>
      <c r="D1860" s="347"/>
      <c r="E1860" s="347"/>
      <c r="F1860" s="347"/>
      <c r="G1860" s="347"/>
      <c r="H1860" s="347"/>
      <c r="I1860" s="347"/>
      <c r="J1860" s="347"/>
      <c r="K1860" s="347"/>
      <c r="L1860" s="347"/>
      <c r="M1860" s="108"/>
      <c r="N1860" s="108"/>
    </row>
    <row r="1862" spans="1:14" ht="33" customHeight="1" x14ac:dyDescent="0.25">
      <c r="A1862" s="344" t="s">
        <v>502</v>
      </c>
      <c r="B1862" s="344"/>
      <c r="C1862" s="344"/>
      <c r="D1862" s="344"/>
      <c r="E1862" s="344"/>
      <c r="F1862" s="344"/>
      <c r="G1862" s="344"/>
      <c r="H1862" s="344"/>
      <c r="I1862" s="344"/>
      <c r="J1862" s="344"/>
      <c r="K1862" s="344"/>
      <c r="L1862" s="344"/>
      <c r="M1862" s="344"/>
      <c r="N1862" s="344"/>
    </row>
    <row r="1863" spans="1:14" x14ac:dyDescent="0.25">
      <c r="A1863" s="344" t="s">
        <v>503</v>
      </c>
      <c r="B1863" s="344"/>
      <c r="C1863" s="344"/>
      <c r="D1863" s="344"/>
      <c r="E1863" s="344"/>
      <c r="F1863" s="344"/>
      <c r="G1863" s="344"/>
      <c r="H1863" s="344"/>
      <c r="I1863" s="344"/>
      <c r="J1863" s="344"/>
      <c r="K1863" s="344"/>
      <c r="L1863" s="344"/>
      <c r="M1863" s="344"/>
      <c r="N1863" s="344"/>
    </row>
    <row r="1864" spans="1:14" x14ac:dyDescent="0.25">
      <c r="A1864" s="344" t="s">
        <v>504</v>
      </c>
      <c r="B1864" s="344"/>
      <c r="C1864" s="344"/>
      <c r="D1864" s="344"/>
      <c r="E1864" s="344"/>
      <c r="F1864" s="344"/>
      <c r="G1864" s="344"/>
      <c r="H1864" s="344"/>
      <c r="I1864" s="344"/>
      <c r="J1864" s="344"/>
      <c r="K1864" s="344"/>
      <c r="L1864" s="344"/>
      <c r="M1864" s="344"/>
      <c r="N1864" s="344"/>
    </row>
  </sheetData>
  <autoFilter ref="A47:N1820" xr:uid="{00000000-0001-0000-0000-000000000000}">
    <filterColumn colId="0">
      <customFilters>
        <customFilter operator="notEqual" val=" "/>
      </customFilters>
    </filterColumn>
    <filterColumn colId="2" showButton="0"/>
    <filterColumn colId="3" showButton="0"/>
  </autoFilter>
  <mergeCells count="1838">
    <mergeCell ref="C58:E58"/>
    <mergeCell ref="C59:E59"/>
    <mergeCell ref="C60:E60"/>
    <mergeCell ref="C52:E52"/>
    <mergeCell ref="C53:E53"/>
    <mergeCell ref="C54:E54"/>
    <mergeCell ref="C55:E55"/>
    <mergeCell ref="C56:E56"/>
    <mergeCell ref="C57:E57"/>
    <mergeCell ref="C44:E46"/>
    <mergeCell ref="F44:F46"/>
    <mergeCell ref="G44:I45"/>
    <mergeCell ref="J44:L45"/>
    <mergeCell ref="M44:M46"/>
    <mergeCell ref="C47:E47"/>
    <mergeCell ref="A48:N48"/>
    <mergeCell ref="C49:E49"/>
    <mergeCell ref="C50:E50"/>
    <mergeCell ref="C51:E51"/>
    <mergeCell ref="L40:M40"/>
    <mergeCell ref="L41:M41"/>
    <mergeCell ref="L42:M42"/>
    <mergeCell ref="A44:A46"/>
    <mergeCell ref="B44:B46"/>
    <mergeCell ref="C76:E76"/>
    <mergeCell ref="C77:E77"/>
    <mergeCell ref="C78:E78"/>
    <mergeCell ref="C79:E79"/>
    <mergeCell ref="C80:E80"/>
    <mergeCell ref="J1:K1"/>
    <mergeCell ref="J2:K2"/>
    <mergeCell ref="A22:N22"/>
    <mergeCell ref="A23:N23"/>
    <mergeCell ref="A25:N25"/>
    <mergeCell ref="A26:N26"/>
    <mergeCell ref="A27:N27"/>
    <mergeCell ref="A29:N29"/>
    <mergeCell ref="A18:F18"/>
    <mergeCell ref="G18:N18"/>
    <mergeCell ref="A19:F19"/>
    <mergeCell ref="G19:N19"/>
    <mergeCell ref="A20:F20"/>
    <mergeCell ref="G20:N20"/>
    <mergeCell ref="G14:N14"/>
    <mergeCell ref="G15:N15"/>
    <mergeCell ref="A16:F16"/>
    <mergeCell ref="G16:N16"/>
    <mergeCell ref="A17:F17"/>
    <mergeCell ref="G17:N17"/>
    <mergeCell ref="A30:N30"/>
    <mergeCell ref="B32:F32"/>
    <mergeCell ref="B33:F33"/>
    <mergeCell ref="D35:F35"/>
    <mergeCell ref="N44:N46"/>
    <mergeCell ref="C62:E62"/>
    <mergeCell ref="C63:E63"/>
    <mergeCell ref="C61:E61"/>
    <mergeCell ref="C94:E94"/>
    <mergeCell ref="C95:E95"/>
    <mergeCell ref="C96:E96"/>
    <mergeCell ref="C97:E97"/>
    <mergeCell ref="C98:E98"/>
    <mergeCell ref="C99:E99"/>
    <mergeCell ref="C88:E88"/>
    <mergeCell ref="C89:E89"/>
    <mergeCell ref="C90:E90"/>
    <mergeCell ref="C91:E91"/>
    <mergeCell ref="C92:E92"/>
    <mergeCell ref="C93:E93"/>
    <mergeCell ref="C82:E82"/>
    <mergeCell ref="C83:E83"/>
    <mergeCell ref="C84:E84"/>
    <mergeCell ref="C85:E85"/>
    <mergeCell ref="C86:E86"/>
    <mergeCell ref="C87:E87"/>
    <mergeCell ref="C81:E81"/>
    <mergeCell ref="C70:E70"/>
    <mergeCell ref="C71:E71"/>
    <mergeCell ref="C72:E72"/>
    <mergeCell ref="C73:E73"/>
    <mergeCell ref="C74:E74"/>
    <mergeCell ref="C75:E75"/>
    <mergeCell ref="C64:E64"/>
    <mergeCell ref="C65:E65"/>
    <mergeCell ref="C66:E66"/>
    <mergeCell ref="C67:E67"/>
    <mergeCell ref="C68:E68"/>
    <mergeCell ref="C69:E69"/>
    <mergeCell ref="C112:E112"/>
    <mergeCell ref="C113:E113"/>
    <mergeCell ref="C114:E114"/>
    <mergeCell ref="C115:E115"/>
    <mergeCell ref="C116:E116"/>
    <mergeCell ref="C117:E117"/>
    <mergeCell ref="C106:E106"/>
    <mergeCell ref="C107:E107"/>
    <mergeCell ref="C108:E108"/>
    <mergeCell ref="C109:E109"/>
    <mergeCell ref="C110:E110"/>
    <mergeCell ref="C111:E111"/>
    <mergeCell ref="C100:E100"/>
    <mergeCell ref="C101:E101"/>
    <mergeCell ref="C102:E102"/>
    <mergeCell ref="C103:N103"/>
    <mergeCell ref="C104:N104"/>
    <mergeCell ref="C105:E105"/>
    <mergeCell ref="C130:N130"/>
    <mergeCell ref="C131:N131"/>
    <mergeCell ref="C132:N132"/>
    <mergeCell ref="C133:E133"/>
    <mergeCell ref="C134:E134"/>
    <mergeCell ref="C135:E135"/>
    <mergeCell ref="C124:N124"/>
    <mergeCell ref="C125:N125"/>
    <mergeCell ref="C126:E126"/>
    <mergeCell ref="C127:E127"/>
    <mergeCell ref="C128:E128"/>
    <mergeCell ref="C129:E129"/>
    <mergeCell ref="C118:E118"/>
    <mergeCell ref="C119:E119"/>
    <mergeCell ref="C120:E120"/>
    <mergeCell ref="C121:E121"/>
    <mergeCell ref="C122:E122"/>
    <mergeCell ref="C123:N123"/>
    <mergeCell ref="C148:E148"/>
    <mergeCell ref="C149:N149"/>
    <mergeCell ref="C150:N150"/>
    <mergeCell ref="C151:N151"/>
    <mergeCell ref="C152:E152"/>
    <mergeCell ref="C153:E153"/>
    <mergeCell ref="C142:E142"/>
    <mergeCell ref="C143:E143"/>
    <mergeCell ref="C144:N144"/>
    <mergeCell ref="C145:N145"/>
    <mergeCell ref="C146:N146"/>
    <mergeCell ref="C147:E147"/>
    <mergeCell ref="C136:E136"/>
    <mergeCell ref="C137:N137"/>
    <mergeCell ref="C138:N138"/>
    <mergeCell ref="C139:N139"/>
    <mergeCell ref="C140:E140"/>
    <mergeCell ref="C141:E141"/>
    <mergeCell ref="C166:E166"/>
    <mergeCell ref="C167:E167"/>
    <mergeCell ref="C168:E168"/>
    <mergeCell ref="C169:E169"/>
    <mergeCell ref="C170:E170"/>
    <mergeCell ref="C171:E171"/>
    <mergeCell ref="C160:E160"/>
    <mergeCell ref="C161:E161"/>
    <mergeCell ref="C162:E162"/>
    <mergeCell ref="C163:E163"/>
    <mergeCell ref="C164:E164"/>
    <mergeCell ref="C165:E165"/>
    <mergeCell ref="C154:E154"/>
    <mergeCell ref="C155:E155"/>
    <mergeCell ref="C156:E156"/>
    <mergeCell ref="C157:E157"/>
    <mergeCell ref="C158:E158"/>
    <mergeCell ref="C159:E159"/>
    <mergeCell ref="C185:K185"/>
    <mergeCell ref="C186:K186"/>
    <mergeCell ref="C187:K187"/>
    <mergeCell ref="C188:K188"/>
    <mergeCell ref="C189:K189"/>
    <mergeCell ref="C190:K190"/>
    <mergeCell ref="C178:E178"/>
    <mergeCell ref="C179:E179"/>
    <mergeCell ref="C180:E180"/>
    <mergeCell ref="C181:E181"/>
    <mergeCell ref="C183:K183"/>
    <mergeCell ref="C184:K184"/>
    <mergeCell ref="C172:E172"/>
    <mergeCell ref="A173:N173"/>
    <mergeCell ref="C174:E174"/>
    <mergeCell ref="C175:E175"/>
    <mergeCell ref="C176:E176"/>
    <mergeCell ref="C177:E177"/>
    <mergeCell ref="C203:K203"/>
    <mergeCell ref="C204:K204"/>
    <mergeCell ref="C205:K205"/>
    <mergeCell ref="C206:K206"/>
    <mergeCell ref="C207:K207"/>
    <mergeCell ref="C208:K208"/>
    <mergeCell ref="C197:K197"/>
    <mergeCell ref="C198:K198"/>
    <mergeCell ref="C199:K199"/>
    <mergeCell ref="C200:K200"/>
    <mergeCell ref="C201:K201"/>
    <mergeCell ref="C202:K202"/>
    <mergeCell ref="C191:K191"/>
    <mergeCell ref="C192:K192"/>
    <mergeCell ref="C193:K193"/>
    <mergeCell ref="C194:K194"/>
    <mergeCell ref="C195:K195"/>
    <mergeCell ref="C196:K196"/>
    <mergeCell ref="C221:E221"/>
    <mergeCell ref="C222:E222"/>
    <mergeCell ref="C223:E223"/>
    <mergeCell ref="C224:E224"/>
    <mergeCell ref="C225:E225"/>
    <mergeCell ref="C226:E226"/>
    <mergeCell ref="C215:E215"/>
    <mergeCell ref="C216:E216"/>
    <mergeCell ref="C217:E217"/>
    <mergeCell ref="C218:E218"/>
    <mergeCell ref="C219:E219"/>
    <mergeCell ref="C220:E220"/>
    <mergeCell ref="C209:K209"/>
    <mergeCell ref="C210:H210"/>
    <mergeCell ref="C211:H211"/>
    <mergeCell ref="A212:N212"/>
    <mergeCell ref="C213:E213"/>
    <mergeCell ref="C214:E214"/>
    <mergeCell ref="C240:K240"/>
    <mergeCell ref="C241:K241"/>
    <mergeCell ref="C242:K242"/>
    <mergeCell ref="C243:K243"/>
    <mergeCell ref="C244:K244"/>
    <mergeCell ref="C245:K245"/>
    <mergeCell ref="C234:K234"/>
    <mergeCell ref="C235:K235"/>
    <mergeCell ref="C236:K236"/>
    <mergeCell ref="C237:K237"/>
    <mergeCell ref="C238:K238"/>
    <mergeCell ref="C239:K239"/>
    <mergeCell ref="C227:E227"/>
    <mergeCell ref="C228:E228"/>
    <mergeCell ref="C229:E229"/>
    <mergeCell ref="C231:K231"/>
    <mergeCell ref="C232:K232"/>
    <mergeCell ref="C233:K233"/>
    <mergeCell ref="C258:H258"/>
    <mergeCell ref="C259:H259"/>
    <mergeCell ref="A260:N260"/>
    <mergeCell ref="C261:E261"/>
    <mergeCell ref="C262:E262"/>
    <mergeCell ref="C263:E263"/>
    <mergeCell ref="C252:K252"/>
    <mergeCell ref="C253:K253"/>
    <mergeCell ref="C254:K254"/>
    <mergeCell ref="C255:K255"/>
    <mergeCell ref="C256:K256"/>
    <mergeCell ref="C257:K257"/>
    <mergeCell ref="C246:K246"/>
    <mergeCell ref="C247:K247"/>
    <mergeCell ref="C248:K248"/>
    <mergeCell ref="C249:K249"/>
    <mergeCell ref="C250:K250"/>
    <mergeCell ref="C251:K251"/>
    <mergeCell ref="C276:E276"/>
    <mergeCell ref="C277:E277"/>
    <mergeCell ref="C279:K279"/>
    <mergeCell ref="C280:K280"/>
    <mergeCell ref="C281:K281"/>
    <mergeCell ref="C282:K282"/>
    <mergeCell ref="C270:E270"/>
    <mergeCell ref="C271:E271"/>
    <mergeCell ref="C272:E272"/>
    <mergeCell ref="C273:E273"/>
    <mergeCell ref="C274:E274"/>
    <mergeCell ref="C275:E275"/>
    <mergeCell ref="C264:E264"/>
    <mergeCell ref="C265:E265"/>
    <mergeCell ref="C266:E266"/>
    <mergeCell ref="C267:E267"/>
    <mergeCell ref="C268:E268"/>
    <mergeCell ref="C269:E269"/>
    <mergeCell ref="C295:K295"/>
    <mergeCell ref="C296:K296"/>
    <mergeCell ref="C297:K297"/>
    <mergeCell ref="C298:K298"/>
    <mergeCell ref="C299:K299"/>
    <mergeCell ref="C300:K300"/>
    <mergeCell ref="C289:K289"/>
    <mergeCell ref="C290:K290"/>
    <mergeCell ref="C291:K291"/>
    <mergeCell ref="C292:K292"/>
    <mergeCell ref="C293:K293"/>
    <mergeCell ref="C294:K294"/>
    <mergeCell ref="C283:K283"/>
    <mergeCell ref="C284:K284"/>
    <mergeCell ref="C285:K285"/>
    <mergeCell ref="C286:K286"/>
    <mergeCell ref="C287:K287"/>
    <mergeCell ref="C288:K288"/>
    <mergeCell ref="C313:E313"/>
    <mergeCell ref="C314:E314"/>
    <mergeCell ref="C315:E315"/>
    <mergeCell ref="C316:E316"/>
    <mergeCell ref="C317:E317"/>
    <mergeCell ref="C318:E318"/>
    <mergeCell ref="C307:H307"/>
    <mergeCell ref="A308:N308"/>
    <mergeCell ref="C309:E309"/>
    <mergeCell ref="C310:E310"/>
    <mergeCell ref="C311:E311"/>
    <mergeCell ref="C312:E312"/>
    <mergeCell ref="C301:K301"/>
    <mergeCell ref="C302:K302"/>
    <mergeCell ref="C303:K303"/>
    <mergeCell ref="C304:K304"/>
    <mergeCell ref="C305:K305"/>
    <mergeCell ref="C306:H306"/>
    <mergeCell ref="C332:K332"/>
    <mergeCell ref="C333:K333"/>
    <mergeCell ref="C334:K334"/>
    <mergeCell ref="C335:K335"/>
    <mergeCell ref="C336:K336"/>
    <mergeCell ref="C337:K337"/>
    <mergeCell ref="C325:E325"/>
    <mergeCell ref="C327:K327"/>
    <mergeCell ref="C328:K328"/>
    <mergeCell ref="C329:K329"/>
    <mergeCell ref="C330:K330"/>
    <mergeCell ref="C331:K331"/>
    <mergeCell ref="C319:E319"/>
    <mergeCell ref="C320:E320"/>
    <mergeCell ref="C321:E321"/>
    <mergeCell ref="C322:E322"/>
    <mergeCell ref="C323:E323"/>
    <mergeCell ref="C324:E324"/>
    <mergeCell ref="C350:K350"/>
    <mergeCell ref="C351:K351"/>
    <mergeCell ref="C352:K352"/>
    <mergeCell ref="C353:K353"/>
    <mergeCell ref="C354:H354"/>
    <mergeCell ref="C355:H355"/>
    <mergeCell ref="C344:K344"/>
    <mergeCell ref="C345:K345"/>
    <mergeCell ref="C346:K346"/>
    <mergeCell ref="C347:K347"/>
    <mergeCell ref="C348:K348"/>
    <mergeCell ref="C349:K349"/>
    <mergeCell ref="C338:K338"/>
    <mergeCell ref="C339:K339"/>
    <mergeCell ref="C340:K340"/>
    <mergeCell ref="C341:K341"/>
    <mergeCell ref="C342:K342"/>
    <mergeCell ref="C343:K343"/>
    <mergeCell ref="C368:E368"/>
    <mergeCell ref="C369:E369"/>
    <mergeCell ref="C370:E370"/>
    <mergeCell ref="C371:E371"/>
    <mergeCell ref="C372:E372"/>
    <mergeCell ref="C373:E373"/>
    <mergeCell ref="C362:E362"/>
    <mergeCell ref="C363:E363"/>
    <mergeCell ref="C364:E364"/>
    <mergeCell ref="C365:E365"/>
    <mergeCell ref="C366:E366"/>
    <mergeCell ref="C367:E367"/>
    <mergeCell ref="A356:N356"/>
    <mergeCell ref="C357:E357"/>
    <mergeCell ref="C358:E358"/>
    <mergeCell ref="C359:E359"/>
    <mergeCell ref="C360:E360"/>
    <mergeCell ref="C361:E361"/>
    <mergeCell ref="C386:E386"/>
    <mergeCell ref="C387:E387"/>
    <mergeCell ref="C388:E388"/>
    <mergeCell ref="C389:E389"/>
    <mergeCell ref="C390:E390"/>
    <mergeCell ref="C391:E391"/>
    <mergeCell ref="C380:E380"/>
    <mergeCell ref="C381:E381"/>
    <mergeCell ref="C382:E382"/>
    <mergeCell ref="C383:E383"/>
    <mergeCell ref="C384:E384"/>
    <mergeCell ref="C385:E385"/>
    <mergeCell ref="C374:E374"/>
    <mergeCell ref="C375:E375"/>
    <mergeCell ref="C376:E376"/>
    <mergeCell ref="C377:E377"/>
    <mergeCell ref="C378:E378"/>
    <mergeCell ref="C379:E379"/>
    <mergeCell ref="C404:N404"/>
    <mergeCell ref="C405:E405"/>
    <mergeCell ref="C406:E406"/>
    <mergeCell ref="C407:E407"/>
    <mergeCell ref="C408:E408"/>
    <mergeCell ref="C409:E409"/>
    <mergeCell ref="C398:E398"/>
    <mergeCell ref="C399:E399"/>
    <mergeCell ref="C400:E400"/>
    <mergeCell ref="C401:E401"/>
    <mergeCell ref="C402:E402"/>
    <mergeCell ref="C403:N403"/>
    <mergeCell ref="C392:E392"/>
    <mergeCell ref="C393:E393"/>
    <mergeCell ref="C394:E394"/>
    <mergeCell ref="C395:E395"/>
    <mergeCell ref="C396:E396"/>
    <mergeCell ref="C397:E397"/>
    <mergeCell ref="C422:E422"/>
    <mergeCell ref="C423:N423"/>
    <mergeCell ref="C424:N424"/>
    <mergeCell ref="C425:N425"/>
    <mergeCell ref="C426:E426"/>
    <mergeCell ref="C427:E427"/>
    <mergeCell ref="C416:E416"/>
    <mergeCell ref="C417:E417"/>
    <mergeCell ref="C418:N418"/>
    <mergeCell ref="C419:N419"/>
    <mergeCell ref="C420:N420"/>
    <mergeCell ref="C421:E421"/>
    <mergeCell ref="C410:E410"/>
    <mergeCell ref="C411:E411"/>
    <mergeCell ref="C412:E412"/>
    <mergeCell ref="C413:E413"/>
    <mergeCell ref="C414:E414"/>
    <mergeCell ref="C415:E415"/>
    <mergeCell ref="C440:E440"/>
    <mergeCell ref="C441:E441"/>
    <mergeCell ref="C442:N442"/>
    <mergeCell ref="C443:N443"/>
    <mergeCell ref="C444:N444"/>
    <mergeCell ref="C445:E445"/>
    <mergeCell ref="C434:E434"/>
    <mergeCell ref="C435:E435"/>
    <mergeCell ref="C436:E436"/>
    <mergeCell ref="C437:E437"/>
    <mergeCell ref="C438:E438"/>
    <mergeCell ref="C439:E439"/>
    <mergeCell ref="C428:E428"/>
    <mergeCell ref="C429:E429"/>
    <mergeCell ref="C430:E430"/>
    <mergeCell ref="C431:E431"/>
    <mergeCell ref="C432:E432"/>
    <mergeCell ref="C433:E433"/>
    <mergeCell ref="C458:E458"/>
    <mergeCell ref="C459:E459"/>
    <mergeCell ref="C460:E460"/>
    <mergeCell ref="C461:E461"/>
    <mergeCell ref="C462:E462"/>
    <mergeCell ref="C463:E463"/>
    <mergeCell ref="C452:N452"/>
    <mergeCell ref="C453:N453"/>
    <mergeCell ref="C454:N454"/>
    <mergeCell ref="C455:E455"/>
    <mergeCell ref="C456:E456"/>
    <mergeCell ref="C457:E457"/>
    <mergeCell ref="C446:E446"/>
    <mergeCell ref="C447:N447"/>
    <mergeCell ref="C448:N448"/>
    <mergeCell ref="C449:N449"/>
    <mergeCell ref="C450:E450"/>
    <mergeCell ref="C451:E451"/>
    <mergeCell ref="C476:N476"/>
    <mergeCell ref="C477:N477"/>
    <mergeCell ref="C478:N478"/>
    <mergeCell ref="C479:E479"/>
    <mergeCell ref="C480:E480"/>
    <mergeCell ref="C481:E481"/>
    <mergeCell ref="C470:E470"/>
    <mergeCell ref="C471:N471"/>
    <mergeCell ref="C472:N472"/>
    <mergeCell ref="C473:N473"/>
    <mergeCell ref="C474:E474"/>
    <mergeCell ref="C475:E475"/>
    <mergeCell ref="C464:E464"/>
    <mergeCell ref="C465:E465"/>
    <mergeCell ref="C466:E466"/>
    <mergeCell ref="C467:E467"/>
    <mergeCell ref="C468:E468"/>
    <mergeCell ref="C469:E469"/>
    <mergeCell ref="C494:E494"/>
    <mergeCell ref="C495:E495"/>
    <mergeCell ref="C496:E496"/>
    <mergeCell ref="C497:E497"/>
    <mergeCell ref="C498:E498"/>
    <mergeCell ref="C499:E499"/>
    <mergeCell ref="C488:E488"/>
    <mergeCell ref="C489:E489"/>
    <mergeCell ref="C490:E490"/>
    <mergeCell ref="C491:E491"/>
    <mergeCell ref="A492:N492"/>
    <mergeCell ref="C493:E493"/>
    <mergeCell ref="C482:E482"/>
    <mergeCell ref="C483:E483"/>
    <mergeCell ref="C484:E484"/>
    <mergeCell ref="C485:E485"/>
    <mergeCell ref="C486:E486"/>
    <mergeCell ref="C487:E487"/>
    <mergeCell ref="C513:K513"/>
    <mergeCell ref="C514:K514"/>
    <mergeCell ref="C515:K515"/>
    <mergeCell ref="C516:K516"/>
    <mergeCell ref="C517:K517"/>
    <mergeCell ref="C518:K518"/>
    <mergeCell ref="C507:K507"/>
    <mergeCell ref="C508:K508"/>
    <mergeCell ref="C509:K509"/>
    <mergeCell ref="C510:K510"/>
    <mergeCell ref="C511:K511"/>
    <mergeCell ref="C512:K512"/>
    <mergeCell ref="C500:E500"/>
    <mergeCell ref="C502:K502"/>
    <mergeCell ref="C503:K503"/>
    <mergeCell ref="C504:K504"/>
    <mergeCell ref="C505:K505"/>
    <mergeCell ref="C506:K506"/>
    <mergeCell ref="C531:K531"/>
    <mergeCell ref="C532:K532"/>
    <mergeCell ref="C533:K533"/>
    <mergeCell ref="C534:K534"/>
    <mergeCell ref="C535:K535"/>
    <mergeCell ref="C536:K536"/>
    <mergeCell ref="C525:K525"/>
    <mergeCell ref="C526:K526"/>
    <mergeCell ref="C527:K527"/>
    <mergeCell ref="C528:K528"/>
    <mergeCell ref="C529:K529"/>
    <mergeCell ref="C530:K530"/>
    <mergeCell ref="C519:K519"/>
    <mergeCell ref="C520:K520"/>
    <mergeCell ref="C521:K521"/>
    <mergeCell ref="C522:K522"/>
    <mergeCell ref="C523:K523"/>
    <mergeCell ref="C524:K524"/>
    <mergeCell ref="C549:E549"/>
    <mergeCell ref="C550:E550"/>
    <mergeCell ref="C551:E551"/>
    <mergeCell ref="C552:E552"/>
    <mergeCell ref="C553:E553"/>
    <mergeCell ref="C554:E554"/>
    <mergeCell ref="C543:E543"/>
    <mergeCell ref="C544:E544"/>
    <mergeCell ref="C545:E545"/>
    <mergeCell ref="C546:E546"/>
    <mergeCell ref="C547:E547"/>
    <mergeCell ref="C548:E548"/>
    <mergeCell ref="C537:H537"/>
    <mergeCell ref="C538:H538"/>
    <mergeCell ref="A539:N539"/>
    <mergeCell ref="C540:E540"/>
    <mergeCell ref="C541:E541"/>
    <mergeCell ref="C542:E542"/>
    <mergeCell ref="C567:E567"/>
    <mergeCell ref="C568:E568"/>
    <mergeCell ref="C569:E569"/>
    <mergeCell ref="C570:E570"/>
    <mergeCell ref="C571:E571"/>
    <mergeCell ref="C572:E572"/>
    <mergeCell ref="C561:E561"/>
    <mergeCell ref="C562:E562"/>
    <mergeCell ref="C563:E563"/>
    <mergeCell ref="C564:E564"/>
    <mergeCell ref="C565:E565"/>
    <mergeCell ref="C566:E566"/>
    <mergeCell ref="C555:E555"/>
    <mergeCell ref="C556:E556"/>
    <mergeCell ref="C557:E557"/>
    <mergeCell ref="C558:E558"/>
    <mergeCell ref="C559:E559"/>
    <mergeCell ref="C560:E560"/>
    <mergeCell ref="C585:E585"/>
    <mergeCell ref="C586:N586"/>
    <mergeCell ref="C587:N587"/>
    <mergeCell ref="C588:E588"/>
    <mergeCell ref="C589:E589"/>
    <mergeCell ref="C590:E590"/>
    <mergeCell ref="C579:E579"/>
    <mergeCell ref="C580:E580"/>
    <mergeCell ref="C581:E581"/>
    <mergeCell ref="C582:E582"/>
    <mergeCell ref="C583:E583"/>
    <mergeCell ref="C584:E584"/>
    <mergeCell ref="C573:E573"/>
    <mergeCell ref="C574:E574"/>
    <mergeCell ref="C575:E575"/>
    <mergeCell ref="C576:E576"/>
    <mergeCell ref="C577:E577"/>
    <mergeCell ref="C578:E578"/>
    <mergeCell ref="C603:N603"/>
    <mergeCell ref="C604:E604"/>
    <mergeCell ref="C605:E605"/>
    <mergeCell ref="C606:N606"/>
    <mergeCell ref="C607:N607"/>
    <mergeCell ref="C608:N608"/>
    <mergeCell ref="C597:E597"/>
    <mergeCell ref="C598:E598"/>
    <mergeCell ref="C599:E599"/>
    <mergeCell ref="C600:E600"/>
    <mergeCell ref="C601:N601"/>
    <mergeCell ref="C602:N602"/>
    <mergeCell ref="C591:E591"/>
    <mergeCell ref="C592:E592"/>
    <mergeCell ref="C593:E593"/>
    <mergeCell ref="C594:E594"/>
    <mergeCell ref="C595:E595"/>
    <mergeCell ref="C596:E596"/>
    <mergeCell ref="C621:E621"/>
    <mergeCell ref="C622:E622"/>
    <mergeCell ref="C623:E623"/>
    <mergeCell ref="C624:E624"/>
    <mergeCell ref="C625:N625"/>
    <mergeCell ref="C626:N626"/>
    <mergeCell ref="C615:E615"/>
    <mergeCell ref="C616:E616"/>
    <mergeCell ref="C617:E617"/>
    <mergeCell ref="C618:E618"/>
    <mergeCell ref="C619:E619"/>
    <mergeCell ref="C620:E620"/>
    <mergeCell ref="C609:E609"/>
    <mergeCell ref="C610:E610"/>
    <mergeCell ref="C611:E611"/>
    <mergeCell ref="C612:E612"/>
    <mergeCell ref="C613:E613"/>
    <mergeCell ref="C614:E614"/>
    <mergeCell ref="C639:E639"/>
    <mergeCell ref="C640:E640"/>
    <mergeCell ref="C641:E641"/>
    <mergeCell ref="C642:E642"/>
    <mergeCell ref="C643:E643"/>
    <mergeCell ref="C644:E644"/>
    <mergeCell ref="C633:E633"/>
    <mergeCell ref="C634:E634"/>
    <mergeCell ref="C635:N635"/>
    <mergeCell ref="C636:N636"/>
    <mergeCell ref="C637:N637"/>
    <mergeCell ref="C638:E638"/>
    <mergeCell ref="C627:N627"/>
    <mergeCell ref="C628:E628"/>
    <mergeCell ref="C629:E629"/>
    <mergeCell ref="C630:N630"/>
    <mergeCell ref="C631:N631"/>
    <mergeCell ref="C632:N632"/>
    <mergeCell ref="C657:E657"/>
    <mergeCell ref="C658:E658"/>
    <mergeCell ref="C659:N659"/>
    <mergeCell ref="C660:N660"/>
    <mergeCell ref="C661:N661"/>
    <mergeCell ref="C662:E662"/>
    <mergeCell ref="C651:E651"/>
    <mergeCell ref="C652:E652"/>
    <mergeCell ref="C653:E653"/>
    <mergeCell ref="C654:N654"/>
    <mergeCell ref="C655:N655"/>
    <mergeCell ref="C656:N656"/>
    <mergeCell ref="C645:E645"/>
    <mergeCell ref="C646:E646"/>
    <mergeCell ref="C647:E647"/>
    <mergeCell ref="C648:E648"/>
    <mergeCell ref="C649:E649"/>
    <mergeCell ref="C650:E650"/>
    <mergeCell ref="A675:N675"/>
    <mergeCell ref="C676:E676"/>
    <mergeCell ref="C677:E677"/>
    <mergeCell ref="C678:E678"/>
    <mergeCell ref="C679:E679"/>
    <mergeCell ref="C680:E680"/>
    <mergeCell ref="C669:E669"/>
    <mergeCell ref="C670:E670"/>
    <mergeCell ref="C671:E671"/>
    <mergeCell ref="C672:E672"/>
    <mergeCell ref="C673:E673"/>
    <mergeCell ref="C674:E674"/>
    <mergeCell ref="C663:E663"/>
    <mergeCell ref="C664:E664"/>
    <mergeCell ref="C665:E665"/>
    <mergeCell ref="C666:E666"/>
    <mergeCell ref="C667:E667"/>
    <mergeCell ref="C668:E668"/>
    <mergeCell ref="C694:K694"/>
    <mergeCell ref="C695:K695"/>
    <mergeCell ref="C696:K696"/>
    <mergeCell ref="C697:K697"/>
    <mergeCell ref="C698:K698"/>
    <mergeCell ref="C699:K699"/>
    <mergeCell ref="C688:K688"/>
    <mergeCell ref="C689:K689"/>
    <mergeCell ref="C690:K690"/>
    <mergeCell ref="C691:K691"/>
    <mergeCell ref="C692:K692"/>
    <mergeCell ref="C693:K693"/>
    <mergeCell ref="C681:E681"/>
    <mergeCell ref="C682:E682"/>
    <mergeCell ref="C683:E683"/>
    <mergeCell ref="C685:K685"/>
    <mergeCell ref="C686:K686"/>
    <mergeCell ref="C687:K687"/>
    <mergeCell ref="C712:K712"/>
    <mergeCell ref="C713:K713"/>
    <mergeCell ref="C714:K714"/>
    <mergeCell ref="C715:K715"/>
    <mergeCell ref="C716:K716"/>
    <mergeCell ref="C717:K717"/>
    <mergeCell ref="C706:K706"/>
    <mergeCell ref="C707:K707"/>
    <mergeCell ref="C708:K708"/>
    <mergeCell ref="C709:K709"/>
    <mergeCell ref="C710:K710"/>
    <mergeCell ref="C711:K711"/>
    <mergeCell ref="C700:K700"/>
    <mergeCell ref="C701:K701"/>
    <mergeCell ref="C702:K702"/>
    <mergeCell ref="C703:K703"/>
    <mergeCell ref="C704:K704"/>
    <mergeCell ref="C705:K705"/>
    <mergeCell ref="C730:E730"/>
    <mergeCell ref="C731:E731"/>
    <mergeCell ref="C732:E732"/>
    <mergeCell ref="C733:E733"/>
    <mergeCell ref="C734:E734"/>
    <mergeCell ref="C735:E735"/>
    <mergeCell ref="C724:E724"/>
    <mergeCell ref="C725:E725"/>
    <mergeCell ref="C726:E726"/>
    <mergeCell ref="C727:E727"/>
    <mergeCell ref="C728:E728"/>
    <mergeCell ref="C729:E729"/>
    <mergeCell ref="C718:K718"/>
    <mergeCell ref="C719:K719"/>
    <mergeCell ref="C720:H720"/>
    <mergeCell ref="C721:H721"/>
    <mergeCell ref="A722:N722"/>
    <mergeCell ref="C723:E723"/>
    <mergeCell ref="C748:E748"/>
    <mergeCell ref="C749:E749"/>
    <mergeCell ref="C750:E750"/>
    <mergeCell ref="C751:E751"/>
    <mergeCell ref="C752:E752"/>
    <mergeCell ref="C753:E753"/>
    <mergeCell ref="C742:E742"/>
    <mergeCell ref="C743:E743"/>
    <mergeCell ref="C744:E744"/>
    <mergeCell ref="C745:E745"/>
    <mergeCell ref="C746:E746"/>
    <mergeCell ref="C747:E747"/>
    <mergeCell ref="C736:E736"/>
    <mergeCell ref="C737:E737"/>
    <mergeCell ref="C738:E738"/>
    <mergeCell ref="C739:E739"/>
    <mergeCell ref="C740:E740"/>
    <mergeCell ref="C741:E741"/>
    <mergeCell ref="C766:E766"/>
    <mergeCell ref="C767:E767"/>
    <mergeCell ref="C768:E768"/>
    <mergeCell ref="C769:N769"/>
    <mergeCell ref="C770:N770"/>
    <mergeCell ref="C771:E771"/>
    <mergeCell ref="C760:E760"/>
    <mergeCell ref="C761:E761"/>
    <mergeCell ref="C762:E762"/>
    <mergeCell ref="C763:E763"/>
    <mergeCell ref="C764:E764"/>
    <mergeCell ref="C765:E765"/>
    <mergeCell ref="C754:E754"/>
    <mergeCell ref="C755:E755"/>
    <mergeCell ref="C756:E756"/>
    <mergeCell ref="C757:E757"/>
    <mergeCell ref="C758:E758"/>
    <mergeCell ref="C759:E759"/>
    <mergeCell ref="C784:N784"/>
    <mergeCell ref="C785:N785"/>
    <mergeCell ref="C786:N786"/>
    <mergeCell ref="C787:E787"/>
    <mergeCell ref="C788:E788"/>
    <mergeCell ref="C789:N789"/>
    <mergeCell ref="C778:E778"/>
    <mergeCell ref="C779:E779"/>
    <mergeCell ref="C780:E780"/>
    <mergeCell ref="C781:E781"/>
    <mergeCell ref="C782:E782"/>
    <mergeCell ref="C783:E783"/>
    <mergeCell ref="C772:E772"/>
    <mergeCell ref="C773:E773"/>
    <mergeCell ref="C774:E774"/>
    <mergeCell ref="C775:E775"/>
    <mergeCell ref="C776:E776"/>
    <mergeCell ref="C777:E777"/>
    <mergeCell ref="C802:E802"/>
    <mergeCell ref="C803:E803"/>
    <mergeCell ref="C804:E804"/>
    <mergeCell ref="C805:E805"/>
    <mergeCell ref="C806:E806"/>
    <mergeCell ref="C807:E807"/>
    <mergeCell ref="C796:E796"/>
    <mergeCell ref="C797:E797"/>
    <mergeCell ref="C798:E798"/>
    <mergeCell ref="C799:E799"/>
    <mergeCell ref="C800:E800"/>
    <mergeCell ref="C801:E801"/>
    <mergeCell ref="C790:N790"/>
    <mergeCell ref="C791:N791"/>
    <mergeCell ref="C792:E792"/>
    <mergeCell ref="C793:E793"/>
    <mergeCell ref="C794:E794"/>
    <mergeCell ref="C795:E795"/>
    <mergeCell ref="C820:N820"/>
    <mergeCell ref="C821:E821"/>
    <mergeCell ref="C822:E822"/>
    <mergeCell ref="C823:E823"/>
    <mergeCell ref="C824:E824"/>
    <mergeCell ref="C825:E825"/>
    <mergeCell ref="C814:N814"/>
    <mergeCell ref="C815:N815"/>
    <mergeCell ref="C816:E816"/>
    <mergeCell ref="C817:E817"/>
    <mergeCell ref="C818:N818"/>
    <mergeCell ref="C819:N819"/>
    <mergeCell ref="C808:N808"/>
    <mergeCell ref="C809:N809"/>
    <mergeCell ref="C810:N810"/>
    <mergeCell ref="C811:E811"/>
    <mergeCell ref="C812:E812"/>
    <mergeCell ref="C813:N813"/>
    <mergeCell ref="C838:N838"/>
    <mergeCell ref="C839:N839"/>
    <mergeCell ref="C840:E840"/>
    <mergeCell ref="C841:E841"/>
    <mergeCell ref="C842:N842"/>
    <mergeCell ref="C843:N843"/>
    <mergeCell ref="C832:E832"/>
    <mergeCell ref="C833:E833"/>
    <mergeCell ref="C834:E834"/>
    <mergeCell ref="C835:E835"/>
    <mergeCell ref="C836:E836"/>
    <mergeCell ref="C837:N837"/>
    <mergeCell ref="C826:E826"/>
    <mergeCell ref="C827:E827"/>
    <mergeCell ref="C828:E828"/>
    <mergeCell ref="C829:E829"/>
    <mergeCell ref="C830:E830"/>
    <mergeCell ref="C831:E831"/>
    <mergeCell ref="C856:E856"/>
    <mergeCell ref="C857:E857"/>
    <mergeCell ref="A858:N858"/>
    <mergeCell ref="C859:E859"/>
    <mergeCell ref="C860:E860"/>
    <mergeCell ref="C861:E861"/>
    <mergeCell ref="C850:E850"/>
    <mergeCell ref="C851:E851"/>
    <mergeCell ref="C852:E852"/>
    <mergeCell ref="C853:E853"/>
    <mergeCell ref="C854:E854"/>
    <mergeCell ref="C855:E855"/>
    <mergeCell ref="C844:N844"/>
    <mergeCell ref="C845:E845"/>
    <mergeCell ref="C846:E846"/>
    <mergeCell ref="C847:E847"/>
    <mergeCell ref="C848:E848"/>
    <mergeCell ref="C849:E849"/>
    <mergeCell ref="C875:K875"/>
    <mergeCell ref="C876:K876"/>
    <mergeCell ref="C877:K877"/>
    <mergeCell ref="C878:K878"/>
    <mergeCell ref="C879:K879"/>
    <mergeCell ref="C880:K880"/>
    <mergeCell ref="C869:K869"/>
    <mergeCell ref="C870:K870"/>
    <mergeCell ref="C871:K871"/>
    <mergeCell ref="C872:K872"/>
    <mergeCell ref="C873:K873"/>
    <mergeCell ref="C874:K874"/>
    <mergeCell ref="C862:E862"/>
    <mergeCell ref="C863:E863"/>
    <mergeCell ref="C864:E864"/>
    <mergeCell ref="C865:E865"/>
    <mergeCell ref="C866:E866"/>
    <mergeCell ref="C868:K868"/>
    <mergeCell ref="C893:K893"/>
    <mergeCell ref="C894:K894"/>
    <mergeCell ref="C895:K895"/>
    <mergeCell ref="C896:K896"/>
    <mergeCell ref="C897:K897"/>
    <mergeCell ref="C898:K898"/>
    <mergeCell ref="C887:K887"/>
    <mergeCell ref="C888:K888"/>
    <mergeCell ref="C889:K889"/>
    <mergeCell ref="C890:K890"/>
    <mergeCell ref="C891:K891"/>
    <mergeCell ref="C892:K892"/>
    <mergeCell ref="C881:K881"/>
    <mergeCell ref="C882:K882"/>
    <mergeCell ref="C883:K883"/>
    <mergeCell ref="C884:K884"/>
    <mergeCell ref="C885:K885"/>
    <mergeCell ref="C886:K886"/>
    <mergeCell ref="C911:E911"/>
    <mergeCell ref="C912:E912"/>
    <mergeCell ref="C913:E913"/>
    <mergeCell ref="C914:E914"/>
    <mergeCell ref="C915:E915"/>
    <mergeCell ref="C916:E916"/>
    <mergeCell ref="A905:N905"/>
    <mergeCell ref="C906:E906"/>
    <mergeCell ref="C907:E907"/>
    <mergeCell ref="C908:E908"/>
    <mergeCell ref="C909:E909"/>
    <mergeCell ref="C910:E910"/>
    <mergeCell ref="C899:K899"/>
    <mergeCell ref="C900:K900"/>
    <mergeCell ref="C901:K901"/>
    <mergeCell ref="C902:K902"/>
    <mergeCell ref="C903:H903"/>
    <mergeCell ref="C904:H904"/>
    <mergeCell ref="C929:E929"/>
    <mergeCell ref="C930:E930"/>
    <mergeCell ref="C931:E931"/>
    <mergeCell ref="C932:E932"/>
    <mergeCell ref="C933:E933"/>
    <mergeCell ref="C934:E934"/>
    <mergeCell ref="C923:E923"/>
    <mergeCell ref="C924:E924"/>
    <mergeCell ref="C925:E925"/>
    <mergeCell ref="C926:E926"/>
    <mergeCell ref="C927:E927"/>
    <mergeCell ref="C928:E928"/>
    <mergeCell ref="C917:E917"/>
    <mergeCell ref="C918:E918"/>
    <mergeCell ref="C919:E919"/>
    <mergeCell ref="C920:E920"/>
    <mergeCell ref="C921:E921"/>
    <mergeCell ref="C922:E922"/>
    <mergeCell ref="C947:E947"/>
    <mergeCell ref="C948:E948"/>
    <mergeCell ref="C949:E949"/>
    <mergeCell ref="C950:E950"/>
    <mergeCell ref="C951:E951"/>
    <mergeCell ref="C952:N952"/>
    <mergeCell ref="C941:E941"/>
    <mergeCell ref="C942:E942"/>
    <mergeCell ref="C943:E943"/>
    <mergeCell ref="C944:E944"/>
    <mergeCell ref="C945:E945"/>
    <mergeCell ref="C946:E946"/>
    <mergeCell ref="C935:E935"/>
    <mergeCell ref="C936:E936"/>
    <mergeCell ref="C937:E937"/>
    <mergeCell ref="C938:E938"/>
    <mergeCell ref="C939:E939"/>
    <mergeCell ref="C940:E940"/>
    <mergeCell ref="C965:E965"/>
    <mergeCell ref="C966:E966"/>
    <mergeCell ref="C967:N967"/>
    <mergeCell ref="C968:N968"/>
    <mergeCell ref="C969:N969"/>
    <mergeCell ref="C970:E970"/>
    <mergeCell ref="C959:E959"/>
    <mergeCell ref="C960:E960"/>
    <mergeCell ref="C961:E961"/>
    <mergeCell ref="C962:E962"/>
    <mergeCell ref="C963:E963"/>
    <mergeCell ref="C964:E964"/>
    <mergeCell ref="C953:N953"/>
    <mergeCell ref="C954:E954"/>
    <mergeCell ref="C955:E955"/>
    <mergeCell ref="C956:E956"/>
    <mergeCell ref="C957:E957"/>
    <mergeCell ref="C958:E958"/>
    <mergeCell ref="C983:E983"/>
    <mergeCell ref="C984:E984"/>
    <mergeCell ref="C985:E985"/>
    <mergeCell ref="C986:E986"/>
    <mergeCell ref="C987:E987"/>
    <mergeCell ref="C988:E988"/>
    <mergeCell ref="C977:E977"/>
    <mergeCell ref="C978:E978"/>
    <mergeCell ref="C979:E979"/>
    <mergeCell ref="C980:E980"/>
    <mergeCell ref="C981:E981"/>
    <mergeCell ref="C982:E982"/>
    <mergeCell ref="C971:E971"/>
    <mergeCell ref="C972:N972"/>
    <mergeCell ref="C973:N973"/>
    <mergeCell ref="C974:N974"/>
    <mergeCell ref="C975:E975"/>
    <mergeCell ref="C976:E976"/>
    <mergeCell ref="C1001:N1001"/>
    <mergeCell ref="C1002:N1002"/>
    <mergeCell ref="C1003:N1003"/>
    <mergeCell ref="C1004:E1004"/>
    <mergeCell ref="C1005:E1005"/>
    <mergeCell ref="C1006:E1006"/>
    <mergeCell ref="C995:E995"/>
    <mergeCell ref="C996:N996"/>
    <mergeCell ref="C997:N997"/>
    <mergeCell ref="C998:N998"/>
    <mergeCell ref="C999:E999"/>
    <mergeCell ref="C1000:E1000"/>
    <mergeCell ref="C989:E989"/>
    <mergeCell ref="C990:E990"/>
    <mergeCell ref="C991:N991"/>
    <mergeCell ref="C992:N992"/>
    <mergeCell ref="C993:N993"/>
    <mergeCell ref="C994:E994"/>
    <mergeCell ref="C1019:E1019"/>
    <mergeCell ref="C1020:N1020"/>
    <mergeCell ref="C1021:N1021"/>
    <mergeCell ref="C1022:N1022"/>
    <mergeCell ref="C1023:E1023"/>
    <mergeCell ref="C1024:E1024"/>
    <mergeCell ref="C1013:E1013"/>
    <mergeCell ref="C1014:E1014"/>
    <mergeCell ref="C1015:E1015"/>
    <mergeCell ref="C1016:E1016"/>
    <mergeCell ref="C1017:E1017"/>
    <mergeCell ref="C1018:E1018"/>
    <mergeCell ref="C1007:E1007"/>
    <mergeCell ref="C1008:E1008"/>
    <mergeCell ref="C1009:E1009"/>
    <mergeCell ref="C1010:E1010"/>
    <mergeCell ref="C1011:E1011"/>
    <mergeCell ref="C1012:E1012"/>
    <mergeCell ref="C1037:E1037"/>
    <mergeCell ref="C1038:E1038"/>
    <mergeCell ref="C1039:E1039"/>
    <mergeCell ref="C1040:E1040"/>
    <mergeCell ref="A1041:N1041"/>
    <mergeCell ref="C1042:E1042"/>
    <mergeCell ref="C1031:E1031"/>
    <mergeCell ref="C1032:E1032"/>
    <mergeCell ref="C1033:E1033"/>
    <mergeCell ref="C1034:E1034"/>
    <mergeCell ref="C1035:E1035"/>
    <mergeCell ref="C1036:E1036"/>
    <mergeCell ref="C1025:N1025"/>
    <mergeCell ref="C1026:N1026"/>
    <mergeCell ref="C1027:N1027"/>
    <mergeCell ref="C1028:E1028"/>
    <mergeCell ref="C1029:E1029"/>
    <mergeCell ref="C1030:E1030"/>
    <mergeCell ref="C1056:K1056"/>
    <mergeCell ref="C1057:K1057"/>
    <mergeCell ref="C1058:K1058"/>
    <mergeCell ref="C1059:K1059"/>
    <mergeCell ref="C1060:K1060"/>
    <mergeCell ref="C1061:K1061"/>
    <mergeCell ref="C1049:E1049"/>
    <mergeCell ref="C1051:K1051"/>
    <mergeCell ref="C1052:K1052"/>
    <mergeCell ref="C1053:K1053"/>
    <mergeCell ref="C1054:K1054"/>
    <mergeCell ref="C1055:K1055"/>
    <mergeCell ref="C1043:E1043"/>
    <mergeCell ref="C1044:E1044"/>
    <mergeCell ref="C1045:E1045"/>
    <mergeCell ref="C1046:E1046"/>
    <mergeCell ref="C1047:E1047"/>
    <mergeCell ref="C1048:E1048"/>
    <mergeCell ref="C1074:K1074"/>
    <mergeCell ref="C1075:K1075"/>
    <mergeCell ref="C1076:K1076"/>
    <mergeCell ref="C1077:K1077"/>
    <mergeCell ref="C1078:K1078"/>
    <mergeCell ref="C1079:K1079"/>
    <mergeCell ref="C1068:K1068"/>
    <mergeCell ref="C1069:K1069"/>
    <mergeCell ref="C1070:K1070"/>
    <mergeCell ref="C1071:K1071"/>
    <mergeCell ref="C1072:K1072"/>
    <mergeCell ref="C1073:K1073"/>
    <mergeCell ref="C1062:K1062"/>
    <mergeCell ref="C1063:K1063"/>
    <mergeCell ref="C1064:K1064"/>
    <mergeCell ref="C1065:K1065"/>
    <mergeCell ref="C1066:K1066"/>
    <mergeCell ref="C1067:K1067"/>
    <mergeCell ref="C1092:E1092"/>
    <mergeCell ref="C1093:E1093"/>
    <mergeCell ref="C1094:E1094"/>
    <mergeCell ref="C1095:E1095"/>
    <mergeCell ref="C1096:E1096"/>
    <mergeCell ref="C1097:E1097"/>
    <mergeCell ref="C1086:H1086"/>
    <mergeCell ref="C1087:H1087"/>
    <mergeCell ref="A1088:N1088"/>
    <mergeCell ref="C1089:E1089"/>
    <mergeCell ref="C1090:E1090"/>
    <mergeCell ref="C1091:E1091"/>
    <mergeCell ref="C1080:K1080"/>
    <mergeCell ref="C1081:K1081"/>
    <mergeCell ref="C1082:K1082"/>
    <mergeCell ref="C1083:K1083"/>
    <mergeCell ref="C1084:K1084"/>
    <mergeCell ref="C1085:K1085"/>
    <mergeCell ref="C1110:E1110"/>
    <mergeCell ref="C1111:E1111"/>
    <mergeCell ref="C1112:E1112"/>
    <mergeCell ref="C1113:E1113"/>
    <mergeCell ref="C1114:E1114"/>
    <mergeCell ref="C1115:E1115"/>
    <mergeCell ref="C1104:E1104"/>
    <mergeCell ref="C1105:E1105"/>
    <mergeCell ref="C1106:E1106"/>
    <mergeCell ref="C1107:E1107"/>
    <mergeCell ref="C1108:E1108"/>
    <mergeCell ref="C1109:E1109"/>
    <mergeCell ref="C1098:E1098"/>
    <mergeCell ref="C1099:E1099"/>
    <mergeCell ref="C1100:E1100"/>
    <mergeCell ref="C1101:E1101"/>
    <mergeCell ref="C1102:E1102"/>
    <mergeCell ref="C1103:E1103"/>
    <mergeCell ref="C1128:E1128"/>
    <mergeCell ref="C1129:E1129"/>
    <mergeCell ref="C1130:E1130"/>
    <mergeCell ref="C1131:E1131"/>
    <mergeCell ref="C1132:E1132"/>
    <mergeCell ref="C1133:E1133"/>
    <mergeCell ref="C1122:E1122"/>
    <mergeCell ref="C1123:E1123"/>
    <mergeCell ref="C1124:E1124"/>
    <mergeCell ref="C1125:E1125"/>
    <mergeCell ref="C1126:E1126"/>
    <mergeCell ref="C1127:E1127"/>
    <mergeCell ref="C1116:E1116"/>
    <mergeCell ref="C1117:E1117"/>
    <mergeCell ref="C1118:E1118"/>
    <mergeCell ref="C1119:E1119"/>
    <mergeCell ref="C1120:E1120"/>
    <mergeCell ref="C1121:E1121"/>
    <mergeCell ref="C1146:E1146"/>
    <mergeCell ref="C1147:E1147"/>
    <mergeCell ref="C1148:E1148"/>
    <mergeCell ref="C1149:E1149"/>
    <mergeCell ref="C1150:N1150"/>
    <mergeCell ref="C1151:N1151"/>
    <mergeCell ref="C1140:E1140"/>
    <mergeCell ref="C1141:E1141"/>
    <mergeCell ref="C1142:E1142"/>
    <mergeCell ref="C1143:E1143"/>
    <mergeCell ref="C1144:E1144"/>
    <mergeCell ref="C1145:E1145"/>
    <mergeCell ref="C1134:E1134"/>
    <mergeCell ref="C1135:N1135"/>
    <mergeCell ref="C1136:N1136"/>
    <mergeCell ref="C1137:E1137"/>
    <mergeCell ref="C1138:E1138"/>
    <mergeCell ref="C1139:E1139"/>
    <mergeCell ref="C1164:E1164"/>
    <mergeCell ref="C1165:E1165"/>
    <mergeCell ref="C1166:E1166"/>
    <mergeCell ref="C1167:E1167"/>
    <mergeCell ref="C1168:E1168"/>
    <mergeCell ref="C1169:E1169"/>
    <mergeCell ref="C1158:E1158"/>
    <mergeCell ref="C1159:E1159"/>
    <mergeCell ref="C1160:E1160"/>
    <mergeCell ref="C1161:E1161"/>
    <mergeCell ref="C1162:E1162"/>
    <mergeCell ref="C1163:E1163"/>
    <mergeCell ref="C1152:N1152"/>
    <mergeCell ref="C1153:E1153"/>
    <mergeCell ref="C1154:E1154"/>
    <mergeCell ref="C1155:N1155"/>
    <mergeCell ref="C1156:N1156"/>
    <mergeCell ref="C1157:N1157"/>
    <mergeCell ref="C1182:E1182"/>
    <mergeCell ref="C1183:E1183"/>
    <mergeCell ref="C1184:N1184"/>
    <mergeCell ref="C1185:N1185"/>
    <mergeCell ref="C1186:N1186"/>
    <mergeCell ref="C1187:E1187"/>
    <mergeCell ref="C1176:N1176"/>
    <mergeCell ref="C1177:E1177"/>
    <mergeCell ref="C1178:E1178"/>
    <mergeCell ref="C1179:N1179"/>
    <mergeCell ref="C1180:N1180"/>
    <mergeCell ref="C1181:N1181"/>
    <mergeCell ref="C1170:E1170"/>
    <mergeCell ref="C1171:E1171"/>
    <mergeCell ref="C1172:E1172"/>
    <mergeCell ref="C1173:E1173"/>
    <mergeCell ref="C1174:N1174"/>
    <mergeCell ref="C1175:N1175"/>
    <mergeCell ref="C1200:E1200"/>
    <mergeCell ref="C1201:E1201"/>
    <mergeCell ref="C1202:E1202"/>
    <mergeCell ref="C1203:N1203"/>
    <mergeCell ref="C1204:N1204"/>
    <mergeCell ref="C1205:N1205"/>
    <mergeCell ref="C1194:E1194"/>
    <mergeCell ref="C1195:E1195"/>
    <mergeCell ref="C1196:E1196"/>
    <mergeCell ref="C1197:E1197"/>
    <mergeCell ref="C1198:E1198"/>
    <mergeCell ref="C1199:E1199"/>
    <mergeCell ref="C1188:E1188"/>
    <mergeCell ref="C1189:E1189"/>
    <mergeCell ref="C1190:E1190"/>
    <mergeCell ref="C1191:E1191"/>
    <mergeCell ref="C1192:E1192"/>
    <mergeCell ref="C1193:E1193"/>
    <mergeCell ref="C1218:E1218"/>
    <mergeCell ref="C1219:E1219"/>
    <mergeCell ref="C1220:E1220"/>
    <mergeCell ref="C1221:E1221"/>
    <mergeCell ref="C1222:E1222"/>
    <mergeCell ref="C1223:E1223"/>
    <mergeCell ref="C1212:E1212"/>
    <mergeCell ref="C1213:E1213"/>
    <mergeCell ref="C1214:E1214"/>
    <mergeCell ref="C1215:E1215"/>
    <mergeCell ref="C1216:E1216"/>
    <mergeCell ref="C1217:E1217"/>
    <mergeCell ref="C1206:E1206"/>
    <mergeCell ref="C1207:E1207"/>
    <mergeCell ref="C1208:N1208"/>
    <mergeCell ref="C1209:N1209"/>
    <mergeCell ref="C1210:N1210"/>
    <mergeCell ref="C1211:E1211"/>
    <mergeCell ref="C1237:K1237"/>
    <mergeCell ref="C1238:K1238"/>
    <mergeCell ref="C1239:K1239"/>
    <mergeCell ref="C1240:K1240"/>
    <mergeCell ref="C1241:K1241"/>
    <mergeCell ref="C1242:K1242"/>
    <mergeCell ref="C1230:E1230"/>
    <mergeCell ref="C1231:E1231"/>
    <mergeCell ref="C1232:E1232"/>
    <mergeCell ref="C1234:K1234"/>
    <mergeCell ref="C1235:K1235"/>
    <mergeCell ref="C1236:K1236"/>
    <mergeCell ref="A1224:N1224"/>
    <mergeCell ref="C1225:E1225"/>
    <mergeCell ref="C1226:E1226"/>
    <mergeCell ref="C1227:E1227"/>
    <mergeCell ref="C1228:E1228"/>
    <mergeCell ref="C1229:E1229"/>
    <mergeCell ref="C1255:K1255"/>
    <mergeCell ref="C1256:K1256"/>
    <mergeCell ref="C1257:K1257"/>
    <mergeCell ref="C1258:K1258"/>
    <mergeCell ref="C1259:K1259"/>
    <mergeCell ref="C1260:K1260"/>
    <mergeCell ref="C1249:K1249"/>
    <mergeCell ref="C1250:K1250"/>
    <mergeCell ref="C1251:K1251"/>
    <mergeCell ref="C1252:K1252"/>
    <mergeCell ref="C1253:K1253"/>
    <mergeCell ref="C1254:K1254"/>
    <mergeCell ref="C1243:K1243"/>
    <mergeCell ref="C1244:K1244"/>
    <mergeCell ref="C1245:K1245"/>
    <mergeCell ref="C1246:K1246"/>
    <mergeCell ref="C1247:K1247"/>
    <mergeCell ref="C1248:K1248"/>
    <mergeCell ref="C1273:E1273"/>
    <mergeCell ref="C1274:E1274"/>
    <mergeCell ref="C1275:E1275"/>
    <mergeCell ref="C1276:E1276"/>
    <mergeCell ref="C1277:E1277"/>
    <mergeCell ref="C1278:E1278"/>
    <mergeCell ref="C1267:K1267"/>
    <mergeCell ref="C1268:K1268"/>
    <mergeCell ref="C1269:H1269"/>
    <mergeCell ref="C1270:H1270"/>
    <mergeCell ref="A1271:N1271"/>
    <mergeCell ref="C1272:E1272"/>
    <mergeCell ref="C1261:K1261"/>
    <mergeCell ref="C1262:K1262"/>
    <mergeCell ref="C1263:K1263"/>
    <mergeCell ref="C1264:K1264"/>
    <mergeCell ref="C1265:K1265"/>
    <mergeCell ref="C1266:K1266"/>
    <mergeCell ref="C1291:E1291"/>
    <mergeCell ref="C1292:E1292"/>
    <mergeCell ref="C1293:E1293"/>
    <mergeCell ref="C1294:E1294"/>
    <mergeCell ref="C1295:E1295"/>
    <mergeCell ref="C1296:E1296"/>
    <mergeCell ref="C1285:E1285"/>
    <mergeCell ref="C1286:E1286"/>
    <mergeCell ref="C1287:E1287"/>
    <mergeCell ref="C1288:E1288"/>
    <mergeCell ref="C1289:E1289"/>
    <mergeCell ref="C1290:E1290"/>
    <mergeCell ref="C1279:E1279"/>
    <mergeCell ref="C1280:E1280"/>
    <mergeCell ref="C1281:E1281"/>
    <mergeCell ref="C1282:E1282"/>
    <mergeCell ref="C1283:E1283"/>
    <mergeCell ref="C1284:E1284"/>
    <mergeCell ref="C1309:E1309"/>
    <mergeCell ref="C1310:E1310"/>
    <mergeCell ref="C1311:E1311"/>
    <mergeCell ref="C1312:E1312"/>
    <mergeCell ref="C1313:E1313"/>
    <mergeCell ref="C1314:E1314"/>
    <mergeCell ref="C1303:E1303"/>
    <mergeCell ref="C1304:E1304"/>
    <mergeCell ref="C1305:E1305"/>
    <mergeCell ref="C1306:E1306"/>
    <mergeCell ref="C1307:E1307"/>
    <mergeCell ref="C1308:E1308"/>
    <mergeCell ref="C1297:E1297"/>
    <mergeCell ref="C1298:E1298"/>
    <mergeCell ref="C1299:E1299"/>
    <mergeCell ref="C1300:E1300"/>
    <mergeCell ref="C1301:E1301"/>
    <mergeCell ref="C1302:E1302"/>
    <mergeCell ref="C1327:E1327"/>
    <mergeCell ref="C1328:E1328"/>
    <mergeCell ref="C1329:E1329"/>
    <mergeCell ref="C1330:E1330"/>
    <mergeCell ref="C1331:E1331"/>
    <mergeCell ref="C1332:E1332"/>
    <mergeCell ref="C1321:E1321"/>
    <mergeCell ref="C1322:E1322"/>
    <mergeCell ref="C1323:E1323"/>
    <mergeCell ref="C1324:E1324"/>
    <mergeCell ref="C1325:E1325"/>
    <mergeCell ref="C1326:E1326"/>
    <mergeCell ref="C1315:E1315"/>
    <mergeCell ref="C1316:E1316"/>
    <mergeCell ref="C1317:E1317"/>
    <mergeCell ref="C1318:N1318"/>
    <mergeCell ref="C1319:N1319"/>
    <mergeCell ref="C1320:E1320"/>
    <mergeCell ref="C1345:E1345"/>
    <mergeCell ref="C1346:E1346"/>
    <mergeCell ref="C1347:E1347"/>
    <mergeCell ref="C1348:E1348"/>
    <mergeCell ref="C1349:E1349"/>
    <mergeCell ref="C1350:E1350"/>
    <mergeCell ref="C1339:N1339"/>
    <mergeCell ref="C1340:N1340"/>
    <mergeCell ref="C1341:E1341"/>
    <mergeCell ref="C1342:E1342"/>
    <mergeCell ref="C1343:E1343"/>
    <mergeCell ref="C1344:E1344"/>
    <mergeCell ref="C1333:N1333"/>
    <mergeCell ref="C1334:N1334"/>
    <mergeCell ref="C1335:N1335"/>
    <mergeCell ref="C1336:E1336"/>
    <mergeCell ref="C1337:E1337"/>
    <mergeCell ref="C1338:N1338"/>
    <mergeCell ref="C1363:N1363"/>
    <mergeCell ref="C1364:N1364"/>
    <mergeCell ref="C1365:E1365"/>
    <mergeCell ref="C1366:E1366"/>
    <mergeCell ref="C1367:N1367"/>
    <mergeCell ref="C1368:N1368"/>
    <mergeCell ref="C1357:N1357"/>
    <mergeCell ref="C1358:N1358"/>
    <mergeCell ref="C1359:N1359"/>
    <mergeCell ref="C1360:E1360"/>
    <mergeCell ref="C1361:E1361"/>
    <mergeCell ref="C1362:N1362"/>
    <mergeCell ref="C1351:E1351"/>
    <mergeCell ref="C1352:E1352"/>
    <mergeCell ref="C1353:E1353"/>
    <mergeCell ref="C1354:E1354"/>
    <mergeCell ref="C1355:E1355"/>
    <mergeCell ref="C1356:E1356"/>
    <mergeCell ref="C1381:E1381"/>
    <mergeCell ref="C1382:E1382"/>
    <mergeCell ref="C1383:E1383"/>
    <mergeCell ref="C1384:E1384"/>
    <mergeCell ref="C1385:E1385"/>
    <mergeCell ref="C1386:N1386"/>
    <mergeCell ref="C1375:E1375"/>
    <mergeCell ref="C1376:E1376"/>
    <mergeCell ref="C1377:E1377"/>
    <mergeCell ref="C1378:E1378"/>
    <mergeCell ref="C1379:E1379"/>
    <mergeCell ref="C1380:E1380"/>
    <mergeCell ref="C1369:N1369"/>
    <mergeCell ref="C1370:E1370"/>
    <mergeCell ref="C1371:E1371"/>
    <mergeCell ref="C1372:E1372"/>
    <mergeCell ref="C1373:E1373"/>
    <mergeCell ref="C1374:E1374"/>
    <mergeCell ref="C1399:E1399"/>
    <mergeCell ref="C1400:E1400"/>
    <mergeCell ref="C1401:E1401"/>
    <mergeCell ref="C1402:E1402"/>
    <mergeCell ref="C1403:E1403"/>
    <mergeCell ref="C1404:E1404"/>
    <mergeCell ref="C1393:N1393"/>
    <mergeCell ref="C1394:E1394"/>
    <mergeCell ref="C1395:E1395"/>
    <mergeCell ref="C1396:E1396"/>
    <mergeCell ref="C1397:E1397"/>
    <mergeCell ref="C1398:E1398"/>
    <mergeCell ref="C1387:N1387"/>
    <mergeCell ref="C1388:N1388"/>
    <mergeCell ref="C1389:E1389"/>
    <mergeCell ref="C1390:E1390"/>
    <mergeCell ref="C1391:N1391"/>
    <mergeCell ref="C1392:N1392"/>
    <mergeCell ref="C1418:K1418"/>
    <mergeCell ref="C1419:K1419"/>
    <mergeCell ref="C1420:K1420"/>
    <mergeCell ref="C1421:K1421"/>
    <mergeCell ref="C1422:K1422"/>
    <mergeCell ref="C1423:K1423"/>
    <mergeCell ref="C1411:E1411"/>
    <mergeCell ref="C1412:E1412"/>
    <mergeCell ref="C1413:E1413"/>
    <mergeCell ref="C1414:E1414"/>
    <mergeCell ref="C1415:E1415"/>
    <mergeCell ref="C1417:K1417"/>
    <mergeCell ref="C1405:E1405"/>
    <mergeCell ref="C1406:E1406"/>
    <mergeCell ref="A1407:N1407"/>
    <mergeCell ref="C1408:E1408"/>
    <mergeCell ref="C1409:E1409"/>
    <mergeCell ref="C1410:E1410"/>
    <mergeCell ref="C1436:K1436"/>
    <mergeCell ref="C1437:K1437"/>
    <mergeCell ref="C1438:K1438"/>
    <mergeCell ref="C1439:K1439"/>
    <mergeCell ref="C1440:K1440"/>
    <mergeCell ref="C1441:K1441"/>
    <mergeCell ref="C1430:K1430"/>
    <mergeCell ref="C1431:K1431"/>
    <mergeCell ref="C1432:K1432"/>
    <mergeCell ref="C1433:K1433"/>
    <mergeCell ref="C1434:K1434"/>
    <mergeCell ref="C1435:K1435"/>
    <mergeCell ref="C1424:K1424"/>
    <mergeCell ref="C1425:K1425"/>
    <mergeCell ref="C1426:K1426"/>
    <mergeCell ref="C1427:K1427"/>
    <mergeCell ref="C1428:K1428"/>
    <mergeCell ref="C1429:K1429"/>
    <mergeCell ref="A1454:N1454"/>
    <mergeCell ref="C1455:E1455"/>
    <mergeCell ref="C1456:E1456"/>
    <mergeCell ref="C1457:E1457"/>
    <mergeCell ref="C1458:E1458"/>
    <mergeCell ref="C1459:E1459"/>
    <mergeCell ref="C1448:K1448"/>
    <mergeCell ref="C1449:K1449"/>
    <mergeCell ref="C1450:K1450"/>
    <mergeCell ref="C1451:K1451"/>
    <mergeCell ref="C1452:H1452"/>
    <mergeCell ref="C1453:H1453"/>
    <mergeCell ref="C1442:K1442"/>
    <mergeCell ref="C1443:K1443"/>
    <mergeCell ref="C1444:K1444"/>
    <mergeCell ref="C1445:K1445"/>
    <mergeCell ref="C1446:K1446"/>
    <mergeCell ref="C1447:K1447"/>
    <mergeCell ref="C1472:E1472"/>
    <mergeCell ref="C1473:E1473"/>
    <mergeCell ref="C1474:E1474"/>
    <mergeCell ref="C1475:E1475"/>
    <mergeCell ref="C1476:E1476"/>
    <mergeCell ref="C1477:E1477"/>
    <mergeCell ref="C1466:E1466"/>
    <mergeCell ref="C1467:E1467"/>
    <mergeCell ref="C1468:E1468"/>
    <mergeCell ref="C1469:E1469"/>
    <mergeCell ref="C1470:E1470"/>
    <mergeCell ref="C1471:E1471"/>
    <mergeCell ref="C1460:E1460"/>
    <mergeCell ref="C1461:E1461"/>
    <mergeCell ref="C1462:E1462"/>
    <mergeCell ref="C1463:E1463"/>
    <mergeCell ref="C1464:E1464"/>
    <mergeCell ref="C1465:E1465"/>
    <mergeCell ref="C1490:E1490"/>
    <mergeCell ref="C1491:E1491"/>
    <mergeCell ref="C1492:E1492"/>
    <mergeCell ref="C1493:E1493"/>
    <mergeCell ref="C1494:E1494"/>
    <mergeCell ref="C1495:E1495"/>
    <mergeCell ref="C1484:E1484"/>
    <mergeCell ref="C1485:E1485"/>
    <mergeCell ref="C1486:E1486"/>
    <mergeCell ref="C1487:E1487"/>
    <mergeCell ref="C1488:E1488"/>
    <mergeCell ref="C1489:E1489"/>
    <mergeCell ref="C1478:E1478"/>
    <mergeCell ref="C1479:E1479"/>
    <mergeCell ref="C1480:E1480"/>
    <mergeCell ref="C1481:E1481"/>
    <mergeCell ref="C1482:E1482"/>
    <mergeCell ref="C1483:E1483"/>
    <mergeCell ref="C1508:E1508"/>
    <mergeCell ref="C1509:E1509"/>
    <mergeCell ref="C1510:E1510"/>
    <mergeCell ref="C1511:E1511"/>
    <mergeCell ref="C1512:E1512"/>
    <mergeCell ref="C1513:E1513"/>
    <mergeCell ref="C1502:N1502"/>
    <mergeCell ref="C1503:E1503"/>
    <mergeCell ref="C1504:E1504"/>
    <mergeCell ref="C1505:E1505"/>
    <mergeCell ref="C1506:E1506"/>
    <mergeCell ref="C1507:E1507"/>
    <mergeCell ref="C1496:E1496"/>
    <mergeCell ref="C1497:E1497"/>
    <mergeCell ref="C1498:E1498"/>
    <mergeCell ref="C1499:E1499"/>
    <mergeCell ref="C1500:E1500"/>
    <mergeCell ref="C1501:N1501"/>
    <mergeCell ref="C1526:E1526"/>
    <mergeCell ref="C1527:E1527"/>
    <mergeCell ref="C1528:E1528"/>
    <mergeCell ref="C1529:E1529"/>
    <mergeCell ref="C1530:E1530"/>
    <mergeCell ref="C1531:E1531"/>
    <mergeCell ref="C1520:E1520"/>
    <mergeCell ref="C1521:N1521"/>
    <mergeCell ref="C1522:N1522"/>
    <mergeCell ref="C1523:N1523"/>
    <mergeCell ref="C1524:E1524"/>
    <mergeCell ref="C1525:E1525"/>
    <mergeCell ref="C1514:E1514"/>
    <mergeCell ref="C1515:E1515"/>
    <mergeCell ref="C1516:N1516"/>
    <mergeCell ref="C1517:N1517"/>
    <mergeCell ref="C1518:N1518"/>
    <mergeCell ref="C1519:E1519"/>
    <mergeCell ref="C1544:E1544"/>
    <mergeCell ref="C1545:N1545"/>
    <mergeCell ref="C1546:N1546"/>
    <mergeCell ref="C1547:N1547"/>
    <mergeCell ref="C1548:E1548"/>
    <mergeCell ref="C1549:E1549"/>
    <mergeCell ref="C1538:E1538"/>
    <mergeCell ref="C1539:E1539"/>
    <mergeCell ref="C1540:N1540"/>
    <mergeCell ref="C1541:N1541"/>
    <mergeCell ref="C1542:N1542"/>
    <mergeCell ref="C1543:E1543"/>
    <mergeCell ref="C1532:E1532"/>
    <mergeCell ref="C1533:E1533"/>
    <mergeCell ref="C1534:E1534"/>
    <mergeCell ref="C1535:E1535"/>
    <mergeCell ref="C1536:E1536"/>
    <mergeCell ref="C1537:E1537"/>
    <mergeCell ref="C1562:E1562"/>
    <mergeCell ref="C1563:E1563"/>
    <mergeCell ref="C1564:E1564"/>
    <mergeCell ref="C1565:E1565"/>
    <mergeCell ref="C1566:E1566"/>
    <mergeCell ref="C1567:E1567"/>
    <mergeCell ref="C1556:E1556"/>
    <mergeCell ref="C1557:E1557"/>
    <mergeCell ref="C1558:E1558"/>
    <mergeCell ref="C1559:E1559"/>
    <mergeCell ref="C1560:E1560"/>
    <mergeCell ref="C1561:E1561"/>
    <mergeCell ref="C1550:N1550"/>
    <mergeCell ref="C1551:N1551"/>
    <mergeCell ref="C1552:N1552"/>
    <mergeCell ref="C1553:E1553"/>
    <mergeCell ref="C1554:E1554"/>
    <mergeCell ref="C1555:E1555"/>
    <mergeCell ref="C1580:E1580"/>
    <mergeCell ref="C1581:E1581"/>
    <mergeCell ref="C1582:E1582"/>
    <mergeCell ref="C1583:E1583"/>
    <mergeCell ref="C1584:E1584"/>
    <mergeCell ref="C1585:E1585"/>
    <mergeCell ref="C1574:N1574"/>
    <mergeCell ref="C1575:N1575"/>
    <mergeCell ref="C1576:N1576"/>
    <mergeCell ref="C1577:E1577"/>
    <mergeCell ref="C1578:E1578"/>
    <mergeCell ref="C1579:E1579"/>
    <mergeCell ref="C1568:E1568"/>
    <mergeCell ref="C1569:N1569"/>
    <mergeCell ref="C1570:N1570"/>
    <mergeCell ref="C1571:N1571"/>
    <mergeCell ref="C1572:E1572"/>
    <mergeCell ref="C1573:E1573"/>
    <mergeCell ref="C1598:E1598"/>
    <mergeCell ref="C1600:K1600"/>
    <mergeCell ref="C1601:K1601"/>
    <mergeCell ref="C1602:K1602"/>
    <mergeCell ref="C1603:K1603"/>
    <mergeCell ref="C1604:K1604"/>
    <mergeCell ref="C1592:E1592"/>
    <mergeCell ref="C1593:E1593"/>
    <mergeCell ref="C1594:E1594"/>
    <mergeCell ref="C1595:E1595"/>
    <mergeCell ref="C1596:E1596"/>
    <mergeCell ref="C1597:E1597"/>
    <mergeCell ref="C1586:E1586"/>
    <mergeCell ref="C1587:E1587"/>
    <mergeCell ref="C1588:E1588"/>
    <mergeCell ref="C1589:E1589"/>
    <mergeCell ref="A1590:N1590"/>
    <mergeCell ref="C1591:E1591"/>
    <mergeCell ref="C1617:K1617"/>
    <mergeCell ref="C1618:K1618"/>
    <mergeCell ref="C1619:K1619"/>
    <mergeCell ref="C1620:K1620"/>
    <mergeCell ref="C1621:K1621"/>
    <mergeCell ref="C1622:K1622"/>
    <mergeCell ref="C1611:K1611"/>
    <mergeCell ref="C1612:K1612"/>
    <mergeCell ref="C1613:K1613"/>
    <mergeCell ref="C1614:K1614"/>
    <mergeCell ref="C1615:K1615"/>
    <mergeCell ref="C1616:K1616"/>
    <mergeCell ref="C1605:K1605"/>
    <mergeCell ref="C1606:K1606"/>
    <mergeCell ref="C1607:K1607"/>
    <mergeCell ref="C1608:K1608"/>
    <mergeCell ref="C1609:K1609"/>
    <mergeCell ref="C1610:K1610"/>
    <mergeCell ref="C1635:H1635"/>
    <mergeCell ref="C1636:H1636"/>
    <mergeCell ref="A1637:N1637"/>
    <mergeCell ref="C1638:E1638"/>
    <mergeCell ref="C1639:E1639"/>
    <mergeCell ref="C1640:E1640"/>
    <mergeCell ref="C1629:K1629"/>
    <mergeCell ref="C1630:K1630"/>
    <mergeCell ref="C1631:K1631"/>
    <mergeCell ref="C1632:K1632"/>
    <mergeCell ref="C1633:K1633"/>
    <mergeCell ref="C1634:K1634"/>
    <mergeCell ref="C1623:K1623"/>
    <mergeCell ref="C1624:K1624"/>
    <mergeCell ref="C1625:K1625"/>
    <mergeCell ref="C1626:K1626"/>
    <mergeCell ref="C1627:K1627"/>
    <mergeCell ref="C1628:K1628"/>
    <mergeCell ref="C1653:E1653"/>
    <mergeCell ref="C1654:E1654"/>
    <mergeCell ref="C1655:E1655"/>
    <mergeCell ref="C1656:E1656"/>
    <mergeCell ref="C1657:E1657"/>
    <mergeCell ref="C1658:E1658"/>
    <mergeCell ref="C1647:E1647"/>
    <mergeCell ref="C1648:E1648"/>
    <mergeCell ref="C1649:E1649"/>
    <mergeCell ref="C1650:E1650"/>
    <mergeCell ref="C1651:E1651"/>
    <mergeCell ref="C1652:E1652"/>
    <mergeCell ref="C1641:E1641"/>
    <mergeCell ref="C1642:E1642"/>
    <mergeCell ref="C1643:E1643"/>
    <mergeCell ref="C1644:E1644"/>
    <mergeCell ref="C1645:E1645"/>
    <mergeCell ref="C1646:E1646"/>
    <mergeCell ref="C1671:E1671"/>
    <mergeCell ref="C1672:E1672"/>
    <mergeCell ref="C1673:E1673"/>
    <mergeCell ref="C1674:E1674"/>
    <mergeCell ref="C1675:E1675"/>
    <mergeCell ref="C1676:E1676"/>
    <mergeCell ref="C1665:E1665"/>
    <mergeCell ref="C1666:E1666"/>
    <mergeCell ref="C1667:E1667"/>
    <mergeCell ref="C1668:E1668"/>
    <mergeCell ref="C1669:E1669"/>
    <mergeCell ref="C1670:E1670"/>
    <mergeCell ref="C1659:E1659"/>
    <mergeCell ref="C1660:E1660"/>
    <mergeCell ref="C1661:E1661"/>
    <mergeCell ref="C1662:E1662"/>
    <mergeCell ref="C1663:E1663"/>
    <mergeCell ref="C1664:E1664"/>
    <mergeCell ref="C1689:E1689"/>
    <mergeCell ref="C1690:E1690"/>
    <mergeCell ref="C1691:E1691"/>
    <mergeCell ref="C1692:E1692"/>
    <mergeCell ref="C1693:E1693"/>
    <mergeCell ref="C1694:E1694"/>
    <mergeCell ref="C1683:E1683"/>
    <mergeCell ref="C1684:N1684"/>
    <mergeCell ref="C1685:N1685"/>
    <mergeCell ref="C1686:E1686"/>
    <mergeCell ref="C1687:E1687"/>
    <mergeCell ref="C1688:E1688"/>
    <mergeCell ref="C1677:E1677"/>
    <mergeCell ref="C1678:E1678"/>
    <mergeCell ref="C1679:E1679"/>
    <mergeCell ref="C1680:E1680"/>
    <mergeCell ref="C1681:E1681"/>
    <mergeCell ref="C1682:E1682"/>
    <mergeCell ref="C1707:E1707"/>
    <mergeCell ref="C1708:E1708"/>
    <mergeCell ref="C1709:E1709"/>
    <mergeCell ref="C1710:E1710"/>
    <mergeCell ref="C1711:E1711"/>
    <mergeCell ref="C1712:E1712"/>
    <mergeCell ref="C1701:N1701"/>
    <mergeCell ref="C1702:E1702"/>
    <mergeCell ref="C1703:E1703"/>
    <mergeCell ref="C1704:N1704"/>
    <mergeCell ref="C1705:N1705"/>
    <mergeCell ref="C1706:N1706"/>
    <mergeCell ref="C1695:E1695"/>
    <mergeCell ref="C1696:E1696"/>
    <mergeCell ref="C1697:E1697"/>
    <mergeCell ref="C1698:E1698"/>
    <mergeCell ref="C1699:N1699"/>
    <mergeCell ref="C1700:N1700"/>
    <mergeCell ref="C1725:N1725"/>
    <mergeCell ref="C1726:E1726"/>
    <mergeCell ref="C1727:E1727"/>
    <mergeCell ref="C1728:N1728"/>
    <mergeCell ref="C1729:N1729"/>
    <mergeCell ref="C1730:N1730"/>
    <mergeCell ref="C1719:E1719"/>
    <mergeCell ref="C1720:E1720"/>
    <mergeCell ref="C1721:E1721"/>
    <mergeCell ref="C1722:E1722"/>
    <mergeCell ref="C1723:N1723"/>
    <mergeCell ref="C1724:N1724"/>
    <mergeCell ref="C1713:E1713"/>
    <mergeCell ref="C1714:E1714"/>
    <mergeCell ref="C1715:E1715"/>
    <mergeCell ref="C1716:E1716"/>
    <mergeCell ref="C1717:E1717"/>
    <mergeCell ref="C1718:E1718"/>
    <mergeCell ref="C1743:E1743"/>
    <mergeCell ref="C1744:E1744"/>
    <mergeCell ref="C1745:E1745"/>
    <mergeCell ref="C1746:E1746"/>
    <mergeCell ref="C1747:E1747"/>
    <mergeCell ref="C1748:E1748"/>
    <mergeCell ref="C1737:E1737"/>
    <mergeCell ref="C1738:E1738"/>
    <mergeCell ref="C1739:E1739"/>
    <mergeCell ref="C1740:E1740"/>
    <mergeCell ref="C1741:E1741"/>
    <mergeCell ref="C1742:E1742"/>
    <mergeCell ref="C1731:E1731"/>
    <mergeCell ref="C1732:E1732"/>
    <mergeCell ref="C1733:N1733"/>
    <mergeCell ref="C1734:N1734"/>
    <mergeCell ref="C1735:N1735"/>
    <mergeCell ref="C1736:E1736"/>
    <mergeCell ref="C1761:E1761"/>
    <mergeCell ref="C1762:E1762"/>
    <mergeCell ref="C1763:E1763"/>
    <mergeCell ref="C1764:E1764"/>
    <mergeCell ref="C1765:E1765"/>
    <mergeCell ref="C1766:E1766"/>
    <mergeCell ref="C1755:E1755"/>
    <mergeCell ref="C1756:E1756"/>
    <mergeCell ref="C1757:N1757"/>
    <mergeCell ref="C1758:N1758"/>
    <mergeCell ref="C1759:N1759"/>
    <mergeCell ref="C1760:E1760"/>
    <mergeCell ref="C1749:E1749"/>
    <mergeCell ref="C1750:E1750"/>
    <mergeCell ref="C1751:E1751"/>
    <mergeCell ref="C1752:N1752"/>
    <mergeCell ref="C1753:N1753"/>
    <mergeCell ref="C1754:N1754"/>
    <mergeCell ref="C1779:E1779"/>
    <mergeCell ref="C1780:E1780"/>
    <mergeCell ref="C1781:E1781"/>
    <mergeCell ref="C1783:K1783"/>
    <mergeCell ref="C1784:K1784"/>
    <mergeCell ref="C1785:K1785"/>
    <mergeCell ref="A1773:N1773"/>
    <mergeCell ref="C1774:E1774"/>
    <mergeCell ref="C1775:E1775"/>
    <mergeCell ref="C1776:E1776"/>
    <mergeCell ref="C1777:E1777"/>
    <mergeCell ref="C1778:E1778"/>
    <mergeCell ref="C1767:E1767"/>
    <mergeCell ref="C1768:E1768"/>
    <mergeCell ref="C1769:E1769"/>
    <mergeCell ref="C1770:E1770"/>
    <mergeCell ref="C1771:E1771"/>
    <mergeCell ref="C1772:E1772"/>
    <mergeCell ref="C1798:K1798"/>
    <mergeCell ref="C1799:K1799"/>
    <mergeCell ref="C1800:K1800"/>
    <mergeCell ref="C1801:K1801"/>
    <mergeCell ref="C1802:K1802"/>
    <mergeCell ref="C1803:K1803"/>
    <mergeCell ref="C1792:K1792"/>
    <mergeCell ref="C1793:K1793"/>
    <mergeCell ref="C1794:K1794"/>
    <mergeCell ref="C1795:K1795"/>
    <mergeCell ref="C1796:K1796"/>
    <mergeCell ref="C1797:K1797"/>
    <mergeCell ref="C1786:K1786"/>
    <mergeCell ref="C1787:K1787"/>
    <mergeCell ref="C1788:K1788"/>
    <mergeCell ref="C1789:K1789"/>
    <mergeCell ref="C1790:K1790"/>
    <mergeCell ref="C1791:K1791"/>
    <mergeCell ref="C1816:K1816"/>
    <mergeCell ref="C1817:K1817"/>
    <mergeCell ref="C1818:H1818"/>
    <mergeCell ref="C1819:H1819"/>
    <mergeCell ref="C1821:K1821"/>
    <mergeCell ref="C1822:K1822"/>
    <mergeCell ref="C1810:K1810"/>
    <mergeCell ref="C1811:K1811"/>
    <mergeCell ref="C1812:K1812"/>
    <mergeCell ref="C1813:K1813"/>
    <mergeCell ref="C1814:K1814"/>
    <mergeCell ref="C1815:K1815"/>
    <mergeCell ref="C1804:K1804"/>
    <mergeCell ref="C1805:K1805"/>
    <mergeCell ref="C1806:K1806"/>
    <mergeCell ref="C1807:K1807"/>
    <mergeCell ref="C1808:K1808"/>
    <mergeCell ref="C1809:K1809"/>
    <mergeCell ref="C1835:K1835"/>
    <mergeCell ref="C1836:K1836"/>
    <mergeCell ref="C1837:K1837"/>
    <mergeCell ref="C1838:K1838"/>
    <mergeCell ref="C1839:K1839"/>
    <mergeCell ref="C1840:K1840"/>
    <mergeCell ref="C1829:K1829"/>
    <mergeCell ref="C1830:K1830"/>
    <mergeCell ref="C1831:K1831"/>
    <mergeCell ref="C1832:K1832"/>
    <mergeCell ref="C1833:K1833"/>
    <mergeCell ref="C1834:K1834"/>
    <mergeCell ref="C1823:K1823"/>
    <mergeCell ref="C1824:K1824"/>
    <mergeCell ref="C1825:K1825"/>
    <mergeCell ref="C1826:K1826"/>
    <mergeCell ref="C1827:K1827"/>
    <mergeCell ref="C1828:K1828"/>
    <mergeCell ref="A1864:N1864"/>
    <mergeCell ref="C1859:G1859"/>
    <mergeCell ref="H1859:L1859"/>
    <mergeCell ref="C1860:L1860"/>
    <mergeCell ref="A1862:N1862"/>
    <mergeCell ref="A1863:N1863"/>
    <mergeCell ref="C1853:K1853"/>
    <mergeCell ref="C1854:K1854"/>
    <mergeCell ref="C1855:K1855"/>
    <mergeCell ref="C1856:K1856"/>
    <mergeCell ref="C1847:K1847"/>
    <mergeCell ref="C1848:K1848"/>
    <mergeCell ref="C1849:K1849"/>
    <mergeCell ref="C1850:K1850"/>
    <mergeCell ref="C1851:K1851"/>
    <mergeCell ref="C1852:K1852"/>
    <mergeCell ref="C1841:K1841"/>
    <mergeCell ref="C1842:K1842"/>
    <mergeCell ref="C1843:K1843"/>
    <mergeCell ref="C1844:K1844"/>
    <mergeCell ref="C1845:K1845"/>
    <mergeCell ref="C1846:K1846"/>
  </mergeCells>
  <pageMargins left="0.7" right="0.7" top="0.75" bottom="0.75" header="0.3" footer="0.3"/>
  <pageSetup paperSize="9" scale="5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8</vt:i4>
      </vt:variant>
    </vt:vector>
  </HeadingPairs>
  <TitlesOfParts>
    <vt:vector size="17" baseType="lpstr">
      <vt:lpstr>под предв КС апрель</vt:lpstr>
      <vt:lpstr>под предв КС март 13 путь</vt:lpstr>
      <vt:lpstr>под предв КС март-стар</vt:lpstr>
      <vt:lpstr>для КС-2-26.02.2026</vt:lpstr>
      <vt:lpstr>ЛСР_Модернизация и замена жд пу</vt:lpstr>
      <vt:lpstr>для КС-2-18-12</vt:lpstr>
      <vt:lpstr>для КС-2</vt:lpstr>
      <vt:lpstr>Лист1</vt:lpstr>
      <vt:lpstr>смета</vt:lpstr>
      <vt:lpstr>'для КС-2'!Область_печати</vt:lpstr>
      <vt:lpstr>'для КС-2-18-12'!Область_печати</vt:lpstr>
      <vt:lpstr>'для КС-2-26.02.2026'!Область_печати</vt:lpstr>
      <vt:lpstr>'ЛСР_Модернизация и замена жд пу'!Область_печати</vt:lpstr>
      <vt:lpstr>'под предв КС апрель'!Область_печати</vt:lpstr>
      <vt:lpstr>'под предв КС март 13 путь'!Область_печати</vt:lpstr>
      <vt:lpstr>'под предв КС март-стар'!Область_печати</vt:lpstr>
      <vt:lpstr>смета!Область_печати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Миронова Анастасия Андреевна</dc:creator>
  <cp:lastModifiedBy>Анастасия</cp:lastModifiedBy>
  <cp:lastPrinted>2025-10-01T12:04:15Z</cp:lastPrinted>
  <dcterms:created xsi:type="dcterms:W3CDTF">2025-09-08T10:46:58Z</dcterms:created>
  <dcterms:modified xsi:type="dcterms:W3CDTF">2026-04-14T07:56:53Z</dcterms:modified>
</cp:coreProperties>
</file>