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!!! СМЕТА в рыночной форме\"/>
    </mc:Choice>
  </mc:AlternateContent>
  <xr:revisionPtr revIDLastSave="0" documentId="13_ncr:1_{8F390F9C-AFBF-4CA5-80E5-79990A31272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обоснование" sheetId="5" r:id="rId1"/>
    <sheet name="Прокладка КЛ от ПС-106 _без коэ" sheetId="3" r:id="rId2"/>
    <sheet name="Прокладка КЛ от ПС-106 _рын (2)" sheetId="2" r:id="rId3"/>
    <sheet name="расч" sheetId="1" r:id="rId4"/>
    <sheet name="Лист1" sheetId="4" r:id="rId5"/>
  </sheets>
  <definedNames>
    <definedName name="_xlnm._FilterDatabase" localSheetId="1" hidden="1">'Прокладка КЛ от ПС-106 _без коэ'!$A$15:$L$426</definedName>
    <definedName name="_xlnm._FilterDatabase" localSheetId="2" hidden="1">'Прокладка КЛ от ПС-106 _рын (2)'!$A$15:$L$426</definedName>
    <definedName name="_xlnm._FilterDatabase" localSheetId="3" hidden="1">расч!$A$15:$L$426</definedName>
    <definedName name="_xlnm.Print_Titles" localSheetId="1">'Прокладка КЛ от ПС-106 _без коэ'!$16:$16</definedName>
    <definedName name="_xlnm.Print_Titles" localSheetId="2">'Прокладка КЛ от ПС-106 _рын (2)'!$16:$16</definedName>
    <definedName name="_xlnm.Print_Titles" localSheetId="3">расч!$16:$16</definedName>
    <definedName name="_xlnm.Print_Area" localSheetId="1">'Прокладка КЛ от ПС-106 _без коэ'!$A$1:$L$483</definedName>
    <definedName name="_xlnm.Print_Area" localSheetId="2">'Прокладка КЛ от ПС-106 _рын (2)'!$A$1:$L$483</definedName>
    <definedName name="_xlnm.Print_Area" localSheetId="3">расч!$A$1:$L$483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5" l="1"/>
  <c r="E26" i="5"/>
  <c r="H25" i="5"/>
  <c r="I25" i="5" s="1"/>
  <c r="E25" i="5"/>
  <c r="H24" i="5"/>
  <c r="E24" i="5"/>
  <c r="E23" i="5"/>
  <c r="H23" i="5" s="1"/>
  <c r="I23" i="5" s="1"/>
  <c r="H22" i="5"/>
  <c r="E22" i="5"/>
  <c r="E21" i="5"/>
  <c r="H21" i="5" s="1"/>
  <c r="I21" i="5" s="1"/>
  <c r="H20" i="5"/>
  <c r="E20" i="5" s="1"/>
  <c r="E19" i="5"/>
  <c r="H19" i="5" s="1"/>
  <c r="I19" i="5" s="1"/>
  <c r="H18" i="5"/>
  <c r="E18" i="5"/>
  <c r="H17" i="5"/>
  <c r="I17" i="5" s="1"/>
  <c r="E17" i="5"/>
  <c r="H16" i="5"/>
  <c r="E16" i="5"/>
  <c r="E15" i="5"/>
  <c r="H15" i="5" s="1"/>
  <c r="I15" i="5" s="1"/>
  <c r="H14" i="5"/>
  <c r="E14" i="5"/>
  <c r="E13" i="5"/>
  <c r="H13" i="5" s="1"/>
  <c r="I13" i="5" s="1"/>
  <c r="H12" i="5"/>
  <c r="E12" i="5" s="1"/>
  <c r="E11" i="5"/>
  <c r="H11" i="5" s="1"/>
  <c r="I11" i="5" s="1"/>
  <c r="H10" i="5"/>
  <c r="E10" i="5"/>
  <c r="E9" i="5"/>
  <c r="H9" i="5" s="1"/>
  <c r="I9" i="5" s="1"/>
  <c r="H8" i="5"/>
  <c r="E8" i="5"/>
  <c r="E7" i="5"/>
  <c r="H7" i="5" s="1"/>
  <c r="I7" i="5" s="1"/>
  <c r="H6" i="5"/>
  <c r="E6" i="5"/>
  <c r="E5" i="5"/>
  <c r="H5" i="5" s="1"/>
  <c r="I5" i="5" s="1"/>
  <c r="E3" i="5"/>
  <c r="H3" i="5" s="1"/>
  <c r="H4" i="5"/>
  <c r="E4" i="5" s="1"/>
  <c r="N312" i="1"/>
  <c r="F5" i="4"/>
  <c r="H5" i="4"/>
  <c r="E4" i="4"/>
  <c r="F4" i="4" s="1"/>
  <c r="H4" i="4" s="1"/>
  <c r="I4" i="4" s="1"/>
  <c r="S312" i="1"/>
  <c r="M316" i="1"/>
  <c r="I3" i="5" l="1"/>
  <c r="Q55" i="2"/>
  <c r="P55" i="2"/>
  <c r="P445" i="3"/>
  <c r="Q445" i="3" s="1"/>
  <c r="R445" i="3" s="1"/>
  <c r="S445" i="3" s="1"/>
  <c r="J445" i="3"/>
  <c r="N445" i="3" s="1"/>
  <c r="P434" i="3"/>
  <c r="Q434" i="3" s="1"/>
  <c r="R434" i="3" s="1"/>
  <c r="S434" i="3" s="1"/>
  <c r="J434" i="3"/>
  <c r="N434" i="3" s="1"/>
  <c r="J421" i="3"/>
  <c r="L421" i="3" s="1"/>
  <c r="L426" i="3" s="1"/>
  <c r="L414" i="3"/>
  <c r="P413" i="3"/>
  <c r="Q413" i="3" s="1"/>
  <c r="R413" i="3" s="1"/>
  <c r="S413" i="3" s="1"/>
  <c r="J413" i="3"/>
  <c r="L413" i="3" s="1"/>
  <c r="J404" i="3"/>
  <c r="L404" i="3" s="1"/>
  <c r="L408" i="3" s="1"/>
  <c r="L396" i="3"/>
  <c r="L395" i="3"/>
  <c r="P394" i="3"/>
  <c r="Q394" i="3" s="1"/>
  <c r="J394" i="3"/>
  <c r="L394" i="3" s="1"/>
  <c r="P393" i="3"/>
  <c r="Q393" i="3" s="1"/>
  <c r="R393" i="3" s="1"/>
  <c r="S393" i="3" s="1"/>
  <c r="J393" i="3"/>
  <c r="L393" i="3" s="1"/>
  <c r="J384" i="3"/>
  <c r="L384" i="3" s="1"/>
  <c r="L389" i="3" s="1"/>
  <c r="L377" i="3"/>
  <c r="P376" i="3"/>
  <c r="Q376" i="3" s="1"/>
  <c r="R376" i="3" s="1"/>
  <c r="S376" i="3" s="1"/>
  <c r="J376" i="3"/>
  <c r="L376" i="3" s="1"/>
  <c r="L366" i="3"/>
  <c r="L371" i="3" s="1"/>
  <c r="J366" i="3"/>
  <c r="L358" i="3"/>
  <c r="L357" i="3"/>
  <c r="P356" i="3"/>
  <c r="Q356" i="3" s="1"/>
  <c r="J356" i="3"/>
  <c r="L356" i="3" s="1"/>
  <c r="P355" i="3"/>
  <c r="Q355" i="3" s="1"/>
  <c r="R355" i="3" s="1"/>
  <c r="S355" i="3" s="1"/>
  <c r="J355" i="3"/>
  <c r="L355" i="3" s="1"/>
  <c r="L345" i="3"/>
  <c r="L350" i="3" s="1"/>
  <c r="J345" i="3"/>
  <c r="L337" i="3"/>
  <c r="L336" i="3"/>
  <c r="P335" i="3"/>
  <c r="Q335" i="3" s="1"/>
  <c r="J335" i="3"/>
  <c r="L335" i="3" s="1"/>
  <c r="P334" i="3"/>
  <c r="Q334" i="3" s="1"/>
  <c r="R334" i="3" s="1"/>
  <c r="S334" i="3" s="1"/>
  <c r="J334" i="3"/>
  <c r="L334" i="3" s="1"/>
  <c r="J323" i="3"/>
  <c r="L323" i="3" s="1"/>
  <c r="L328" i="3" s="1"/>
  <c r="L315" i="3"/>
  <c r="L314" i="3"/>
  <c r="P313" i="3"/>
  <c r="Q313" i="3" s="1"/>
  <c r="J313" i="3"/>
  <c r="L313" i="3" s="1"/>
  <c r="P312" i="3"/>
  <c r="Q312" i="3" s="1"/>
  <c r="R312" i="3" s="1"/>
  <c r="S312" i="3" s="1"/>
  <c r="J312" i="3"/>
  <c r="L312" i="3" s="1"/>
  <c r="J301" i="3"/>
  <c r="L301" i="3" s="1"/>
  <c r="L305" i="3" s="1"/>
  <c r="L298" i="3"/>
  <c r="L300" i="3" s="1"/>
  <c r="L291" i="3"/>
  <c r="P290" i="3"/>
  <c r="Q290" i="3" s="1"/>
  <c r="R290" i="3" s="1"/>
  <c r="S290" i="3" s="1"/>
  <c r="L290" i="3"/>
  <c r="L294" i="3" s="1"/>
  <c r="L280" i="3"/>
  <c r="P279" i="3"/>
  <c r="Q279" i="3" s="1"/>
  <c r="R279" i="3" s="1"/>
  <c r="S279" i="3" s="1"/>
  <c r="J279" i="3"/>
  <c r="L279" i="3" s="1"/>
  <c r="J271" i="3"/>
  <c r="L271" i="3" s="1"/>
  <c r="L275" i="3" s="1"/>
  <c r="L263" i="3"/>
  <c r="L262" i="3"/>
  <c r="P261" i="3"/>
  <c r="Q261" i="3" s="1"/>
  <c r="J261" i="3"/>
  <c r="L261" i="3" s="1"/>
  <c r="P260" i="3"/>
  <c r="Q260" i="3" s="1"/>
  <c r="R260" i="3" s="1"/>
  <c r="S260" i="3" s="1"/>
  <c r="J260" i="3"/>
  <c r="L260" i="3" s="1"/>
  <c r="L253" i="3"/>
  <c r="L255" i="3" s="1"/>
  <c r="L245" i="3"/>
  <c r="L244" i="3"/>
  <c r="P243" i="3"/>
  <c r="Q243" i="3" s="1"/>
  <c r="J243" i="3"/>
  <c r="L243" i="3" s="1"/>
  <c r="P242" i="3"/>
  <c r="Q242" i="3" s="1"/>
  <c r="R242" i="3" s="1"/>
  <c r="S242" i="3" s="1"/>
  <c r="J242" i="3"/>
  <c r="L242" i="3" s="1"/>
  <c r="L236" i="3"/>
  <c r="L237" i="3" s="1"/>
  <c r="L228" i="3"/>
  <c r="L227" i="3"/>
  <c r="P226" i="3"/>
  <c r="Q226" i="3" s="1"/>
  <c r="J226" i="3"/>
  <c r="L226" i="3" s="1"/>
  <c r="P225" i="3"/>
  <c r="Q225" i="3" s="1"/>
  <c r="R225" i="3" s="1"/>
  <c r="S225" i="3" s="1"/>
  <c r="J225" i="3"/>
  <c r="L225" i="3" s="1"/>
  <c r="L232" i="3" s="1"/>
  <c r="L234" i="3" s="1"/>
  <c r="L218" i="3"/>
  <c r="L220" i="3" s="1"/>
  <c r="P211" i="3"/>
  <c r="Q211" i="3" s="1"/>
  <c r="R211" i="3" s="1"/>
  <c r="S211" i="3" s="1"/>
  <c r="J211" i="3"/>
  <c r="L211" i="3" s="1"/>
  <c r="P200" i="3"/>
  <c r="Q200" i="3" s="1"/>
  <c r="R200" i="3" s="1"/>
  <c r="S200" i="3" s="1"/>
  <c r="J200" i="3"/>
  <c r="L200" i="3" s="1"/>
  <c r="L203" i="3" s="1"/>
  <c r="L189" i="3"/>
  <c r="L188" i="3"/>
  <c r="P187" i="3"/>
  <c r="Q187" i="3" s="1"/>
  <c r="J187" i="3"/>
  <c r="L187" i="3" s="1"/>
  <c r="P186" i="3"/>
  <c r="Q186" i="3" s="1"/>
  <c r="R186" i="3" s="1"/>
  <c r="S186" i="3" s="1"/>
  <c r="J186" i="3"/>
  <c r="L186" i="3" s="1"/>
  <c r="L174" i="3"/>
  <c r="L173" i="3"/>
  <c r="P172" i="3"/>
  <c r="Q172" i="3" s="1"/>
  <c r="J172" i="3"/>
  <c r="L172" i="3" s="1"/>
  <c r="P171" i="3"/>
  <c r="Q171" i="3" s="1"/>
  <c r="R171" i="3" s="1"/>
  <c r="S171" i="3" s="1"/>
  <c r="J171" i="3"/>
  <c r="L171" i="3" s="1"/>
  <c r="J161" i="3"/>
  <c r="L161" i="3" s="1"/>
  <c r="L165" i="3" s="1"/>
  <c r="J156" i="3"/>
  <c r="L156" i="3" s="1"/>
  <c r="L160" i="3" s="1"/>
  <c r="L148" i="3"/>
  <c r="L147" i="3"/>
  <c r="P146" i="3"/>
  <c r="Q146" i="3" s="1"/>
  <c r="J146" i="3"/>
  <c r="L146" i="3" s="1"/>
  <c r="P145" i="3"/>
  <c r="Q145" i="3" s="1"/>
  <c r="R145" i="3" s="1"/>
  <c r="S145" i="3" s="1"/>
  <c r="J145" i="3"/>
  <c r="L145" i="3" s="1"/>
  <c r="L135" i="3"/>
  <c r="L140" i="3" s="1"/>
  <c r="J135" i="3"/>
  <c r="L127" i="3"/>
  <c r="L126" i="3"/>
  <c r="P125" i="3"/>
  <c r="Q125" i="3" s="1"/>
  <c r="J125" i="3"/>
  <c r="L125" i="3" s="1"/>
  <c r="P124" i="3"/>
  <c r="Q124" i="3" s="1"/>
  <c r="R124" i="3" s="1"/>
  <c r="S124" i="3" s="1"/>
  <c r="J124" i="3"/>
  <c r="L124" i="3" s="1"/>
  <c r="J114" i="3"/>
  <c r="L114" i="3" s="1"/>
  <c r="L119" i="3" s="1"/>
  <c r="L106" i="3"/>
  <c r="L105" i="3"/>
  <c r="P104" i="3"/>
  <c r="Q104" i="3" s="1"/>
  <c r="J104" i="3"/>
  <c r="L104" i="3" s="1"/>
  <c r="P103" i="3"/>
  <c r="Q103" i="3" s="1"/>
  <c r="R103" i="3" s="1"/>
  <c r="S103" i="3" s="1"/>
  <c r="J103" i="3"/>
  <c r="L103" i="3" s="1"/>
  <c r="J93" i="3"/>
  <c r="L93" i="3" s="1"/>
  <c r="L97" i="3" s="1"/>
  <c r="J88" i="3"/>
  <c r="L88" i="3" s="1"/>
  <c r="L92" i="3" s="1"/>
  <c r="J83" i="3"/>
  <c r="L83" i="3" s="1"/>
  <c r="L87" i="3" s="1"/>
  <c r="J78" i="3"/>
  <c r="L78" i="3" s="1"/>
  <c r="L82" i="3" s="1"/>
  <c r="J72" i="3"/>
  <c r="L72" i="3" s="1"/>
  <c r="L77" i="3" s="1"/>
  <c r="J66" i="3"/>
  <c r="L66" i="3" s="1"/>
  <c r="L71" i="3" s="1"/>
  <c r="L58" i="3"/>
  <c r="L57" i="3"/>
  <c r="P56" i="3"/>
  <c r="Q56" i="3" s="1"/>
  <c r="J56" i="3"/>
  <c r="L56" i="3" s="1"/>
  <c r="P55" i="3"/>
  <c r="Q55" i="3" s="1"/>
  <c r="R55" i="3" s="1"/>
  <c r="S55" i="3" s="1"/>
  <c r="J55" i="3"/>
  <c r="L55" i="3" s="1"/>
  <c r="L48" i="3"/>
  <c r="L50" i="3" s="1"/>
  <c r="L45" i="3"/>
  <c r="L47" i="3" s="1"/>
  <c r="J39" i="3"/>
  <c r="L39" i="3" s="1"/>
  <c r="L44" i="3" s="1"/>
  <c r="J33" i="3"/>
  <c r="L33" i="3" s="1"/>
  <c r="L38" i="3" s="1"/>
  <c r="L25" i="3"/>
  <c r="L24" i="3"/>
  <c r="P23" i="3"/>
  <c r="Q23" i="3" s="1"/>
  <c r="J23" i="3"/>
  <c r="L23" i="3" s="1"/>
  <c r="P22" i="3"/>
  <c r="Q22" i="3" s="1"/>
  <c r="R22" i="3" s="1"/>
  <c r="S22" i="3" s="1"/>
  <c r="J22" i="3"/>
  <c r="L22" i="3" s="1"/>
  <c r="J445" i="2"/>
  <c r="N445" i="2" s="1"/>
  <c r="J434" i="2"/>
  <c r="N434" i="2" s="1"/>
  <c r="J413" i="2"/>
  <c r="J394" i="2"/>
  <c r="L394" i="2" s="1"/>
  <c r="J393" i="2"/>
  <c r="L393" i="2" s="1"/>
  <c r="J376" i="2"/>
  <c r="L376" i="2" s="1"/>
  <c r="L380" i="2" s="1"/>
  <c r="J356" i="2"/>
  <c r="J355" i="2"/>
  <c r="L355" i="2" s="1"/>
  <c r="J335" i="2"/>
  <c r="L335" i="2" s="1"/>
  <c r="J334" i="2"/>
  <c r="L334" i="2" s="1"/>
  <c r="J313" i="2"/>
  <c r="L313" i="2" s="1"/>
  <c r="J312" i="2"/>
  <c r="L312" i="2" s="1"/>
  <c r="L280" i="2"/>
  <c r="J279" i="2"/>
  <c r="L279" i="2" s="1"/>
  <c r="J261" i="2"/>
  <c r="L261" i="2" s="1"/>
  <c r="J260" i="2"/>
  <c r="L260" i="2" s="1"/>
  <c r="J243" i="2"/>
  <c r="J242" i="2"/>
  <c r="J226" i="2"/>
  <c r="L226" i="2" s="1"/>
  <c r="J225" i="2"/>
  <c r="L225" i="2" s="1"/>
  <c r="L232" i="2" s="1"/>
  <c r="L234" i="2" s="1"/>
  <c r="J211" i="2"/>
  <c r="L211" i="2" s="1"/>
  <c r="J200" i="2"/>
  <c r="J187" i="2"/>
  <c r="L187" i="2" s="1"/>
  <c r="J186" i="2"/>
  <c r="J172" i="2"/>
  <c r="L172" i="2" s="1"/>
  <c r="J171" i="2"/>
  <c r="L171" i="2" s="1"/>
  <c r="J146" i="2"/>
  <c r="J145" i="2"/>
  <c r="J125" i="2"/>
  <c r="L125" i="2" s="1"/>
  <c r="J124" i="2"/>
  <c r="L124" i="2" s="1"/>
  <c r="L131" i="2" s="1"/>
  <c r="J104" i="2"/>
  <c r="J103" i="2"/>
  <c r="L103" i="2" s="1"/>
  <c r="J56" i="2"/>
  <c r="J55" i="2"/>
  <c r="J23" i="2"/>
  <c r="J22" i="2"/>
  <c r="P445" i="2"/>
  <c r="Q445" i="2" s="1"/>
  <c r="R445" i="2" s="1"/>
  <c r="S445" i="2" s="1"/>
  <c r="Q434" i="2"/>
  <c r="R434" i="2" s="1"/>
  <c r="S434" i="2" s="1"/>
  <c r="P434" i="2"/>
  <c r="J421" i="2"/>
  <c r="L421" i="2" s="1"/>
  <c r="L426" i="2" s="1"/>
  <c r="L414" i="2"/>
  <c r="P413" i="2"/>
  <c r="Q413" i="2" s="1"/>
  <c r="R413" i="2" s="1"/>
  <c r="S413" i="2" s="1"/>
  <c r="L413" i="2"/>
  <c r="L417" i="2" s="1"/>
  <c r="J404" i="2"/>
  <c r="L404" i="2" s="1"/>
  <c r="L408" i="2" s="1"/>
  <c r="L396" i="2"/>
  <c r="L395" i="2"/>
  <c r="P394" i="2"/>
  <c r="Q394" i="2" s="1"/>
  <c r="P393" i="2"/>
  <c r="Q393" i="2" s="1"/>
  <c r="R393" i="2" s="1"/>
  <c r="S393" i="2" s="1"/>
  <c r="J384" i="2"/>
  <c r="L384" i="2" s="1"/>
  <c r="L389" i="2" s="1"/>
  <c r="L377" i="2"/>
  <c r="P376" i="2"/>
  <c r="Q376" i="2" s="1"/>
  <c r="R376" i="2" s="1"/>
  <c r="S376" i="2" s="1"/>
  <c r="J366" i="2"/>
  <c r="L366" i="2" s="1"/>
  <c r="L371" i="2" s="1"/>
  <c r="L358" i="2"/>
  <c r="L357" i="2"/>
  <c r="P356" i="2"/>
  <c r="Q356" i="2" s="1"/>
  <c r="L356" i="2"/>
  <c r="P355" i="2"/>
  <c r="Q355" i="2" s="1"/>
  <c r="R355" i="2" s="1"/>
  <c r="S355" i="2" s="1"/>
  <c r="J345" i="2"/>
  <c r="L345" i="2" s="1"/>
  <c r="L350" i="2" s="1"/>
  <c r="L337" i="2"/>
  <c r="L336" i="2"/>
  <c r="P335" i="2"/>
  <c r="Q335" i="2" s="1"/>
  <c r="P334" i="2"/>
  <c r="Q334" i="2" s="1"/>
  <c r="R334" i="2" s="1"/>
  <c r="S334" i="2" s="1"/>
  <c r="J323" i="2"/>
  <c r="L323" i="2" s="1"/>
  <c r="L328" i="2" s="1"/>
  <c r="L315" i="2"/>
  <c r="L314" i="2"/>
  <c r="P313" i="2"/>
  <c r="Q313" i="2" s="1"/>
  <c r="P312" i="2"/>
  <c r="Q312" i="2" s="1"/>
  <c r="R312" i="2" s="1"/>
  <c r="S312" i="2" s="1"/>
  <c r="J301" i="2"/>
  <c r="L301" i="2" s="1"/>
  <c r="L305" i="2" s="1"/>
  <c r="L298" i="2"/>
  <c r="L300" i="2" s="1"/>
  <c r="L291" i="2"/>
  <c r="P290" i="2"/>
  <c r="Q290" i="2" s="1"/>
  <c r="R290" i="2" s="1"/>
  <c r="S290" i="2" s="1"/>
  <c r="L290" i="2"/>
  <c r="P279" i="2"/>
  <c r="Q279" i="2" s="1"/>
  <c r="R279" i="2" s="1"/>
  <c r="S279" i="2" s="1"/>
  <c r="L271" i="2"/>
  <c r="L275" i="2" s="1"/>
  <c r="J271" i="2"/>
  <c r="L263" i="2"/>
  <c r="L262" i="2"/>
  <c r="P261" i="2"/>
  <c r="Q261" i="2" s="1"/>
  <c r="P260" i="2"/>
  <c r="Q260" i="2" s="1"/>
  <c r="R260" i="2" s="1"/>
  <c r="S260" i="2" s="1"/>
  <c r="L253" i="2"/>
  <c r="L255" i="2" s="1"/>
  <c r="L245" i="2"/>
  <c r="L244" i="2"/>
  <c r="P243" i="2"/>
  <c r="Q243" i="2" s="1"/>
  <c r="L243" i="2"/>
  <c r="P242" i="2"/>
  <c r="Q242" i="2" s="1"/>
  <c r="R242" i="2" s="1"/>
  <c r="S242" i="2" s="1"/>
  <c r="L242" i="2"/>
  <c r="L249" i="2" s="1"/>
  <c r="L236" i="2"/>
  <c r="L237" i="2" s="1"/>
  <c r="L228" i="2"/>
  <c r="L227" i="2"/>
  <c r="P226" i="2"/>
  <c r="Q226" i="2" s="1"/>
  <c r="P225" i="2"/>
  <c r="Q225" i="2" s="1"/>
  <c r="R225" i="2" s="1"/>
  <c r="S225" i="2" s="1"/>
  <c r="L218" i="2"/>
  <c r="L220" i="2" s="1"/>
  <c r="P211" i="2"/>
  <c r="Q211" i="2" s="1"/>
  <c r="R211" i="2" s="1"/>
  <c r="S211" i="2" s="1"/>
  <c r="P200" i="2"/>
  <c r="Q200" i="2" s="1"/>
  <c r="R200" i="2" s="1"/>
  <c r="S200" i="2" s="1"/>
  <c r="L200" i="2"/>
  <c r="L202" i="2" s="1"/>
  <c r="L189" i="2"/>
  <c r="L188" i="2"/>
  <c r="P187" i="2"/>
  <c r="Q187" i="2" s="1"/>
  <c r="P186" i="2"/>
  <c r="Q186" i="2" s="1"/>
  <c r="R186" i="2" s="1"/>
  <c r="S186" i="2" s="1"/>
  <c r="L186" i="2"/>
  <c r="L193" i="2" s="1"/>
  <c r="L174" i="2"/>
  <c r="L173" i="2"/>
  <c r="P172" i="2"/>
  <c r="Q172" i="2" s="1"/>
  <c r="P171" i="2"/>
  <c r="Q171" i="2" s="1"/>
  <c r="R171" i="2" s="1"/>
  <c r="S171" i="2" s="1"/>
  <c r="J161" i="2"/>
  <c r="L161" i="2" s="1"/>
  <c r="L165" i="2" s="1"/>
  <c r="J156" i="2"/>
  <c r="L156" i="2" s="1"/>
  <c r="L160" i="2" s="1"/>
  <c r="L148" i="2"/>
  <c r="L147" i="2"/>
  <c r="P146" i="2"/>
  <c r="Q146" i="2" s="1"/>
  <c r="L146" i="2"/>
  <c r="P145" i="2"/>
  <c r="Q145" i="2" s="1"/>
  <c r="R145" i="2" s="1"/>
  <c r="S145" i="2" s="1"/>
  <c r="L145" i="2"/>
  <c r="L152" i="2" s="1"/>
  <c r="L135" i="2"/>
  <c r="L140" i="2" s="1"/>
  <c r="J135" i="2"/>
  <c r="L127" i="2"/>
  <c r="L126" i="2"/>
  <c r="P125" i="2"/>
  <c r="Q125" i="2" s="1"/>
  <c r="P124" i="2"/>
  <c r="Q124" i="2" s="1"/>
  <c r="R124" i="2" s="1"/>
  <c r="S124" i="2" s="1"/>
  <c r="J114" i="2"/>
  <c r="L114" i="2" s="1"/>
  <c r="L119" i="2" s="1"/>
  <c r="L106" i="2"/>
  <c r="L105" i="2"/>
  <c r="P104" i="2"/>
  <c r="Q104" i="2" s="1"/>
  <c r="L104" i="2"/>
  <c r="P103" i="2"/>
  <c r="Q103" i="2" s="1"/>
  <c r="R103" i="2" s="1"/>
  <c r="S103" i="2" s="1"/>
  <c r="J93" i="2"/>
  <c r="L93" i="2" s="1"/>
  <c r="L97" i="2" s="1"/>
  <c r="J88" i="2"/>
  <c r="L88" i="2" s="1"/>
  <c r="L92" i="2" s="1"/>
  <c r="L83" i="2"/>
  <c r="L87" i="2" s="1"/>
  <c r="J83" i="2"/>
  <c r="J78" i="2"/>
  <c r="L78" i="2" s="1"/>
  <c r="L82" i="2" s="1"/>
  <c r="J72" i="2"/>
  <c r="L72" i="2" s="1"/>
  <c r="L77" i="2" s="1"/>
  <c r="J66" i="2"/>
  <c r="L66" i="2" s="1"/>
  <c r="L71" i="2" s="1"/>
  <c r="L58" i="2"/>
  <c r="L57" i="2"/>
  <c r="P56" i="2"/>
  <c r="Q56" i="2" s="1"/>
  <c r="L56" i="2"/>
  <c r="R55" i="2"/>
  <c r="S55" i="2" s="1"/>
  <c r="L55" i="2"/>
  <c r="L48" i="2"/>
  <c r="L50" i="2" s="1"/>
  <c r="L45" i="2"/>
  <c r="L47" i="2" s="1"/>
  <c r="J39" i="2"/>
  <c r="L39" i="2" s="1"/>
  <c r="L44" i="2" s="1"/>
  <c r="J33" i="2"/>
  <c r="L33" i="2" s="1"/>
  <c r="L38" i="2" s="1"/>
  <c r="L25" i="2"/>
  <c r="L24" i="2"/>
  <c r="P23" i="2"/>
  <c r="Q23" i="2" s="1"/>
  <c r="L23" i="2"/>
  <c r="P22" i="2"/>
  <c r="Q22" i="2" s="1"/>
  <c r="R22" i="2" s="1"/>
  <c r="S22" i="2" s="1"/>
  <c r="Q445" i="1"/>
  <c r="R445" i="1" s="1"/>
  <c r="S445" i="1" s="1"/>
  <c r="P445" i="1"/>
  <c r="N445" i="1"/>
  <c r="P434" i="1"/>
  <c r="Q434" i="1"/>
  <c r="R434" i="1" s="1"/>
  <c r="S434" i="1" s="1"/>
  <c r="N434" i="1"/>
  <c r="P413" i="1"/>
  <c r="Q413" i="1" s="1"/>
  <c r="R413" i="1" s="1"/>
  <c r="S413" i="1" s="1"/>
  <c r="N413" i="1"/>
  <c r="P394" i="1"/>
  <c r="Q394" i="1" s="1"/>
  <c r="N394" i="1"/>
  <c r="P393" i="1"/>
  <c r="Q393" i="1" s="1"/>
  <c r="R393" i="1" s="1"/>
  <c r="S393" i="1" s="1"/>
  <c r="N393" i="1"/>
  <c r="P376" i="1"/>
  <c r="Q376" i="1"/>
  <c r="R376" i="1" s="1"/>
  <c r="S376" i="1" s="1"/>
  <c r="N376" i="1"/>
  <c r="P356" i="1"/>
  <c r="Q356" i="1" s="1"/>
  <c r="N356" i="1"/>
  <c r="P355" i="1"/>
  <c r="Q355" i="1" s="1"/>
  <c r="R355" i="1" s="1"/>
  <c r="S355" i="1" s="1"/>
  <c r="N355" i="1"/>
  <c r="P335" i="1"/>
  <c r="Q335" i="1" s="1"/>
  <c r="N335" i="1"/>
  <c r="P334" i="1"/>
  <c r="Q334" i="1" s="1"/>
  <c r="R334" i="1" s="1"/>
  <c r="S334" i="1" s="1"/>
  <c r="N334" i="1"/>
  <c r="P290" i="1"/>
  <c r="Q290" i="1" s="1"/>
  <c r="R290" i="1" s="1"/>
  <c r="S290" i="1" s="1"/>
  <c r="N290" i="1"/>
  <c r="P313" i="1"/>
  <c r="Q313" i="1" s="1"/>
  <c r="N313" i="1"/>
  <c r="P312" i="1"/>
  <c r="Q312" i="1" s="1"/>
  <c r="R312" i="1" s="1"/>
  <c r="P279" i="1"/>
  <c r="Q279" i="1"/>
  <c r="R279" i="1" s="1"/>
  <c r="S279" i="1" s="1"/>
  <c r="N279" i="1"/>
  <c r="P261" i="1"/>
  <c r="Q261" i="1" s="1"/>
  <c r="N261" i="1"/>
  <c r="P260" i="1"/>
  <c r="Q260" i="1" s="1"/>
  <c r="R260" i="1" s="1"/>
  <c r="S260" i="1" s="1"/>
  <c r="N260" i="1"/>
  <c r="P243" i="1"/>
  <c r="Q243" i="1" s="1"/>
  <c r="N243" i="1"/>
  <c r="P242" i="1"/>
  <c r="Q242" i="1" s="1"/>
  <c r="R242" i="1" s="1"/>
  <c r="S242" i="1" s="1"/>
  <c r="N242" i="1"/>
  <c r="N225" i="1"/>
  <c r="P225" i="1"/>
  <c r="P226" i="1"/>
  <c r="Q226" i="1" s="1"/>
  <c r="N226" i="1"/>
  <c r="Q225" i="1"/>
  <c r="R225" i="1" s="1"/>
  <c r="S225" i="1" s="1"/>
  <c r="P211" i="1"/>
  <c r="Q211" i="1" s="1"/>
  <c r="R211" i="1" s="1"/>
  <c r="S211" i="1" s="1"/>
  <c r="N211" i="1"/>
  <c r="P200" i="1"/>
  <c r="Q200" i="1" s="1"/>
  <c r="R200" i="1" s="1"/>
  <c r="S200" i="1" s="1"/>
  <c r="N200" i="1"/>
  <c r="P187" i="1"/>
  <c r="Q187" i="1" s="1"/>
  <c r="N187" i="1"/>
  <c r="P186" i="1"/>
  <c r="Q186" i="1" s="1"/>
  <c r="R186" i="1" s="1"/>
  <c r="S186" i="1" s="1"/>
  <c r="N186" i="1"/>
  <c r="P172" i="1"/>
  <c r="Q172" i="1" s="1"/>
  <c r="N172" i="1"/>
  <c r="P171" i="1"/>
  <c r="Q171" i="1" s="1"/>
  <c r="R171" i="1" s="1"/>
  <c r="S171" i="1" s="1"/>
  <c r="N171" i="1"/>
  <c r="P146" i="1"/>
  <c r="Q146" i="1" s="1"/>
  <c r="N146" i="1"/>
  <c r="P145" i="1"/>
  <c r="Q145" i="1" s="1"/>
  <c r="R145" i="1" s="1"/>
  <c r="S145" i="1" s="1"/>
  <c r="N145" i="1"/>
  <c r="P125" i="1"/>
  <c r="Q125" i="1" s="1"/>
  <c r="N125" i="1"/>
  <c r="P124" i="1"/>
  <c r="Q124" i="1" s="1"/>
  <c r="R124" i="1" s="1"/>
  <c r="S124" i="1" s="1"/>
  <c r="N124" i="1"/>
  <c r="P104" i="1"/>
  <c r="Q104" i="1" s="1"/>
  <c r="P103" i="1"/>
  <c r="Q103" i="1" s="1"/>
  <c r="R103" i="1" s="1"/>
  <c r="S103" i="1" s="1"/>
  <c r="P56" i="1"/>
  <c r="Q56" i="1" s="1"/>
  <c r="P55" i="1"/>
  <c r="Q55" i="1" s="1"/>
  <c r="R55" i="1" s="1"/>
  <c r="S55" i="1" s="1"/>
  <c r="S22" i="1"/>
  <c r="R22" i="1"/>
  <c r="N104" i="1"/>
  <c r="N103" i="1"/>
  <c r="P23" i="1"/>
  <c r="Q23" i="1" s="1"/>
  <c r="P22" i="1"/>
  <c r="Q22" i="1" s="1"/>
  <c r="N56" i="1"/>
  <c r="N55" i="1"/>
  <c r="N23" i="1"/>
  <c r="N22" i="1"/>
  <c r="L178" i="3" l="1"/>
  <c r="L180" i="3" s="1"/>
  <c r="L151" i="3"/>
  <c r="L293" i="3"/>
  <c r="L296" i="3"/>
  <c r="L295" i="3"/>
  <c r="L177" i="3"/>
  <c r="L152" i="3"/>
  <c r="L267" i="3"/>
  <c r="L266" i="3"/>
  <c r="L61" i="3"/>
  <c r="L62" i="3"/>
  <c r="L362" i="3"/>
  <c r="L361" i="3"/>
  <c r="L283" i="3"/>
  <c r="L282" i="3"/>
  <c r="L249" i="3"/>
  <c r="L248" i="3"/>
  <c r="L379" i="3"/>
  <c r="L380" i="3"/>
  <c r="L110" i="3"/>
  <c r="L109" i="3"/>
  <c r="L319" i="3"/>
  <c r="L318" i="3"/>
  <c r="L214" i="3"/>
  <c r="L213" i="3"/>
  <c r="L417" i="3"/>
  <c r="L416" i="3"/>
  <c r="L341" i="3"/>
  <c r="L340" i="3"/>
  <c r="L131" i="3"/>
  <c r="L130" i="3"/>
  <c r="L28" i="3"/>
  <c r="L29" i="3"/>
  <c r="L205" i="3"/>
  <c r="L204" i="3"/>
  <c r="L233" i="3"/>
  <c r="L193" i="3"/>
  <c r="L192" i="3"/>
  <c r="L231" i="3"/>
  <c r="L399" i="3"/>
  <c r="L400" i="3"/>
  <c r="L202" i="3"/>
  <c r="L434" i="3"/>
  <c r="L445" i="3"/>
  <c r="L445" i="2"/>
  <c r="L434" i="2"/>
  <c r="L341" i="2"/>
  <c r="L343" i="2" s="1"/>
  <c r="L203" i="2"/>
  <c r="L205" i="2" s="1"/>
  <c r="L109" i="2"/>
  <c r="L110" i="2"/>
  <c r="L112" i="2" s="1"/>
  <c r="L61" i="2"/>
  <c r="L319" i="2"/>
  <c r="L320" i="2" s="1"/>
  <c r="L381" i="2"/>
  <c r="L382" i="2"/>
  <c r="L192" i="2"/>
  <c r="L379" i="2"/>
  <c r="L248" i="2"/>
  <c r="L62" i="2"/>
  <c r="L362" i="2"/>
  <c r="L364" i="2" s="1"/>
  <c r="L416" i="2"/>
  <c r="L267" i="2"/>
  <c r="L269" i="2" s="1"/>
  <c r="L231" i="2"/>
  <c r="L361" i="2"/>
  <c r="L399" i="2"/>
  <c r="L340" i="2"/>
  <c r="L130" i="2"/>
  <c r="L177" i="2"/>
  <c r="L22" i="2"/>
  <c r="L195" i="2"/>
  <c r="L194" i="2"/>
  <c r="L196" i="2" s="1"/>
  <c r="L133" i="2"/>
  <c r="L132" i="2"/>
  <c r="L154" i="2"/>
  <c r="L153" i="2"/>
  <c r="L204" i="2"/>
  <c r="L206" i="2" s="1"/>
  <c r="L283" i="2"/>
  <c r="L282" i="2"/>
  <c r="L233" i="2"/>
  <c r="L419" i="2"/>
  <c r="L418" i="2"/>
  <c r="L251" i="2"/>
  <c r="L250" i="2"/>
  <c r="L400" i="2"/>
  <c r="L214" i="2"/>
  <c r="L213" i="2"/>
  <c r="L178" i="2"/>
  <c r="L266" i="2"/>
  <c r="L294" i="2"/>
  <c r="L293" i="2"/>
  <c r="L321" i="2"/>
  <c r="L151" i="2"/>
  <c r="L318" i="2"/>
  <c r="L445" i="1"/>
  <c r="L448" i="1" s="1"/>
  <c r="L434" i="1"/>
  <c r="L437" i="1" s="1"/>
  <c r="J421" i="1"/>
  <c r="L421" i="1" s="1"/>
  <c r="L426" i="1" s="1"/>
  <c r="L414" i="1"/>
  <c r="L413" i="1"/>
  <c r="L417" i="1" s="1"/>
  <c r="L377" i="1"/>
  <c r="L376" i="1"/>
  <c r="L380" i="1" s="1"/>
  <c r="J404" i="1"/>
  <c r="L404" i="1" s="1"/>
  <c r="L408" i="1" s="1"/>
  <c r="L396" i="1"/>
  <c r="L395" i="1"/>
  <c r="L394" i="1"/>
  <c r="L393" i="1"/>
  <c r="J384" i="1"/>
  <c r="L384" i="1" s="1"/>
  <c r="L389" i="1" s="1"/>
  <c r="L358" i="1"/>
  <c r="L357" i="1"/>
  <c r="L356" i="1"/>
  <c r="L355" i="1"/>
  <c r="J366" i="1"/>
  <c r="L366" i="1" s="1"/>
  <c r="L371" i="1" s="1"/>
  <c r="J345" i="1"/>
  <c r="L345" i="1" s="1"/>
  <c r="L350" i="1" s="1"/>
  <c r="L337" i="1"/>
  <c r="L336" i="1"/>
  <c r="L335" i="1"/>
  <c r="L334" i="1"/>
  <c r="J323" i="1"/>
  <c r="L323" i="1" s="1"/>
  <c r="L328" i="1" s="1"/>
  <c r="L315" i="1"/>
  <c r="L314" i="1"/>
  <c r="L313" i="1"/>
  <c r="L312" i="1"/>
  <c r="J301" i="1"/>
  <c r="L301" i="1" s="1"/>
  <c r="L305" i="1" s="1"/>
  <c r="L298" i="1"/>
  <c r="L300" i="1" s="1"/>
  <c r="L291" i="1"/>
  <c r="L290" i="1"/>
  <c r="L294" i="1" s="1"/>
  <c r="L280" i="1"/>
  <c r="L279" i="1"/>
  <c r="J271" i="1"/>
  <c r="L271" i="1" s="1"/>
  <c r="L275" i="1" s="1"/>
  <c r="L263" i="1"/>
  <c r="L262" i="1"/>
  <c r="L261" i="1"/>
  <c r="L260" i="1"/>
  <c r="L253" i="1"/>
  <c r="L255" i="1" s="1"/>
  <c r="L245" i="1"/>
  <c r="L244" i="1"/>
  <c r="L243" i="1"/>
  <c r="L242" i="1"/>
  <c r="L236" i="1"/>
  <c r="L237" i="1" s="1"/>
  <c r="L218" i="1"/>
  <c r="L220" i="1" s="1"/>
  <c r="L228" i="1"/>
  <c r="L227" i="1"/>
  <c r="L226" i="1"/>
  <c r="L225" i="1"/>
  <c r="L211" i="1"/>
  <c r="L214" i="1" s="1"/>
  <c r="L200" i="1"/>
  <c r="L203" i="1" s="1"/>
  <c r="L189" i="1"/>
  <c r="L188" i="1"/>
  <c r="L187" i="1"/>
  <c r="L186" i="1"/>
  <c r="L174" i="1"/>
  <c r="L173" i="1"/>
  <c r="L172" i="1"/>
  <c r="L171" i="1"/>
  <c r="J161" i="1"/>
  <c r="L161" i="1" s="1"/>
  <c r="L165" i="1" s="1"/>
  <c r="J156" i="1"/>
  <c r="L156" i="1" s="1"/>
  <c r="L160" i="1" s="1"/>
  <c r="L148" i="1"/>
  <c r="L147" i="1"/>
  <c r="L146" i="1"/>
  <c r="L145" i="1"/>
  <c r="L151" i="1" s="1"/>
  <c r="J135" i="1"/>
  <c r="L135" i="1"/>
  <c r="L140" i="1" s="1"/>
  <c r="L127" i="1"/>
  <c r="L126" i="1"/>
  <c r="L125" i="1"/>
  <c r="L124" i="1"/>
  <c r="J114" i="1"/>
  <c r="L114" i="1" s="1"/>
  <c r="L119" i="1" s="1"/>
  <c r="L106" i="1"/>
  <c r="L105" i="1"/>
  <c r="L104" i="1"/>
  <c r="L103" i="1"/>
  <c r="J93" i="1"/>
  <c r="L93" i="1" s="1"/>
  <c r="L97" i="1" s="1"/>
  <c r="J88" i="1"/>
  <c r="L88" i="1" s="1"/>
  <c r="L92" i="1" s="1"/>
  <c r="J83" i="1"/>
  <c r="L83" i="1" s="1"/>
  <c r="L87" i="1" s="1"/>
  <c r="J78" i="1"/>
  <c r="L78" i="1" s="1"/>
  <c r="L82" i="1" s="1"/>
  <c r="J72" i="1"/>
  <c r="L72" i="1"/>
  <c r="L77" i="1" s="1"/>
  <c r="J66" i="1"/>
  <c r="L66" i="1" s="1"/>
  <c r="L71" i="1" s="1"/>
  <c r="L58" i="1"/>
  <c r="L57" i="1"/>
  <c r="L56" i="1"/>
  <c r="L55" i="1"/>
  <c r="L48" i="1"/>
  <c r="L50" i="1"/>
  <c r="L45" i="1"/>
  <c r="L47" i="1" s="1"/>
  <c r="J39" i="1"/>
  <c r="L39" i="1" s="1"/>
  <c r="L44" i="1" s="1"/>
  <c r="L25" i="1"/>
  <c r="L24" i="1"/>
  <c r="L23" i="1"/>
  <c r="L22" i="1"/>
  <c r="L29" i="1" s="1"/>
  <c r="J33" i="1"/>
  <c r="L33" i="1" s="1"/>
  <c r="L38" i="1" s="1"/>
  <c r="L342" i="2" l="1"/>
  <c r="L297" i="3"/>
  <c r="L179" i="3"/>
  <c r="L364" i="3"/>
  <c r="L363" i="3"/>
  <c r="L63" i="3"/>
  <c r="L64" i="3"/>
  <c r="L31" i="3"/>
  <c r="L30" i="3"/>
  <c r="L448" i="3"/>
  <c r="L447" i="3"/>
  <c r="L456" i="3"/>
  <c r="L111" i="3"/>
  <c r="L112" i="3"/>
  <c r="L437" i="3"/>
  <c r="L436" i="3"/>
  <c r="L268" i="3"/>
  <c r="L269" i="3"/>
  <c r="L206" i="3"/>
  <c r="L133" i="3"/>
  <c r="L132" i="3"/>
  <c r="L134" i="3" s="1"/>
  <c r="L381" i="3"/>
  <c r="L382" i="3"/>
  <c r="L154" i="3"/>
  <c r="L153" i="3"/>
  <c r="L155" i="3" s="1"/>
  <c r="L402" i="3"/>
  <c r="L403" i="3" s="1"/>
  <c r="L401" i="3"/>
  <c r="L181" i="3"/>
  <c r="L343" i="3"/>
  <c r="L342" i="3"/>
  <c r="L344" i="3" s="1"/>
  <c r="L235" i="3"/>
  <c r="L251" i="3"/>
  <c r="L250" i="3"/>
  <c r="L252" i="3" s="1"/>
  <c r="L419" i="3"/>
  <c r="L418" i="3"/>
  <c r="L321" i="3"/>
  <c r="L320" i="3"/>
  <c r="L195" i="3"/>
  <c r="L194" i="3"/>
  <c r="L285" i="3"/>
  <c r="L284" i="3"/>
  <c r="L286" i="3" s="1"/>
  <c r="L216" i="3"/>
  <c r="L215" i="3"/>
  <c r="L217" i="3" s="1"/>
  <c r="L448" i="2"/>
  <c r="L447" i="2"/>
  <c r="L437" i="2"/>
  <c r="L436" i="2"/>
  <c r="L235" i="2"/>
  <c r="L111" i="2"/>
  <c r="L113" i="2" s="1"/>
  <c r="L344" i="2"/>
  <c r="L383" i="2"/>
  <c r="L252" i="2"/>
  <c r="L134" i="2"/>
  <c r="L63" i="2"/>
  <c r="L64" i="2"/>
  <c r="L268" i="2"/>
  <c r="L363" i="2"/>
  <c r="L365" i="2" s="1"/>
  <c r="L420" i="2"/>
  <c r="L29" i="2"/>
  <c r="L28" i="2"/>
  <c r="L402" i="2"/>
  <c r="L401" i="2"/>
  <c r="L285" i="2"/>
  <c r="L284" i="2"/>
  <c r="L286" i="2" s="1"/>
  <c r="L296" i="2"/>
  <c r="L295" i="2"/>
  <c r="L297" i="2" s="1"/>
  <c r="L270" i="2"/>
  <c r="L180" i="2"/>
  <c r="L179" i="2"/>
  <c r="L181" i="2" s="1"/>
  <c r="L458" i="2"/>
  <c r="L322" i="2"/>
  <c r="L155" i="2"/>
  <c r="L216" i="2"/>
  <c r="L215" i="2"/>
  <c r="L319" i="1"/>
  <c r="L249" i="1"/>
  <c r="L250" i="1" s="1"/>
  <c r="L341" i="1"/>
  <c r="L343" i="1" s="1"/>
  <c r="L193" i="1"/>
  <c r="L195" i="1" s="1"/>
  <c r="L282" i="1"/>
  <c r="L439" i="1"/>
  <c r="L438" i="1"/>
  <c r="L436" i="1"/>
  <c r="L440" i="1" s="1"/>
  <c r="L28" i="1"/>
  <c r="L267" i="1"/>
  <c r="L269" i="1" s="1"/>
  <c r="L283" i="1"/>
  <c r="L285" i="1" s="1"/>
  <c r="L131" i="1"/>
  <c r="L133" i="1" s="1"/>
  <c r="L178" i="1"/>
  <c r="L180" i="1" s="1"/>
  <c r="L449" i="1"/>
  <c r="L450" i="1"/>
  <c r="L447" i="1"/>
  <c r="L451" i="1" s="1"/>
  <c r="L31" i="1"/>
  <c r="L30" i="1"/>
  <c r="L205" i="1"/>
  <c r="L204" i="1"/>
  <c r="L202" i="1"/>
  <c r="L62" i="1"/>
  <c r="L232" i="1"/>
  <c r="L234" i="1" s="1"/>
  <c r="L419" i="1"/>
  <c r="L418" i="1"/>
  <c r="L416" i="1"/>
  <c r="L382" i="1"/>
  <c r="L381" i="1"/>
  <c r="L379" i="1"/>
  <c r="L400" i="1"/>
  <c r="L401" i="1" s="1"/>
  <c r="L402" i="1"/>
  <c r="L399" i="1"/>
  <c r="L362" i="1"/>
  <c r="L363" i="1" s="1"/>
  <c r="L361" i="1"/>
  <c r="L340" i="1"/>
  <c r="L321" i="1"/>
  <c r="L320" i="1"/>
  <c r="L318" i="1"/>
  <c r="L296" i="1"/>
  <c r="L295" i="1"/>
  <c r="L293" i="1"/>
  <c r="L266" i="1"/>
  <c r="L248" i="1"/>
  <c r="L231" i="1"/>
  <c r="L216" i="1"/>
  <c r="L215" i="1"/>
  <c r="L213" i="1"/>
  <c r="L192" i="1"/>
  <c r="L177" i="1"/>
  <c r="L152" i="1"/>
  <c r="L130" i="1"/>
  <c r="L110" i="1"/>
  <c r="L111" i="1" s="1"/>
  <c r="L109" i="1"/>
  <c r="L61" i="1"/>
  <c r="L403" i="2" l="1"/>
  <c r="L428" i="2" s="1"/>
  <c r="L383" i="3"/>
  <c r="L65" i="3"/>
  <c r="L196" i="3"/>
  <c r="L365" i="3"/>
  <c r="L322" i="3"/>
  <c r="L113" i="3"/>
  <c r="L270" i="3"/>
  <c r="L420" i="3"/>
  <c r="L450" i="3"/>
  <c r="L449" i="3"/>
  <c r="L451" i="3" s="1"/>
  <c r="L458" i="3"/>
  <c r="L439" i="3"/>
  <c r="L438" i="3"/>
  <c r="L459" i="3" s="1"/>
  <c r="L460" i="3"/>
  <c r="L32" i="3"/>
  <c r="L450" i="2"/>
  <c r="L449" i="2"/>
  <c r="L439" i="2"/>
  <c r="L438" i="2"/>
  <c r="L440" i="2" s="1"/>
  <c r="L65" i="2"/>
  <c r="L217" i="2"/>
  <c r="L31" i="2"/>
  <c r="L30" i="2"/>
  <c r="L456" i="2"/>
  <c r="L342" i="1"/>
  <c r="L206" i="1"/>
  <c r="L251" i="1"/>
  <c r="L252" i="1" s="1"/>
  <c r="L344" i="1"/>
  <c r="L420" i="1"/>
  <c r="L64" i="1"/>
  <c r="L458" i="1"/>
  <c r="L297" i="1"/>
  <c r="L132" i="1"/>
  <c r="L134" i="1" s="1"/>
  <c r="L194" i="1"/>
  <c r="L196" i="1" s="1"/>
  <c r="L268" i="1"/>
  <c r="L270" i="1" s="1"/>
  <c r="L456" i="1"/>
  <c r="L32" i="1"/>
  <c r="L179" i="1"/>
  <c r="L181" i="1" s="1"/>
  <c r="L284" i="1"/>
  <c r="L286" i="1" s="1"/>
  <c r="L63" i="1"/>
  <c r="L453" i="1"/>
  <c r="L322" i="1"/>
  <c r="L233" i="1"/>
  <c r="L235" i="1" s="1"/>
  <c r="L383" i="1"/>
  <c r="L403" i="1"/>
  <c r="L364" i="1"/>
  <c r="L365" i="1" s="1"/>
  <c r="L217" i="1"/>
  <c r="L153" i="1"/>
  <c r="L154" i="1"/>
  <c r="L112" i="1"/>
  <c r="L113" i="1" s="1"/>
  <c r="L440" i="3" l="1"/>
  <c r="L453" i="3" s="1"/>
  <c r="L428" i="3"/>
  <c r="L306" i="3"/>
  <c r="L457" i="3"/>
  <c r="L451" i="2"/>
  <c r="L453" i="2" s="1"/>
  <c r="L459" i="2"/>
  <c r="L460" i="2"/>
  <c r="L32" i="2"/>
  <c r="L306" i="2" s="1"/>
  <c r="L459" i="1"/>
  <c r="L460" i="1"/>
  <c r="L65" i="1"/>
  <c r="L428" i="1"/>
  <c r="L155" i="1"/>
  <c r="L461" i="3" l="1"/>
  <c r="L462" i="3" s="1"/>
  <c r="L463" i="3" s="1"/>
  <c r="L464" i="3"/>
  <c r="L465" i="3" s="1"/>
  <c r="L466" i="3" s="1"/>
  <c r="L457" i="2"/>
  <c r="L461" i="2" s="1"/>
  <c r="L462" i="2" s="1"/>
  <c r="L463" i="2" s="1"/>
  <c r="L464" i="2" s="1"/>
  <c r="L465" i="2" s="1"/>
  <c r="L466" i="2" s="1"/>
  <c r="L457" i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306" i="1"/>
  <c r="M466" i="2" l="1"/>
  <c r="M466" i="3"/>
  <c r="L467" i="3"/>
  <c r="L468" i="3" s="1"/>
  <c r="L469" i="3" s="1"/>
  <c r="L470" i="3" s="1"/>
  <c r="L467" i="2"/>
  <c r="L468" i="2" s="1"/>
  <c r="L469" i="2" s="1"/>
  <c r="L471" i="1"/>
  <c r="L472" i="1" s="1"/>
  <c r="L470" i="2" l="1"/>
  <c r="L471" i="2" s="1"/>
  <c r="L472" i="2" s="1"/>
  <c r="L471" i="3"/>
  <c r="L472" i="3" s="1"/>
</calcChain>
</file>

<file path=xl/sharedStrings.xml><?xml version="1.0" encoding="utf-8"?>
<sst xmlns="http://schemas.openxmlformats.org/spreadsheetml/2006/main" count="4664" uniqueCount="347">
  <si>
    <t/>
  </si>
  <si>
    <t>Московская область, г. Мытищи, ул. Колонцова, стр.4Б/3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</si>
  <si>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</si>
  <si>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</si>
  <si>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</si>
  <si>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</si>
  <si>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</si>
  <si>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</si>
  <si>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</si>
  <si>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</si>
  <si>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</si>
  <si>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</si>
  <si>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</si>
  <si>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</si>
  <si>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</si>
  <si>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</si>
  <si>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</si>
  <si>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</si>
  <si>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</si>
  <si>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</si>
  <si>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</si>
  <si>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кабельных конструкций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</si>
  <si>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</si>
  <si>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</si>
  <si>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</si>
  <si>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</si>
  <si>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Объем=1,05*(16+51+27+6+90)/1000+0,54*(21+54+21+8+33+12)/1000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</si>
  <si>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</si>
  <si>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</si>
  <si>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</si>
  <si>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</si>
  <si>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</si>
  <si>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</si>
  <si>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</si>
  <si>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</si>
  <si>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</si>
  <si>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</si>
  <si>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</si>
  <si>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</si>
  <si>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</si>
  <si>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</si>
  <si>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</si>
  <si>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</si>
  <si>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</si>
  <si>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</si>
  <si>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</si>
  <si>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</si>
  <si>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</si>
  <si>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</si>
  <si>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</si>
  <si>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</si>
  <si>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</si>
  <si>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Объем=16+51+27+6+90</t>
  </si>
  <si>
    <t>Цена=1555,9/1,2/9,12</t>
  </si>
  <si>
    <t>Транспортные МАТ=1,03 к расх.</t>
  </si>
  <si>
    <t>ЗГСР МАТ=1,012 к расх.</t>
  </si>
  <si>
    <t>ООО "ТПК АЙЭМ" Счет №М1-00431 от 20.11.24 г.  п.1</t>
  </si>
  <si>
    <t>Консоль настенная средняя 200х2,5 цинк</t>
  </si>
  <si>
    <t>Объем=21+54+21+8+33+12</t>
  </si>
  <si>
    <t>Цена=956/1,2/9,12</t>
  </si>
  <si>
    <t>ФССЦ-01.7.15.02-0065</t>
  </si>
  <si>
    <t>Болты оцинкованные диаметр 16 (18) мм</t>
  </si>
  <si>
    <t>Объем=0,027*158/1000</t>
  </si>
  <si>
    <t>5</t>
  </si>
  <si>
    <t>ФССЦ-01.7.15.05-0015</t>
  </si>
  <si>
    <t>Гайки шестигранные, диаметр резьбы 16-18 мм</t>
  </si>
  <si>
    <t>Объем=0,04032*158/1000</t>
  </si>
  <si>
    <t>6</t>
  </si>
  <si>
    <t>ФЕРм08-02-396-06</t>
  </si>
  <si>
    <t>Короб металлический по стенам и потолкам, длина: 3 м</t>
  </si>
  <si>
    <t>100 м</t>
  </si>
  <si>
    <t>Объем=(54+30)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</si>
  <si>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</si>
  <si>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</si>
  <si>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</si>
  <si>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</si>
  <si>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7</t>
  </si>
  <si>
    <t>ООО "Все инструменты.ру" Счет №2408-286218-99348 от 25.11.24г. п.8</t>
  </si>
  <si>
    <t>Лоток перфорированный 400x100 L3000,цинк ламельный 35345ZL</t>
  </si>
  <si>
    <t>Объем=18+10</t>
  </si>
  <si>
    <t>Цена=16199/1,2/9,12</t>
  </si>
  <si>
    <t>8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</si>
  <si>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</si>
  <si>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</si>
  <si>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Цена=3755/1,2/9,12</t>
  </si>
  <si>
    <t>9</t>
  </si>
  <si>
    <t>ООО "Все инструменты.ру" Счет №2408-286218-99348 от 25.11.24г.  п.9</t>
  </si>
  <si>
    <t>Угол cs 90 вертикальный внутр. 90 400/100 в комплекте с крепежными элементами и соединительными пластинами, необходимыми для монтаж 36705K</t>
  </si>
  <si>
    <t>Цена=3983/1,2/9,12</t>
  </si>
  <si>
    <t>10</t>
  </si>
  <si>
    <t>ООО "Все инструменты.ру" Счет №2408-286218-99348 от 25.11.24г. п.3</t>
  </si>
  <si>
    <t>Крышка CS 90 на угол вертик. внутр. 90 осн.400, цинк-ламельная 93218 38206ZL</t>
  </si>
  <si>
    <t>Цена=2920/1,2/9,12</t>
  </si>
  <si>
    <t>11</t>
  </si>
  <si>
    <t>ООО "Все инструменты.ру" Счет №2408-286218-99348 от 25.11.24г.  п.10</t>
  </si>
  <si>
    <t>Угол cd 90 вертикальный внеш. 90 400/100 в комплекте с крепежными элементами и соединительными пластинами, необходимыми для монтажа 36825K</t>
  </si>
  <si>
    <t>Цена=4016/1,2/9,12</t>
  </si>
  <si>
    <t>12</t>
  </si>
  <si>
    <t>ООО "Все инструменты.ру" Счет №2408-286218-99348 от 25.11.24г. п.4</t>
  </si>
  <si>
    <t>Крышка CD 90 на угол вертик. внеш. 90 осн.400, цинк-ламельная 93262 38246ZL</t>
  </si>
  <si>
    <t>Цена=3332/1,2/9,12</t>
  </si>
  <si>
    <t>13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</si>
  <si>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</si>
  <si>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</si>
  <si>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Объем=9,51/3*8/1000+9,51/3*180/1000+9,51*1/1000+9,51/3*5/1000</t>
  </si>
  <si>
    <t>ОП п.1.8.3</t>
  </si>
  <si>
    <t>При производстве работ на высоте св. 8 до 15 м ОЗП=1,1; ТЗ=1,1</t>
  </si>
  <si>
    <t>14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</si>
  <si>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</si>
  <si>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</si>
  <si>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Объем=2,7+60+1+5/3</t>
  </si>
  <si>
    <t>Цена=27340/1,2/9,12</t>
  </si>
  <si>
    <t>15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</si>
  <si>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</si>
  <si>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</si>
  <si>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Объем=2,76/1000*(10+10+12+8+50)</t>
  </si>
  <si>
    <t>16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</si>
  <si>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</si>
  <si>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</si>
  <si>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Объем=3,3+3,3+4+2,7+16,7</t>
  </si>
  <si>
    <t>Цена=5070/1,2/9,12</t>
  </si>
  <si>
    <t>17</t>
  </si>
  <si>
    <t>Объем=108 / 100</t>
  </si>
  <si>
    <t>18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</si>
  <si>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</si>
  <si>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</si>
  <si>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Цена=9632/1,2/9,12</t>
  </si>
  <si>
    <t>19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</si>
  <si>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</si>
  <si>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</si>
  <si>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Цена=6452/1,2/9,12</t>
  </si>
  <si>
    <t>20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</si>
  <si>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</si>
  <si>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</si>
  <si>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</si>
  <si>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Объем=(114+45)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</si>
  <si>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</si>
  <si>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</si>
  <si>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</si>
  <si>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</si>
  <si>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</si>
  <si>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</si>
  <si>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21</t>
  </si>
  <si>
    <t>Монтаж ограждающих конструкций стен: из профилированного листа при высоте здания до 30 м (Ранее демонтированного)</t>
  </si>
  <si>
    <t>22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</si>
  <si>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</si>
  <si>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</si>
  <si>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</si>
  <si>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Объем=(2+2)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</si>
  <si>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</si>
  <si>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</si>
  <si>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</si>
  <si>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</si>
  <si>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23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</si>
  <si>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</si>
  <si>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</si>
  <si>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</si>
  <si>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24</t>
  </si>
  <si>
    <t>ФССЦ-01.7.17.09-0074</t>
  </si>
  <si>
    <t>Сверло кольцевое алмазное, диаметр 110 мм</t>
  </si>
  <si>
    <t>Объем=1+1</t>
  </si>
  <si>
    <t>25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</si>
  <si>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</si>
  <si>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</si>
  <si>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Объем=(2*0,4+2*0,4)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</si>
  <si>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</si>
  <si>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</si>
  <si>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</si>
  <si>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</si>
  <si>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26</t>
  </si>
  <si>
    <t>ФССЦ-24.3.03.13-0272</t>
  </si>
  <si>
    <t>Трубы полиэтиленовые ПЭ100, SDR11, диаметр 110 мм</t>
  </si>
  <si>
    <t>м</t>
  </si>
  <si>
    <t>27</t>
  </si>
  <si>
    <t>Объем=5,56*5/1000</t>
  </si>
  <si>
    <t>28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</si>
  <si>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</si>
  <si>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</si>
  <si>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</si>
  <si>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29</t>
  </si>
  <si>
    <t>ФЕРм08-02-152-05</t>
  </si>
  <si>
    <t>Стойка сборных кабельных конструкций (без полок), масса: до 2,4 кг/применит.</t>
  </si>
  <si>
    <t>100 шт</t>
  </si>
  <si>
    <t>Объем=16 / 100</t>
  </si>
  <si>
    <t>30</t>
  </si>
  <si>
    <t>ООО "УТС ТехноНиколь"Счет №ТСТН-000834833 от 23.11.24 г. п.1</t>
  </si>
  <si>
    <t>Опора кровельная с горизонтальным кронштейном</t>
  </si>
  <si>
    <t>Цена=5100/1,2/9,12</t>
  </si>
  <si>
    <t>31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</si>
  <si>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</si>
  <si>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</si>
  <si>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</si>
  <si>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32</t>
  </si>
  <si>
    <t>ФЕР46-08-012-07</t>
  </si>
  <si>
    <t>На каждые 10 мм изменения глубины отверстия добавлять (уменьшать) к расценке: 46-08-012-02</t>
  </si>
  <si>
    <t>33</t>
  </si>
  <si>
    <t>ФССЦ-01.7.15.02-0040</t>
  </si>
  <si>
    <t>Болты анкерные с гайкой, размер 12,0х100 мм/применит.</t>
  </si>
  <si>
    <t>34</t>
  </si>
  <si>
    <t>ООО "СТД "Петрович" Счет №МАЭ00296717 от 25.11.2024 г. п.1</t>
  </si>
  <si>
    <t>Герметик кровельный KIM TEC 310мл</t>
  </si>
  <si>
    <t>Цена=1192/1,2/9,12</t>
  </si>
  <si>
    <t>Итого по разделу 1 Монтаж кабельных конструкций</t>
  </si>
  <si>
    <t>Раздел 2. Монтаж кабеля</t>
  </si>
  <si>
    <t>35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</si>
  <si>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</si>
  <si>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</si>
  <si>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Объем=((30+152+108+20+40+30+152+324+20+40+30+5+10+16+60+360+24+16+30+216+5+10+16+60+360+100+148+20)) / 100</t>
  </si>
  <si>
    <t>36</t>
  </si>
  <si>
    <t>ООО "МосПромКомплект" Счет №МПК/2331 от 25.11.24 г. п.1</t>
  </si>
  <si>
    <t>Кабель АСБл-10 3х95 ож</t>
  </si>
  <si>
    <t>Объем=(30+152+108+20+40+30+152+324+20+40+30+5+10+16+60+360+24+16+30+216+5+10+16+60+360+100+148+20)*1,02</t>
  </si>
  <si>
    <t>Цена=1856,4/1,2/9,12</t>
  </si>
  <si>
    <t>37</t>
  </si>
  <si>
    <t>ФЕРм08-02-151-02</t>
  </si>
  <si>
    <t>Кабель до 35 кВ, прокладываемый по непроходным эстакадам, масса 1 м кабеля: до 6 кг</t>
  </si>
  <si>
    <t>Объем=((304+304+216+86)) / 100</t>
  </si>
  <si>
    <t>38</t>
  </si>
  <si>
    <t>Объем=(304+304+216+86)*1,02</t>
  </si>
  <si>
    <t>39</t>
  </si>
  <si>
    <t>ФЕР26-02-022-01</t>
  </si>
  <si>
    <t>Огнезащитное покрытие толщиной слоя 1 мм кабелей и проводов</t>
  </si>
  <si>
    <t>Объем=(4,2+23,7+2,4+54,3+4,2+4,2+2,8)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</si>
  <si>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</si>
  <si>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</si>
  <si>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</si>
  <si>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</si>
  <si>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40</t>
  </si>
  <si>
    <t>ООО "Поинт" Счет №ПНТ/2987 от 22.11.24 г. п.1</t>
  </si>
  <si>
    <t>Огнезащитное покрытие для кабелей ОГРАКС-ВВ (1,5кг/м2)</t>
  </si>
  <si>
    <t>кг</t>
  </si>
  <si>
    <t>Объем=95,8*1,5</t>
  </si>
  <si>
    <t>Цена=1915/1,2/9,12</t>
  </si>
  <si>
    <t>41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</si>
  <si>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</si>
  <si>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</si>
  <si>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Объем=4+4+4+4</t>
  </si>
  <si>
    <t>42</t>
  </si>
  <si>
    <t>ООО "Кабельная арматура" Счет №УТ-14277 от 23.11.24 г. п.1</t>
  </si>
  <si>
    <t>Муфта 3 КВТп-10 (70-120) с наконечниками</t>
  </si>
  <si>
    <t>Цена=4935/1,2/9,12</t>
  </si>
  <si>
    <t>43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</si>
  <si>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</si>
  <si>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</si>
  <si>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44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</si>
  <si>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</si>
  <si>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</si>
  <si>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Цена=9728,4/1,2/9,12</t>
  </si>
  <si>
    <t>45</t>
  </si>
  <si>
    <t>ФЕРм08-02-155-01</t>
  </si>
  <si>
    <t>Герметизация проходов при вводе кабелей во взрывоопасные помещения уплотнительной массой/ прим.</t>
  </si>
  <si>
    <t>Объем=2+2</t>
  </si>
  <si>
    <t>47</t>
  </si>
  <si>
    <t>ИП Николашина А.А. Счет №2827 от 25.11.24 г. п.1</t>
  </si>
  <si>
    <t>Пена двухкомпонентная огнезащитная DN1201 (330мл)</t>
  </si>
  <si>
    <t>Цена=6900/1,2/9,12</t>
  </si>
  <si>
    <t>Итого по разделу 2 Монтаж кабеля</t>
  </si>
  <si>
    <t>Раздел 3. Пусконаладочные работы</t>
  </si>
  <si>
    <t>48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</si>
  <si>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</si>
  <si>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</si>
  <si>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</si>
  <si>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</si>
  <si>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</si>
  <si>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</si>
  <si>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</si>
  <si>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</si>
  <si>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49</t>
  </si>
  <si>
    <t>ФЕРп01-11-024-01</t>
  </si>
  <si>
    <t>Фазировка электрической линии или трансформатора с сетью напряжением: до 1 кВ</t>
  </si>
  <si>
    <t>Объем=24/3</t>
  </si>
  <si>
    <t>Итого по разделу 3 Пусконаладочные работы</t>
  </si>
  <si>
    <t>Итоги по смете:</t>
  </si>
  <si>
    <t xml:space="preserve">     Итого прямые затраты (справочно)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</si>
  <si>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</si>
  <si>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</si>
  <si>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</si>
  <si>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</si>
  <si>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</si>
  <si>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п.4, 2,8%*0,8 - 2,24%</t>
  </si>
  <si>
    <t xml:space="preserve">     Производство работ в зимнее время, 325/пр от 25.05.2021г., прил.1, п.8 - 2,4%</t>
  </si>
  <si>
    <t xml:space="preserve">     Итого с прочими затратами</t>
  </si>
  <si>
    <t xml:space="preserve">      3%</t>
  </si>
  <si>
    <t xml:space="preserve">     Итого с непредвиденными</t>
  </si>
  <si>
    <t xml:space="preserve">     Договорной коэффициент 1,18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</si>
  <si>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</si>
  <si>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</si>
  <si>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</si>
  <si>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</si>
  <si>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</si>
  <si>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</si>
  <si>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</si>
  <si>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</si>
  <si>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</si>
  <si>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</si>
  <si>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Цена=956/1,2</t>
  </si>
  <si>
    <t>Цена=1555,9/1,2</t>
  </si>
  <si>
    <t>Цена=3983/1,2</t>
  </si>
  <si>
    <t>Цена=3755/1,2</t>
  </si>
  <si>
    <t>Цена=2920/1,2</t>
  </si>
  <si>
    <t>Цена=4016/1,2</t>
  </si>
  <si>
    <t>Цена=3332/1,2</t>
  </si>
  <si>
    <t>Цена=27340/1,2</t>
  </si>
  <si>
    <t>Цена=5070/1,2</t>
  </si>
  <si>
    <t>Цена=9632/1,2</t>
  </si>
  <si>
    <t>Цена=6452/1,2</t>
  </si>
  <si>
    <t>Цена=5100/1,2</t>
  </si>
  <si>
    <t>Цена=1192/1,2</t>
  </si>
  <si>
    <t>Цена=1856,4/1,2</t>
  </si>
  <si>
    <t>Цена=1915/1,2</t>
  </si>
  <si>
    <t>Цена=4935/1,2</t>
  </si>
  <si>
    <t>Цена=9728,4/1,2</t>
  </si>
  <si>
    <t>Цена=6900/1,2</t>
  </si>
  <si>
    <t>индекс (3 кв. 2024г.,СМР)</t>
  </si>
  <si>
    <t>за единицу измерения, сметный норматив,руб.</t>
  </si>
  <si>
    <t>за единицу измерения, рынок, руб.</t>
  </si>
  <si>
    <t>чел-час</t>
  </si>
  <si>
    <t>за 1 т</t>
  </si>
  <si>
    <t>за 100 м</t>
  </si>
  <si>
    <t>за 1 месяц (22 раб. дня), в т.ч. налоги</t>
  </si>
  <si>
    <t>смена (8 часов),в т.ч. Налоги</t>
  </si>
  <si>
    <t>"на руки"</t>
  </si>
  <si>
    <t>за 100 м2</t>
  </si>
  <si>
    <t>за 100 отв</t>
  </si>
  <si>
    <t>за 100 шт</t>
  </si>
  <si>
    <t>за 1 шт</t>
  </si>
  <si>
    <t>за 1шт</t>
  </si>
  <si>
    <t>за 1 исп</t>
  </si>
  <si>
    <t>смена (8 часов),в т.ч. налоги</t>
  </si>
  <si>
    <t>всего чел-час</t>
  </si>
  <si>
    <t>Коэффициенты, учитывающие условия производства работ (1,15*1,15)</t>
  </si>
  <si>
    <t xml:space="preserve">Оплата труда (ОТ), руб. </t>
  </si>
  <si>
    <t>Номер расценки, ед.изм.</t>
  </si>
  <si>
    <t>Трудозатраты, чел-час</t>
  </si>
  <si>
    <r>
      <rPr>
        <b/>
        <sz val="11"/>
        <color rgb="FF000000"/>
        <rFont val="Calibri"/>
        <family val="2"/>
        <charset val="204"/>
      </rPr>
      <t>ФЕРм08-02-147-13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</t>
    </r>
  </si>
  <si>
    <t>ОТ на 3кв. 2024г.,руб. за ед.измерения</t>
  </si>
  <si>
    <t>ОТ "на руки", за 1 месяц</t>
  </si>
  <si>
    <t>ОТ , за 1 месяц, руб.(в т.ч. НДФЛ)</t>
  </si>
  <si>
    <t>-</t>
  </si>
  <si>
    <r>
      <rPr>
        <b/>
        <sz val="11"/>
        <color rgb="FF000000"/>
        <rFont val="Calibri"/>
        <family val="2"/>
        <charset val="204"/>
      </rPr>
      <t>Фактическая оплата труда,</t>
    </r>
    <r>
      <rPr>
        <sz val="11"/>
        <color rgb="FF000000"/>
        <rFont val="Calibri"/>
        <family val="2"/>
        <charset val="204"/>
      </rPr>
      <t xml:space="preserve"> </t>
    </r>
    <r>
      <rPr>
        <i/>
        <sz val="11"/>
        <color rgb="FF000000"/>
        <rFont val="Calibri"/>
        <family val="2"/>
        <charset val="204"/>
      </rPr>
      <t>100м</t>
    </r>
  </si>
  <si>
    <t>Среднемесячное кол-во рабочих часов в 2024г.</t>
  </si>
  <si>
    <t>Обоснование, ед.изм.</t>
  </si>
  <si>
    <t>ОТ, за 1 месяц (в т.ч. НДФЛ), руб.</t>
  </si>
  <si>
    <t>ОТ "на руки" за 1 месяц, руб.</t>
  </si>
  <si>
    <t xml:space="preserve">Оплата труда (ОТ) на 2000г., руб. </t>
  </si>
  <si>
    <r>
      <rPr>
        <b/>
        <sz val="11"/>
        <color rgb="FF000000"/>
        <rFont val="Calibri"/>
        <family val="2"/>
        <charset val="204"/>
      </rPr>
      <t>ФЕРм08-04-750-01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1т</t>
    </r>
  </si>
  <si>
    <r>
      <rPr>
        <b/>
        <sz val="11"/>
        <color rgb="FF000000"/>
        <rFont val="Calibri"/>
        <family val="2"/>
        <charset val="204"/>
      </rPr>
      <t>ФЕРм08-02-396-06</t>
    </r>
    <r>
      <rPr>
        <sz val="11"/>
        <color rgb="FF000000"/>
        <rFont val="Calibri"/>
        <family val="2"/>
        <charset val="204"/>
      </rPr>
      <t xml:space="preserve">, </t>
    </r>
    <r>
      <rPr>
        <i/>
        <sz val="11"/>
        <color rgb="FF000000"/>
        <rFont val="Calibri"/>
        <family val="2"/>
        <charset val="204"/>
      </rPr>
      <t>100м2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</si>
</sst>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00"/>
    <numFmt numFmtId="168" formatCode="0.000000"/>
    <numFmt numFmtId="169" formatCode="0.0"/>
  </numFmts>
  <fonts count="2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1F2326"/>
      <name val="Segoe U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4"/>
      <name val="Calibri"/>
      <family val="2"/>
      <charset val="204"/>
    </font>
    <font>
      <sz val="8"/>
      <color theme="4"/>
      <name val="Arial"/>
      <family val="2"/>
      <charset val="204"/>
    </font>
    <font>
      <b/>
      <i/>
      <sz val="8"/>
      <color theme="4"/>
      <name val="Arial"/>
      <family val="2"/>
      <charset val="204"/>
    </font>
    <font>
      <sz val="11"/>
      <color theme="4"/>
      <name val="Segoe U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theme="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theme="3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7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4" fontId="14" fillId="0" borderId="3" xfId="0" applyNumberFormat="1" applyFont="1" applyFill="1" applyBorder="1" applyAlignment="1" applyProtection="1">
      <alignment horizontal="right" vertical="top" wrapText="1"/>
    </xf>
    <xf numFmtId="49" fontId="7" fillId="0" borderId="2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vertical="center"/>
    </xf>
    <xf numFmtId="4" fontId="9" fillId="0" borderId="0" xfId="0" applyNumberFormat="1" applyFont="1" applyFill="1" applyBorder="1" applyAlignment="1" applyProtection="1"/>
    <xf numFmtId="49" fontId="7" fillId="0" borderId="4" xfId="0" applyNumberFormat="1" applyFont="1" applyFill="1" applyBorder="1" applyAlignment="1" applyProtection="1">
      <alignment vertical="center"/>
    </xf>
    <xf numFmtId="0" fontId="0" fillId="0" borderId="9" xfId="0" applyBorder="1"/>
    <xf numFmtId="49" fontId="1" fillId="0" borderId="14" xfId="0" applyNumberFormat="1" applyFont="1" applyFill="1" applyBorder="1" applyAlignment="1" applyProtection="1"/>
    <xf numFmtId="49" fontId="8" fillId="0" borderId="1" xfId="0" applyNumberFormat="1" applyFont="1" applyFill="1" applyBorder="1" applyAlignment="1" applyProtection="1">
      <alignment horizontal="right" vertical="top" wrapText="1"/>
    </xf>
    <xf numFmtId="4" fontId="11" fillId="0" borderId="8" xfId="0" applyNumberFormat="1" applyFont="1" applyFill="1" applyBorder="1" applyAlignment="1" applyProtection="1">
      <alignment horizontal="right" vertical="top" wrapText="1"/>
    </xf>
    <xf numFmtId="4" fontId="12" fillId="0" borderId="8" xfId="0" applyNumberFormat="1" applyFont="1" applyFill="1" applyBorder="1" applyAlignment="1" applyProtection="1">
      <alignment horizontal="right" vertical="top" wrapText="1"/>
    </xf>
    <xf numFmtId="167" fontId="8" fillId="0" borderId="8" xfId="0" applyNumberFormat="1" applyFont="1" applyFill="1" applyBorder="1" applyAlignment="1" applyProtection="1">
      <alignment horizontal="right" vertical="top" wrapText="1"/>
    </xf>
    <xf numFmtId="2" fontId="11" fillId="0" borderId="8" xfId="0" applyNumberFormat="1" applyFont="1" applyFill="1" applyBorder="1" applyAlignment="1" applyProtection="1">
      <alignment horizontal="right" vertical="top" wrapText="1"/>
    </xf>
    <xf numFmtId="4" fontId="8" fillId="2" borderId="8" xfId="0" applyNumberFormat="1" applyFont="1" applyFill="1" applyBorder="1" applyAlignment="1" applyProtection="1">
      <alignment horizontal="right" vertical="top"/>
    </xf>
    <xf numFmtId="0" fontId="8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vertical="top"/>
    </xf>
    <xf numFmtId="4" fontId="8" fillId="0" borderId="15" xfId="0" applyNumberFormat="1" applyFont="1" applyFill="1" applyBorder="1" applyAlignment="1" applyProtection="1">
      <alignment horizontal="right" vertical="top"/>
    </xf>
    <xf numFmtId="2" fontId="0" fillId="0" borderId="0" xfId="0" applyNumberFormat="1"/>
    <xf numFmtId="4" fontId="0" fillId="0" borderId="0" xfId="0" applyNumberFormat="1"/>
    <xf numFmtId="0" fontId="16" fillId="0" borderId="0" xfId="0" applyFont="1" applyAlignment="1">
      <alignment horizontal="center" vertical="center"/>
    </xf>
    <xf numFmtId="0" fontId="17" fillId="0" borderId="12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49" fontId="17" fillId="0" borderId="0" xfId="0" applyNumberFormat="1" applyFont="1" applyFill="1" applyBorder="1" applyAlignment="1" applyProtection="1">
      <alignment horizontal="center" vertical="center"/>
    </xf>
    <xf numFmtId="4" fontId="0" fillId="2" borderId="0" xfId="0" applyNumberFormat="1" applyFill="1"/>
    <xf numFmtId="4" fontId="20" fillId="3" borderId="0" xfId="0" applyNumberFormat="1" applyFont="1" applyFill="1"/>
    <xf numFmtId="9" fontId="0" fillId="0" borderId="0" xfId="1" applyFont="1"/>
    <xf numFmtId="3" fontId="0" fillId="0" borderId="0" xfId="1" applyNumberFormat="1" applyFont="1"/>
    <xf numFmtId="4" fontId="1" fillId="3" borderId="0" xfId="0" applyNumberFormat="1" applyFont="1" applyFill="1" applyBorder="1" applyAlignment="1" applyProtection="1">
      <alignment horizontal="right" vertical="top" wrapText="1"/>
    </xf>
    <xf numFmtId="2" fontId="1" fillId="3" borderId="0" xfId="0" applyNumberFormat="1" applyFont="1" applyFill="1" applyBorder="1" applyAlignment="1" applyProtection="1">
      <alignment horizontal="right" vertical="top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1" fontId="0" fillId="0" borderId="0" xfId="0" applyNumberFormat="1"/>
    <xf numFmtId="4" fontId="22" fillId="4" borderId="10" xfId="0" applyNumberFormat="1" applyFont="1" applyFill="1" applyBorder="1" applyAlignment="1" applyProtection="1">
      <alignment horizontal="right" vertical="top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5" fillId="0" borderId="0" xfId="0" applyFont="1"/>
    <xf numFmtId="0" fontId="0" fillId="0" borderId="0" xfId="0" applyAlignment="1"/>
    <xf numFmtId="0" fontId="15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24" fillId="0" borderId="4" xfId="0" applyNumberFormat="1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wrapText="1"/>
    </xf>
    <xf numFmtId="0" fontId="15" fillId="0" borderId="16" xfId="0" applyFont="1" applyBorder="1" applyAlignment="1">
      <alignment horizontal="center" vertical="center"/>
    </xf>
    <xf numFmtId="4" fontId="21" fillId="0" borderId="16" xfId="0" applyNumberFormat="1" applyFon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49" fontId="14" fillId="0" borderId="3" xfId="0" applyNumberFormat="1" applyFont="1" applyFill="1" applyBorder="1" applyAlignment="1" applyProtection="1">
      <alignment horizontal="left" vertical="top" wrapText="1"/>
    </xf>
    <xf numFmtId="4" fontId="0" fillId="0" borderId="4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DD2F-5CA0-46B4-9F98-02DCBEA5594F}">
  <dimension ref="B1:K27"/>
  <sheetViews>
    <sheetView workbookViewId="0">
      <selection activeCell="F11" sqref="F11:F12"/>
    </sheetView>
  </sheetViews>
  <sheetFormatPr defaultRowHeight="15" x14ac:dyDescent="0.25"/>
  <cols>
    <col min="1" max="1" width="14.140625" customWidth="1"/>
    <col min="2" max="2" width="30.28515625" customWidth="1"/>
    <col min="3" max="4" width="14.5703125" customWidth="1"/>
    <col min="5" max="5" width="12.5703125" customWidth="1"/>
    <col min="6" max="6" width="12.7109375" customWidth="1"/>
    <col min="7" max="7" width="16" customWidth="1"/>
    <col min="8" max="9" width="19.42578125" customWidth="1"/>
    <col min="10" max="10" width="11.140625" customWidth="1"/>
    <col min="11" max="11" width="12" customWidth="1"/>
  </cols>
  <sheetData>
    <row r="1" spans="2:11" x14ac:dyDescent="0.25">
      <c r="B1" s="127"/>
      <c r="C1" s="127"/>
      <c r="D1" s="127"/>
      <c r="E1" s="127"/>
      <c r="F1" s="127"/>
      <c r="G1" s="127"/>
      <c r="H1" s="127"/>
      <c r="I1" s="127"/>
    </row>
    <row r="2" spans="2:11" ht="33.75" x14ac:dyDescent="0.25">
      <c r="B2" s="132" t="s">
        <v>341</v>
      </c>
      <c r="C2" s="132" t="s">
        <v>344</v>
      </c>
      <c r="D2" s="132" t="s">
        <v>313</v>
      </c>
      <c r="E2" s="132" t="s">
        <v>335</v>
      </c>
      <c r="F2" s="132" t="s">
        <v>333</v>
      </c>
      <c r="G2" s="132" t="s">
        <v>340</v>
      </c>
      <c r="H2" s="132" t="s">
        <v>342</v>
      </c>
      <c r="I2" s="132" t="s">
        <v>343</v>
      </c>
      <c r="K2" s="104"/>
    </row>
    <row r="3" spans="2:11" x14ac:dyDescent="0.25">
      <c r="B3" s="137" t="s">
        <v>334</v>
      </c>
      <c r="C3" s="129">
        <v>278.99</v>
      </c>
      <c r="D3" s="129">
        <v>49.45</v>
      </c>
      <c r="E3" s="130">
        <f>C3*D3</f>
        <v>13796.0555</v>
      </c>
      <c r="F3" s="139">
        <v>29.68</v>
      </c>
      <c r="G3" s="139">
        <v>164.9</v>
      </c>
      <c r="H3" s="131">
        <f>E3/F3*G3</f>
        <v>76649.917518531001</v>
      </c>
      <c r="I3" s="131">
        <f>H3*0.87</f>
        <v>66685.428241121976</v>
      </c>
      <c r="J3" s="124"/>
    </row>
    <row r="4" spans="2:11" ht="30.75" customHeight="1" thickBot="1" x14ac:dyDescent="0.3">
      <c r="B4" s="133" t="s">
        <v>339</v>
      </c>
      <c r="C4" s="134" t="s">
        <v>338</v>
      </c>
      <c r="D4" s="134" t="s">
        <v>338</v>
      </c>
      <c r="E4" s="135">
        <f>H4/G3*F3</f>
        <v>30507.944208611276</v>
      </c>
      <c r="F4" s="140"/>
      <c r="G4" s="140"/>
      <c r="H4" s="136">
        <f>150000*1.13</f>
        <v>169499.99999999997</v>
      </c>
      <c r="I4" s="136">
        <v>150000</v>
      </c>
    </row>
    <row r="5" spans="2:11" ht="15.75" thickTop="1" x14ac:dyDescent="0.25">
      <c r="B5" s="137" t="s">
        <v>345</v>
      </c>
      <c r="C5" s="129">
        <v>2089.16</v>
      </c>
      <c r="D5" s="129">
        <v>49.45</v>
      </c>
      <c r="E5" s="130">
        <f>C5*D5</f>
        <v>103308.962</v>
      </c>
      <c r="F5" s="139">
        <v>219.68</v>
      </c>
      <c r="G5" s="139">
        <v>164.9</v>
      </c>
      <c r="H5" s="131">
        <f>E5/F5*G5</f>
        <v>77547.559330844873</v>
      </c>
      <c r="I5" s="131">
        <f>H5*0.87</f>
        <v>67466.376617835034</v>
      </c>
    </row>
    <row r="6" spans="2:11" ht="30.75" thickBot="1" x14ac:dyDescent="0.3">
      <c r="B6" s="133" t="s">
        <v>339</v>
      </c>
      <c r="C6" s="134" t="s">
        <v>338</v>
      </c>
      <c r="D6" s="134" t="s">
        <v>338</v>
      </c>
      <c r="E6" s="135">
        <f>H6/G5*F5</f>
        <v>225808.12613705272</v>
      </c>
      <c r="F6" s="140"/>
      <c r="G6" s="140"/>
      <c r="H6" s="136">
        <f>150000*1.13</f>
        <v>169499.99999999997</v>
      </c>
      <c r="I6" s="136">
        <v>150000</v>
      </c>
    </row>
    <row r="7" spans="2:11" ht="15.75" thickTop="1" x14ac:dyDescent="0.25">
      <c r="B7" s="137" t="s">
        <v>346</v>
      </c>
      <c r="C7" s="129">
        <v>852.58</v>
      </c>
      <c r="D7" s="129">
        <v>49.45</v>
      </c>
      <c r="E7" s="130">
        <f t="shared" ref="E7" si="0">C7*D7</f>
        <v>42160.081000000006</v>
      </c>
      <c r="F7" s="139">
        <v>23.52</v>
      </c>
      <c r="G7" s="139">
        <v>164.9</v>
      </c>
      <c r="H7" s="131">
        <f t="shared" ref="H7" si="1">E7/F7*G7</f>
        <v>295586.62231717695</v>
      </c>
      <c r="I7" s="131">
        <f t="shared" ref="I7" si="2">H7*0.87</f>
        <v>257160.36141594395</v>
      </c>
    </row>
    <row r="8" spans="2:11" ht="30.75" thickBot="1" x14ac:dyDescent="0.3">
      <c r="B8" s="133" t="s">
        <v>339</v>
      </c>
      <c r="C8" s="134" t="s">
        <v>338</v>
      </c>
      <c r="D8" s="134" t="s">
        <v>338</v>
      </c>
      <c r="E8" s="135">
        <f t="shared" ref="E8" si="3">H8/G7*F7</f>
        <v>24176.106731352331</v>
      </c>
      <c r="F8" s="140"/>
      <c r="G8" s="140"/>
      <c r="H8" s="136">
        <f t="shared" ref="H8" si="4">150000*1.13</f>
        <v>169499.99999999997</v>
      </c>
      <c r="I8" s="136">
        <v>150000</v>
      </c>
    </row>
    <row r="9" spans="2:11" ht="15.75" thickTop="1" x14ac:dyDescent="0.25">
      <c r="B9" s="128" t="s">
        <v>345</v>
      </c>
      <c r="C9" s="129">
        <v>221.09</v>
      </c>
      <c r="D9" s="129">
        <v>49.45</v>
      </c>
      <c r="E9" s="130">
        <f t="shared" ref="E9" si="5">C9*D9</f>
        <v>10932.900500000002</v>
      </c>
      <c r="F9" s="139">
        <v>219.68</v>
      </c>
      <c r="G9" s="139">
        <v>164.9</v>
      </c>
      <c r="H9" s="131">
        <f t="shared" ref="H9" si="6">E9/F9*G9</f>
        <v>8206.6428097687567</v>
      </c>
      <c r="I9" s="131">
        <f t="shared" ref="I9" si="7">H9*0.87</f>
        <v>7139.7792444988181</v>
      </c>
    </row>
    <row r="10" spans="2:11" ht="30.75" thickBot="1" x14ac:dyDescent="0.3">
      <c r="B10" s="133" t="s">
        <v>339</v>
      </c>
      <c r="C10" s="134" t="s">
        <v>338</v>
      </c>
      <c r="D10" s="134" t="s">
        <v>338</v>
      </c>
      <c r="E10" s="135">
        <f t="shared" ref="E10" si="8">H10/G9*F9</f>
        <v>225808.12613705272</v>
      </c>
      <c r="F10" s="140"/>
      <c r="G10" s="140"/>
      <c r="H10" s="136">
        <f t="shared" ref="H10" si="9">150000*1.13</f>
        <v>169499.99999999997</v>
      </c>
      <c r="I10" s="136">
        <v>150000</v>
      </c>
    </row>
    <row r="11" spans="2:11" ht="15.75" thickTop="1" x14ac:dyDescent="0.25">
      <c r="B11" s="128" t="s">
        <v>345</v>
      </c>
      <c r="C11" s="129">
        <v>2089.16</v>
      </c>
      <c r="D11" s="129">
        <v>49.45</v>
      </c>
      <c r="E11" s="130">
        <f t="shared" ref="E11" si="10">C11*D11</f>
        <v>103308.962</v>
      </c>
      <c r="F11" s="139">
        <v>219.68</v>
      </c>
      <c r="G11" s="139">
        <v>164.9</v>
      </c>
      <c r="H11" s="131">
        <f t="shared" ref="H11" si="11">E11/F11*G11</f>
        <v>77547.559330844873</v>
      </c>
      <c r="I11" s="131">
        <f t="shared" ref="I11" si="12">H11*0.87</f>
        <v>67466.376617835034</v>
      </c>
    </row>
    <row r="12" spans="2:11" ht="30.75" thickBot="1" x14ac:dyDescent="0.3">
      <c r="B12" s="133" t="s">
        <v>339</v>
      </c>
      <c r="C12" s="134" t="s">
        <v>338</v>
      </c>
      <c r="D12" s="134" t="s">
        <v>338</v>
      </c>
      <c r="E12" s="135">
        <f t="shared" ref="E12" si="13">H12/G11*F11</f>
        <v>225808.12613705272</v>
      </c>
      <c r="F12" s="140"/>
      <c r="G12" s="140"/>
      <c r="H12" s="136">
        <f t="shared" ref="H12" si="14">150000*1.13</f>
        <v>169499.99999999997</v>
      </c>
      <c r="I12" s="136">
        <v>150000</v>
      </c>
    </row>
    <row r="13" spans="2:11" ht="15.75" thickTop="1" x14ac:dyDescent="0.25">
      <c r="B13" s="128" t="s">
        <v>345</v>
      </c>
      <c r="C13" s="129">
        <v>2089.16</v>
      </c>
      <c r="D13" s="129">
        <v>49.45</v>
      </c>
      <c r="E13" s="130">
        <f t="shared" ref="E13" si="15">C13*D13</f>
        <v>103308.962</v>
      </c>
      <c r="F13" s="139">
        <v>219.68</v>
      </c>
      <c r="G13" s="139">
        <v>164.9</v>
      </c>
      <c r="H13" s="131">
        <f t="shared" ref="H13" si="16">E13/F13*G13</f>
        <v>77547.559330844873</v>
      </c>
      <c r="I13" s="131">
        <f t="shared" ref="I13" si="17">H13*0.87</f>
        <v>67466.376617835034</v>
      </c>
    </row>
    <row r="14" spans="2:11" ht="30.75" thickBot="1" x14ac:dyDescent="0.3">
      <c r="B14" s="133" t="s">
        <v>339</v>
      </c>
      <c r="C14" s="134" t="s">
        <v>338</v>
      </c>
      <c r="D14" s="134" t="s">
        <v>338</v>
      </c>
      <c r="E14" s="135">
        <f t="shared" ref="E14" si="18">H14/G13*F13</f>
        <v>225808.12613705272</v>
      </c>
      <c r="F14" s="140"/>
      <c r="G14" s="140"/>
      <c r="H14" s="136">
        <f t="shared" ref="H14" si="19">150000*1.13</f>
        <v>169499.99999999997</v>
      </c>
      <c r="I14" s="136">
        <v>150000</v>
      </c>
    </row>
    <row r="15" spans="2:11" ht="15.75" thickTop="1" x14ac:dyDescent="0.25">
      <c r="B15" s="128" t="s">
        <v>345</v>
      </c>
      <c r="C15" s="129">
        <v>2089.16</v>
      </c>
      <c r="D15" s="129">
        <v>49.45</v>
      </c>
      <c r="E15" s="130">
        <f t="shared" ref="E15" si="20">C15*D15</f>
        <v>103308.962</v>
      </c>
      <c r="F15" s="139">
        <v>219.68</v>
      </c>
      <c r="G15" s="139">
        <v>164.9</v>
      </c>
      <c r="H15" s="131">
        <f t="shared" ref="H15" si="21">E15/F15*G15</f>
        <v>77547.559330844873</v>
      </c>
      <c r="I15" s="131">
        <f t="shared" ref="I15" si="22">H15*0.87</f>
        <v>67466.376617835034</v>
      </c>
    </row>
    <row r="16" spans="2:11" ht="30.75" thickBot="1" x14ac:dyDescent="0.3">
      <c r="B16" s="133" t="s">
        <v>339</v>
      </c>
      <c r="C16" s="134" t="s">
        <v>338</v>
      </c>
      <c r="D16" s="134" t="s">
        <v>338</v>
      </c>
      <c r="E16" s="135">
        <f t="shared" ref="E16" si="23">H16/G15*F15</f>
        <v>225808.12613705272</v>
      </c>
      <c r="F16" s="140"/>
      <c r="G16" s="140"/>
      <c r="H16" s="136">
        <f t="shared" ref="H16" si="24">150000*1.13</f>
        <v>169499.99999999997</v>
      </c>
      <c r="I16" s="136">
        <v>150000</v>
      </c>
    </row>
    <row r="17" spans="2:9" ht="15.75" thickTop="1" x14ac:dyDescent="0.25">
      <c r="B17" s="128" t="s">
        <v>345</v>
      </c>
      <c r="C17" s="129">
        <v>2089.16</v>
      </c>
      <c r="D17" s="129">
        <v>49.45</v>
      </c>
      <c r="E17" s="130">
        <f t="shared" ref="E17" si="25">C17*D17</f>
        <v>103308.962</v>
      </c>
      <c r="F17" s="139">
        <v>219.68</v>
      </c>
      <c r="G17" s="139">
        <v>164.9</v>
      </c>
      <c r="H17" s="131">
        <f t="shared" ref="H17" si="26">E17/F17*G17</f>
        <v>77547.559330844873</v>
      </c>
      <c r="I17" s="131">
        <f t="shared" ref="I17" si="27">H17*0.87</f>
        <v>67466.376617835034</v>
      </c>
    </row>
    <row r="18" spans="2:9" ht="30.75" thickBot="1" x14ac:dyDescent="0.3">
      <c r="B18" s="133" t="s">
        <v>339</v>
      </c>
      <c r="C18" s="134" t="s">
        <v>338</v>
      </c>
      <c r="D18" s="134" t="s">
        <v>338</v>
      </c>
      <c r="E18" s="135">
        <f t="shared" ref="E18" si="28">H18/G17*F17</f>
        <v>225808.12613705272</v>
      </c>
      <c r="F18" s="140"/>
      <c r="G18" s="140"/>
      <c r="H18" s="136">
        <f t="shared" ref="H18" si="29">150000*1.13</f>
        <v>169499.99999999997</v>
      </c>
      <c r="I18" s="136">
        <v>150000</v>
      </c>
    </row>
    <row r="19" spans="2:9" ht="15.75" thickTop="1" x14ac:dyDescent="0.25">
      <c r="B19" s="128" t="s">
        <v>345</v>
      </c>
      <c r="C19" s="129">
        <v>2089.16</v>
      </c>
      <c r="D19" s="129">
        <v>49.45</v>
      </c>
      <c r="E19" s="130">
        <f t="shared" ref="E19" si="30">C19*D19</f>
        <v>103308.962</v>
      </c>
      <c r="F19" s="139">
        <v>219.68</v>
      </c>
      <c r="G19" s="139">
        <v>164.9</v>
      </c>
      <c r="H19" s="131">
        <f t="shared" ref="H19" si="31">E19/F19*G19</f>
        <v>77547.559330844873</v>
      </c>
      <c r="I19" s="131">
        <f t="shared" ref="I19" si="32">H19*0.87</f>
        <v>67466.376617835034</v>
      </c>
    </row>
    <row r="20" spans="2:9" ht="30.75" thickBot="1" x14ac:dyDescent="0.3">
      <c r="B20" s="133" t="s">
        <v>339</v>
      </c>
      <c r="C20" s="134" t="s">
        <v>338</v>
      </c>
      <c r="D20" s="134" t="s">
        <v>338</v>
      </c>
      <c r="E20" s="135">
        <f t="shared" ref="E20" si="33">H20/G19*F19</f>
        <v>225808.12613705272</v>
      </c>
      <c r="F20" s="140"/>
      <c r="G20" s="140"/>
      <c r="H20" s="136">
        <f t="shared" ref="H20" si="34">150000*1.13</f>
        <v>169499.99999999997</v>
      </c>
      <c r="I20" s="136">
        <v>150000</v>
      </c>
    </row>
    <row r="21" spans="2:9" ht="15.75" thickTop="1" x14ac:dyDescent="0.25">
      <c r="B21" s="128" t="s">
        <v>345</v>
      </c>
      <c r="C21" s="129">
        <v>2089.16</v>
      </c>
      <c r="D21" s="129">
        <v>49.45</v>
      </c>
      <c r="E21" s="130">
        <f t="shared" ref="E21" si="35">C21*D21</f>
        <v>103308.962</v>
      </c>
      <c r="F21" s="139">
        <v>219.68</v>
      </c>
      <c r="G21" s="139">
        <v>164.9</v>
      </c>
      <c r="H21" s="131">
        <f t="shared" ref="H21" si="36">E21/F21*G21</f>
        <v>77547.559330844873</v>
      </c>
      <c r="I21" s="131">
        <f t="shared" ref="I21" si="37">H21*0.87</f>
        <v>67466.376617835034</v>
      </c>
    </row>
    <row r="22" spans="2:9" ht="30.75" thickBot="1" x14ac:dyDescent="0.3">
      <c r="B22" s="133" t="s">
        <v>339</v>
      </c>
      <c r="C22" s="134" t="s">
        <v>338</v>
      </c>
      <c r="D22" s="134" t="s">
        <v>338</v>
      </c>
      <c r="E22" s="135">
        <f t="shared" ref="E22" si="38">H22/G21*F21</f>
        <v>225808.12613705272</v>
      </c>
      <c r="F22" s="140"/>
      <c r="G22" s="140"/>
      <c r="H22" s="136">
        <f t="shared" ref="H22" si="39">150000*1.13</f>
        <v>169499.99999999997</v>
      </c>
      <c r="I22" s="136">
        <v>150000</v>
      </c>
    </row>
    <row r="23" spans="2:9" ht="15.75" thickTop="1" x14ac:dyDescent="0.25">
      <c r="B23" s="128" t="s">
        <v>345</v>
      </c>
      <c r="C23" s="129">
        <v>2089.16</v>
      </c>
      <c r="D23" s="129">
        <v>49.45</v>
      </c>
      <c r="E23" s="130">
        <f t="shared" ref="E23" si="40">C23*D23</f>
        <v>103308.962</v>
      </c>
      <c r="F23" s="139">
        <v>219.68</v>
      </c>
      <c r="G23" s="139">
        <v>164.9</v>
      </c>
      <c r="H23" s="131">
        <f t="shared" ref="H23" si="41">E23/F23*G23</f>
        <v>77547.559330844873</v>
      </c>
      <c r="I23" s="131">
        <f t="shared" ref="I23" si="42">H23*0.87</f>
        <v>67466.376617835034</v>
      </c>
    </row>
    <row r="24" spans="2:9" ht="30.75" thickBot="1" x14ac:dyDescent="0.3">
      <c r="B24" s="133" t="s">
        <v>339</v>
      </c>
      <c r="C24" s="134" t="s">
        <v>338</v>
      </c>
      <c r="D24" s="134" t="s">
        <v>338</v>
      </c>
      <c r="E24" s="135">
        <f t="shared" ref="E24" si="43">H24/G23*F23</f>
        <v>225808.12613705272</v>
      </c>
      <c r="F24" s="140"/>
      <c r="G24" s="140"/>
      <c r="H24" s="136">
        <f t="shared" ref="H24" si="44">150000*1.13</f>
        <v>169499.99999999997</v>
      </c>
      <c r="I24" s="136">
        <v>150000</v>
      </c>
    </row>
    <row r="25" spans="2:9" ht="15.75" thickTop="1" x14ac:dyDescent="0.25">
      <c r="B25" s="128" t="s">
        <v>345</v>
      </c>
      <c r="C25" s="129">
        <v>2089.16</v>
      </c>
      <c r="D25" s="129">
        <v>49.45</v>
      </c>
      <c r="E25" s="130">
        <f t="shared" ref="E25" si="45">C25*D25</f>
        <v>103308.962</v>
      </c>
      <c r="F25" s="139">
        <v>219.68</v>
      </c>
      <c r="G25" s="139">
        <v>164.9</v>
      </c>
      <c r="H25" s="131">
        <f t="shared" ref="H25" si="46">E25/F25*G25</f>
        <v>77547.559330844873</v>
      </c>
      <c r="I25" s="131">
        <f t="shared" ref="I25" si="47">H25*0.87</f>
        <v>67466.376617835034</v>
      </c>
    </row>
    <row r="26" spans="2:9" ht="30.75" thickBot="1" x14ac:dyDescent="0.3">
      <c r="B26" s="133" t="s">
        <v>339</v>
      </c>
      <c r="C26" s="134" t="s">
        <v>338</v>
      </c>
      <c r="D26" s="134" t="s">
        <v>338</v>
      </c>
      <c r="E26" s="135">
        <f t="shared" ref="E26" si="48">H26/G25*F25</f>
        <v>225808.12613705272</v>
      </c>
      <c r="F26" s="140"/>
      <c r="G26" s="140"/>
      <c r="H26" s="136">
        <f t="shared" ref="H26" si="49">150000*1.13</f>
        <v>169499.99999999997</v>
      </c>
      <c r="I26" s="136">
        <v>150000</v>
      </c>
    </row>
    <row r="27" spans="2:9" ht="15.75" thickTop="1" x14ac:dyDescent="0.25"/>
  </sheetData>
  <mergeCells count="24">
    <mergeCell ref="F3:F4"/>
    <mergeCell ref="G3:G4"/>
    <mergeCell ref="F5:F6"/>
    <mergeCell ref="G5:G6"/>
    <mergeCell ref="F7:F8"/>
    <mergeCell ref="G7:G8"/>
    <mergeCell ref="F9:F10"/>
    <mergeCell ref="G9:G10"/>
    <mergeCell ref="F11:F12"/>
    <mergeCell ref="G11:G12"/>
    <mergeCell ref="F13:F14"/>
    <mergeCell ref="G13:G14"/>
    <mergeCell ref="F15:F16"/>
    <mergeCell ref="G15:G16"/>
    <mergeCell ref="F17:F18"/>
    <mergeCell ref="G17:G18"/>
    <mergeCell ref="F25:F26"/>
    <mergeCell ref="G25:G26"/>
    <mergeCell ref="F19:F20"/>
    <mergeCell ref="G19:G20"/>
    <mergeCell ref="F21:F22"/>
    <mergeCell ref="G21:G22"/>
    <mergeCell ref="F23:F24"/>
    <mergeCell ref="G23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A4E7-9177-48D6-9996-1629DD29E559}">
  <sheetPr>
    <pageSetUpPr fitToPage="1"/>
  </sheetPr>
  <dimension ref="A1:HY484"/>
  <sheetViews>
    <sheetView topLeftCell="A7" zoomScale="110" zoomScaleNormal="110" workbookViewId="0">
      <pane ySplit="10" topLeftCell="A17" activePane="bottomLeft" state="frozen"/>
      <selection activeCell="A7" sqref="A7"/>
      <selection pane="bottomLeft" activeCell="M22" sqref="M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9.285156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10.85546875" style="110" customWidth="1"/>
    <col min="14" max="14" width="12.140625" style="2" customWidth="1"/>
    <col min="15" max="15" width="14.7109375" style="2" customWidth="1"/>
    <col min="16" max="16" width="9.140625" style="2"/>
    <col min="17" max="17" width="13.28515625" style="2" bestFit="1" customWidth="1"/>
    <col min="18" max="18" width="12.42578125" style="2" customWidth="1"/>
    <col min="19" max="19" width="13.28515625" style="2" bestFit="1" customWidth="1"/>
    <col min="20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4" width="159" style="3" hidden="1" customWidth="1"/>
    <col min="155" max="157" width="34.140625" style="3" hidden="1" customWidth="1"/>
    <col min="158" max="159" width="130" style="3" hidden="1" customWidth="1"/>
    <col min="160" max="163" width="34.140625" style="3" hidden="1" customWidth="1"/>
    <col min="164" max="164" width="130" style="3" hidden="1" customWidth="1"/>
    <col min="165" max="165" width="159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53" customFormat="1" ht="8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06"/>
    </row>
    <row r="2" spans="1:153" customFormat="1" ht="15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6"/>
      <c r="DS2" s="6" t="s">
        <v>1</v>
      </c>
      <c r="DT2" s="6" t="s">
        <v>0</v>
      </c>
      <c r="DU2" s="6" t="s">
        <v>0</v>
      </c>
      <c r="DV2" s="6" t="s">
        <v>0</v>
      </c>
      <c r="DW2" s="6" t="s">
        <v>0</v>
      </c>
      <c r="DX2" s="6" t="s">
        <v>0</v>
      </c>
      <c r="DY2" s="6" t="s">
        <v>0</v>
      </c>
      <c r="DZ2" s="6" t="s">
        <v>0</v>
      </c>
      <c r="EA2" s="6" t="s">
        <v>0</v>
      </c>
      <c r="EB2" s="6" t="s">
        <v>0</v>
      </c>
      <c r="EC2" s="6" t="s">
        <v>0</v>
      </c>
      <c r="ED2" s="6" t="s">
        <v>0</v>
      </c>
      <c r="EE2" s="6" t="s">
        <v>0</v>
      </c>
      <c r="EF2" s="6" t="s">
        <v>0</v>
      </c>
    </row>
    <row r="3" spans="1:153" customFormat="1" ht="15" x14ac:dyDescent="0.2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06"/>
    </row>
    <row r="4" spans="1:153" customFormat="1" ht="15.75" customHeight="1" x14ac:dyDescent="0.25">
      <c r="A4" s="172" t="s">
        <v>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06"/>
    </row>
    <row r="5" spans="1:153" customFormat="1" ht="8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6"/>
    </row>
    <row r="6" spans="1:153" customFormat="1" ht="15" x14ac:dyDescent="0.25">
      <c r="A6" s="173" t="s">
        <v>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06"/>
      <c r="EG6" s="6" t="s">
        <v>4</v>
      </c>
      <c r="EH6" s="6" t="s">
        <v>0</v>
      </c>
      <c r="EI6" s="6" t="s">
        <v>0</v>
      </c>
      <c r="EJ6" s="6" t="s">
        <v>0</v>
      </c>
      <c r="EK6" s="6" t="s">
        <v>0</v>
      </c>
      <c r="EL6" s="6" t="s">
        <v>0</v>
      </c>
      <c r="EM6" s="6" t="s">
        <v>0</v>
      </c>
      <c r="EN6" s="6" t="s">
        <v>0</v>
      </c>
      <c r="EO6" s="6" t="s">
        <v>0</v>
      </c>
      <c r="EP6" s="6" t="s">
        <v>0</v>
      </c>
      <c r="EQ6" s="6" t="s">
        <v>0</v>
      </c>
      <c r="ER6" s="6" t="s">
        <v>0</v>
      </c>
      <c r="ES6" s="6" t="s">
        <v>0</v>
      </c>
      <c r="ET6" s="6" t="s">
        <v>0</v>
      </c>
    </row>
    <row r="7" spans="1:153" customFormat="1" ht="13.5" customHeight="1" x14ac:dyDescent="0.25">
      <c r="A7" s="171" t="s">
        <v>5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06"/>
    </row>
    <row r="8" spans="1:153" customFormat="1" ht="18" customHeight="1" x14ac:dyDescent="0.25">
      <c r="A8" s="4" t="s">
        <v>6</v>
      </c>
      <c r="B8" s="174" t="s">
        <v>7</v>
      </c>
      <c r="C8" s="174"/>
      <c r="D8" s="174"/>
      <c r="E8" s="174"/>
      <c r="F8" s="174"/>
      <c r="G8" s="7"/>
      <c r="H8" s="7"/>
      <c r="I8" s="7"/>
      <c r="J8" s="7"/>
      <c r="K8" s="7"/>
      <c r="L8" s="7"/>
      <c r="M8" s="106"/>
    </row>
    <row r="9" spans="1:153" customFormat="1" ht="15" x14ac:dyDescent="0.25">
      <c r="A9" s="4"/>
      <c r="B9" s="156" t="s">
        <v>8</v>
      </c>
      <c r="C9" s="156"/>
      <c r="D9" s="156"/>
      <c r="E9" s="156"/>
      <c r="F9" s="156"/>
      <c r="G9" s="10"/>
      <c r="H9" s="10"/>
      <c r="I9" s="10"/>
      <c r="J9" s="10"/>
      <c r="K9" s="10"/>
      <c r="L9" s="10"/>
      <c r="M9" s="106"/>
    </row>
    <row r="10" spans="1:153" customFormat="1" ht="9.75" customHeight="1" x14ac:dyDescent="0.25">
      <c r="A10" s="4"/>
      <c r="B10" s="4"/>
      <c r="C10" s="4"/>
      <c r="D10" s="11"/>
      <c r="E10" s="11"/>
      <c r="F10" s="11"/>
      <c r="G10" s="11"/>
      <c r="H10" s="11"/>
      <c r="I10" s="11"/>
      <c r="J10" s="11"/>
      <c r="K10" s="11"/>
      <c r="L10" s="11"/>
      <c r="M10" s="106"/>
    </row>
    <row r="11" spans="1:153" customFormat="1" ht="15" x14ac:dyDescent="0.25">
      <c r="A11" s="12" t="s">
        <v>9</v>
      </c>
      <c r="B11" s="4"/>
      <c r="C11" s="4"/>
      <c r="D11" s="157" t="s">
        <v>10</v>
      </c>
      <c r="E11" s="157"/>
      <c r="F11" s="157"/>
      <c r="G11" s="13"/>
      <c r="H11" s="13"/>
      <c r="I11" s="13"/>
      <c r="J11" s="13"/>
      <c r="K11" s="13"/>
      <c r="L11" s="13"/>
      <c r="M11" s="106"/>
      <c r="EU11" s="6" t="s">
        <v>10</v>
      </c>
      <c r="EV11" s="6" t="s">
        <v>0</v>
      </c>
      <c r="EW11" s="6" t="s">
        <v>0</v>
      </c>
    </row>
    <row r="12" spans="1:153" customFormat="1" ht="9.75" customHeight="1" x14ac:dyDescent="0.25">
      <c r="A12" s="4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06"/>
    </row>
    <row r="13" spans="1:153" customFormat="1" ht="36" customHeight="1" x14ac:dyDescent="0.25">
      <c r="A13" s="158" t="s">
        <v>11</v>
      </c>
      <c r="B13" s="158" t="s">
        <v>12</v>
      </c>
      <c r="C13" s="161" t="s">
        <v>13</v>
      </c>
      <c r="D13" s="162"/>
      <c r="E13" s="163"/>
      <c r="F13" s="158" t="s">
        <v>14</v>
      </c>
      <c r="G13" s="158" t="s">
        <v>15</v>
      </c>
      <c r="H13" s="158" t="s">
        <v>18</v>
      </c>
      <c r="I13" s="158" t="s">
        <v>19</v>
      </c>
      <c r="J13" s="161" t="s">
        <v>16</v>
      </c>
      <c r="K13" s="162"/>
      <c r="L13" s="163"/>
      <c r="M13" s="106"/>
    </row>
    <row r="14" spans="1:153" customFormat="1" ht="11.25" customHeight="1" x14ac:dyDescent="0.25">
      <c r="A14" s="159"/>
      <c r="B14" s="159"/>
      <c r="C14" s="164"/>
      <c r="D14" s="165"/>
      <c r="E14" s="166"/>
      <c r="F14" s="159"/>
      <c r="G14" s="159"/>
      <c r="H14" s="159"/>
      <c r="I14" s="159"/>
      <c r="J14" s="167"/>
      <c r="K14" s="168"/>
      <c r="L14" s="169"/>
      <c r="M14" s="106"/>
    </row>
    <row r="15" spans="1:153" customFormat="1" ht="54" customHeight="1" x14ac:dyDescent="0.25">
      <c r="A15" s="160"/>
      <c r="B15" s="160"/>
      <c r="C15" s="167"/>
      <c r="D15" s="168"/>
      <c r="E15" s="169"/>
      <c r="F15" s="160"/>
      <c r="G15" s="160" t="s">
        <v>17</v>
      </c>
      <c r="H15" s="160"/>
      <c r="I15" s="160"/>
      <c r="J15" s="16" t="s">
        <v>17</v>
      </c>
      <c r="K15" s="16" t="s">
        <v>18</v>
      </c>
      <c r="L15" s="16" t="s">
        <v>20</v>
      </c>
      <c r="M15" s="107" t="s">
        <v>313</v>
      </c>
      <c r="N15" s="107" t="s">
        <v>314</v>
      </c>
      <c r="O15" s="107" t="s">
        <v>315</v>
      </c>
      <c r="P15" s="107" t="s">
        <v>316</v>
      </c>
      <c r="Q15" s="107" t="s">
        <v>320</v>
      </c>
      <c r="R15" s="107" t="s">
        <v>319</v>
      </c>
      <c r="S15" s="107" t="s">
        <v>321</v>
      </c>
    </row>
    <row r="16" spans="1:153" customFormat="1" ht="15" x14ac:dyDescent="0.25">
      <c r="A16" s="17">
        <v>1</v>
      </c>
      <c r="B16" s="18">
        <v>2</v>
      </c>
      <c r="C16" s="153">
        <v>3</v>
      </c>
      <c r="D16" s="154"/>
      <c r="E16" s="155"/>
      <c r="F16" s="18">
        <v>4</v>
      </c>
      <c r="G16" s="18">
        <v>5</v>
      </c>
      <c r="H16" s="18">
        <v>6</v>
      </c>
      <c r="I16" s="18">
        <v>7</v>
      </c>
      <c r="J16" s="18">
        <v>8</v>
      </c>
      <c r="K16" s="18">
        <v>9</v>
      </c>
      <c r="L16" s="18">
        <v>10</v>
      </c>
      <c r="M16" s="108"/>
      <c r="N16" s="19"/>
      <c r="O16" s="19"/>
      <c r="P16" s="120"/>
      <c r="Q16" s="121"/>
    </row>
    <row r="17" spans="1:163" customFormat="1" ht="15" customHeight="1" x14ac:dyDescent="0.25">
      <c r="A17" s="90" t="s">
        <v>21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9"/>
      <c r="M17" s="106"/>
      <c r="Q17" s="121"/>
      <c r="EX17" s="20" t="s">
        <v>21</v>
      </c>
    </row>
    <row r="18" spans="1:163" customFormat="1" ht="34.5" x14ac:dyDescent="0.25">
      <c r="A18" s="21" t="s">
        <v>22</v>
      </c>
      <c r="B18" s="22" t="s">
        <v>23</v>
      </c>
      <c r="C18" s="148" t="s">
        <v>24</v>
      </c>
      <c r="D18" s="148"/>
      <c r="E18" s="148"/>
      <c r="F18" s="23" t="s">
        <v>25</v>
      </c>
      <c r="G18" s="24">
        <v>0.27995999999999999</v>
      </c>
      <c r="H18" s="25">
        <v>1</v>
      </c>
      <c r="I18" s="26">
        <v>0.27995999999999999</v>
      </c>
      <c r="J18" s="27"/>
      <c r="K18" s="24"/>
      <c r="L18" s="28"/>
      <c r="M18" s="106"/>
      <c r="EX18" s="20"/>
      <c r="EY18" s="29" t="s">
        <v>24</v>
      </c>
      <c r="EZ18" s="29" t="s">
        <v>0</v>
      </c>
      <c r="FA18" s="29" t="s">
        <v>0</v>
      </c>
    </row>
    <row r="19" spans="1:163" customFormat="1" ht="15" x14ac:dyDescent="0.25">
      <c r="A19" s="30"/>
      <c r="B19" s="31"/>
      <c r="C19" s="146" t="s">
        <v>26</v>
      </c>
      <c r="D19" s="146"/>
      <c r="E19" s="146"/>
      <c r="F19" s="146"/>
      <c r="G19" s="146"/>
      <c r="H19" s="146"/>
      <c r="I19" s="146"/>
      <c r="J19" s="146"/>
      <c r="K19" s="146"/>
      <c r="L19" s="149"/>
      <c r="M19" s="106"/>
      <c r="EX19" s="20"/>
      <c r="EY19" s="29"/>
      <c r="EZ19" s="29"/>
      <c r="FA19" s="29"/>
      <c r="FB19" s="3" t="s">
        <v>26</v>
      </c>
    </row>
    <row r="20" spans="1:163" customFormat="1" ht="68.25" x14ac:dyDescent="0.25">
      <c r="A20" s="32"/>
      <c r="B20" s="33" t="s">
        <v>27</v>
      </c>
      <c r="C20" s="141" t="s">
        <v>28</v>
      </c>
      <c r="D20" s="141"/>
      <c r="E20" s="141"/>
      <c r="F20" s="141"/>
      <c r="G20" s="141"/>
      <c r="H20" s="141"/>
      <c r="I20" s="141"/>
      <c r="J20" s="141"/>
      <c r="K20" s="141"/>
      <c r="L20" s="150"/>
      <c r="M20" s="106"/>
      <c r="EX20" s="20"/>
      <c r="EY20" s="29"/>
      <c r="EZ20" s="29"/>
      <c r="FA20" s="29"/>
      <c r="FC20" s="3" t="s">
        <v>28</v>
      </c>
    </row>
    <row r="21" spans="1:163" customFormat="1" ht="23.25" x14ac:dyDescent="0.25">
      <c r="A21" s="32"/>
      <c r="B21" s="33" t="s">
        <v>29</v>
      </c>
      <c r="C21" s="141" t="s">
        <v>30</v>
      </c>
      <c r="D21" s="141"/>
      <c r="E21" s="141"/>
      <c r="F21" s="141"/>
      <c r="G21" s="141"/>
      <c r="H21" s="141"/>
      <c r="I21" s="141"/>
      <c r="J21" s="141"/>
      <c r="K21" s="141"/>
      <c r="L21" s="150"/>
      <c r="M21" s="106"/>
      <c r="N21" s="119" t="s">
        <v>317</v>
      </c>
      <c r="EX21" s="20"/>
      <c r="EY21" s="29"/>
      <c r="EZ21" s="29"/>
      <c r="FA21" s="29"/>
      <c r="FC21" s="3" t="s">
        <v>30</v>
      </c>
    </row>
    <row r="22" spans="1:163" customFormat="1" ht="15" x14ac:dyDescent="0.25">
      <c r="A22" s="34"/>
      <c r="B22" s="33" t="s">
        <v>22</v>
      </c>
      <c r="C22" s="146" t="s">
        <v>31</v>
      </c>
      <c r="D22" s="146"/>
      <c r="E22" s="146"/>
      <c r="F22" s="35"/>
      <c r="G22" s="36"/>
      <c r="H22" s="36"/>
      <c r="I22" s="36"/>
      <c r="J22" s="116">
        <f>O22</f>
        <v>284668.76</v>
      </c>
      <c r="K22" s="38">
        <v>1</v>
      </c>
      <c r="L22" s="42">
        <f>G18*J22*K22</f>
        <v>79695.866049599994</v>
      </c>
      <c r="M22" s="106">
        <v>49.45</v>
      </c>
      <c r="N22" s="112">
        <v>136626.10224499999</v>
      </c>
      <c r="O22" s="113">
        <v>284668.76</v>
      </c>
      <c r="P22" s="104">
        <f>G26</f>
        <v>219.68</v>
      </c>
      <c r="Q22" s="105">
        <f>O22/P22*8</f>
        <v>10366.670065549892</v>
      </c>
      <c r="R22" s="105">
        <f>Q22*22</f>
        <v>228066.74144209761</v>
      </c>
      <c r="S22" s="105">
        <f>R22*(1-0.43)</f>
        <v>129998.04262199566</v>
      </c>
      <c r="EX22" s="20"/>
      <c r="EY22" s="29"/>
      <c r="EZ22" s="29"/>
      <c r="FA22" s="29"/>
      <c r="FD22" s="3" t="s">
        <v>31</v>
      </c>
    </row>
    <row r="23" spans="1:163" customFormat="1" ht="15" x14ac:dyDescent="0.25">
      <c r="A23" s="34"/>
      <c r="B23" s="33" t="s">
        <v>32</v>
      </c>
      <c r="C23" s="146" t="s">
        <v>33</v>
      </c>
      <c r="D23" s="146"/>
      <c r="E23" s="146"/>
      <c r="F23" s="35"/>
      <c r="G23" s="36"/>
      <c r="H23" s="36"/>
      <c r="I23" s="36"/>
      <c r="J23" s="117">
        <f>O23</f>
        <v>2041.25</v>
      </c>
      <c r="K23" s="38">
        <v>1</v>
      </c>
      <c r="L23" s="42">
        <f>G18*J23*K23</f>
        <v>571.46834999999999</v>
      </c>
      <c r="M23" s="106">
        <v>14.53</v>
      </c>
      <c r="N23" s="112">
        <v>4947.4740812499995</v>
      </c>
      <c r="O23" s="113">
        <v>2041.25</v>
      </c>
      <c r="P23" s="104">
        <f>G27</f>
        <v>0.71</v>
      </c>
      <c r="Q23" s="105">
        <f>O23/P23*8</f>
        <v>23000</v>
      </c>
      <c r="S23" s="122"/>
      <c r="EX23" s="20"/>
      <c r="EY23" s="29"/>
      <c r="EZ23" s="29"/>
      <c r="FA23" s="29"/>
      <c r="FD23" s="3" t="s">
        <v>33</v>
      </c>
    </row>
    <row r="24" spans="1:163" customFormat="1" ht="15" x14ac:dyDescent="0.25">
      <c r="A24" s="34"/>
      <c r="B24" s="33" t="s">
        <v>34</v>
      </c>
      <c r="C24" s="146" t="s">
        <v>35</v>
      </c>
      <c r="D24" s="146"/>
      <c r="E24" s="146"/>
      <c r="F24" s="35"/>
      <c r="G24" s="36"/>
      <c r="H24" s="36"/>
      <c r="I24" s="36"/>
      <c r="J24" s="39">
        <v>9</v>
      </c>
      <c r="K24" s="38">
        <v>1</v>
      </c>
      <c r="L24" s="42">
        <f>G18*J24*K24</f>
        <v>2.5196399999999999</v>
      </c>
      <c r="M24" s="106"/>
      <c r="EX24" s="20"/>
      <c r="EY24" s="29"/>
      <c r="EZ24" s="29"/>
      <c r="FA24" s="29"/>
      <c r="FD24" s="3" t="s">
        <v>35</v>
      </c>
    </row>
    <row r="25" spans="1:163" customFormat="1" ht="15" x14ac:dyDescent="0.25">
      <c r="A25" s="34"/>
      <c r="B25" s="33" t="s">
        <v>36</v>
      </c>
      <c r="C25" s="146" t="s">
        <v>37</v>
      </c>
      <c r="D25" s="146"/>
      <c r="E25" s="146"/>
      <c r="F25" s="35"/>
      <c r="G25" s="36"/>
      <c r="H25" s="36"/>
      <c r="I25" s="36"/>
      <c r="J25" s="37">
        <v>2732.35</v>
      </c>
      <c r="K25" s="51"/>
      <c r="L25" s="42">
        <f>G18*J25</f>
        <v>764.9487059999999</v>
      </c>
      <c r="M25" s="106"/>
      <c r="EX25" s="20"/>
      <c r="EY25" s="29"/>
      <c r="EZ25" s="29"/>
      <c r="FA25" s="29"/>
      <c r="FD25" s="3" t="s">
        <v>37</v>
      </c>
    </row>
    <row r="26" spans="1:163" customFormat="1" ht="15" x14ac:dyDescent="0.25">
      <c r="A26" s="43"/>
      <c r="B26" s="33"/>
      <c r="C26" s="146" t="s">
        <v>38</v>
      </c>
      <c r="D26" s="146"/>
      <c r="E26" s="146"/>
      <c r="F26" s="35" t="s">
        <v>39</v>
      </c>
      <c r="G26" s="40">
        <v>219.68</v>
      </c>
      <c r="H26" s="38">
        <v>1.3225</v>
      </c>
      <c r="I26" s="40">
        <v>81.335882900000001</v>
      </c>
      <c r="J26" s="45"/>
      <c r="K26" s="36"/>
      <c r="L26" s="46"/>
      <c r="M26" s="106"/>
      <c r="EX26" s="20"/>
      <c r="EY26" s="29"/>
      <c r="EZ26" s="29"/>
      <c r="FA26" s="29"/>
      <c r="FE26" s="3" t="s">
        <v>38</v>
      </c>
    </row>
    <row r="27" spans="1:163" customFormat="1" ht="15" x14ac:dyDescent="0.25">
      <c r="A27" s="43"/>
      <c r="B27" s="33"/>
      <c r="C27" s="146" t="s">
        <v>40</v>
      </c>
      <c r="D27" s="146"/>
      <c r="E27" s="146"/>
      <c r="F27" s="35" t="s">
        <v>39</v>
      </c>
      <c r="G27" s="40">
        <v>0.71</v>
      </c>
      <c r="H27" s="38">
        <v>1.4375</v>
      </c>
      <c r="I27" s="40">
        <v>0.28573419999999999</v>
      </c>
      <c r="J27" s="45"/>
      <c r="K27" s="36"/>
      <c r="L27" s="46"/>
      <c r="M27" s="106"/>
      <c r="EX27" s="20"/>
      <c r="EY27" s="29"/>
      <c r="EZ27" s="29"/>
      <c r="FA27" s="29"/>
      <c r="FE27" s="3" t="s">
        <v>40</v>
      </c>
    </row>
    <row r="28" spans="1:163" customFormat="1" ht="15" x14ac:dyDescent="0.25">
      <c r="A28" s="30"/>
      <c r="B28" s="33"/>
      <c r="C28" s="151" t="s">
        <v>41</v>
      </c>
      <c r="D28" s="151"/>
      <c r="E28" s="151"/>
      <c r="F28" s="47"/>
      <c r="G28" s="48"/>
      <c r="H28" s="48"/>
      <c r="I28" s="48"/>
      <c r="J28" s="49">
        <v>5058.38</v>
      </c>
      <c r="K28" s="48"/>
      <c r="L28" s="50">
        <f>L22+L23+L25</f>
        <v>81032.283105599985</v>
      </c>
      <c r="M28" s="106"/>
      <c r="O28" s="114"/>
      <c r="EX28" s="20"/>
      <c r="EY28" s="29"/>
      <c r="EZ28" s="29"/>
      <c r="FA28" s="29"/>
      <c r="FF28" s="3" t="s">
        <v>41</v>
      </c>
    </row>
    <row r="29" spans="1:163" customFormat="1" ht="15" x14ac:dyDescent="0.25">
      <c r="A29" s="43"/>
      <c r="B29" s="33"/>
      <c r="C29" s="146" t="s">
        <v>42</v>
      </c>
      <c r="D29" s="146"/>
      <c r="E29" s="146"/>
      <c r="F29" s="35"/>
      <c r="G29" s="36"/>
      <c r="H29" s="36"/>
      <c r="I29" s="36"/>
      <c r="J29" s="45"/>
      <c r="K29" s="36"/>
      <c r="L29" s="42">
        <f>L22+L24</f>
        <v>79698.385689599992</v>
      </c>
      <c r="M29" s="106"/>
      <c r="N29" s="105"/>
      <c r="O29" s="114"/>
      <c r="EX29" s="20"/>
      <c r="EY29" s="29"/>
      <c r="EZ29" s="29"/>
      <c r="FA29" s="29"/>
      <c r="FE29" s="3" t="s">
        <v>42</v>
      </c>
    </row>
    <row r="30" spans="1:163" customFormat="1" ht="23.25" x14ac:dyDescent="0.25">
      <c r="A30" s="43"/>
      <c r="B30" s="33" t="s">
        <v>43</v>
      </c>
      <c r="C30" s="146" t="s">
        <v>44</v>
      </c>
      <c r="D30" s="146"/>
      <c r="E30" s="146"/>
      <c r="F30" s="35" t="s">
        <v>45</v>
      </c>
      <c r="G30" s="51">
        <v>126</v>
      </c>
      <c r="H30" s="36"/>
      <c r="I30" s="51">
        <v>126</v>
      </c>
      <c r="J30" s="45"/>
      <c r="K30" s="36"/>
      <c r="L30" s="42">
        <f>L29*I30%</f>
        <v>100419.96596889599</v>
      </c>
      <c r="M30" s="106"/>
      <c r="O30" s="114"/>
      <c r="P30" s="114"/>
      <c r="Q30" s="115"/>
      <c r="EX30" s="20"/>
      <c r="EY30" s="29"/>
      <c r="EZ30" s="29"/>
      <c r="FA30" s="29"/>
      <c r="FE30" s="3" t="s">
        <v>44</v>
      </c>
    </row>
    <row r="31" spans="1:163" customFormat="1" ht="23.25" x14ac:dyDescent="0.25">
      <c r="A31" s="43"/>
      <c r="B31" s="33" t="s">
        <v>46</v>
      </c>
      <c r="C31" s="146" t="s">
        <v>47</v>
      </c>
      <c r="D31" s="146"/>
      <c r="E31" s="146"/>
      <c r="F31" s="35" t="s">
        <v>45</v>
      </c>
      <c r="G31" s="51">
        <v>68</v>
      </c>
      <c r="H31" s="36"/>
      <c r="I31" s="51">
        <v>68</v>
      </c>
      <c r="J31" s="45"/>
      <c r="K31" s="36"/>
      <c r="L31" s="42">
        <f>L29*I31%</f>
        <v>54194.902268927995</v>
      </c>
      <c r="M31" s="106"/>
      <c r="EX31" s="20"/>
      <c r="EY31" s="29"/>
      <c r="EZ31" s="29"/>
      <c r="FA31" s="29"/>
      <c r="FE31" s="3" t="s">
        <v>47</v>
      </c>
    </row>
    <row r="32" spans="1:163" customFormat="1" ht="15" x14ac:dyDescent="0.25">
      <c r="A32" s="52"/>
      <c r="B32" s="53"/>
      <c r="C32" s="148" t="s">
        <v>48</v>
      </c>
      <c r="D32" s="148"/>
      <c r="E32" s="148"/>
      <c r="F32" s="23"/>
      <c r="G32" s="24"/>
      <c r="H32" s="24"/>
      <c r="I32" s="24"/>
      <c r="J32" s="27"/>
      <c r="K32" s="24"/>
      <c r="L32" s="96">
        <f>L28+L30+L31</f>
        <v>235647.15134342399</v>
      </c>
      <c r="M32" s="106"/>
      <c r="EX32" s="20"/>
      <c r="EY32" s="29"/>
      <c r="EZ32" s="29"/>
      <c r="FA32" s="29"/>
      <c r="FG32" s="29" t="s">
        <v>48</v>
      </c>
    </row>
    <row r="33" spans="1:164" customFormat="1" ht="33.75" x14ac:dyDescent="0.25">
      <c r="A33" s="21" t="s">
        <v>32</v>
      </c>
      <c r="B33" s="22" t="s">
        <v>49</v>
      </c>
      <c r="C33" s="148" t="s">
        <v>50</v>
      </c>
      <c r="D33" s="148"/>
      <c r="E33" s="148"/>
      <c r="F33" s="23" t="s">
        <v>51</v>
      </c>
      <c r="G33" s="24">
        <v>190</v>
      </c>
      <c r="H33" s="25">
        <v>1</v>
      </c>
      <c r="I33" s="25">
        <v>190</v>
      </c>
      <c r="J33" s="56">
        <f>1555.9/1.2</f>
        <v>1296.5833333333335</v>
      </c>
      <c r="K33" s="26">
        <v>1</v>
      </c>
      <c r="L33" s="97">
        <f>G33*J33*K33</f>
        <v>246350.83333333337</v>
      </c>
      <c r="M33" s="106"/>
      <c r="EX33" s="20"/>
      <c r="EY33" s="29" t="s">
        <v>50</v>
      </c>
      <c r="EZ33" s="29" t="s">
        <v>0</v>
      </c>
      <c r="FA33" s="29" t="s">
        <v>0</v>
      </c>
      <c r="FG33" s="29"/>
    </row>
    <row r="34" spans="1:164" customFormat="1" ht="15" x14ac:dyDescent="0.25">
      <c r="A34" s="30"/>
      <c r="B34" s="31"/>
      <c r="C34" s="146" t="s">
        <v>52</v>
      </c>
      <c r="D34" s="146"/>
      <c r="E34" s="146"/>
      <c r="F34" s="146"/>
      <c r="G34" s="146"/>
      <c r="H34" s="146"/>
      <c r="I34" s="146"/>
      <c r="J34" s="146"/>
      <c r="K34" s="146"/>
      <c r="L34" s="149"/>
      <c r="M34" s="106"/>
      <c r="EX34" s="20"/>
      <c r="EY34" s="29"/>
      <c r="EZ34" s="29"/>
      <c r="FA34" s="29"/>
      <c r="FB34" s="3" t="s">
        <v>52</v>
      </c>
      <c r="FG34" s="29"/>
    </row>
    <row r="35" spans="1:164" customFormat="1" ht="15" x14ac:dyDescent="0.25">
      <c r="A35" s="30"/>
      <c r="B35" s="31"/>
      <c r="C35" s="152" t="s">
        <v>296</v>
      </c>
      <c r="D35" s="146"/>
      <c r="E35" s="146"/>
      <c r="F35" s="146"/>
      <c r="G35" s="146"/>
      <c r="H35" s="146"/>
      <c r="I35" s="146"/>
      <c r="J35" s="146"/>
      <c r="K35" s="146"/>
      <c r="L35" s="149"/>
      <c r="M35" s="106"/>
      <c r="EX35" s="20"/>
      <c r="EY35" s="29"/>
      <c r="EZ35" s="29"/>
      <c r="FA35" s="29"/>
      <c r="FG35" s="29"/>
      <c r="FH35" s="3" t="s">
        <v>53</v>
      </c>
    </row>
    <row r="36" spans="1:164" customFormat="1" ht="15" x14ac:dyDescent="0.25">
      <c r="A36" s="32"/>
      <c r="B36" s="33"/>
      <c r="C36" s="141" t="s">
        <v>54</v>
      </c>
      <c r="D36" s="141"/>
      <c r="E36" s="141"/>
      <c r="F36" s="141"/>
      <c r="G36" s="141"/>
      <c r="H36" s="141"/>
      <c r="I36" s="141"/>
      <c r="J36" s="141"/>
      <c r="K36" s="141"/>
      <c r="L36" s="150"/>
      <c r="M36" s="106"/>
      <c r="EX36" s="20"/>
      <c r="EY36" s="29"/>
      <c r="EZ36" s="29"/>
      <c r="FA36" s="29"/>
      <c r="FC36" s="3" t="s">
        <v>54</v>
      </c>
      <c r="FG36" s="29"/>
    </row>
    <row r="37" spans="1:164" customFormat="1" ht="15" x14ac:dyDescent="0.25">
      <c r="A37" s="32"/>
      <c r="B37" s="33"/>
      <c r="C37" s="141" t="s">
        <v>55</v>
      </c>
      <c r="D37" s="141"/>
      <c r="E37" s="141"/>
      <c r="F37" s="141"/>
      <c r="G37" s="141"/>
      <c r="H37" s="141"/>
      <c r="I37" s="141"/>
      <c r="J37" s="141"/>
      <c r="K37" s="141"/>
      <c r="L37" s="150"/>
      <c r="M37" s="106"/>
      <c r="EX37" s="20"/>
      <c r="EY37" s="29"/>
      <c r="EZ37" s="29"/>
      <c r="FA37" s="29"/>
      <c r="FC37" s="3" t="s">
        <v>55</v>
      </c>
      <c r="FG37" s="29"/>
    </row>
    <row r="38" spans="1:164" customFormat="1" ht="15" x14ac:dyDescent="0.25">
      <c r="A38" s="52"/>
      <c r="B38" s="53"/>
      <c r="C38" s="148" t="s">
        <v>48</v>
      </c>
      <c r="D38" s="148"/>
      <c r="E38" s="148"/>
      <c r="F38" s="23"/>
      <c r="G38" s="24"/>
      <c r="H38" s="24"/>
      <c r="I38" s="24"/>
      <c r="J38" s="27"/>
      <c r="K38" s="24"/>
      <c r="L38" s="96">
        <f>L33</f>
        <v>246350.83333333337</v>
      </c>
      <c r="M38" s="106"/>
      <c r="EX38" s="20"/>
      <c r="EY38" s="29"/>
      <c r="EZ38" s="29"/>
      <c r="FA38" s="29"/>
      <c r="FG38" s="29" t="s">
        <v>48</v>
      </c>
    </row>
    <row r="39" spans="1:164" customFormat="1" ht="33.75" x14ac:dyDescent="0.25">
      <c r="A39" s="21" t="s">
        <v>34</v>
      </c>
      <c r="B39" s="22" t="s">
        <v>56</v>
      </c>
      <c r="C39" s="148" t="s">
        <v>57</v>
      </c>
      <c r="D39" s="148"/>
      <c r="E39" s="148"/>
      <c r="F39" s="23" t="s">
        <v>51</v>
      </c>
      <c r="G39" s="24">
        <v>149</v>
      </c>
      <c r="H39" s="25">
        <v>1</v>
      </c>
      <c r="I39" s="25">
        <v>149</v>
      </c>
      <c r="J39" s="56">
        <f>956/1.2</f>
        <v>796.66666666666674</v>
      </c>
      <c r="K39" s="26">
        <v>1</v>
      </c>
      <c r="L39" s="55">
        <f>G39*J39*K39</f>
        <v>118703.33333333334</v>
      </c>
      <c r="M39" s="106"/>
      <c r="EX39" s="20"/>
      <c r="EY39" s="29" t="s">
        <v>57</v>
      </c>
      <c r="EZ39" s="29" t="s">
        <v>0</v>
      </c>
      <c r="FA39" s="29" t="s">
        <v>0</v>
      </c>
      <c r="FG39" s="29"/>
    </row>
    <row r="40" spans="1:164" customFormat="1" ht="15" x14ac:dyDescent="0.25">
      <c r="A40" s="30"/>
      <c r="B40" s="31"/>
      <c r="C40" s="146" t="s">
        <v>58</v>
      </c>
      <c r="D40" s="146"/>
      <c r="E40" s="146"/>
      <c r="F40" s="146"/>
      <c r="G40" s="146"/>
      <c r="H40" s="146"/>
      <c r="I40" s="146"/>
      <c r="J40" s="146"/>
      <c r="K40" s="146"/>
      <c r="L40" s="149"/>
      <c r="M40" s="106"/>
      <c r="EX40" s="20"/>
      <c r="EY40" s="29"/>
      <c r="EZ40" s="29"/>
      <c r="FA40" s="29"/>
      <c r="FB40" s="3" t="s">
        <v>58</v>
      </c>
      <c r="FG40" s="29"/>
    </row>
    <row r="41" spans="1:164" customFormat="1" ht="15" x14ac:dyDescent="0.25">
      <c r="A41" s="30"/>
      <c r="B41" s="31"/>
      <c r="C41" s="152" t="s">
        <v>295</v>
      </c>
      <c r="D41" s="146"/>
      <c r="E41" s="146"/>
      <c r="F41" s="146"/>
      <c r="G41" s="146"/>
      <c r="H41" s="146"/>
      <c r="I41" s="146"/>
      <c r="J41" s="146"/>
      <c r="K41" s="146"/>
      <c r="L41" s="149"/>
      <c r="M41" s="106"/>
      <c r="EX41" s="20"/>
      <c r="EY41" s="29"/>
      <c r="EZ41" s="29"/>
      <c r="FA41" s="29"/>
      <c r="FG41" s="29"/>
      <c r="FH41" s="3" t="s">
        <v>59</v>
      </c>
    </row>
    <row r="42" spans="1:164" customFormat="1" ht="15" x14ac:dyDescent="0.25">
      <c r="A42" s="32"/>
      <c r="B42" s="33"/>
      <c r="C42" s="141" t="s">
        <v>54</v>
      </c>
      <c r="D42" s="141"/>
      <c r="E42" s="141"/>
      <c r="F42" s="141"/>
      <c r="G42" s="141"/>
      <c r="H42" s="141"/>
      <c r="I42" s="141"/>
      <c r="J42" s="141"/>
      <c r="K42" s="141"/>
      <c r="L42" s="150"/>
      <c r="M42" s="106"/>
      <c r="EX42" s="20"/>
      <c r="EY42" s="29"/>
      <c r="EZ42" s="29"/>
      <c r="FA42" s="29"/>
      <c r="FC42" s="3" t="s">
        <v>54</v>
      </c>
      <c r="FG42" s="29"/>
    </row>
    <row r="43" spans="1:164" customFormat="1" ht="15" x14ac:dyDescent="0.25">
      <c r="A43" s="32"/>
      <c r="B43" s="33"/>
      <c r="C43" s="141" t="s">
        <v>55</v>
      </c>
      <c r="D43" s="141"/>
      <c r="E43" s="141"/>
      <c r="F43" s="141"/>
      <c r="G43" s="141"/>
      <c r="H43" s="141"/>
      <c r="I43" s="141"/>
      <c r="J43" s="141"/>
      <c r="K43" s="141"/>
      <c r="L43" s="150"/>
      <c r="M43" s="106"/>
      <c r="EX43" s="20"/>
      <c r="EY43" s="29"/>
      <c r="EZ43" s="29"/>
      <c r="FA43" s="29"/>
      <c r="FC43" s="3" t="s">
        <v>55</v>
      </c>
      <c r="FG43" s="29"/>
    </row>
    <row r="44" spans="1:164" customFormat="1" ht="15" x14ac:dyDescent="0.25">
      <c r="A44" s="52"/>
      <c r="B44" s="53"/>
      <c r="C44" s="148" t="s">
        <v>48</v>
      </c>
      <c r="D44" s="148"/>
      <c r="E44" s="148"/>
      <c r="F44" s="23"/>
      <c r="G44" s="24"/>
      <c r="H44" s="24"/>
      <c r="I44" s="24"/>
      <c r="J44" s="27"/>
      <c r="K44" s="24"/>
      <c r="L44" s="96">
        <f>L39</f>
        <v>118703.33333333334</v>
      </c>
      <c r="M44" s="106"/>
      <c r="EX44" s="20"/>
      <c r="EY44" s="29"/>
      <c r="EZ44" s="29"/>
      <c r="FA44" s="29"/>
      <c r="FG44" s="29" t="s">
        <v>48</v>
      </c>
    </row>
    <row r="45" spans="1:164" customFormat="1" ht="23.25" x14ac:dyDescent="0.25">
      <c r="A45" s="21" t="s">
        <v>36</v>
      </c>
      <c r="B45" s="22" t="s">
        <v>60</v>
      </c>
      <c r="C45" s="148" t="s">
        <v>61</v>
      </c>
      <c r="D45" s="148"/>
      <c r="E45" s="148"/>
      <c r="F45" s="23" t="s">
        <v>25</v>
      </c>
      <c r="G45" s="24">
        <v>4.0000000000000001E-3</v>
      </c>
      <c r="H45" s="25">
        <v>1</v>
      </c>
      <c r="I45" s="58">
        <v>4.0000000000000001E-3</v>
      </c>
      <c r="J45" s="54">
        <v>140835</v>
      </c>
      <c r="K45" s="24">
        <v>1</v>
      </c>
      <c r="L45" s="98">
        <f>G45*J45*K45</f>
        <v>563.34</v>
      </c>
      <c r="M45" s="106"/>
      <c r="EX45" s="20"/>
      <c r="EY45" s="29" t="s">
        <v>61</v>
      </c>
      <c r="EZ45" s="29" t="s">
        <v>0</v>
      </c>
      <c r="FA45" s="29" t="s">
        <v>0</v>
      </c>
      <c r="FG45" s="29"/>
    </row>
    <row r="46" spans="1:164" customFormat="1" ht="15" x14ac:dyDescent="0.25">
      <c r="A46" s="30"/>
      <c r="B46" s="31"/>
      <c r="C46" s="146" t="s">
        <v>62</v>
      </c>
      <c r="D46" s="146"/>
      <c r="E46" s="146"/>
      <c r="F46" s="146"/>
      <c r="G46" s="146"/>
      <c r="H46" s="146"/>
      <c r="I46" s="146"/>
      <c r="J46" s="146"/>
      <c r="K46" s="146"/>
      <c r="L46" s="149"/>
      <c r="M46" s="106"/>
      <c r="EX46" s="20"/>
      <c r="EY46" s="29"/>
      <c r="EZ46" s="29"/>
      <c r="FA46" s="29"/>
      <c r="FB46" s="3" t="s">
        <v>62</v>
      </c>
      <c r="FG46" s="29"/>
    </row>
    <row r="47" spans="1:164" customFormat="1" ht="15" x14ac:dyDescent="0.25">
      <c r="A47" s="52"/>
      <c r="B47" s="53"/>
      <c r="C47" s="148" t="s">
        <v>48</v>
      </c>
      <c r="D47" s="148"/>
      <c r="E47" s="148"/>
      <c r="F47" s="23"/>
      <c r="G47" s="24"/>
      <c r="H47" s="24"/>
      <c r="I47" s="24"/>
      <c r="J47" s="27"/>
      <c r="K47" s="24"/>
      <c r="L47" s="99">
        <f>L45</f>
        <v>563.34</v>
      </c>
      <c r="M47" s="106"/>
      <c r="EX47" s="20"/>
      <c r="EY47" s="29"/>
      <c r="EZ47" s="29"/>
      <c r="FA47" s="29"/>
      <c r="FG47" s="29" t="s">
        <v>48</v>
      </c>
    </row>
    <row r="48" spans="1:164" customFormat="1" ht="23.25" x14ac:dyDescent="0.25">
      <c r="A48" s="21" t="s">
        <v>63</v>
      </c>
      <c r="B48" s="22" t="s">
        <v>64</v>
      </c>
      <c r="C48" s="148" t="s">
        <v>65</v>
      </c>
      <c r="D48" s="148"/>
      <c r="E48" s="148"/>
      <c r="F48" s="23" t="s">
        <v>25</v>
      </c>
      <c r="G48" s="24">
        <v>6.0000000000000001E-3</v>
      </c>
      <c r="H48" s="25">
        <v>1</v>
      </c>
      <c r="I48" s="58">
        <v>6.0000000000000001E-3</v>
      </c>
      <c r="J48" s="54">
        <v>91945</v>
      </c>
      <c r="K48" s="24">
        <v>1</v>
      </c>
      <c r="L48" s="59">
        <f>G48*J48*K48</f>
        <v>551.66999999999996</v>
      </c>
      <c r="M48" s="106"/>
      <c r="EX48" s="20"/>
      <c r="EY48" s="29" t="s">
        <v>65</v>
      </c>
      <c r="EZ48" s="29" t="s">
        <v>0</v>
      </c>
      <c r="FA48" s="29" t="s">
        <v>0</v>
      </c>
      <c r="FG48" s="29"/>
    </row>
    <row r="49" spans="1:163" customFormat="1" ht="15" x14ac:dyDescent="0.25">
      <c r="A49" s="30"/>
      <c r="B49" s="31"/>
      <c r="C49" s="146" t="s">
        <v>66</v>
      </c>
      <c r="D49" s="146"/>
      <c r="E49" s="146"/>
      <c r="F49" s="146"/>
      <c r="G49" s="146"/>
      <c r="H49" s="146"/>
      <c r="I49" s="146"/>
      <c r="J49" s="146"/>
      <c r="K49" s="146"/>
      <c r="L49" s="149"/>
      <c r="M49" s="106"/>
      <c r="EX49" s="20"/>
      <c r="EY49" s="29"/>
      <c r="EZ49" s="29"/>
      <c r="FA49" s="29"/>
      <c r="FB49" s="3" t="s">
        <v>66</v>
      </c>
      <c r="FG49" s="29"/>
    </row>
    <row r="50" spans="1:163" customFormat="1" ht="15" x14ac:dyDescent="0.25">
      <c r="A50" s="52"/>
      <c r="B50" s="53"/>
      <c r="C50" s="148" t="s">
        <v>48</v>
      </c>
      <c r="D50" s="148"/>
      <c r="E50" s="148"/>
      <c r="F50" s="23"/>
      <c r="G50" s="24"/>
      <c r="H50" s="24"/>
      <c r="I50" s="24"/>
      <c r="J50" s="27"/>
      <c r="K50" s="24"/>
      <c r="L50" s="99">
        <f>L48</f>
        <v>551.66999999999996</v>
      </c>
      <c r="M50" s="106"/>
      <c r="EX50" s="20"/>
      <c r="EY50" s="29"/>
      <c r="EZ50" s="29"/>
      <c r="FA50" s="29"/>
      <c r="FG50" s="29" t="s">
        <v>48</v>
      </c>
    </row>
    <row r="51" spans="1:163" customFormat="1" ht="23.25" x14ac:dyDescent="0.25">
      <c r="A51" s="21" t="s">
        <v>67</v>
      </c>
      <c r="B51" s="22" t="s">
        <v>68</v>
      </c>
      <c r="C51" s="148" t="s">
        <v>69</v>
      </c>
      <c r="D51" s="148"/>
      <c r="E51" s="148"/>
      <c r="F51" s="23" t="s">
        <v>70</v>
      </c>
      <c r="G51" s="24">
        <v>0.84</v>
      </c>
      <c r="H51" s="25">
        <v>1</v>
      </c>
      <c r="I51" s="57">
        <v>0.84</v>
      </c>
      <c r="J51" s="27"/>
      <c r="K51" s="24"/>
      <c r="L51" s="28"/>
      <c r="M51" s="106"/>
      <c r="EX51" s="20"/>
      <c r="EY51" s="29" t="s">
        <v>69</v>
      </c>
      <c r="EZ51" s="29" t="s">
        <v>0</v>
      </c>
      <c r="FA51" s="29" t="s">
        <v>0</v>
      </c>
      <c r="FG51" s="29"/>
    </row>
    <row r="52" spans="1:163" customFormat="1" ht="15" x14ac:dyDescent="0.25">
      <c r="A52" s="30"/>
      <c r="B52" s="31"/>
      <c r="C52" s="146" t="s">
        <v>71</v>
      </c>
      <c r="D52" s="146"/>
      <c r="E52" s="146"/>
      <c r="F52" s="146"/>
      <c r="G52" s="146"/>
      <c r="H52" s="146"/>
      <c r="I52" s="146"/>
      <c r="J52" s="146"/>
      <c r="K52" s="146"/>
      <c r="L52" s="149"/>
      <c r="M52" s="106"/>
      <c r="EX52" s="20"/>
      <c r="EY52" s="29"/>
      <c r="EZ52" s="29"/>
      <c r="FA52" s="29"/>
      <c r="FB52" s="3" t="s">
        <v>71</v>
      </c>
      <c r="FG52" s="29"/>
    </row>
    <row r="53" spans="1:163" customFormat="1" ht="68.25" x14ac:dyDescent="0.25">
      <c r="A53" s="32"/>
      <c r="B53" s="33" t="s">
        <v>27</v>
      </c>
      <c r="C53" s="141" t="s">
        <v>28</v>
      </c>
      <c r="D53" s="141"/>
      <c r="E53" s="141"/>
      <c r="F53" s="141"/>
      <c r="G53" s="141"/>
      <c r="H53" s="141"/>
      <c r="I53" s="141"/>
      <c r="J53" s="141"/>
      <c r="K53" s="141"/>
      <c r="L53" s="150"/>
      <c r="M53" s="106"/>
      <c r="EX53" s="20"/>
      <c r="EY53" s="29"/>
      <c r="EZ53" s="29"/>
      <c r="FA53" s="29"/>
      <c r="FC53" s="3" t="s">
        <v>28</v>
      </c>
      <c r="FG53" s="29"/>
    </row>
    <row r="54" spans="1:163" customFormat="1" ht="23.25" x14ac:dyDescent="0.25">
      <c r="A54" s="32"/>
      <c r="B54" s="33" t="s">
        <v>29</v>
      </c>
      <c r="C54" s="141" t="s">
        <v>30</v>
      </c>
      <c r="D54" s="141"/>
      <c r="E54" s="141"/>
      <c r="F54" s="141"/>
      <c r="G54" s="141"/>
      <c r="H54" s="141"/>
      <c r="I54" s="141"/>
      <c r="J54" s="141"/>
      <c r="K54" s="141"/>
      <c r="L54" s="150"/>
      <c r="M54" s="106"/>
      <c r="N54" s="118" t="s">
        <v>318</v>
      </c>
      <c r="EX54" s="20"/>
      <c r="EY54" s="29"/>
      <c r="EZ54" s="29"/>
      <c r="FA54" s="29"/>
      <c r="FC54" s="3" t="s">
        <v>30</v>
      </c>
      <c r="FG54" s="29"/>
    </row>
    <row r="55" spans="1:163" customFormat="1" ht="15" x14ac:dyDescent="0.25">
      <c r="A55" s="34"/>
      <c r="B55" s="33" t="s">
        <v>22</v>
      </c>
      <c r="C55" s="146" t="s">
        <v>31</v>
      </c>
      <c r="D55" s="146"/>
      <c r="E55" s="146"/>
      <c r="F55" s="35"/>
      <c r="G55" s="36"/>
      <c r="H55" s="36"/>
      <c r="I55" s="36"/>
      <c r="J55" s="117">
        <f>O55</f>
        <v>30478.0098</v>
      </c>
      <c r="K55" s="38">
        <v>1</v>
      </c>
      <c r="L55" s="42">
        <f>G51*J55*K55</f>
        <v>25601.528232000001</v>
      </c>
      <c r="M55" s="106">
        <v>49.45</v>
      </c>
      <c r="N55" s="112">
        <v>14458.760911250001</v>
      </c>
      <c r="O55" s="113">
        <v>30478.0098</v>
      </c>
      <c r="P55" s="105">
        <f>G59</f>
        <v>23.52</v>
      </c>
      <c r="Q55" s="105">
        <f>O55/P55*8</f>
        <v>10366.67</v>
      </c>
      <c r="R55" s="105">
        <f>Q55*22</f>
        <v>228066.74</v>
      </c>
      <c r="S55" s="105">
        <f>R55*(1-0.43)</f>
        <v>129998.04180000001</v>
      </c>
      <c r="EX55" s="20"/>
      <c r="EY55" s="29"/>
      <c r="EZ55" s="29"/>
      <c r="FA55" s="29"/>
      <c r="FD55" s="3" t="s">
        <v>31</v>
      </c>
      <c r="FG55" s="29"/>
    </row>
    <row r="56" spans="1:163" customFormat="1" ht="15" x14ac:dyDescent="0.25">
      <c r="A56" s="34"/>
      <c r="B56" s="33" t="s">
        <v>32</v>
      </c>
      <c r="C56" s="146" t="s">
        <v>33</v>
      </c>
      <c r="D56" s="146"/>
      <c r="E56" s="146"/>
      <c r="F56" s="35"/>
      <c r="G56" s="36"/>
      <c r="H56" s="36"/>
      <c r="I56" s="36"/>
      <c r="J56" s="117">
        <f>O56</f>
        <v>575</v>
      </c>
      <c r="K56" s="38">
        <v>1</v>
      </c>
      <c r="L56" s="42">
        <f>G51*J56*K56</f>
        <v>483</v>
      </c>
      <c r="M56" s="106">
        <v>14.53</v>
      </c>
      <c r="N56" s="112">
        <v>670.88642499999992</v>
      </c>
      <c r="O56" s="113">
        <v>575</v>
      </c>
      <c r="P56" s="105">
        <f>G60</f>
        <v>0.2</v>
      </c>
      <c r="Q56" s="105">
        <f>O56/P56*8</f>
        <v>23000</v>
      </c>
      <c r="EX56" s="20"/>
      <c r="EY56" s="29"/>
      <c r="EZ56" s="29"/>
      <c r="FA56" s="29"/>
      <c r="FD56" s="3" t="s">
        <v>33</v>
      </c>
      <c r="FG56" s="29"/>
    </row>
    <row r="57" spans="1:163" customFormat="1" ht="15" x14ac:dyDescent="0.25">
      <c r="A57" s="34"/>
      <c r="B57" s="33" t="s">
        <v>34</v>
      </c>
      <c r="C57" s="146" t="s">
        <v>35</v>
      </c>
      <c r="D57" s="146"/>
      <c r="E57" s="146"/>
      <c r="F57" s="35"/>
      <c r="G57" s="36"/>
      <c r="H57" s="36"/>
      <c r="I57" s="36"/>
      <c r="J57" s="39">
        <v>2.5099999999999998</v>
      </c>
      <c r="K57" s="38">
        <v>1</v>
      </c>
      <c r="L57" s="42">
        <f>G51*J57*K57</f>
        <v>2.1083999999999996</v>
      </c>
      <c r="M57" s="106"/>
      <c r="EX57" s="20"/>
      <c r="EY57" s="29"/>
      <c r="EZ57" s="29"/>
      <c r="FA57" s="29"/>
      <c r="FD57" s="3" t="s">
        <v>35</v>
      </c>
      <c r="FG57" s="29"/>
    </row>
    <row r="58" spans="1:163" customFormat="1" ht="15" x14ac:dyDescent="0.25">
      <c r="A58" s="34"/>
      <c r="B58" s="33" t="s">
        <v>36</v>
      </c>
      <c r="C58" s="146" t="s">
        <v>37</v>
      </c>
      <c r="D58" s="146"/>
      <c r="E58" s="146"/>
      <c r="F58" s="35"/>
      <c r="G58" s="36"/>
      <c r="H58" s="36"/>
      <c r="I58" s="36"/>
      <c r="J58" s="39">
        <v>111.92</v>
      </c>
      <c r="K58" s="36"/>
      <c r="L58" s="42">
        <f>G51*J58</f>
        <v>94.012799999999999</v>
      </c>
      <c r="M58" s="106"/>
      <c r="EX58" s="20"/>
      <c r="EY58" s="29"/>
      <c r="EZ58" s="29"/>
      <c r="FA58" s="29"/>
      <c r="FD58" s="3" t="s">
        <v>37</v>
      </c>
      <c r="FG58" s="29"/>
    </row>
    <row r="59" spans="1:163" customFormat="1" ht="15" x14ac:dyDescent="0.25">
      <c r="A59" s="43"/>
      <c r="B59" s="33"/>
      <c r="C59" s="146" t="s">
        <v>38</v>
      </c>
      <c r="D59" s="146"/>
      <c r="E59" s="146"/>
      <c r="F59" s="35" t="s">
        <v>39</v>
      </c>
      <c r="G59" s="40">
        <v>23.52</v>
      </c>
      <c r="H59" s="38">
        <v>1.3225</v>
      </c>
      <c r="I59" s="60">
        <v>26.128367999999998</v>
      </c>
      <c r="J59" s="45"/>
      <c r="K59" s="36"/>
      <c r="L59" s="46"/>
      <c r="M59" s="106"/>
      <c r="EX59" s="20"/>
      <c r="EY59" s="29"/>
      <c r="EZ59" s="29"/>
      <c r="FA59" s="29"/>
      <c r="FE59" s="3" t="s">
        <v>38</v>
      </c>
      <c r="FG59" s="29"/>
    </row>
    <row r="60" spans="1:163" customFormat="1" ht="15" x14ac:dyDescent="0.25">
      <c r="A60" s="43"/>
      <c r="B60" s="33"/>
      <c r="C60" s="146" t="s">
        <v>40</v>
      </c>
      <c r="D60" s="146"/>
      <c r="E60" s="146"/>
      <c r="F60" s="35" t="s">
        <v>39</v>
      </c>
      <c r="G60" s="61">
        <v>0.2</v>
      </c>
      <c r="H60" s="38">
        <v>1.4375</v>
      </c>
      <c r="I60" s="38">
        <v>0.24149999999999999</v>
      </c>
      <c r="J60" s="45"/>
      <c r="K60" s="36"/>
      <c r="L60" s="46"/>
      <c r="M60" s="106"/>
      <c r="EX60" s="20"/>
      <c r="EY60" s="29"/>
      <c r="EZ60" s="29"/>
      <c r="FA60" s="29"/>
      <c r="FE60" s="3" t="s">
        <v>40</v>
      </c>
      <c r="FG60" s="29"/>
    </row>
    <row r="61" spans="1:163" customFormat="1" ht="15" x14ac:dyDescent="0.25">
      <c r="A61" s="30"/>
      <c r="B61" s="33"/>
      <c r="C61" s="151" t="s">
        <v>41</v>
      </c>
      <c r="D61" s="151"/>
      <c r="E61" s="151"/>
      <c r="F61" s="47"/>
      <c r="G61" s="48"/>
      <c r="H61" s="48"/>
      <c r="I61" s="48"/>
      <c r="J61" s="62">
        <v>365.13</v>
      </c>
      <c r="K61" s="48"/>
      <c r="L61" s="66">
        <f>L55+L56+L58</f>
        <v>26178.541032000001</v>
      </c>
      <c r="M61" s="106"/>
      <c r="EX61" s="20"/>
      <c r="EY61" s="29"/>
      <c r="EZ61" s="29"/>
      <c r="FA61" s="29"/>
      <c r="FF61" s="3" t="s">
        <v>41</v>
      </c>
      <c r="FG61" s="29"/>
    </row>
    <row r="62" spans="1:163" customFormat="1" ht="15" x14ac:dyDescent="0.25">
      <c r="A62" s="43"/>
      <c r="B62" s="33"/>
      <c r="C62" s="146" t="s">
        <v>42</v>
      </c>
      <c r="D62" s="146"/>
      <c r="E62" s="146"/>
      <c r="F62" s="35"/>
      <c r="G62" s="36"/>
      <c r="H62" s="36"/>
      <c r="I62" s="36"/>
      <c r="J62" s="45"/>
      <c r="K62" s="36"/>
      <c r="L62" s="42">
        <f>L55+L57</f>
        <v>25603.636632000002</v>
      </c>
      <c r="M62" s="106"/>
      <c r="EX62" s="20"/>
      <c r="EY62" s="29"/>
      <c r="EZ62" s="29"/>
      <c r="FA62" s="29"/>
      <c r="FE62" s="3" t="s">
        <v>42</v>
      </c>
      <c r="FG62" s="29"/>
    </row>
    <row r="63" spans="1:163" customFormat="1" ht="23.25" x14ac:dyDescent="0.25">
      <c r="A63" s="43"/>
      <c r="B63" s="33" t="s">
        <v>72</v>
      </c>
      <c r="C63" s="146" t="s">
        <v>73</v>
      </c>
      <c r="D63" s="146"/>
      <c r="E63" s="146"/>
      <c r="F63" s="35" t="s">
        <v>45</v>
      </c>
      <c r="G63" s="51">
        <v>97</v>
      </c>
      <c r="H63" s="36"/>
      <c r="I63" s="51">
        <v>97</v>
      </c>
      <c r="J63" s="45"/>
      <c r="K63" s="36"/>
      <c r="L63" s="42">
        <f>L62*I63%</f>
        <v>24835.52753304</v>
      </c>
      <c r="M63" s="106"/>
      <c r="EX63" s="20"/>
      <c r="EY63" s="29"/>
      <c r="EZ63" s="29"/>
      <c r="FA63" s="29"/>
      <c r="FE63" s="3" t="s">
        <v>73</v>
      </c>
      <c r="FG63" s="29"/>
    </row>
    <row r="64" spans="1:163" customFormat="1" ht="23.25" x14ac:dyDescent="0.25">
      <c r="A64" s="43"/>
      <c r="B64" s="33" t="s">
        <v>74</v>
      </c>
      <c r="C64" s="146" t="s">
        <v>75</v>
      </c>
      <c r="D64" s="146"/>
      <c r="E64" s="146"/>
      <c r="F64" s="35" t="s">
        <v>45</v>
      </c>
      <c r="G64" s="51">
        <v>51</v>
      </c>
      <c r="H64" s="36"/>
      <c r="I64" s="51">
        <v>51</v>
      </c>
      <c r="J64" s="45"/>
      <c r="K64" s="36"/>
      <c r="L64" s="42">
        <f>L62*I64%</f>
        <v>13057.854682320001</v>
      </c>
      <c r="M64" s="106"/>
      <c r="EX64" s="20"/>
      <c r="EY64" s="29"/>
      <c r="EZ64" s="29"/>
      <c r="FA64" s="29"/>
      <c r="FE64" s="3" t="s">
        <v>75</v>
      </c>
      <c r="FG64" s="29"/>
    </row>
    <row r="65" spans="1:164" customFormat="1" ht="15" x14ac:dyDescent="0.25">
      <c r="A65" s="52"/>
      <c r="B65" s="53"/>
      <c r="C65" s="148" t="s">
        <v>48</v>
      </c>
      <c r="D65" s="148"/>
      <c r="E65" s="148"/>
      <c r="F65" s="23"/>
      <c r="G65" s="24"/>
      <c r="H65" s="24"/>
      <c r="I65" s="24"/>
      <c r="J65" s="27"/>
      <c r="K65" s="24"/>
      <c r="L65" s="99">
        <f>L61+L63+L64</f>
        <v>64071.923247359999</v>
      </c>
      <c r="M65" s="106"/>
      <c r="EX65" s="20"/>
      <c r="EY65" s="29"/>
      <c r="EZ65" s="29"/>
      <c r="FA65" s="29"/>
      <c r="FG65" s="29" t="s">
        <v>48</v>
      </c>
    </row>
    <row r="66" spans="1:164" customFormat="1" ht="45" x14ac:dyDescent="0.25">
      <c r="A66" s="21" t="s">
        <v>76</v>
      </c>
      <c r="B66" s="22" t="s">
        <v>77</v>
      </c>
      <c r="C66" s="148" t="s">
        <v>78</v>
      </c>
      <c r="D66" s="148"/>
      <c r="E66" s="148"/>
      <c r="F66" s="23" t="s">
        <v>51</v>
      </c>
      <c r="G66" s="24">
        <v>28</v>
      </c>
      <c r="H66" s="25">
        <v>1</v>
      </c>
      <c r="I66" s="25">
        <v>28</v>
      </c>
      <c r="J66" s="87">
        <f>16199/1.2</f>
        <v>13499.166666666668</v>
      </c>
      <c r="K66" s="26">
        <v>1</v>
      </c>
      <c r="L66" s="55">
        <f>G66*J66*K66</f>
        <v>377976.66666666669</v>
      </c>
      <c r="M66" s="106"/>
      <c r="EX66" s="20"/>
      <c r="EY66" s="29" t="s">
        <v>78</v>
      </c>
      <c r="EZ66" s="29" t="s">
        <v>0</v>
      </c>
      <c r="FA66" s="29" t="s">
        <v>0</v>
      </c>
      <c r="FG66" s="29"/>
    </row>
    <row r="67" spans="1:164" customFormat="1" ht="15" x14ac:dyDescent="0.25">
      <c r="A67" s="30"/>
      <c r="B67" s="31"/>
      <c r="C67" s="146" t="s">
        <v>79</v>
      </c>
      <c r="D67" s="146"/>
      <c r="E67" s="146"/>
      <c r="F67" s="146"/>
      <c r="G67" s="146"/>
      <c r="H67" s="146"/>
      <c r="I67" s="146"/>
      <c r="J67" s="146"/>
      <c r="K67" s="146"/>
      <c r="L67" s="149"/>
      <c r="M67" s="106"/>
      <c r="EX67" s="20"/>
      <c r="EY67" s="29"/>
      <c r="EZ67" s="29"/>
      <c r="FA67" s="29"/>
      <c r="FB67" s="3" t="s">
        <v>79</v>
      </c>
      <c r="FG67" s="29"/>
    </row>
    <row r="68" spans="1:164" customFormat="1" ht="15" x14ac:dyDescent="0.25">
      <c r="A68" s="30"/>
      <c r="B68" s="31"/>
      <c r="C68" s="146" t="s">
        <v>80</v>
      </c>
      <c r="D68" s="146"/>
      <c r="E68" s="146"/>
      <c r="F68" s="146"/>
      <c r="G68" s="146"/>
      <c r="H68" s="146"/>
      <c r="I68" s="146"/>
      <c r="J68" s="146"/>
      <c r="K68" s="146"/>
      <c r="L68" s="149"/>
      <c r="M68" s="106"/>
      <c r="EX68" s="20"/>
      <c r="EY68" s="29"/>
      <c r="EZ68" s="29"/>
      <c r="FA68" s="29"/>
      <c r="FG68" s="29"/>
      <c r="FH68" s="3" t="s">
        <v>80</v>
      </c>
    </row>
    <row r="69" spans="1:164" customFormat="1" ht="15" x14ac:dyDescent="0.25">
      <c r="A69" s="32"/>
      <c r="B69" s="33"/>
      <c r="C69" s="141" t="s">
        <v>54</v>
      </c>
      <c r="D69" s="141"/>
      <c r="E69" s="141"/>
      <c r="F69" s="141"/>
      <c r="G69" s="141"/>
      <c r="H69" s="141"/>
      <c r="I69" s="141"/>
      <c r="J69" s="141"/>
      <c r="K69" s="141"/>
      <c r="L69" s="150"/>
      <c r="M69" s="106"/>
      <c r="EX69" s="20"/>
      <c r="EY69" s="29"/>
      <c r="EZ69" s="29"/>
      <c r="FA69" s="29"/>
      <c r="FC69" s="3" t="s">
        <v>54</v>
      </c>
      <c r="FG69" s="29"/>
    </row>
    <row r="70" spans="1:164" customFormat="1" ht="15" x14ac:dyDescent="0.25">
      <c r="A70" s="32"/>
      <c r="B70" s="33"/>
      <c r="C70" s="141" t="s">
        <v>55</v>
      </c>
      <c r="D70" s="141"/>
      <c r="E70" s="141"/>
      <c r="F70" s="141"/>
      <c r="G70" s="141"/>
      <c r="H70" s="141"/>
      <c r="I70" s="141"/>
      <c r="J70" s="141"/>
      <c r="K70" s="141"/>
      <c r="L70" s="150"/>
      <c r="M70" s="106"/>
      <c r="EX70" s="20"/>
      <c r="EY70" s="29"/>
      <c r="EZ70" s="29"/>
      <c r="FA70" s="29"/>
      <c r="FC70" s="3" t="s">
        <v>55</v>
      </c>
      <c r="FG70" s="29"/>
    </row>
    <row r="71" spans="1:164" customFormat="1" ht="15" x14ac:dyDescent="0.25">
      <c r="A71" s="52"/>
      <c r="B71" s="53"/>
      <c r="C71" s="148" t="s">
        <v>48</v>
      </c>
      <c r="D71" s="148"/>
      <c r="E71" s="148"/>
      <c r="F71" s="23"/>
      <c r="G71" s="24"/>
      <c r="H71" s="24"/>
      <c r="I71" s="24"/>
      <c r="J71" s="27"/>
      <c r="K71" s="24"/>
      <c r="L71" s="96">
        <f>L66</f>
        <v>377976.66666666669</v>
      </c>
      <c r="M71" s="106"/>
      <c r="EX71" s="20"/>
      <c r="EY71" s="29"/>
      <c r="EZ71" s="29"/>
      <c r="FA71" s="29"/>
      <c r="FG71" s="29" t="s">
        <v>48</v>
      </c>
    </row>
    <row r="72" spans="1:164" customFormat="1" ht="45" x14ac:dyDescent="0.25">
      <c r="A72" s="21" t="s">
        <v>81</v>
      </c>
      <c r="B72" s="22" t="s">
        <v>82</v>
      </c>
      <c r="C72" s="148" t="s">
        <v>83</v>
      </c>
      <c r="D72" s="148"/>
      <c r="E72" s="148"/>
      <c r="F72" s="23" t="s">
        <v>51</v>
      </c>
      <c r="G72" s="24">
        <v>28</v>
      </c>
      <c r="H72" s="25">
        <v>1</v>
      </c>
      <c r="I72" s="25">
        <v>28</v>
      </c>
      <c r="J72" s="56">
        <f>3755/1.2</f>
        <v>3129.166666666667</v>
      </c>
      <c r="K72" s="26">
        <v>1</v>
      </c>
      <c r="L72" s="55">
        <f>G72*J72*K72</f>
        <v>87616.666666666672</v>
      </c>
      <c r="M72" s="106"/>
      <c r="EX72" s="20"/>
      <c r="EY72" s="29" t="s">
        <v>83</v>
      </c>
      <c r="EZ72" s="29" t="s">
        <v>0</v>
      </c>
      <c r="FA72" s="29" t="s">
        <v>0</v>
      </c>
      <c r="FG72" s="29"/>
    </row>
    <row r="73" spans="1:164" customFormat="1" ht="15" x14ac:dyDescent="0.25">
      <c r="A73" s="30"/>
      <c r="B73" s="31"/>
      <c r="C73" s="146" t="s">
        <v>79</v>
      </c>
      <c r="D73" s="146"/>
      <c r="E73" s="146"/>
      <c r="F73" s="146"/>
      <c r="G73" s="146"/>
      <c r="H73" s="146"/>
      <c r="I73" s="146"/>
      <c r="J73" s="146"/>
      <c r="K73" s="146"/>
      <c r="L73" s="149"/>
      <c r="M73" s="106"/>
      <c r="EX73" s="20"/>
      <c r="EY73" s="29"/>
      <c r="EZ73" s="29"/>
      <c r="FA73" s="29"/>
      <c r="FB73" s="3" t="s">
        <v>79</v>
      </c>
      <c r="FG73" s="29"/>
    </row>
    <row r="74" spans="1:164" customFormat="1" ht="15" x14ac:dyDescent="0.25">
      <c r="A74" s="30"/>
      <c r="B74" s="31"/>
      <c r="C74" s="152" t="s">
        <v>298</v>
      </c>
      <c r="D74" s="146"/>
      <c r="E74" s="146"/>
      <c r="F74" s="146"/>
      <c r="G74" s="146"/>
      <c r="H74" s="146"/>
      <c r="I74" s="146"/>
      <c r="J74" s="146"/>
      <c r="K74" s="146"/>
      <c r="L74" s="149"/>
      <c r="M74" s="106"/>
      <c r="EX74" s="20"/>
      <c r="EY74" s="29"/>
      <c r="EZ74" s="29"/>
      <c r="FA74" s="29"/>
      <c r="FG74" s="29"/>
      <c r="FH74" s="3" t="s">
        <v>84</v>
      </c>
    </row>
    <row r="75" spans="1:164" customFormat="1" ht="15" x14ac:dyDescent="0.25">
      <c r="A75" s="32"/>
      <c r="B75" s="33"/>
      <c r="C75" s="141" t="s">
        <v>54</v>
      </c>
      <c r="D75" s="141"/>
      <c r="E75" s="141"/>
      <c r="F75" s="141"/>
      <c r="G75" s="141"/>
      <c r="H75" s="141"/>
      <c r="I75" s="141"/>
      <c r="J75" s="141"/>
      <c r="K75" s="141"/>
      <c r="L75" s="150"/>
      <c r="M75" s="106"/>
      <c r="EX75" s="20"/>
      <c r="EY75" s="29"/>
      <c r="EZ75" s="29"/>
      <c r="FA75" s="29"/>
      <c r="FC75" s="3" t="s">
        <v>54</v>
      </c>
      <c r="FG75" s="29"/>
    </row>
    <row r="76" spans="1:164" customFormat="1" ht="15" x14ac:dyDescent="0.25">
      <c r="A76" s="32"/>
      <c r="B76" s="33"/>
      <c r="C76" s="141" t="s">
        <v>55</v>
      </c>
      <c r="D76" s="141"/>
      <c r="E76" s="141"/>
      <c r="F76" s="141"/>
      <c r="G76" s="141"/>
      <c r="H76" s="141"/>
      <c r="I76" s="141"/>
      <c r="J76" s="141"/>
      <c r="K76" s="141"/>
      <c r="L76" s="150"/>
      <c r="M76" s="106"/>
      <c r="EX76" s="20"/>
      <c r="EY76" s="29"/>
      <c r="EZ76" s="29"/>
      <c r="FA76" s="29"/>
      <c r="FC76" s="3" t="s">
        <v>55</v>
      </c>
      <c r="FG76" s="29"/>
    </row>
    <row r="77" spans="1:164" customFormat="1" ht="15" x14ac:dyDescent="0.25">
      <c r="A77" s="52"/>
      <c r="B77" s="53"/>
      <c r="C77" s="148" t="s">
        <v>48</v>
      </c>
      <c r="D77" s="148"/>
      <c r="E77" s="148"/>
      <c r="F77" s="23"/>
      <c r="G77" s="24"/>
      <c r="H77" s="24"/>
      <c r="I77" s="24"/>
      <c r="J77" s="27"/>
      <c r="K77" s="24"/>
      <c r="L77" s="96">
        <f>L72</f>
        <v>87616.666666666672</v>
      </c>
      <c r="M77" s="106"/>
      <c r="EX77" s="20"/>
      <c r="EY77" s="29"/>
      <c r="EZ77" s="29"/>
      <c r="FA77" s="29"/>
      <c r="FG77" s="29" t="s">
        <v>48</v>
      </c>
    </row>
    <row r="78" spans="1:164" customFormat="1" ht="57" x14ac:dyDescent="0.25">
      <c r="A78" s="21" t="s">
        <v>85</v>
      </c>
      <c r="B78" s="22" t="s">
        <v>86</v>
      </c>
      <c r="C78" s="148" t="s">
        <v>87</v>
      </c>
      <c r="D78" s="148"/>
      <c r="E78" s="148"/>
      <c r="F78" s="23" t="s">
        <v>51</v>
      </c>
      <c r="G78" s="24">
        <v>3</v>
      </c>
      <c r="H78" s="25">
        <v>1</v>
      </c>
      <c r="I78" s="25">
        <v>3</v>
      </c>
      <c r="J78" s="56">
        <f>3983/1.2</f>
        <v>3319.166666666667</v>
      </c>
      <c r="K78" s="26">
        <v>1</v>
      </c>
      <c r="L78" s="55">
        <f>G78*J78*K78</f>
        <v>9957.5</v>
      </c>
      <c r="M78" s="106"/>
      <c r="EX78" s="20"/>
      <c r="EY78" s="29" t="s">
        <v>87</v>
      </c>
      <c r="EZ78" s="29" t="s">
        <v>0</v>
      </c>
      <c r="FA78" s="29" t="s">
        <v>0</v>
      </c>
      <c r="FG78" s="29"/>
    </row>
    <row r="79" spans="1:164" customFormat="1" ht="15" x14ac:dyDescent="0.25">
      <c r="A79" s="30"/>
      <c r="B79" s="31"/>
      <c r="C79" s="152" t="s">
        <v>297</v>
      </c>
      <c r="D79" s="146"/>
      <c r="E79" s="146"/>
      <c r="F79" s="146"/>
      <c r="G79" s="146"/>
      <c r="H79" s="146"/>
      <c r="I79" s="146"/>
      <c r="J79" s="146"/>
      <c r="K79" s="146"/>
      <c r="L79" s="149"/>
      <c r="M79" s="106"/>
      <c r="EX79" s="20"/>
      <c r="EY79" s="29"/>
      <c r="EZ79" s="29"/>
      <c r="FA79" s="29"/>
      <c r="FG79" s="29"/>
      <c r="FH79" s="3" t="s">
        <v>88</v>
      </c>
    </row>
    <row r="80" spans="1:164" customFormat="1" ht="15" x14ac:dyDescent="0.25">
      <c r="A80" s="32"/>
      <c r="B80" s="33"/>
      <c r="C80" s="141" t="s">
        <v>54</v>
      </c>
      <c r="D80" s="141"/>
      <c r="E80" s="141"/>
      <c r="F80" s="141"/>
      <c r="G80" s="141"/>
      <c r="H80" s="141"/>
      <c r="I80" s="141"/>
      <c r="J80" s="141"/>
      <c r="K80" s="141"/>
      <c r="L80" s="150"/>
      <c r="M80" s="106"/>
      <c r="EX80" s="20"/>
      <c r="EY80" s="29"/>
      <c r="EZ80" s="29"/>
      <c r="FA80" s="29"/>
      <c r="FC80" s="3" t="s">
        <v>54</v>
      </c>
      <c r="FG80" s="29"/>
    </row>
    <row r="81" spans="1:164" customFormat="1" ht="15" x14ac:dyDescent="0.25">
      <c r="A81" s="32"/>
      <c r="B81" s="33"/>
      <c r="C81" s="141" t="s">
        <v>55</v>
      </c>
      <c r="D81" s="141"/>
      <c r="E81" s="141"/>
      <c r="F81" s="141"/>
      <c r="G81" s="141"/>
      <c r="H81" s="141"/>
      <c r="I81" s="141"/>
      <c r="J81" s="141"/>
      <c r="K81" s="141"/>
      <c r="L81" s="150"/>
      <c r="M81" s="106"/>
      <c r="EX81" s="20"/>
      <c r="EY81" s="29"/>
      <c r="EZ81" s="29"/>
      <c r="FA81" s="29"/>
      <c r="FC81" s="3" t="s">
        <v>55</v>
      </c>
      <c r="FG81" s="29"/>
    </row>
    <row r="82" spans="1:164" customFormat="1" ht="15" x14ac:dyDescent="0.25">
      <c r="A82" s="52"/>
      <c r="B82" s="53"/>
      <c r="C82" s="148" t="s">
        <v>48</v>
      </c>
      <c r="D82" s="148"/>
      <c r="E82" s="148"/>
      <c r="F82" s="23"/>
      <c r="G82" s="24"/>
      <c r="H82" s="24"/>
      <c r="I82" s="24"/>
      <c r="J82" s="27"/>
      <c r="K82" s="24"/>
      <c r="L82" s="96">
        <f>L78</f>
        <v>9957.5</v>
      </c>
      <c r="M82" s="106"/>
      <c r="EX82" s="20"/>
      <c r="EY82" s="29"/>
      <c r="EZ82" s="29"/>
      <c r="FA82" s="29"/>
      <c r="FG82" s="29" t="s">
        <v>48</v>
      </c>
    </row>
    <row r="83" spans="1:164" customFormat="1" ht="45" x14ac:dyDescent="0.25">
      <c r="A83" s="21" t="s">
        <v>89</v>
      </c>
      <c r="B83" s="22" t="s">
        <v>90</v>
      </c>
      <c r="C83" s="148" t="s">
        <v>91</v>
      </c>
      <c r="D83" s="148"/>
      <c r="E83" s="148"/>
      <c r="F83" s="23" t="s">
        <v>51</v>
      </c>
      <c r="G83" s="24">
        <v>3</v>
      </c>
      <c r="H83" s="25">
        <v>1</v>
      </c>
      <c r="I83" s="25">
        <v>3</v>
      </c>
      <c r="J83" s="56">
        <f>2920/1.2</f>
        <v>2433.3333333333335</v>
      </c>
      <c r="K83" s="26">
        <v>1</v>
      </c>
      <c r="L83" s="59">
        <f>G83*J83*K83</f>
        <v>7300</v>
      </c>
      <c r="M83" s="106"/>
      <c r="EX83" s="20"/>
      <c r="EY83" s="29" t="s">
        <v>91</v>
      </c>
      <c r="EZ83" s="29" t="s">
        <v>0</v>
      </c>
      <c r="FA83" s="29" t="s">
        <v>0</v>
      </c>
      <c r="FG83" s="29"/>
    </row>
    <row r="84" spans="1:164" customFormat="1" ht="15" x14ac:dyDescent="0.25">
      <c r="A84" s="30"/>
      <c r="B84" s="31"/>
      <c r="C84" s="152" t="s">
        <v>299</v>
      </c>
      <c r="D84" s="146"/>
      <c r="E84" s="146"/>
      <c r="F84" s="146"/>
      <c r="G84" s="146"/>
      <c r="H84" s="146"/>
      <c r="I84" s="146"/>
      <c r="J84" s="146"/>
      <c r="K84" s="146"/>
      <c r="L84" s="149"/>
      <c r="M84" s="106"/>
      <c r="EX84" s="20"/>
      <c r="EY84" s="29"/>
      <c r="EZ84" s="29"/>
      <c r="FA84" s="29"/>
      <c r="FG84" s="29"/>
      <c r="FH84" s="3" t="s">
        <v>92</v>
      </c>
    </row>
    <row r="85" spans="1:164" customFormat="1" ht="15" x14ac:dyDescent="0.25">
      <c r="A85" s="32"/>
      <c r="B85" s="33"/>
      <c r="C85" s="141" t="s">
        <v>54</v>
      </c>
      <c r="D85" s="141"/>
      <c r="E85" s="141"/>
      <c r="F85" s="141"/>
      <c r="G85" s="141"/>
      <c r="H85" s="141"/>
      <c r="I85" s="141"/>
      <c r="J85" s="141"/>
      <c r="K85" s="141"/>
      <c r="L85" s="150"/>
      <c r="M85" s="106"/>
      <c r="EX85" s="20"/>
      <c r="EY85" s="29"/>
      <c r="EZ85" s="29"/>
      <c r="FA85" s="29"/>
      <c r="FC85" s="3" t="s">
        <v>54</v>
      </c>
      <c r="FG85" s="29"/>
    </row>
    <row r="86" spans="1:164" customFormat="1" ht="15" x14ac:dyDescent="0.25">
      <c r="A86" s="32"/>
      <c r="B86" s="33"/>
      <c r="C86" s="141" t="s">
        <v>55</v>
      </c>
      <c r="D86" s="141"/>
      <c r="E86" s="141"/>
      <c r="F86" s="141"/>
      <c r="G86" s="141"/>
      <c r="H86" s="141"/>
      <c r="I86" s="141"/>
      <c r="J86" s="141"/>
      <c r="K86" s="141"/>
      <c r="L86" s="150"/>
      <c r="M86" s="106"/>
      <c r="EX86" s="20"/>
      <c r="EY86" s="29"/>
      <c r="EZ86" s="29"/>
      <c r="FA86" s="29"/>
      <c r="FC86" s="3" t="s">
        <v>55</v>
      </c>
      <c r="FG86" s="29"/>
    </row>
    <row r="87" spans="1:164" customFormat="1" ht="15" x14ac:dyDescent="0.25">
      <c r="A87" s="52"/>
      <c r="B87" s="53"/>
      <c r="C87" s="148" t="s">
        <v>48</v>
      </c>
      <c r="D87" s="148"/>
      <c r="E87" s="148"/>
      <c r="F87" s="23"/>
      <c r="G87" s="24"/>
      <c r="H87" s="24"/>
      <c r="I87" s="24"/>
      <c r="J87" s="27"/>
      <c r="K87" s="24"/>
      <c r="L87" s="99">
        <f>L83</f>
        <v>7300</v>
      </c>
      <c r="M87" s="106"/>
      <c r="EX87" s="20"/>
      <c r="EY87" s="29"/>
      <c r="EZ87" s="29"/>
      <c r="FA87" s="29"/>
      <c r="FG87" s="29" t="s">
        <v>48</v>
      </c>
    </row>
    <row r="88" spans="1:164" customFormat="1" ht="57" x14ac:dyDescent="0.25">
      <c r="A88" s="21" t="s">
        <v>93</v>
      </c>
      <c r="B88" s="22" t="s">
        <v>94</v>
      </c>
      <c r="C88" s="148" t="s">
        <v>95</v>
      </c>
      <c r="D88" s="148"/>
      <c r="E88" s="148"/>
      <c r="F88" s="23" t="s">
        <v>51</v>
      </c>
      <c r="G88" s="24">
        <v>3</v>
      </c>
      <c r="H88" s="25">
        <v>1</v>
      </c>
      <c r="I88" s="25">
        <v>3</v>
      </c>
      <c r="J88" s="56">
        <f>4016/1.2</f>
        <v>3346.666666666667</v>
      </c>
      <c r="K88" s="26">
        <v>1</v>
      </c>
      <c r="L88" s="55">
        <f>G88*J88*K88</f>
        <v>10040</v>
      </c>
      <c r="M88" s="106"/>
      <c r="EX88" s="20"/>
      <c r="EY88" s="29" t="s">
        <v>95</v>
      </c>
      <c r="EZ88" s="29" t="s">
        <v>0</v>
      </c>
      <c r="FA88" s="29" t="s">
        <v>0</v>
      </c>
      <c r="FG88" s="29"/>
    </row>
    <row r="89" spans="1:164" customFormat="1" ht="15" x14ac:dyDescent="0.25">
      <c r="A89" s="30"/>
      <c r="B89" s="31"/>
      <c r="C89" s="152" t="s">
        <v>300</v>
      </c>
      <c r="D89" s="146"/>
      <c r="E89" s="146"/>
      <c r="F89" s="146"/>
      <c r="G89" s="146"/>
      <c r="H89" s="146"/>
      <c r="I89" s="146"/>
      <c r="J89" s="146"/>
      <c r="K89" s="146"/>
      <c r="L89" s="149"/>
      <c r="M89" s="106"/>
      <c r="EX89" s="20"/>
      <c r="EY89" s="29"/>
      <c r="EZ89" s="29"/>
      <c r="FA89" s="29"/>
      <c r="FG89" s="29"/>
      <c r="FH89" s="3" t="s">
        <v>96</v>
      </c>
    </row>
    <row r="90" spans="1:164" customFormat="1" ht="15" x14ac:dyDescent="0.25">
      <c r="A90" s="32"/>
      <c r="B90" s="33"/>
      <c r="C90" s="141" t="s">
        <v>54</v>
      </c>
      <c r="D90" s="141"/>
      <c r="E90" s="141"/>
      <c r="F90" s="141"/>
      <c r="G90" s="141"/>
      <c r="H90" s="141"/>
      <c r="I90" s="141"/>
      <c r="J90" s="141"/>
      <c r="K90" s="141"/>
      <c r="L90" s="150"/>
      <c r="M90" s="106"/>
      <c r="EX90" s="20"/>
      <c r="EY90" s="29"/>
      <c r="EZ90" s="29"/>
      <c r="FA90" s="29"/>
      <c r="FC90" s="3" t="s">
        <v>54</v>
      </c>
      <c r="FG90" s="29"/>
    </row>
    <row r="91" spans="1:164" customFormat="1" ht="15" x14ac:dyDescent="0.25">
      <c r="A91" s="32"/>
      <c r="B91" s="33"/>
      <c r="C91" s="141" t="s">
        <v>55</v>
      </c>
      <c r="D91" s="141"/>
      <c r="E91" s="141"/>
      <c r="F91" s="141"/>
      <c r="G91" s="141"/>
      <c r="H91" s="141"/>
      <c r="I91" s="141"/>
      <c r="J91" s="141"/>
      <c r="K91" s="141"/>
      <c r="L91" s="150"/>
      <c r="M91" s="106"/>
      <c r="EX91" s="20"/>
      <c r="EY91" s="29"/>
      <c r="EZ91" s="29"/>
      <c r="FA91" s="29"/>
      <c r="FC91" s="3" t="s">
        <v>55</v>
      </c>
      <c r="FG91" s="29"/>
    </row>
    <row r="92" spans="1:164" customFormat="1" ht="15" x14ac:dyDescent="0.25">
      <c r="A92" s="52"/>
      <c r="B92" s="53"/>
      <c r="C92" s="148" t="s">
        <v>48</v>
      </c>
      <c r="D92" s="148"/>
      <c r="E92" s="148"/>
      <c r="F92" s="23"/>
      <c r="G92" s="24"/>
      <c r="H92" s="24"/>
      <c r="I92" s="24"/>
      <c r="J92" s="27"/>
      <c r="K92" s="24"/>
      <c r="L92" s="96">
        <f>L88</f>
        <v>10040</v>
      </c>
      <c r="M92" s="106"/>
      <c r="EX92" s="20"/>
      <c r="EY92" s="29"/>
      <c r="EZ92" s="29"/>
      <c r="FA92" s="29"/>
      <c r="FG92" s="29" t="s">
        <v>48</v>
      </c>
    </row>
    <row r="93" spans="1:164" customFormat="1" ht="45" x14ac:dyDescent="0.25">
      <c r="A93" s="21" t="s">
        <v>97</v>
      </c>
      <c r="B93" s="22" t="s">
        <v>98</v>
      </c>
      <c r="C93" s="148" t="s">
        <v>99</v>
      </c>
      <c r="D93" s="148"/>
      <c r="E93" s="148"/>
      <c r="F93" s="23" t="s">
        <v>51</v>
      </c>
      <c r="G93" s="24">
        <v>3</v>
      </c>
      <c r="H93" s="25">
        <v>1</v>
      </c>
      <c r="I93" s="25">
        <v>3</v>
      </c>
      <c r="J93" s="56">
        <f>3332/1.2</f>
        <v>2776.666666666667</v>
      </c>
      <c r="K93" s="26">
        <v>1</v>
      </c>
      <c r="L93" s="59">
        <f>G93*J93*K93</f>
        <v>8330</v>
      </c>
      <c r="M93" s="106"/>
      <c r="EX93" s="20"/>
      <c r="EY93" s="29" t="s">
        <v>99</v>
      </c>
      <c r="EZ93" s="29" t="s">
        <v>0</v>
      </c>
      <c r="FA93" s="29" t="s">
        <v>0</v>
      </c>
      <c r="FG93" s="29"/>
    </row>
    <row r="94" spans="1:164" customFormat="1" ht="15" x14ac:dyDescent="0.25">
      <c r="A94" s="30"/>
      <c r="B94" s="31"/>
      <c r="C94" s="152" t="s">
        <v>301</v>
      </c>
      <c r="D94" s="146"/>
      <c r="E94" s="146"/>
      <c r="F94" s="146"/>
      <c r="G94" s="146"/>
      <c r="H94" s="146"/>
      <c r="I94" s="146"/>
      <c r="J94" s="146"/>
      <c r="K94" s="146"/>
      <c r="L94" s="149"/>
      <c r="M94" s="106"/>
      <c r="EX94" s="20"/>
      <c r="EY94" s="29"/>
      <c r="EZ94" s="29"/>
      <c r="FA94" s="29"/>
      <c r="FG94" s="29"/>
      <c r="FH94" s="3" t="s">
        <v>100</v>
      </c>
    </row>
    <row r="95" spans="1:164" customFormat="1" ht="15" x14ac:dyDescent="0.25">
      <c r="A95" s="32"/>
      <c r="B95" s="33"/>
      <c r="C95" s="141" t="s">
        <v>54</v>
      </c>
      <c r="D95" s="141"/>
      <c r="E95" s="141"/>
      <c r="F95" s="141"/>
      <c r="G95" s="141"/>
      <c r="H95" s="141"/>
      <c r="I95" s="141"/>
      <c r="J95" s="141"/>
      <c r="K95" s="141"/>
      <c r="L95" s="150"/>
      <c r="M95" s="106"/>
      <c r="EX95" s="20"/>
      <c r="EY95" s="29"/>
      <c r="EZ95" s="29"/>
      <c r="FA95" s="29"/>
      <c r="FC95" s="3" t="s">
        <v>54</v>
      </c>
      <c r="FG95" s="29"/>
    </row>
    <row r="96" spans="1:164" customFormat="1" ht="15" x14ac:dyDescent="0.25">
      <c r="A96" s="32"/>
      <c r="B96" s="33"/>
      <c r="C96" s="141" t="s">
        <v>55</v>
      </c>
      <c r="D96" s="141"/>
      <c r="E96" s="141"/>
      <c r="F96" s="141"/>
      <c r="G96" s="141"/>
      <c r="H96" s="141"/>
      <c r="I96" s="141"/>
      <c r="J96" s="141"/>
      <c r="K96" s="141"/>
      <c r="L96" s="150"/>
      <c r="M96" s="106"/>
      <c r="EX96" s="20"/>
      <c r="EY96" s="29"/>
      <c r="EZ96" s="29"/>
      <c r="FA96" s="29"/>
      <c r="FC96" s="3" t="s">
        <v>55</v>
      </c>
      <c r="FG96" s="29"/>
    </row>
    <row r="97" spans="1:163" customFormat="1" ht="15" x14ac:dyDescent="0.25">
      <c r="A97" s="52"/>
      <c r="B97" s="53"/>
      <c r="C97" s="148" t="s">
        <v>48</v>
      </c>
      <c r="D97" s="148"/>
      <c r="E97" s="148"/>
      <c r="F97" s="23"/>
      <c r="G97" s="24"/>
      <c r="H97" s="24"/>
      <c r="I97" s="24"/>
      <c r="J97" s="27"/>
      <c r="K97" s="24"/>
      <c r="L97" s="99">
        <f>L93</f>
        <v>8330</v>
      </c>
      <c r="M97" s="106"/>
      <c r="EX97" s="20"/>
      <c r="EY97" s="29"/>
      <c r="EZ97" s="29"/>
      <c r="FA97" s="29"/>
      <c r="FG97" s="29" t="s">
        <v>48</v>
      </c>
    </row>
    <row r="98" spans="1:163" customFormat="1" ht="34.5" x14ac:dyDescent="0.25">
      <c r="A98" s="21" t="s">
        <v>101</v>
      </c>
      <c r="B98" s="22" t="s">
        <v>102</v>
      </c>
      <c r="C98" s="148" t="s">
        <v>103</v>
      </c>
      <c r="D98" s="148"/>
      <c r="E98" s="148"/>
      <c r="F98" s="23" t="s">
        <v>25</v>
      </c>
      <c r="G98" s="24">
        <v>0.62129999999999996</v>
      </c>
      <c r="H98" s="25">
        <v>1</v>
      </c>
      <c r="I98" s="63">
        <v>0.62129999999999996</v>
      </c>
      <c r="J98" s="27"/>
      <c r="K98" s="24"/>
      <c r="L98" s="28"/>
      <c r="M98" s="106"/>
      <c r="EX98" s="20"/>
      <c r="EY98" s="29" t="s">
        <v>103</v>
      </c>
      <c r="EZ98" s="29" t="s">
        <v>0</v>
      </c>
      <c r="FA98" s="29" t="s">
        <v>0</v>
      </c>
      <c r="FG98" s="29"/>
    </row>
    <row r="99" spans="1:163" customFormat="1" ht="15" x14ac:dyDescent="0.25">
      <c r="A99" s="30"/>
      <c r="B99" s="31"/>
      <c r="C99" s="146" t="s">
        <v>104</v>
      </c>
      <c r="D99" s="146"/>
      <c r="E99" s="146"/>
      <c r="F99" s="146"/>
      <c r="G99" s="146"/>
      <c r="H99" s="146"/>
      <c r="I99" s="146"/>
      <c r="J99" s="146"/>
      <c r="K99" s="146"/>
      <c r="L99" s="149"/>
      <c r="M99" s="106"/>
      <c r="EX99" s="20"/>
      <c r="EY99" s="29"/>
      <c r="EZ99" s="29"/>
      <c r="FA99" s="29"/>
      <c r="FB99" s="3" t="s">
        <v>104</v>
      </c>
      <c r="FG99" s="29"/>
    </row>
    <row r="100" spans="1:163" customFormat="1" ht="68.25" x14ac:dyDescent="0.25">
      <c r="A100" s="32"/>
      <c r="B100" s="33" t="s">
        <v>27</v>
      </c>
      <c r="C100" s="141" t="s">
        <v>28</v>
      </c>
      <c r="D100" s="141"/>
      <c r="E100" s="141"/>
      <c r="F100" s="141"/>
      <c r="G100" s="141"/>
      <c r="H100" s="141"/>
      <c r="I100" s="141"/>
      <c r="J100" s="141"/>
      <c r="K100" s="141"/>
      <c r="L100" s="150"/>
      <c r="M100" s="106"/>
      <c r="EX100" s="20"/>
      <c r="EY100" s="29"/>
      <c r="EZ100" s="29"/>
      <c r="FA100" s="29"/>
      <c r="FC100" s="3" t="s">
        <v>28</v>
      </c>
      <c r="FG100" s="29"/>
    </row>
    <row r="101" spans="1:163" customFormat="1" ht="15" x14ac:dyDescent="0.25">
      <c r="A101" s="32"/>
      <c r="B101" s="33" t="s">
        <v>105</v>
      </c>
      <c r="C101" s="141" t="s">
        <v>106</v>
      </c>
      <c r="D101" s="141"/>
      <c r="E101" s="141"/>
      <c r="F101" s="141"/>
      <c r="G101" s="141"/>
      <c r="H101" s="141"/>
      <c r="I101" s="141"/>
      <c r="J101" s="141"/>
      <c r="K101" s="141"/>
      <c r="L101" s="150"/>
      <c r="M101" s="106"/>
      <c r="EX101" s="20"/>
      <c r="EY101" s="29"/>
      <c r="EZ101" s="29"/>
      <c r="FA101" s="29"/>
      <c r="FC101" s="3" t="s">
        <v>106</v>
      </c>
      <c r="FG101" s="29"/>
    </row>
    <row r="102" spans="1:163" customFormat="1" ht="23.25" x14ac:dyDescent="0.25">
      <c r="A102" s="32"/>
      <c r="B102" s="33" t="s">
        <v>29</v>
      </c>
      <c r="C102" s="141" t="s">
        <v>30</v>
      </c>
      <c r="D102" s="141"/>
      <c r="E102" s="141"/>
      <c r="F102" s="141"/>
      <c r="G102" s="141"/>
      <c r="H102" s="141"/>
      <c r="I102" s="141"/>
      <c r="J102" s="141"/>
      <c r="K102" s="141"/>
      <c r="L102" s="150"/>
      <c r="M102" s="106"/>
      <c r="N102" s="118" t="s">
        <v>317</v>
      </c>
      <c r="EX102" s="20"/>
      <c r="EY102" s="29"/>
      <c r="EZ102" s="29"/>
      <c r="FA102" s="29"/>
      <c r="FC102" s="3" t="s">
        <v>30</v>
      </c>
      <c r="FG102" s="29"/>
    </row>
    <row r="103" spans="1:163" customFormat="1" ht="15" x14ac:dyDescent="0.25">
      <c r="A103" s="34"/>
      <c r="B103" s="33" t="s">
        <v>22</v>
      </c>
      <c r="C103" s="146" t="s">
        <v>31</v>
      </c>
      <c r="D103" s="146"/>
      <c r="E103" s="146"/>
      <c r="F103" s="35"/>
      <c r="G103" s="36"/>
      <c r="H103" s="36"/>
      <c r="I103" s="36"/>
      <c r="J103" s="117">
        <f>O103</f>
        <v>60230.352699999996</v>
      </c>
      <c r="K103" s="64">
        <v>1</v>
      </c>
      <c r="L103" s="42">
        <f>G98*J103*K103</f>
        <v>37421.118132509997</v>
      </c>
      <c r="M103" s="106">
        <v>49.45</v>
      </c>
      <c r="N103" s="112">
        <v>31430.163972625003</v>
      </c>
      <c r="O103" s="113">
        <v>60230.352699999996</v>
      </c>
      <c r="P103" s="105">
        <f>G107</f>
        <v>46.48</v>
      </c>
      <c r="Q103" s="105">
        <f>O103/P103*8</f>
        <v>10366.67</v>
      </c>
      <c r="R103" s="105">
        <f>Q103*22</f>
        <v>228066.74</v>
      </c>
      <c r="S103" s="105">
        <f>R103*(1-0.43)</f>
        <v>129998.04180000001</v>
      </c>
      <c r="EX103" s="20"/>
      <c r="EY103" s="29"/>
      <c r="EZ103" s="29"/>
      <c r="FA103" s="29"/>
      <c r="FD103" s="3" t="s">
        <v>31</v>
      </c>
      <c r="FG103" s="29"/>
    </row>
    <row r="104" spans="1:163" customFormat="1" ht="15" x14ac:dyDescent="0.25">
      <c r="A104" s="34"/>
      <c r="B104" s="33" t="s">
        <v>32</v>
      </c>
      <c r="C104" s="146" t="s">
        <v>33</v>
      </c>
      <c r="D104" s="146"/>
      <c r="E104" s="146"/>
      <c r="F104" s="35"/>
      <c r="G104" s="36"/>
      <c r="H104" s="36"/>
      <c r="I104" s="36"/>
      <c r="J104" s="117">
        <f>O104</f>
        <v>7187.5</v>
      </c>
      <c r="K104" s="38">
        <v>1</v>
      </c>
      <c r="L104" s="42">
        <f>G98*J104*K104</f>
        <v>4465.59375</v>
      </c>
      <c r="M104" s="106">
        <v>14.53</v>
      </c>
      <c r="N104" s="112">
        <v>6163.299074999999</v>
      </c>
      <c r="O104" s="113">
        <v>7187.5</v>
      </c>
      <c r="P104" s="105">
        <f>G108</f>
        <v>2.5</v>
      </c>
      <c r="Q104" s="105">
        <f>O104/P104*8</f>
        <v>23000</v>
      </c>
      <c r="EX104" s="20"/>
      <c r="EY104" s="29"/>
      <c r="EZ104" s="29"/>
      <c r="FA104" s="29"/>
      <c r="FD104" s="3" t="s">
        <v>33</v>
      </c>
      <c r="FG104" s="29"/>
    </row>
    <row r="105" spans="1:163" customFormat="1" ht="15" x14ac:dyDescent="0.25">
      <c r="A105" s="34"/>
      <c r="B105" s="33" t="s">
        <v>34</v>
      </c>
      <c r="C105" s="146" t="s">
        <v>35</v>
      </c>
      <c r="D105" s="146"/>
      <c r="E105" s="146"/>
      <c r="F105" s="35"/>
      <c r="G105" s="36"/>
      <c r="H105" s="36"/>
      <c r="I105" s="36"/>
      <c r="J105" s="39">
        <v>31.38</v>
      </c>
      <c r="K105" s="38">
        <v>1</v>
      </c>
      <c r="L105" s="42">
        <f>G98*J105*K105</f>
        <v>19.496393999999999</v>
      </c>
      <c r="M105" s="106"/>
      <c r="EX105" s="20"/>
      <c r="EY105" s="29"/>
      <c r="EZ105" s="29"/>
      <c r="FA105" s="29"/>
      <c r="FD105" s="3" t="s">
        <v>35</v>
      </c>
      <c r="FG105" s="29"/>
    </row>
    <row r="106" spans="1:163" customFormat="1" ht="15" x14ac:dyDescent="0.25">
      <c r="A106" s="34"/>
      <c r="B106" s="33" t="s">
        <v>36</v>
      </c>
      <c r="C106" s="146" t="s">
        <v>37</v>
      </c>
      <c r="D106" s="146"/>
      <c r="E106" s="146"/>
      <c r="F106" s="35"/>
      <c r="G106" s="36"/>
      <c r="H106" s="36"/>
      <c r="I106" s="36"/>
      <c r="J106" s="39">
        <v>52.95</v>
      </c>
      <c r="K106" s="36"/>
      <c r="L106" s="42">
        <f>G98*J106</f>
        <v>32.897835000000001</v>
      </c>
      <c r="M106" s="106"/>
      <c r="EX106" s="20"/>
      <c r="EY106" s="29"/>
      <c r="EZ106" s="29"/>
      <c r="FA106" s="29"/>
      <c r="FD106" s="3" t="s">
        <v>37</v>
      </c>
      <c r="FG106" s="29"/>
    </row>
    <row r="107" spans="1:163" customFormat="1" ht="15" x14ac:dyDescent="0.25">
      <c r="A107" s="43"/>
      <c r="B107" s="33"/>
      <c r="C107" s="146" t="s">
        <v>38</v>
      </c>
      <c r="D107" s="146"/>
      <c r="E107" s="146"/>
      <c r="F107" s="35" t="s">
        <v>39</v>
      </c>
      <c r="G107" s="40">
        <v>46.48</v>
      </c>
      <c r="H107" s="64">
        <v>1.45475</v>
      </c>
      <c r="I107" s="44">
        <v>42.0103054</v>
      </c>
      <c r="J107" s="45"/>
      <c r="K107" s="36"/>
      <c r="L107" s="46"/>
      <c r="M107" s="106"/>
      <c r="EX107" s="20"/>
      <c r="EY107" s="29"/>
      <c r="EZ107" s="29"/>
      <c r="FA107" s="29"/>
      <c r="FE107" s="3" t="s">
        <v>38</v>
      </c>
      <c r="FG107" s="29"/>
    </row>
    <row r="108" spans="1:163" customFormat="1" ht="15" x14ac:dyDescent="0.25">
      <c r="A108" s="43"/>
      <c r="B108" s="33"/>
      <c r="C108" s="146" t="s">
        <v>40</v>
      </c>
      <c r="D108" s="146"/>
      <c r="E108" s="146"/>
      <c r="F108" s="35" t="s">
        <v>39</v>
      </c>
      <c r="G108" s="61">
        <v>2.5</v>
      </c>
      <c r="H108" s="38">
        <v>1.4375</v>
      </c>
      <c r="I108" s="44">
        <v>2.2327968999999999</v>
      </c>
      <c r="J108" s="45"/>
      <c r="K108" s="36"/>
      <c r="L108" s="46"/>
      <c r="M108" s="106"/>
      <c r="EX108" s="20"/>
      <c r="EY108" s="29"/>
      <c r="EZ108" s="29"/>
      <c r="FA108" s="29"/>
      <c r="FE108" s="3" t="s">
        <v>40</v>
      </c>
      <c r="FG108" s="29"/>
    </row>
    <row r="109" spans="1:163" customFormat="1" ht="15" x14ac:dyDescent="0.25">
      <c r="A109" s="30"/>
      <c r="B109" s="33"/>
      <c r="C109" s="151" t="s">
        <v>41</v>
      </c>
      <c r="D109" s="151"/>
      <c r="E109" s="151"/>
      <c r="F109" s="47"/>
      <c r="G109" s="48"/>
      <c r="H109" s="48"/>
      <c r="I109" s="48"/>
      <c r="J109" s="62">
        <v>784.94</v>
      </c>
      <c r="K109" s="48"/>
      <c r="L109" s="66">
        <f>L103+L104+L106</f>
        <v>41919.60971751</v>
      </c>
      <c r="M109" s="106"/>
      <c r="EX109" s="20"/>
      <c r="EY109" s="29"/>
      <c r="EZ109" s="29"/>
      <c r="FA109" s="29"/>
      <c r="FF109" s="3" t="s">
        <v>41</v>
      </c>
      <c r="FG109" s="29"/>
    </row>
    <row r="110" spans="1:163" customFormat="1" ht="15" x14ac:dyDescent="0.25">
      <c r="A110" s="43"/>
      <c r="B110" s="33"/>
      <c r="C110" s="146" t="s">
        <v>42</v>
      </c>
      <c r="D110" s="146"/>
      <c r="E110" s="146"/>
      <c r="F110" s="35"/>
      <c r="G110" s="36"/>
      <c r="H110" s="36"/>
      <c r="I110" s="36"/>
      <c r="J110" s="45"/>
      <c r="K110" s="36"/>
      <c r="L110" s="42">
        <f>L103+L105</f>
        <v>37440.614526509999</v>
      </c>
      <c r="M110" s="106"/>
      <c r="EX110" s="20"/>
      <c r="EY110" s="29"/>
      <c r="EZ110" s="29"/>
      <c r="FA110" s="29"/>
      <c r="FE110" s="3" t="s">
        <v>42</v>
      </c>
      <c r="FG110" s="29"/>
    </row>
    <row r="111" spans="1:163" customFormat="1" ht="23.25" x14ac:dyDescent="0.25">
      <c r="A111" s="43"/>
      <c r="B111" s="33" t="s">
        <v>72</v>
      </c>
      <c r="C111" s="146" t="s">
        <v>73</v>
      </c>
      <c r="D111" s="146"/>
      <c r="E111" s="146"/>
      <c r="F111" s="35" t="s">
        <v>45</v>
      </c>
      <c r="G111" s="51">
        <v>97</v>
      </c>
      <c r="H111" s="36"/>
      <c r="I111" s="51">
        <v>97</v>
      </c>
      <c r="J111" s="45"/>
      <c r="K111" s="36"/>
      <c r="L111" s="42">
        <f>L110*I111%</f>
        <v>36317.396090714697</v>
      </c>
      <c r="M111" s="106"/>
      <c r="EX111" s="20"/>
      <c r="EY111" s="29"/>
      <c r="EZ111" s="29"/>
      <c r="FA111" s="29"/>
      <c r="FE111" s="3" t="s">
        <v>73</v>
      </c>
      <c r="FG111" s="29"/>
    </row>
    <row r="112" spans="1:163" customFormat="1" ht="23.25" x14ac:dyDescent="0.25">
      <c r="A112" s="43"/>
      <c r="B112" s="33" t="s">
        <v>74</v>
      </c>
      <c r="C112" s="146" t="s">
        <v>75</v>
      </c>
      <c r="D112" s="146"/>
      <c r="E112" s="146"/>
      <c r="F112" s="35" t="s">
        <v>45</v>
      </c>
      <c r="G112" s="51">
        <v>51</v>
      </c>
      <c r="H112" s="36"/>
      <c r="I112" s="51">
        <v>51</v>
      </c>
      <c r="J112" s="45"/>
      <c r="K112" s="36"/>
      <c r="L112" s="42">
        <f>L110*I112%</f>
        <v>19094.7134085201</v>
      </c>
      <c r="M112" s="106"/>
      <c r="EX112" s="20"/>
      <c r="EY112" s="29"/>
      <c r="EZ112" s="29"/>
      <c r="FA112" s="29"/>
      <c r="FE112" s="3" t="s">
        <v>75</v>
      </c>
      <c r="FG112" s="29"/>
    </row>
    <row r="113" spans="1:164" customFormat="1" ht="15" x14ac:dyDescent="0.25">
      <c r="A113" s="52"/>
      <c r="B113" s="53"/>
      <c r="C113" s="148" t="s">
        <v>48</v>
      </c>
      <c r="D113" s="148"/>
      <c r="E113" s="148"/>
      <c r="F113" s="23"/>
      <c r="G113" s="24"/>
      <c r="H113" s="24"/>
      <c r="I113" s="24"/>
      <c r="J113" s="27"/>
      <c r="K113" s="24"/>
      <c r="L113" s="96">
        <f>L109+L111+L112</f>
        <v>97331.719216744794</v>
      </c>
      <c r="M113" s="106"/>
      <c r="EX113" s="20"/>
      <c r="EY113" s="29"/>
      <c r="EZ113" s="29"/>
      <c r="FA113" s="29"/>
      <c r="FG113" s="29" t="s">
        <v>48</v>
      </c>
    </row>
    <row r="114" spans="1:164" customFormat="1" ht="45" x14ac:dyDescent="0.25">
      <c r="A114" s="21" t="s">
        <v>107</v>
      </c>
      <c r="B114" s="22" t="s">
        <v>108</v>
      </c>
      <c r="C114" s="148" t="s">
        <v>109</v>
      </c>
      <c r="D114" s="148"/>
      <c r="E114" s="148"/>
      <c r="F114" s="23" t="s">
        <v>51</v>
      </c>
      <c r="G114" s="24">
        <v>65.400000000000006</v>
      </c>
      <c r="H114" s="25">
        <v>1</v>
      </c>
      <c r="I114" s="65">
        <v>65.400000000000006</v>
      </c>
      <c r="J114" s="54">
        <f>27340/1.2</f>
        <v>22783.333333333336</v>
      </c>
      <c r="K114" s="26">
        <v>1</v>
      </c>
      <c r="L114" s="55">
        <f>G114*J114*K114</f>
        <v>1490030.0000000002</v>
      </c>
      <c r="M114" s="106"/>
      <c r="EX114" s="20"/>
      <c r="EY114" s="29" t="s">
        <v>109</v>
      </c>
      <c r="EZ114" s="29" t="s">
        <v>0</v>
      </c>
      <c r="FA114" s="29" t="s">
        <v>0</v>
      </c>
      <c r="FG114" s="29"/>
    </row>
    <row r="115" spans="1:164" customFormat="1" ht="15" x14ac:dyDescent="0.25">
      <c r="A115" s="30"/>
      <c r="B115" s="31"/>
      <c r="C115" s="146" t="s">
        <v>110</v>
      </c>
      <c r="D115" s="146"/>
      <c r="E115" s="146"/>
      <c r="F115" s="146"/>
      <c r="G115" s="146"/>
      <c r="H115" s="146"/>
      <c r="I115" s="146"/>
      <c r="J115" s="146"/>
      <c r="K115" s="146"/>
      <c r="L115" s="149"/>
      <c r="M115" s="106"/>
      <c r="EX115" s="20"/>
      <c r="EY115" s="29"/>
      <c r="EZ115" s="29"/>
      <c r="FA115" s="29"/>
      <c r="FB115" s="3" t="s">
        <v>110</v>
      </c>
      <c r="FG115" s="29"/>
    </row>
    <row r="116" spans="1:164" customFormat="1" ht="15" x14ac:dyDescent="0.25">
      <c r="A116" s="30"/>
      <c r="B116" s="31"/>
      <c r="C116" s="152" t="s">
        <v>302</v>
      </c>
      <c r="D116" s="146"/>
      <c r="E116" s="146"/>
      <c r="F116" s="146"/>
      <c r="G116" s="146"/>
      <c r="H116" s="146"/>
      <c r="I116" s="146"/>
      <c r="J116" s="146"/>
      <c r="K116" s="146"/>
      <c r="L116" s="149"/>
      <c r="M116" s="106"/>
      <c r="EX116" s="20"/>
      <c r="EY116" s="29"/>
      <c r="EZ116" s="29"/>
      <c r="FA116" s="29"/>
      <c r="FG116" s="29"/>
      <c r="FH116" s="3" t="s">
        <v>111</v>
      </c>
    </row>
    <row r="117" spans="1:164" customFormat="1" ht="15" x14ac:dyDescent="0.25">
      <c r="A117" s="32"/>
      <c r="B117" s="33"/>
      <c r="C117" s="141" t="s">
        <v>54</v>
      </c>
      <c r="D117" s="141"/>
      <c r="E117" s="141"/>
      <c r="F117" s="141"/>
      <c r="G117" s="141"/>
      <c r="H117" s="141"/>
      <c r="I117" s="141"/>
      <c r="J117" s="141"/>
      <c r="K117" s="141"/>
      <c r="L117" s="150"/>
      <c r="M117" s="106"/>
      <c r="EX117" s="20"/>
      <c r="EY117" s="29"/>
      <c r="EZ117" s="29"/>
      <c r="FA117" s="29"/>
      <c r="FC117" s="3" t="s">
        <v>54</v>
      </c>
      <c r="FG117" s="29"/>
    </row>
    <row r="118" spans="1:164" customFormat="1" ht="15" x14ac:dyDescent="0.25">
      <c r="A118" s="32"/>
      <c r="B118" s="33"/>
      <c r="C118" s="141" t="s">
        <v>55</v>
      </c>
      <c r="D118" s="141"/>
      <c r="E118" s="141"/>
      <c r="F118" s="141"/>
      <c r="G118" s="141"/>
      <c r="H118" s="141"/>
      <c r="I118" s="141"/>
      <c r="J118" s="141"/>
      <c r="K118" s="141"/>
      <c r="L118" s="150"/>
      <c r="M118" s="106"/>
      <c r="EX118" s="20"/>
      <c r="EY118" s="29"/>
      <c r="EZ118" s="29"/>
      <c r="FA118" s="29"/>
      <c r="FC118" s="3" t="s">
        <v>55</v>
      </c>
      <c r="FG118" s="29"/>
    </row>
    <row r="119" spans="1:164" customFormat="1" ht="15" x14ac:dyDescent="0.25">
      <c r="A119" s="52"/>
      <c r="B119" s="53"/>
      <c r="C119" s="148" t="s">
        <v>48</v>
      </c>
      <c r="D119" s="148"/>
      <c r="E119" s="148"/>
      <c r="F119" s="23"/>
      <c r="G119" s="24"/>
      <c r="H119" s="24"/>
      <c r="I119" s="24"/>
      <c r="J119" s="27"/>
      <c r="K119" s="24"/>
      <c r="L119" s="96">
        <f>L114</f>
        <v>1490030.0000000002</v>
      </c>
      <c r="M119" s="106"/>
      <c r="EX119" s="20"/>
      <c r="EY119" s="29"/>
      <c r="EZ119" s="29"/>
      <c r="FA119" s="29"/>
      <c r="FG119" s="29" t="s">
        <v>48</v>
      </c>
    </row>
    <row r="120" spans="1:164" customFormat="1" ht="34.5" x14ac:dyDescent="0.25">
      <c r="A120" s="21" t="s">
        <v>112</v>
      </c>
      <c r="B120" s="22" t="s">
        <v>113</v>
      </c>
      <c r="C120" s="148" t="s">
        <v>114</v>
      </c>
      <c r="D120" s="148"/>
      <c r="E120" s="148"/>
      <c r="F120" s="23" t="s">
        <v>25</v>
      </c>
      <c r="G120" s="24">
        <v>0.24840000000000001</v>
      </c>
      <c r="H120" s="25">
        <v>1</v>
      </c>
      <c r="I120" s="63">
        <v>0.24840000000000001</v>
      </c>
      <c r="J120" s="27"/>
      <c r="K120" s="24"/>
      <c r="L120" s="28"/>
      <c r="M120" s="106"/>
      <c r="EX120" s="20"/>
      <c r="EY120" s="29" t="s">
        <v>114</v>
      </c>
      <c r="EZ120" s="29" t="s">
        <v>0</v>
      </c>
      <c r="FA120" s="29" t="s">
        <v>0</v>
      </c>
      <c r="FG120" s="29"/>
    </row>
    <row r="121" spans="1:164" customFormat="1" ht="15" x14ac:dyDescent="0.25">
      <c r="A121" s="30"/>
      <c r="B121" s="31"/>
      <c r="C121" s="146" t="s">
        <v>115</v>
      </c>
      <c r="D121" s="146"/>
      <c r="E121" s="146"/>
      <c r="F121" s="146"/>
      <c r="G121" s="146"/>
      <c r="H121" s="146"/>
      <c r="I121" s="146"/>
      <c r="J121" s="146"/>
      <c r="K121" s="146"/>
      <c r="L121" s="149"/>
      <c r="M121" s="106"/>
      <c r="EX121" s="20"/>
      <c r="EY121" s="29"/>
      <c r="EZ121" s="29"/>
      <c r="FA121" s="29"/>
      <c r="FB121" s="3" t="s">
        <v>115</v>
      </c>
      <c r="FG121" s="29"/>
    </row>
    <row r="122" spans="1:164" customFormat="1" ht="68.25" x14ac:dyDescent="0.25">
      <c r="A122" s="32"/>
      <c r="B122" s="33" t="s">
        <v>27</v>
      </c>
      <c r="C122" s="141" t="s">
        <v>28</v>
      </c>
      <c r="D122" s="141"/>
      <c r="E122" s="141"/>
      <c r="F122" s="141"/>
      <c r="G122" s="141"/>
      <c r="H122" s="141"/>
      <c r="I122" s="141"/>
      <c r="J122" s="141"/>
      <c r="K122" s="141"/>
      <c r="L122" s="150"/>
      <c r="M122" s="106"/>
      <c r="EX122" s="20"/>
      <c r="EY122" s="29"/>
      <c r="EZ122" s="29"/>
      <c r="FA122" s="29"/>
      <c r="FC122" s="3" t="s">
        <v>28</v>
      </c>
      <c r="FG122" s="29"/>
    </row>
    <row r="123" spans="1:164" customFormat="1" ht="23.25" x14ac:dyDescent="0.25">
      <c r="A123" s="32"/>
      <c r="B123" s="33" t="s">
        <v>29</v>
      </c>
      <c r="C123" s="141" t="s">
        <v>30</v>
      </c>
      <c r="D123" s="141"/>
      <c r="E123" s="141"/>
      <c r="F123" s="141"/>
      <c r="G123" s="141"/>
      <c r="H123" s="141"/>
      <c r="I123" s="141"/>
      <c r="J123" s="141"/>
      <c r="K123" s="141"/>
      <c r="L123" s="150"/>
      <c r="M123" s="106"/>
      <c r="N123" s="118" t="s">
        <v>317</v>
      </c>
      <c r="EX123" s="20"/>
      <c r="EY123" s="29"/>
      <c r="EZ123" s="29"/>
      <c r="FA123" s="29"/>
      <c r="FC123" s="3" t="s">
        <v>30</v>
      </c>
      <c r="FG123" s="29"/>
    </row>
    <row r="124" spans="1:164" customFormat="1" ht="15" x14ac:dyDescent="0.25">
      <c r="A124" s="34"/>
      <c r="B124" s="33" t="s">
        <v>22</v>
      </c>
      <c r="C124" s="146" t="s">
        <v>31</v>
      </c>
      <c r="D124" s="146"/>
      <c r="E124" s="146"/>
      <c r="F124" s="35"/>
      <c r="G124" s="36"/>
      <c r="H124" s="36"/>
      <c r="I124" s="36"/>
      <c r="J124" s="117">
        <f>O124</f>
        <v>69975.022499999992</v>
      </c>
      <c r="K124" s="38">
        <v>1</v>
      </c>
      <c r="L124" s="42">
        <f>G120*J124*K124</f>
        <v>17381.795588999998</v>
      </c>
      <c r="M124" s="106">
        <v>49.45</v>
      </c>
      <c r="N124" s="112">
        <v>33195.834450000002</v>
      </c>
      <c r="O124" s="113">
        <v>69975.022499999992</v>
      </c>
      <c r="P124" s="105">
        <f>G128</f>
        <v>54</v>
      </c>
      <c r="Q124" s="105">
        <f>O124/P124*8</f>
        <v>10366.669999999998</v>
      </c>
      <c r="R124" s="105">
        <f>Q124*22</f>
        <v>228066.73999999996</v>
      </c>
      <c r="S124" s="105">
        <f>R124*(1-0.43)</f>
        <v>129998.04179999999</v>
      </c>
      <c r="EX124" s="20"/>
      <c r="EY124" s="29"/>
      <c r="EZ124" s="29"/>
      <c r="FA124" s="29"/>
      <c r="FD124" s="3" t="s">
        <v>31</v>
      </c>
      <c r="FG124" s="29"/>
    </row>
    <row r="125" spans="1:164" customFormat="1" ht="15" x14ac:dyDescent="0.25">
      <c r="A125" s="34"/>
      <c r="B125" s="33" t="s">
        <v>32</v>
      </c>
      <c r="C125" s="146" t="s">
        <v>33</v>
      </c>
      <c r="D125" s="146"/>
      <c r="E125" s="146"/>
      <c r="F125" s="35"/>
      <c r="G125" s="36"/>
      <c r="H125" s="36"/>
      <c r="I125" s="36"/>
      <c r="J125" s="117">
        <f>O125</f>
        <v>7187.5</v>
      </c>
      <c r="K125" s="38">
        <v>1</v>
      </c>
      <c r="L125" s="42">
        <f>G120*J125*K125</f>
        <v>1785.375</v>
      </c>
      <c r="M125" s="106">
        <v>14.53</v>
      </c>
      <c r="N125" s="112">
        <v>6501.6664499999988</v>
      </c>
      <c r="O125" s="113">
        <v>7187.5</v>
      </c>
      <c r="P125" s="105">
        <f>G129</f>
        <v>2.5</v>
      </c>
      <c r="Q125" s="105">
        <f>O125/P125*8</f>
        <v>23000</v>
      </c>
      <c r="EX125" s="20"/>
      <c r="EY125" s="29"/>
      <c r="EZ125" s="29"/>
      <c r="FA125" s="29"/>
      <c r="FD125" s="3" t="s">
        <v>33</v>
      </c>
      <c r="FG125" s="29"/>
    </row>
    <row r="126" spans="1:164" customFormat="1" ht="15" x14ac:dyDescent="0.25">
      <c r="A126" s="34"/>
      <c r="B126" s="33" t="s">
        <v>34</v>
      </c>
      <c r="C126" s="146" t="s">
        <v>35</v>
      </c>
      <c r="D126" s="146"/>
      <c r="E126" s="146"/>
      <c r="F126" s="35"/>
      <c r="G126" s="36"/>
      <c r="H126" s="36"/>
      <c r="I126" s="36"/>
      <c r="J126" s="39">
        <v>31.38</v>
      </c>
      <c r="K126" s="38">
        <v>1</v>
      </c>
      <c r="L126" s="42">
        <f>G120*J126*K126</f>
        <v>7.7947920000000002</v>
      </c>
      <c r="M126" s="106"/>
      <c r="EX126" s="20"/>
      <c r="EY126" s="29"/>
      <c r="EZ126" s="29"/>
      <c r="FA126" s="29"/>
      <c r="FD126" s="3" t="s">
        <v>35</v>
      </c>
      <c r="FG126" s="29"/>
    </row>
    <row r="127" spans="1:164" customFormat="1" ht="15" x14ac:dyDescent="0.25">
      <c r="A127" s="34"/>
      <c r="B127" s="33" t="s">
        <v>36</v>
      </c>
      <c r="C127" s="146" t="s">
        <v>37</v>
      </c>
      <c r="D127" s="146"/>
      <c r="E127" s="146"/>
      <c r="F127" s="35"/>
      <c r="G127" s="36"/>
      <c r="H127" s="36"/>
      <c r="I127" s="36"/>
      <c r="J127" s="39">
        <v>68.63</v>
      </c>
      <c r="K127" s="36"/>
      <c r="L127" s="42">
        <f>G120*J127</f>
        <v>17.047691999999998</v>
      </c>
      <c r="M127" s="106"/>
      <c r="EX127" s="20"/>
      <c r="EY127" s="29"/>
      <c r="EZ127" s="29"/>
      <c r="FA127" s="29"/>
      <c r="FD127" s="3" t="s">
        <v>37</v>
      </c>
      <c r="FG127" s="29"/>
    </row>
    <row r="128" spans="1:164" customFormat="1" ht="15" x14ac:dyDescent="0.25">
      <c r="A128" s="43"/>
      <c r="B128" s="33"/>
      <c r="C128" s="146" t="s">
        <v>38</v>
      </c>
      <c r="D128" s="146"/>
      <c r="E128" s="146"/>
      <c r="F128" s="35" t="s">
        <v>39</v>
      </c>
      <c r="G128" s="51">
        <v>54</v>
      </c>
      <c r="H128" s="38">
        <v>1.3225</v>
      </c>
      <c r="I128" s="60">
        <v>17.739485999999999</v>
      </c>
      <c r="J128" s="45"/>
      <c r="K128" s="36"/>
      <c r="L128" s="46"/>
      <c r="M128" s="106"/>
      <c r="EX128" s="20"/>
      <c r="EY128" s="29"/>
      <c r="EZ128" s="29"/>
      <c r="FA128" s="29"/>
      <c r="FE128" s="3" t="s">
        <v>38</v>
      </c>
      <c r="FG128" s="29"/>
    </row>
    <row r="129" spans="1:164" customFormat="1" ht="15" x14ac:dyDescent="0.25">
      <c r="A129" s="43"/>
      <c r="B129" s="33"/>
      <c r="C129" s="146" t="s">
        <v>40</v>
      </c>
      <c r="D129" s="146"/>
      <c r="E129" s="146"/>
      <c r="F129" s="35" t="s">
        <v>39</v>
      </c>
      <c r="G129" s="61">
        <v>2.5</v>
      </c>
      <c r="H129" s="38">
        <v>1.4375</v>
      </c>
      <c r="I129" s="44">
        <v>0.89268749999999997</v>
      </c>
      <c r="J129" s="45"/>
      <c r="K129" s="36"/>
      <c r="L129" s="46"/>
      <c r="M129" s="106"/>
      <c r="EX129" s="20"/>
      <c r="EY129" s="29"/>
      <c r="EZ129" s="29"/>
      <c r="FA129" s="29"/>
      <c r="FE129" s="3" t="s">
        <v>40</v>
      </c>
      <c r="FG129" s="29"/>
    </row>
    <row r="130" spans="1:164" customFormat="1" ht="15" x14ac:dyDescent="0.25">
      <c r="A130" s="30"/>
      <c r="B130" s="33"/>
      <c r="C130" s="151" t="s">
        <v>41</v>
      </c>
      <c r="D130" s="151"/>
      <c r="E130" s="151"/>
      <c r="F130" s="47"/>
      <c r="G130" s="48"/>
      <c r="H130" s="48"/>
      <c r="I130" s="48"/>
      <c r="J130" s="62">
        <v>887.51</v>
      </c>
      <c r="K130" s="48"/>
      <c r="L130" s="66">
        <f>L124+L125+L127</f>
        <v>19184.218280999998</v>
      </c>
      <c r="M130" s="106"/>
      <c r="EX130" s="20"/>
      <c r="EY130" s="29"/>
      <c r="EZ130" s="29"/>
      <c r="FA130" s="29"/>
      <c r="FF130" s="3" t="s">
        <v>41</v>
      </c>
      <c r="FG130" s="29"/>
    </row>
    <row r="131" spans="1:164" customFormat="1" ht="15" x14ac:dyDescent="0.25">
      <c r="A131" s="43"/>
      <c r="B131" s="33"/>
      <c r="C131" s="146" t="s">
        <v>42</v>
      </c>
      <c r="D131" s="146"/>
      <c r="E131" s="146"/>
      <c r="F131" s="35"/>
      <c r="G131" s="36"/>
      <c r="H131" s="36"/>
      <c r="I131" s="36"/>
      <c r="J131" s="45"/>
      <c r="K131" s="36"/>
      <c r="L131" s="42">
        <f>L124+L126</f>
        <v>17389.590380999998</v>
      </c>
      <c r="M131" s="106"/>
      <c r="EX131" s="20"/>
      <c r="EY131" s="29"/>
      <c r="EZ131" s="29"/>
      <c r="FA131" s="29"/>
      <c r="FE131" s="3" t="s">
        <v>42</v>
      </c>
      <c r="FG131" s="29"/>
    </row>
    <row r="132" spans="1:164" customFormat="1" ht="23.25" x14ac:dyDescent="0.25">
      <c r="A132" s="43"/>
      <c r="B132" s="33" t="s">
        <v>72</v>
      </c>
      <c r="C132" s="146" t="s">
        <v>73</v>
      </c>
      <c r="D132" s="146"/>
      <c r="E132" s="146"/>
      <c r="F132" s="35" t="s">
        <v>45</v>
      </c>
      <c r="G132" s="51">
        <v>97</v>
      </c>
      <c r="H132" s="36"/>
      <c r="I132" s="51">
        <v>97</v>
      </c>
      <c r="J132" s="45"/>
      <c r="K132" s="36"/>
      <c r="L132" s="42">
        <f>L131*I132%</f>
        <v>16867.902669569998</v>
      </c>
      <c r="M132" s="106"/>
      <c r="EX132" s="20"/>
      <c r="EY132" s="29"/>
      <c r="EZ132" s="29"/>
      <c r="FA132" s="29"/>
      <c r="FE132" s="3" t="s">
        <v>73</v>
      </c>
      <c r="FG132" s="29"/>
    </row>
    <row r="133" spans="1:164" customFormat="1" ht="23.25" x14ac:dyDescent="0.25">
      <c r="A133" s="43"/>
      <c r="B133" s="33" t="s">
        <v>74</v>
      </c>
      <c r="C133" s="146" t="s">
        <v>75</v>
      </c>
      <c r="D133" s="146"/>
      <c r="E133" s="146"/>
      <c r="F133" s="35" t="s">
        <v>45</v>
      </c>
      <c r="G133" s="51">
        <v>51</v>
      </c>
      <c r="H133" s="36"/>
      <c r="I133" s="51">
        <v>51</v>
      </c>
      <c r="J133" s="45"/>
      <c r="K133" s="36"/>
      <c r="L133" s="42">
        <f>L131*I133%</f>
        <v>8868.6910943099992</v>
      </c>
      <c r="M133" s="106"/>
      <c r="EX133" s="20"/>
      <c r="EY133" s="29"/>
      <c r="EZ133" s="29"/>
      <c r="FA133" s="29"/>
      <c r="FE133" s="3" t="s">
        <v>75</v>
      </c>
      <c r="FG133" s="29"/>
    </row>
    <row r="134" spans="1:164" customFormat="1" ht="15" x14ac:dyDescent="0.25">
      <c r="A134" s="52"/>
      <c r="B134" s="53"/>
      <c r="C134" s="148" t="s">
        <v>48</v>
      </c>
      <c r="D134" s="148"/>
      <c r="E134" s="148"/>
      <c r="F134" s="23"/>
      <c r="G134" s="24"/>
      <c r="H134" s="24"/>
      <c r="I134" s="24"/>
      <c r="J134" s="27"/>
      <c r="K134" s="24"/>
      <c r="L134" s="99">
        <f>L130+L132+L133</f>
        <v>44920.812044879996</v>
      </c>
      <c r="M134" s="106"/>
      <c r="EX134" s="20"/>
      <c r="EY134" s="29"/>
      <c r="EZ134" s="29"/>
      <c r="FA134" s="29"/>
      <c r="FG134" s="29" t="s">
        <v>48</v>
      </c>
    </row>
    <row r="135" spans="1:164" customFormat="1" ht="45" x14ac:dyDescent="0.25">
      <c r="A135" s="21" t="s">
        <v>116</v>
      </c>
      <c r="B135" s="22" t="s">
        <v>117</v>
      </c>
      <c r="C135" s="148" t="s">
        <v>118</v>
      </c>
      <c r="D135" s="148"/>
      <c r="E135" s="148"/>
      <c r="F135" s="23" t="s">
        <v>51</v>
      </c>
      <c r="G135" s="24">
        <v>30</v>
      </c>
      <c r="H135" s="25">
        <v>1</v>
      </c>
      <c r="I135" s="25">
        <v>30</v>
      </c>
      <c r="J135" s="56">
        <f>5070/1.2</f>
        <v>4225</v>
      </c>
      <c r="K135" s="26">
        <v>1</v>
      </c>
      <c r="L135" s="55">
        <f>G135*J135*K135</f>
        <v>126750</v>
      </c>
      <c r="M135" s="106"/>
      <c r="EX135" s="20"/>
      <c r="EY135" s="29" t="s">
        <v>118</v>
      </c>
      <c r="EZ135" s="29" t="s">
        <v>0</v>
      </c>
      <c r="FA135" s="29" t="s">
        <v>0</v>
      </c>
      <c r="FG135" s="29"/>
    </row>
    <row r="136" spans="1:164" customFormat="1" ht="15" x14ac:dyDescent="0.25">
      <c r="A136" s="30"/>
      <c r="B136" s="31"/>
      <c r="C136" s="146" t="s">
        <v>119</v>
      </c>
      <c r="D136" s="146"/>
      <c r="E136" s="146"/>
      <c r="F136" s="146"/>
      <c r="G136" s="146"/>
      <c r="H136" s="146"/>
      <c r="I136" s="146"/>
      <c r="J136" s="146"/>
      <c r="K136" s="146"/>
      <c r="L136" s="149"/>
      <c r="M136" s="106"/>
      <c r="EX136" s="20"/>
      <c r="EY136" s="29"/>
      <c r="EZ136" s="29"/>
      <c r="FA136" s="29"/>
      <c r="FB136" s="3" t="s">
        <v>119</v>
      </c>
      <c r="FG136" s="29"/>
    </row>
    <row r="137" spans="1:164" customFormat="1" ht="15" x14ac:dyDescent="0.25">
      <c r="A137" s="30"/>
      <c r="B137" s="31"/>
      <c r="C137" s="152" t="s">
        <v>303</v>
      </c>
      <c r="D137" s="146"/>
      <c r="E137" s="146"/>
      <c r="F137" s="146"/>
      <c r="G137" s="146"/>
      <c r="H137" s="146"/>
      <c r="I137" s="146"/>
      <c r="J137" s="146"/>
      <c r="K137" s="146"/>
      <c r="L137" s="149"/>
      <c r="M137" s="106"/>
      <c r="EX137" s="20"/>
      <c r="EY137" s="29"/>
      <c r="EZ137" s="29"/>
      <c r="FA137" s="29"/>
      <c r="FG137" s="29"/>
      <c r="FH137" s="3" t="s">
        <v>120</v>
      </c>
    </row>
    <row r="138" spans="1:164" customFormat="1" ht="15" x14ac:dyDescent="0.25">
      <c r="A138" s="32"/>
      <c r="B138" s="33"/>
      <c r="C138" s="141" t="s">
        <v>54</v>
      </c>
      <c r="D138" s="141"/>
      <c r="E138" s="141"/>
      <c r="F138" s="141"/>
      <c r="G138" s="141"/>
      <c r="H138" s="141"/>
      <c r="I138" s="141"/>
      <c r="J138" s="141"/>
      <c r="K138" s="141"/>
      <c r="L138" s="150"/>
      <c r="M138" s="106"/>
      <c r="EX138" s="20"/>
      <c r="EY138" s="29"/>
      <c r="EZ138" s="29"/>
      <c r="FA138" s="29"/>
      <c r="FC138" s="3" t="s">
        <v>54</v>
      </c>
      <c r="FG138" s="29"/>
    </row>
    <row r="139" spans="1:164" customFormat="1" ht="15" x14ac:dyDescent="0.25">
      <c r="A139" s="32"/>
      <c r="B139" s="33"/>
      <c r="C139" s="141" t="s">
        <v>55</v>
      </c>
      <c r="D139" s="141"/>
      <c r="E139" s="141"/>
      <c r="F139" s="141"/>
      <c r="G139" s="141"/>
      <c r="H139" s="141"/>
      <c r="I139" s="141"/>
      <c r="J139" s="141"/>
      <c r="K139" s="141"/>
      <c r="L139" s="150"/>
      <c r="M139" s="106"/>
      <c r="EX139" s="20"/>
      <c r="EY139" s="29"/>
      <c r="EZ139" s="29"/>
      <c r="FA139" s="29"/>
      <c r="FC139" s="3" t="s">
        <v>55</v>
      </c>
      <c r="FG139" s="29"/>
    </row>
    <row r="140" spans="1:164" customFormat="1" ht="15" x14ac:dyDescent="0.25">
      <c r="A140" s="52"/>
      <c r="B140" s="53"/>
      <c r="C140" s="148" t="s">
        <v>48</v>
      </c>
      <c r="D140" s="148"/>
      <c r="E140" s="148"/>
      <c r="F140" s="23"/>
      <c r="G140" s="24"/>
      <c r="H140" s="24"/>
      <c r="I140" s="24"/>
      <c r="J140" s="27"/>
      <c r="K140" s="24"/>
      <c r="L140" s="96">
        <f>L135</f>
        <v>126750</v>
      </c>
      <c r="M140" s="106"/>
      <c r="EX140" s="20"/>
      <c r="EY140" s="29"/>
      <c r="EZ140" s="29"/>
      <c r="FA140" s="29"/>
      <c r="FG140" s="29" t="s">
        <v>48</v>
      </c>
    </row>
    <row r="141" spans="1:164" customFormat="1" ht="23.25" x14ac:dyDescent="0.25">
      <c r="A141" s="21" t="s">
        <v>121</v>
      </c>
      <c r="B141" s="22" t="s">
        <v>68</v>
      </c>
      <c r="C141" s="148" t="s">
        <v>69</v>
      </c>
      <c r="D141" s="148"/>
      <c r="E141" s="148"/>
      <c r="F141" s="23" t="s">
        <v>70</v>
      </c>
      <c r="G141" s="24">
        <v>1.08</v>
      </c>
      <c r="H141" s="25">
        <v>1</v>
      </c>
      <c r="I141" s="57">
        <v>1.08</v>
      </c>
      <c r="J141" s="27"/>
      <c r="K141" s="24"/>
      <c r="L141" s="28"/>
      <c r="M141" s="106"/>
      <c r="EX141" s="20"/>
      <c r="EY141" s="29" t="s">
        <v>69</v>
      </c>
      <c r="EZ141" s="29" t="s">
        <v>0</v>
      </c>
      <c r="FA141" s="29" t="s">
        <v>0</v>
      </c>
      <c r="FG141" s="29"/>
    </row>
    <row r="142" spans="1:164" customFormat="1" ht="15" x14ac:dyDescent="0.25">
      <c r="A142" s="30"/>
      <c r="B142" s="31"/>
      <c r="C142" s="146" t="s">
        <v>122</v>
      </c>
      <c r="D142" s="146"/>
      <c r="E142" s="146"/>
      <c r="F142" s="146"/>
      <c r="G142" s="146"/>
      <c r="H142" s="146"/>
      <c r="I142" s="146"/>
      <c r="J142" s="146"/>
      <c r="K142" s="146"/>
      <c r="L142" s="149"/>
      <c r="M142" s="106"/>
      <c r="EX142" s="20"/>
      <c r="EY142" s="29"/>
      <c r="EZ142" s="29"/>
      <c r="FA142" s="29"/>
      <c r="FB142" s="3" t="s">
        <v>122</v>
      </c>
      <c r="FG142" s="29"/>
    </row>
    <row r="143" spans="1:164" customFormat="1" ht="68.25" x14ac:dyDescent="0.25">
      <c r="A143" s="32"/>
      <c r="B143" s="33" t="s">
        <v>27</v>
      </c>
      <c r="C143" s="141" t="s">
        <v>28</v>
      </c>
      <c r="D143" s="141"/>
      <c r="E143" s="141"/>
      <c r="F143" s="141"/>
      <c r="G143" s="141"/>
      <c r="H143" s="141"/>
      <c r="I143" s="141"/>
      <c r="J143" s="141"/>
      <c r="K143" s="141"/>
      <c r="L143" s="150"/>
      <c r="M143" s="106"/>
      <c r="EX143" s="20"/>
      <c r="EY143" s="29"/>
      <c r="EZ143" s="29"/>
      <c r="FA143" s="29"/>
      <c r="FC143" s="3" t="s">
        <v>28</v>
      </c>
      <c r="FG143" s="29"/>
    </row>
    <row r="144" spans="1:164" customFormat="1" ht="23.25" x14ac:dyDescent="0.25">
      <c r="A144" s="32"/>
      <c r="B144" s="33" t="s">
        <v>29</v>
      </c>
      <c r="C144" s="141" t="s">
        <v>30</v>
      </c>
      <c r="D144" s="141"/>
      <c r="E144" s="141"/>
      <c r="F144" s="141"/>
      <c r="G144" s="141"/>
      <c r="H144" s="141"/>
      <c r="I144" s="141"/>
      <c r="J144" s="141"/>
      <c r="K144" s="141"/>
      <c r="L144" s="150"/>
      <c r="M144" s="106"/>
      <c r="N144" s="118" t="s">
        <v>318</v>
      </c>
      <c r="EX144" s="20"/>
      <c r="EY144" s="29"/>
      <c r="EZ144" s="29"/>
      <c r="FA144" s="29"/>
      <c r="FC144" s="3" t="s">
        <v>30</v>
      </c>
      <c r="FG144" s="29"/>
    </row>
    <row r="145" spans="1:164" customFormat="1" ht="15" x14ac:dyDescent="0.25">
      <c r="A145" s="34"/>
      <c r="B145" s="33" t="s">
        <v>22</v>
      </c>
      <c r="C145" s="146" t="s">
        <v>31</v>
      </c>
      <c r="D145" s="146"/>
      <c r="E145" s="146"/>
      <c r="F145" s="35"/>
      <c r="G145" s="36"/>
      <c r="H145" s="36"/>
      <c r="I145" s="36"/>
      <c r="J145" s="117">
        <f>O145</f>
        <v>30478.0098</v>
      </c>
      <c r="K145" s="38">
        <v>1</v>
      </c>
      <c r="L145" s="42">
        <f>G141*J145*K145</f>
        <v>32916.250584000001</v>
      </c>
      <c r="M145" s="106">
        <v>49.45</v>
      </c>
      <c r="N145" s="112">
        <v>14458.760911250001</v>
      </c>
      <c r="O145" s="113">
        <v>30478.0098</v>
      </c>
      <c r="P145" s="105">
        <f>G149</f>
        <v>23.52</v>
      </c>
      <c r="Q145" s="105">
        <f>O145/P145*8</f>
        <v>10366.67</v>
      </c>
      <c r="R145" s="105">
        <f>Q145*22</f>
        <v>228066.74</v>
      </c>
      <c r="S145" s="105">
        <f>R145*(1-0.43)</f>
        <v>129998.04180000001</v>
      </c>
      <c r="EX145" s="20"/>
      <c r="EY145" s="29"/>
      <c r="EZ145" s="29"/>
      <c r="FA145" s="29"/>
      <c r="FD145" s="3" t="s">
        <v>31</v>
      </c>
      <c r="FG145" s="29"/>
    </row>
    <row r="146" spans="1:164" customFormat="1" ht="15" x14ac:dyDescent="0.25">
      <c r="A146" s="34"/>
      <c r="B146" s="33" t="s">
        <v>32</v>
      </c>
      <c r="C146" s="146" t="s">
        <v>33</v>
      </c>
      <c r="D146" s="146"/>
      <c r="E146" s="146"/>
      <c r="F146" s="35"/>
      <c r="G146" s="36"/>
      <c r="H146" s="36"/>
      <c r="I146" s="36"/>
      <c r="J146" s="117">
        <f>O146</f>
        <v>575</v>
      </c>
      <c r="K146" s="38">
        <v>1</v>
      </c>
      <c r="L146" s="42">
        <f>G141*J146*K146</f>
        <v>621</v>
      </c>
      <c r="M146" s="106">
        <v>14.53</v>
      </c>
      <c r="N146" s="112">
        <v>670.88642499999992</v>
      </c>
      <c r="O146" s="113">
        <v>575</v>
      </c>
      <c r="P146" s="105">
        <f>G150</f>
        <v>0.2</v>
      </c>
      <c r="Q146" s="105">
        <f>O146/P146*8</f>
        <v>23000</v>
      </c>
      <c r="EX146" s="20"/>
      <c r="EY146" s="29"/>
      <c r="EZ146" s="29"/>
      <c r="FA146" s="29"/>
      <c r="FD146" s="3" t="s">
        <v>33</v>
      </c>
      <c r="FG146" s="29"/>
    </row>
    <row r="147" spans="1:164" customFormat="1" ht="15" x14ac:dyDescent="0.25">
      <c r="A147" s="34"/>
      <c r="B147" s="33" t="s">
        <v>34</v>
      </c>
      <c r="C147" s="146" t="s">
        <v>35</v>
      </c>
      <c r="D147" s="146"/>
      <c r="E147" s="146"/>
      <c r="F147" s="35"/>
      <c r="G147" s="36"/>
      <c r="H147" s="36"/>
      <c r="I147" s="36"/>
      <c r="J147" s="39">
        <v>2.5099999999999998</v>
      </c>
      <c r="K147" s="38">
        <v>1</v>
      </c>
      <c r="L147" s="42">
        <f>G141*J147*K147</f>
        <v>2.7107999999999999</v>
      </c>
      <c r="M147" s="106"/>
      <c r="EX147" s="20"/>
      <c r="EY147" s="29"/>
      <c r="EZ147" s="29"/>
      <c r="FA147" s="29"/>
      <c r="FD147" s="3" t="s">
        <v>35</v>
      </c>
      <c r="FG147" s="29"/>
    </row>
    <row r="148" spans="1:164" customFormat="1" ht="15" x14ac:dyDescent="0.25">
      <c r="A148" s="34"/>
      <c r="B148" s="33" t="s">
        <v>36</v>
      </c>
      <c r="C148" s="146" t="s">
        <v>37</v>
      </c>
      <c r="D148" s="146"/>
      <c r="E148" s="146"/>
      <c r="F148" s="35"/>
      <c r="G148" s="36"/>
      <c r="H148" s="36"/>
      <c r="I148" s="36"/>
      <c r="J148" s="39">
        <v>111.92</v>
      </c>
      <c r="K148" s="36"/>
      <c r="L148" s="42">
        <f>G141*J148</f>
        <v>120.87360000000001</v>
      </c>
      <c r="M148" s="106"/>
      <c r="EX148" s="20"/>
      <c r="EY148" s="29"/>
      <c r="EZ148" s="29"/>
      <c r="FA148" s="29"/>
      <c r="FD148" s="3" t="s">
        <v>37</v>
      </c>
      <c r="FG148" s="29"/>
    </row>
    <row r="149" spans="1:164" customFormat="1" ht="15" x14ac:dyDescent="0.25">
      <c r="A149" s="43"/>
      <c r="B149" s="33"/>
      <c r="C149" s="146" t="s">
        <v>38</v>
      </c>
      <c r="D149" s="146"/>
      <c r="E149" s="146"/>
      <c r="F149" s="35" t="s">
        <v>39</v>
      </c>
      <c r="G149" s="40">
        <v>23.52</v>
      </c>
      <c r="H149" s="38">
        <v>1.3225</v>
      </c>
      <c r="I149" s="60">
        <v>33.593615999999997</v>
      </c>
      <c r="J149" s="45"/>
      <c r="K149" s="36"/>
      <c r="L149" s="46"/>
      <c r="M149" s="106"/>
      <c r="EX149" s="20"/>
      <c r="EY149" s="29"/>
      <c r="EZ149" s="29"/>
      <c r="FA149" s="29"/>
      <c r="FE149" s="3" t="s">
        <v>38</v>
      </c>
      <c r="FG149" s="29"/>
    </row>
    <row r="150" spans="1:164" customFormat="1" ht="15" x14ac:dyDescent="0.25">
      <c r="A150" s="43"/>
      <c r="B150" s="33"/>
      <c r="C150" s="146" t="s">
        <v>40</v>
      </c>
      <c r="D150" s="146"/>
      <c r="E150" s="146"/>
      <c r="F150" s="35" t="s">
        <v>39</v>
      </c>
      <c r="G150" s="61">
        <v>0.2</v>
      </c>
      <c r="H150" s="38">
        <v>1.4375</v>
      </c>
      <c r="I150" s="38">
        <v>0.3105</v>
      </c>
      <c r="J150" s="45"/>
      <c r="K150" s="36"/>
      <c r="L150" s="46"/>
      <c r="M150" s="106"/>
      <c r="EX150" s="20"/>
      <c r="EY150" s="29"/>
      <c r="EZ150" s="29"/>
      <c r="FA150" s="29"/>
      <c r="FE150" s="3" t="s">
        <v>40</v>
      </c>
      <c r="FG150" s="29"/>
    </row>
    <row r="151" spans="1:164" customFormat="1" ht="15" x14ac:dyDescent="0.25">
      <c r="A151" s="30"/>
      <c r="B151" s="33"/>
      <c r="C151" s="151" t="s">
        <v>41</v>
      </c>
      <c r="D151" s="151"/>
      <c r="E151" s="151"/>
      <c r="F151" s="47"/>
      <c r="G151" s="48"/>
      <c r="H151" s="48"/>
      <c r="I151" s="48"/>
      <c r="J151" s="62">
        <v>365.13</v>
      </c>
      <c r="K151" s="48"/>
      <c r="L151" s="66">
        <f>L145+L146+L148</f>
        <v>33658.124184</v>
      </c>
      <c r="M151" s="106"/>
      <c r="EX151" s="20"/>
      <c r="EY151" s="29"/>
      <c r="EZ151" s="29"/>
      <c r="FA151" s="29"/>
      <c r="FF151" s="3" t="s">
        <v>41</v>
      </c>
      <c r="FG151" s="29"/>
    </row>
    <row r="152" spans="1:164" customFormat="1" ht="15" x14ac:dyDescent="0.25">
      <c r="A152" s="43"/>
      <c r="B152" s="33"/>
      <c r="C152" s="146" t="s">
        <v>42</v>
      </c>
      <c r="D152" s="146"/>
      <c r="E152" s="146"/>
      <c r="F152" s="35"/>
      <c r="G152" s="36"/>
      <c r="H152" s="36"/>
      <c r="I152" s="36"/>
      <c r="J152" s="45"/>
      <c r="K152" s="36"/>
      <c r="L152" s="42">
        <f>L145+L147</f>
        <v>32918.961384000002</v>
      </c>
      <c r="M152" s="106"/>
      <c r="EX152" s="20"/>
      <c r="EY152" s="29"/>
      <c r="EZ152" s="29"/>
      <c r="FA152" s="29"/>
      <c r="FE152" s="3" t="s">
        <v>42</v>
      </c>
      <c r="FG152" s="29"/>
    </row>
    <row r="153" spans="1:164" customFormat="1" ht="23.25" x14ac:dyDescent="0.25">
      <c r="A153" s="43"/>
      <c r="B153" s="33" t="s">
        <v>72</v>
      </c>
      <c r="C153" s="146" t="s">
        <v>73</v>
      </c>
      <c r="D153" s="146"/>
      <c r="E153" s="146"/>
      <c r="F153" s="35" t="s">
        <v>45</v>
      </c>
      <c r="G153" s="51">
        <v>97</v>
      </c>
      <c r="H153" s="36"/>
      <c r="I153" s="51">
        <v>97</v>
      </c>
      <c r="J153" s="45"/>
      <c r="K153" s="36"/>
      <c r="L153" s="42">
        <f>L152*I153%</f>
        <v>31931.39254248</v>
      </c>
      <c r="M153" s="106"/>
      <c r="EX153" s="20"/>
      <c r="EY153" s="29"/>
      <c r="EZ153" s="29"/>
      <c r="FA153" s="29"/>
      <c r="FE153" s="3" t="s">
        <v>73</v>
      </c>
      <c r="FG153" s="29"/>
    </row>
    <row r="154" spans="1:164" customFormat="1" ht="23.25" x14ac:dyDescent="0.25">
      <c r="A154" s="43"/>
      <c r="B154" s="33" t="s">
        <v>74</v>
      </c>
      <c r="C154" s="146" t="s">
        <v>75</v>
      </c>
      <c r="D154" s="146"/>
      <c r="E154" s="146"/>
      <c r="F154" s="35" t="s">
        <v>45</v>
      </c>
      <c r="G154" s="51">
        <v>51</v>
      </c>
      <c r="H154" s="36"/>
      <c r="I154" s="51">
        <v>51</v>
      </c>
      <c r="J154" s="45"/>
      <c r="K154" s="36"/>
      <c r="L154" s="42">
        <f>L152*I154%</f>
        <v>16788.670305840002</v>
      </c>
      <c r="M154" s="106"/>
      <c r="EX154" s="20"/>
      <c r="EY154" s="29"/>
      <c r="EZ154" s="29"/>
      <c r="FA154" s="29"/>
      <c r="FE154" s="3" t="s">
        <v>75</v>
      </c>
      <c r="FG154" s="29"/>
    </row>
    <row r="155" spans="1:164" customFormat="1" ht="15" x14ac:dyDescent="0.25">
      <c r="A155" s="52"/>
      <c r="B155" s="53"/>
      <c r="C155" s="148" t="s">
        <v>48</v>
      </c>
      <c r="D155" s="148"/>
      <c r="E155" s="148"/>
      <c r="F155" s="23"/>
      <c r="G155" s="24"/>
      <c r="H155" s="24"/>
      <c r="I155" s="24"/>
      <c r="J155" s="27"/>
      <c r="K155" s="24"/>
      <c r="L155" s="99">
        <f>L151+L153+L154</f>
        <v>82378.187032319998</v>
      </c>
      <c r="M155" s="106"/>
      <c r="EX155" s="20"/>
      <c r="EY155" s="29"/>
      <c r="EZ155" s="29"/>
      <c r="FA155" s="29"/>
      <c r="FG155" s="29" t="s">
        <v>48</v>
      </c>
    </row>
    <row r="156" spans="1:164" customFormat="1" ht="45" x14ac:dyDescent="0.25">
      <c r="A156" s="21" t="s">
        <v>123</v>
      </c>
      <c r="B156" s="22" t="s">
        <v>124</v>
      </c>
      <c r="C156" s="148" t="s">
        <v>125</v>
      </c>
      <c r="D156" s="148"/>
      <c r="E156" s="148"/>
      <c r="F156" s="23" t="s">
        <v>51</v>
      </c>
      <c r="G156" s="24">
        <v>36</v>
      </c>
      <c r="H156" s="25">
        <v>1</v>
      </c>
      <c r="I156" s="25">
        <v>36</v>
      </c>
      <c r="J156" s="56">
        <f>9632/1.2</f>
        <v>8026.666666666667</v>
      </c>
      <c r="K156" s="26">
        <v>1</v>
      </c>
      <c r="L156" s="55">
        <f>G156*J156*K156</f>
        <v>288960</v>
      </c>
      <c r="M156" s="106"/>
      <c r="EX156" s="20"/>
      <c r="EY156" s="29" t="s">
        <v>125</v>
      </c>
      <c r="EZ156" s="29" t="s">
        <v>0</v>
      </c>
      <c r="FA156" s="29" t="s">
        <v>0</v>
      </c>
      <c r="FG156" s="29"/>
    </row>
    <row r="157" spans="1:164" customFormat="1" ht="15" x14ac:dyDescent="0.25">
      <c r="A157" s="30"/>
      <c r="B157" s="31"/>
      <c r="C157" s="152" t="s">
        <v>304</v>
      </c>
      <c r="D157" s="146"/>
      <c r="E157" s="146"/>
      <c r="F157" s="146"/>
      <c r="G157" s="146"/>
      <c r="H157" s="146"/>
      <c r="I157" s="146"/>
      <c r="J157" s="146"/>
      <c r="K157" s="146"/>
      <c r="L157" s="149"/>
      <c r="M157" s="106"/>
      <c r="EX157" s="20"/>
      <c r="EY157" s="29"/>
      <c r="EZ157" s="29"/>
      <c r="FA157" s="29"/>
      <c r="FG157" s="29"/>
      <c r="FH157" s="3" t="s">
        <v>126</v>
      </c>
    </row>
    <row r="158" spans="1:164" customFormat="1" ht="15" x14ac:dyDescent="0.25">
      <c r="A158" s="32"/>
      <c r="B158" s="33"/>
      <c r="C158" s="141" t="s">
        <v>54</v>
      </c>
      <c r="D158" s="141"/>
      <c r="E158" s="141"/>
      <c r="F158" s="141"/>
      <c r="G158" s="141"/>
      <c r="H158" s="141"/>
      <c r="I158" s="141"/>
      <c r="J158" s="141"/>
      <c r="K158" s="141"/>
      <c r="L158" s="150"/>
      <c r="M158" s="106"/>
      <c r="EX158" s="20"/>
      <c r="EY158" s="29"/>
      <c r="EZ158" s="29"/>
      <c r="FA158" s="29"/>
      <c r="FC158" s="3" t="s">
        <v>54</v>
      </c>
      <c r="FG158" s="29"/>
    </row>
    <row r="159" spans="1:164" customFormat="1" ht="15" x14ac:dyDescent="0.25">
      <c r="A159" s="32"/>
      <c r="B159" s="33"/>
      <c r="C159" s="141" t="s">
        <v>55</v>
      </c>
      <c r="D159" s="141"/>
      <c r="E159" s="141"/>
      <c r="F159" s="141"/>
      <c r="G159" s="141"/>
      <c r="H159" s="141"/>
      <c r="I159" s="141"/>
      <c r="J159" s="141"/>
      <c r="K159" s="141"/>
      <c r="L159" s="150"/>
      <c r="M159" s="106"/>
      <c r="EX159" s="20"/>
      <c r="EY159" s="29"/>
      <c r="EZ159" s="29"/>
      <c r="FA159" s="29"/>
      <c r="FC159" s="3" t="s">
        <v>55</v>
      </c>
      <c r="FG159" s="29"/>
    </row>
    <row r="160" spans="1:164" customFormat="1" ht="15" x14ac:dyDescent="0.25">
      <c r="A160" s="52"/>
      <c r="B160" s="53"/>
      <c r="C160" s="148" t="s">
        <v>48</v>
      </c>
      <c r="D160" s="148"/>
      <c r="E160" s="148"/>
      <c r="F160" s="23"/>
      <c r="G160" s="24"/>
      <c r="H160" s="24"/>
      <c r="I160" s="24"/>
      <c r="J160" s="27"/>
      <c r="K160" s="24"/>
      <c r="L160" s="96">
        <f>L156</f>
        <v>288960</v>
      </c>
      <c r="M160" s="106"/>
      <c r="EX160" s="20"/>
      <c r="EY160" s="29"/>
      <c r="EZ160" s="29"/>
      <c r="FA160" s="29"/>
      <c r="FG160" s="29" t="s">
        <v>48</v>
      </c>
    </row>
    <row r="161" spans="1:164" customFormat="1" ht="45" x14ac:dyDescent="0.25">
      <c r="A161" s="21" t="s">
        <v>127</v>
      </c>
      <c r="B161" s="22" t="s">
        <v>128</v>
      </c>
      <c r="C161" s="148" t="s">
        <v>129</v>
      </c>
      <c r="D161" s="148"/>
      <c r="E161" s="148"/>
      <c r="F161" s="23" t="s">
        <v>51</v>
      </c>
      <c r="G161" s="24">
        <v>36</v>
      </c>
      <c r="H161" s="25">
        <v>1</v>
      </c>
      <c r="I161" s="25">
        <v>36</v>
      </c>
      <c r="J161" s="56">
        <f>6452/1.2</f>
        <v>5376.666666666667</v>
      </c>
      <c r="K161" s="26">
        <v>1</v>
      </c>
      <c r="L161" s="55">
        <f>G161*J161*K161</f>
        <v>193560</v>
      </c>
      <c r="M161" s="106"/>
      <c r="EX161" s="20"/>
      <c r="EY161" s="29" t="s">
        <v>129</v>
      </c>
      <c r="EZ161" s="29" t="s">
        <v>0</v>
      </c>
      <c r="FA161" s="29" t="s">
        <v>0</v>
      </c>
      <c r="FG161" s="29"/>
    </row>
    <row r="162" spans="1:164" customFormat="1" ht="15" x14ac:dyDescent="0.25">
      <c r="A162" s="30"/>
      <c r="B162" s="31"/>
      <c r="C162" s="152" t="s">
        <v>305</v>
      </c>
      <c r="D162" s="146"/>
      <c r="E162" s="146"/>
      <c r="F162" s="146"/>
      <c r="G162" s="146"/>
      <c r="H162" s="146"/>
      <c r="I162" s="146"/>
      <c r="J162" s="146"/>
      <c r="K162" s="146"/>
      <c r="L162" s="149"/>
      <c r="M162" s="106"/>
      <c r="EX162" s="20"/>
      <c r="EY162" s="29"/>
      <c r="EZ162" s="29"/>
      <c r="FA162" s="29"/>
      <c r="FG162" s="29"/>
      <c r="FH162" s="3" t="s">
        <v>130</v>
      </c>
    </row>
    <row r="163" spans="1:164" customFormat="1" ht="15" x14ac:dyDescent="0.25">
      <c r="A163" s="32"/>
      <c r="B163" s="33"/>
      <c r="C163" s="141" t="s">
        <v>54</v>
      </c>
      <c r="D163" s="141"/>
      <c r="E163" s="141"/>
      <c r="F163" s="141"/>
      <c r="G163" s="141"/>
      <c r="H163" s="141"/>
      <c r="I163" s="141"/>
      <c r="J163" s="141"/>
      <c r="K163" s="141"/>
      <c r="L163" s="150"/>
      <c r="M163" s="106"/>
      <c r="EX163" s="20"/>
      <c r="EY163" s="29"/>
      <c r="EZ163" s="29"/>
      <c r="FA163" s="29"/>
      <c r="FC163" s="3" t="s">
        <v>54</v>
      </c>
      <c r="FG163" s="29"/>
    </row>
    <row r="164" spans="1:164" customFormat="1" ht="15" x14ac:dyDescent="0.25">
      <c r="A164" s="32"/>
      <c r="B164" s="33"/>
      <c r="C164" s="141" t="s">
        <v>55</v>
      </c>
      <c r="D164" s="141"/>
      <c r="E164" s="141"/>
      <c r="F164" s="141"/>
      <c r="G164" s="141"/>
      <c r="H164" s="141"/>
      <c r="I164" s="141"/>
      <c r="J164" s="141"/>
      <c r="K164" s="141"/>
      <c r="L164" s="150"/>
      <c r="M164" s="106"/>
      <c r="EX164" s="20"/>
      <c r="EY164" s="29"/>
      <c r="EZ164" s="29"/>
      <c r="FA164" s="29"/>
      <c r="FC164" s="3" t="s">
        <v>55</v>
      </c>
      <c r="FG164" s="29"/>
    </row>
    <row r="165" spans="1:164" customFormat="1" ht="15" x14ac:dyDescent="0.25">
      <c r="A165" s="52"/>
      <c r="B165" s="53"/>
      <c r="C165" s="148" t="s">
        <v>48</v>
      </c>
      <c r="D165" s="148"/>
      <c r="E165" s="148"/>
      <c r="F165" s="23"/>
      <c r="G165" s="24"/>
      <c r="H165" s="24"/>
      <c r="I165" s="24"/>
      <c r="J165" s="27"/>
      <c r="K165" s="24"/>
      <c r="L165" s="96">
        <f>L161</f>
        <v>193560</v>
      </c>
      <c r="M165" s="106"/>
      <c r="EX165" s="20"/>
      <c r="EY165" s="29"/>
      <c r="EZ165" s="29"/>
      <c r="FA165" s="29"/>
      <c r="FG165" s="29" t="s">
        <v>48</v>
      </c>
    </row>
    <row r="166" spans="1:164" customFormat="1" ht="34.5" x14ac:dyDescent="0.25">
      <c r="A166" s="21" t="s">
        <v>131</v>
      </c>
      <c r="B166" s="22" t="s">
        <v>132</v>
      </c>
      <c r="C166" s="148" t="s">
        <v>133</v>
      </c>
      <c r="D166" s="148"/>
      <c r="E166" s="148"/>
      <c r="F166" s="23" t="s">
        <v>134</v>
      </c>
      <c r="G166" s="24">
        <v>1.59</v>
      </c>
      <c r="H166" s="25">
        <v>1</v>
      </c>
      <c r="I166" s="57">
        <v>1.59</v>
      </c>
      <c r="J166" s="27"/>
      <c r="K166" s="24"/>
      <c r="L166" s="28"/>
      <c r="M166" s="106"/>
      <c r="EX166" s="20"/>
      <c r="EY166" s="29" t="s">
        <v>133</v>
      </c>
      <c r="EZ166" s="29" t="s">
        <v>0</v>
      </c>
      <c r="FA166" s="29" t="s">
        <v>0</v>
      </c>
      <c r="FG166" s="29"/>
    </row>
    <row r="167" spans="1:164" customFormat="1" ht="15" x14ac:dyDescent="0.25">
      <c r="A167" s="30"/>
      <c r="B167" s="31"/>
      <c r="C167" s="146" t="s">
        <v>135</v>
      </c>
      <c r="D167" s="146"/>
      <c r="E167" s="146"/>
      <c r="F167" s="146"/>
      <c r="G167" s="146"/>
      <c r="H167" s="146"/>
      <c r="I167" s="146"/>
      <c r="J167" s="146"/>
      <c r="K167" s="146"/>
      <c r="L167" s="149"/>
      <c r="M167" s="106"/>
      <c r="EX167" s="20"/>
      <c r="EY167" s="29"/>
      <c r="EZ167" s="29"/>
      <c r="FA167" s="29"/>
      <c r="FB167" s="3" t="s">
        <v>135</v>
      </c>
      <c r="FG167" s="29"/>
    </row>
    <row r="168" spans="1:164" customFormat="1" ht="68.25" x14ac:dyDescent="0.25">
      <c r="A168" s="32"/>
      <c r="B168" s="33" t="s">
        <v>27</v>
      </c>
      <c r="C168" s="141" t="s">
        <v>28</v>
      </c>
      <c r="D168" s="141"/>
      <c r="E168" s="141"/>
      <c r="F168" s="141"/>
      <c r="G168" s="141"/>
      <c r="H168" s="141"/>
      <c r="I168" s="141"/>
      <c r="J168" s="141"/>
      <c r="K168" s="141"/>
      <c r="L168" s="150"/>
      <c r="M168" s="106"/>
      <c r="EX168" s="20"/>
      <c r="EY168" s="29"/>
      <c r="EZ168" s="29"/>
      <c r="FA168" s="29"/>
      <c r="FC168" s="3" t="s">
        <v>28</v>
      </c>
      <c r="FG168" s="29"/>
    </row>
    <row r="169" spans="1:164" customFormat="1" ht="22.5" x14ac:dyDescent="0.25">
      <c r="A169" s="32"/>
      <c r="B169" s="33" t="s">
        <v>136</v>
      </c>
      <c r="C169" s="141" t="s">
        <v>137</v>
      </c>
      <c r="D169" s="141"/>
      <c r="E169" s="141"/>
      <c r="F169" s="141"/>
      <c r="G169" s="141"/>
      <c r="H169" s="141"/>
      <c r="I169" s="141"/>
      <c r="J169" s="141"/>
      <c r="K169" s="141"/>
      <c r="L169" s="150"/>
      <c r="M169" s="106"/>
      <c r="EX169" s="20"/>
      <c r="EY169" s="29"/>
      <c r="EZ169" s="29"/>
      <c r="FA169" s="29"/>
      <c r="FC169" s="3" t="s">
        <v>137</v>
      </c>
      <c r="FG169" s="29"/>
    </row>
    <row r="170" spans="1:164" customFormat="1" ht="23.25" x14ac:dyDescent="0.25">
      <c r="A170" s="32"/>
      <c r="B170" s="33" t="s">
        <v>29</v>
      </c>
      <c r="C170" s="141" t="s">
        <v>30</v>
      </c>
      <c r="D170" s="141"/>
      <c r="E170" s="141"/>
      <c r="F170" s="141"/>
      <c r="G170" s="141"/>
      <c r="H170" s="141"/>
      <c r="I170" s="141"/>
      <c r="J170" s="141"/>
      <c r="K170" s="141"/>
      <c r="L170" s="150"/>
      <c r="M170" s="106"/>
      <c r="N170" s="118" t="s">
        <v>317</v>
      </c>
      <c r="EX170" s="20"/>
      <c r="EY170" s="29"/>
      <c r="EZ170" s="29"/>
      <c r="FA170" s="29"/>
      <c r="FC170" s="3" t="s">
        <v>30</v>
      </c>
      <c r="FG170" s="29"/>
    </row>
    <row r="171" spans="1:164" customFormat="1" ht="15" x14ac:dyDescent="0.25">
      <c r="A171" s="34"/>
      <c r="B171" s="33" t="s">
        <v>22</v>
      </c>
      <c r="C171" s="146" t="s">
        <v>31</v>
      </c>
      <c r="D171" s="146"/>
      <c r="E171" s="146"/>
      <c r="F171" s="35"/>
      <c r="G171" s="36"/>
      <c r="H171" s="36"/>
      <c r="I171" s="36"/>
      <c r="J171" s="117">
        <f>O171</f>
        <v>121808.3725</v>
      </c>
      <c r="K171" s="64">
        <v>1</v>
      </c>
      <c r="L171" s="41">
        <f>G166*J171*K171</f>
        <v>193675.312275</v>
      </c>
      <c r="M171" s="106">
        <v>49.45</v>
      </c>
      <c r="N171" s="112">
        <v>39029.69498575</v>
      </c>
      <c r="O171" s="113">
        <v>121808.3725</v>
      </c>
      <c r="P171" s="105">
        <f>G175</f>
        <v>94</v>
      </c>
      <c r="Q171" s="105">
        <f>O171/P171*8</f>
        <v>10366.67</v>
      </c>
      <c r="R171" s="105">
        <f>Q171*22</f>
        <v>228066.74</v>
      </c>
      <c r="S171" s="105">
        <f>R171*(1-0.43)</f>
        <v>129998.04180000001</v>
      </c>
      <c r="EX171" s="20"/>
      <c r="EY171" s="29"/>
      <c r="EZ171" s="29"/>
      <c r="FA171" s="29"/>
      <c r="FD171" s="3" t="s">
        <v>31</v>
      </c>
      <c r="FG171" s="29"/>
    </row>
    <row r="172" spans="1:164" customFormat="1" ht="15" x14ac:dyDescent="0.25">
      <c r="A172" s="34"/>
      <c r="B172" s="33" t="s">
        <v>32</v>
      </c>
      <c r="C172" s="146" t="s">
        <v>33</v>
      </c>
      <c r="D172" s="146"/>
      <c r="E172" s="146"/>
      <c r="F172" s="35"/>
      <c r="G172" s="36"/>
      <c r="H172" s="36"/>
      <c r="I172" s="36"/>
      <c r="J172" s="116">
        <f>O172</f>
        <v>48587.499999999993</v>
      </c>
      <c r="K172" s="64">
        <v>1</v>
      </c>
      <c r="L172" s="41">
        <f>G166*J172*K172</f>
        <v>77254.124999999985</v>
      </c>
      <c r="M172" s="106">
        <v>14.53</v>
      </c>
      <c r="N172" s="112">
        <v>34952.368154375006</v>
      </c>
      <c r="O172" s="113">
        <v>48587.499999999993</v>
      </c>
      <c r="P172" s="105">
        <f>G176</f>
        <v>16.899999999999999</v>
      </c>
      <c r="Q172" s="105">
        <f>O172/P172*8</f>
        <v>23000</v>
      </c>
      <c r="EX172" s="20"/>
      <c r="EY172" s="29"/>
      <c r="EZ172" s="29"/>
      <c r="FA172" s="29"/>
      <c r="FD172" s="3" t="s">
        <v>33</v>
      </c>
      <c r="FG172" s="29"/>
    </row>
    <row r="173" spans="1:164" customFormat="1" ht="15" x14ac:dyDescent="0.25">
      <c r="A173" s="34"/>
      <c r="B173" s="33" t="s">
        <v>34</v>
      </c>
      <c r="C173" s="146" t="s">
        <v>35</v>
      </c>
      <c r="D173" s="146"/>
      <c r="E173" s="146"/>
      <c r="F173" s="35"/>
      <c r="G173" s="36"/>
      <c r="H173" s="36"/>
      <c r="I173" s="36"/>
      <c r="J173" s="39">
        <v>229.05</v>
      </c>
      <c r="K173" s="64">
        <v>1</v>
      </c>
      <c r="L173" s="42">
        <f>G166*J173*K173</f>
        <v>364.18950000000001</v>
      </c>
      <c r="M173" s="106"/>
      <c r="EX173" s="20"/>
      <c r="EY173" s="29"/>
      <c r="EZ173" s="29"/>
      <c r="FA173" s="29"/>
      <c r="FD173" s="3" t="s">
        <v>35</v>
      </c>
      <c r="FG173" s="29"/>
    </row>
    <row r="174" spans="1:164" customFormat="1" ht="15" x14ac:dyDescent="0.25">
      <c r="A174" s="34"/>
      <c r="B174" s="33" t="s">
        <v>36</v>
      </c>
      <c r="C174" s="146" t="s">
        <v>37</v>
      </c>
      <c r="D174" s="146"/>
      <c r="E174" s="146"/>
      <c r="F174" s="35"/>
      <c r="G174" s="36"/>
      <c r="H174" s="36"/>
      <c r="I174" s="36"/>
      <c r="J174" s="39">
        <v>0</v>
      </c>
      <c r="K174" s="51">
        <v>0</v>
      </c>
      <c r="L174" s="42">
        <f>G166*J174</f>
        <v>0</v>
      </c>
      <c r="M174" s="106"/>
      <c r="EX174" s="20"/>
      <c r="EY174" s="29"/>
      <c r="EZ174" s="29"/>
      <c r="FA174" s="29"/>
      <c r="FD174" s="3" t="s">
        <v>37</v>
      </c>
      <c r="FG174" s="29"/>
    </row>
    <row r="175" spans="1:164" customFormat="1" ht="15" x14ac:dyDescent="0.25">
      <c r="A175" s="43"/>
      <c r="B175" s="33"/>
      <c r="C175" s="146" t="s">
        <v>38</v>
      </c>
      <c r="D175" s="146"/>
      <c r="E175" s="146"/>
      <c r="F175" s="35" t="s">
        <v>39</v>
      </c>
      <c r="G175" s="51">
        <v>94</v>
      </c>
      <c r="H175" s="64">
        <v>0.92574999999999996</v>
      </c>
      <c r="I175" s="60">
        <v>138.362595</v>
      </c>
      <c r="J175" s="45"/>
      <c r="K175" s="36"/>
      <c r="L175" s="46"/>
      <c r="M175" s="106"/>
      <c r="EX175" s="20"/>
      <c r="EY175" s="29"/>
      <c r="EZ175" s="29"/>
      <c r="FA175" s="29"/>
      <c r="FE175" s="3" t="s">
        <v>38</v>
      </c>
      <c r="FG175" s="29"/>
    </row>
    <row r="176" spans="1:164" customFormat="1" ht="15" x14ac:dyDescent="0.25">
      <c r="A176" s="43"/>
      <c r="B176" s="33"/>
      <c r="C176" s="146" t="s">
        <v>40</v>
      </c>
      <c r="D176" s="146"/>
      <c r="E176" s="146"/>
      <c r="F176" s="35" t="s">
        <v>39</v>
      </c>
      <c r="G176" s="61">
        <v>16.899999999999999</v>
      </c>
      <c r="H176" s="64">
        <v>1.0062500000000001</v>
      </c>
      <c r="I176" s="44">
        <v>27.038943799999998</v>
      </c>
      <c r="J176" s="45"/>
      <c r="K176" s="36"/>
      <c r="L176" s="46"/>
      <c r="M176" s="106"/>
      <c r="EX176" s="20"/>
      <c r="EY176" s="29"/>
      <c r="EZ176" s="29"/>
      <c r="FA176" s="29"/>
      <c r="FE176" s="3" t="s">
        <v>40</v>
      </c>
      <c r="FG176" s="29"/>
    </row>
    <row r="177" spans="1:163" customFormat="1" ht="15" x14ac:dyDescent="0.25">
      <c r="A177" s="30"/>
      <c r="B177" s="33"/>
      <c r="C177" s="151" t="s">
        <v>41</v>
      </c>
      <c r="D177" s="151"/>
      <c r="E177" s="151"/>
      <c r="F177" s="47"/>
      <c r="G177" s="48"/>
      <c r="H177" s="48"/>
      <c r="I177" s="48"/>
      <c r="J177" s="49">
        <v>3544.01</v>
      </c>
      <c r="K177" s="48"/>
      <c r="L177" s="50">
        <f>L171+L172+L174</f>
        <v>270929.43727499997</v>
      </c>
      <c r="M177" s="106"/>
      <c r="EX177" s="20"/>
      <c r="EY177" s="29"/>
      <c r="EZ177" s="29"/>
      <c r="FA177" s="29"/>
      <c r="FF177" s="3" t="s">
        <v>41</v>
      </c>
      <c r="FG177" s="29"/>
    </row>
    <row r="178" spans="1:163" customFormat="1" ht="15" x14ac:dyDescent="0.25">
      <c r="A178" s="43"/>
      <c r="B178" s="33"/>
      <c r="C178" s="146" t="s">
        <v>42</v>
      </c>
      <c r="D178" s="146"/>
      <c r="E178" s="146"/>
      <c r="F178" s="35"/>
      <c r="G178" s="36"/>
      <c r="H178" s="36"/>
      <c r="I178" s="36"/>
      <c r="J178" s="45"/>
      <c r="K178" s="36"/>
      <c r="L178" s="41">
        <f>L171+L173</f>
        <v>194039.50177500001</v>
      </c>
      <c r="M178" s="106"/>
      <c r="EX178" s="20"/>
      <c r="EY178" s="29"/>
      <c r="EZ178" s="29"/>
      <c r="FA178" s="29"/>
      <c r="FE178" s="3" t="s">
        <v>42</v>
      </c>
      <c r="FG178" s="29"/>
    </row>
    <row r="179" spans="1:163" customFormat="1" ht="23.25" x14ac:dyDescent="0.25">
      <c r="A179" s="43"/>
      <c r="B179" s="33" t="s">
        <v>138</v>
      </c>
      <c r="C179" s="146" t="s">
        <v>139</v>
      </c>
      <c r="D179" s="146"/>
      <c r="E179" s="146"/>
      <c r="F179" s="35" t="s">
        <v>45</v>
      </c>
      <c r="G179" s="51">
        <v>93</v>
      </c>
      <c r="H179" s="36"/>
      <c r="I179" s="51">
        <v>93</v>
      </c>
      <c r="J179" s="45"/>
      <c r="K179" s="36"/>
      <c r="L179" s="41">
        <f>L178*I179%</f>
        <v>180456.73665075001</v>
      </c>
      <c r="M179" s="106"/>
      <c r="EX179" s="20"/>
      <c r="EY179" s="29"/>
      <c r="EZ179" s="29"/>
      <c r="FA179" s="29"/>
      <c r="FE179" s="3" t="s">
        <v>139</v>
      </c>
      <c r="FG179" s="29"/>
    </row>
    <row r="180" spans="1:163" customFormat="1" ht="45" x14ac:dyDescent="0.25">
      <c r="A180" s="43"/>
      <c r="B180" s="33" t="s">
        <v>140</v>
      </c>
      <c r="C180" s="146" t="s">
        <v>141</v>
      </c>
      <c r="D180" s="146"/>
      <c r="E180" s="146"/>
      <c r="F180" s="35" t="s">
        <v>45</v>
      </c>
      <c r="G180" s="51">
        <v>62</v>
      </c>
      <c r="H180" s="40">
        <v>0.85</v>
      </c>
      <c r="I180" s="61">
        <v>52.7</v>
      </c>
      <c r="J180" s="45"/>
      <c r="K180" s="36"/>
      <c r="L180" s="42">
        <f>L178*I180%</f>
        <v>102258.81743542501</v>
      </c>
      <c r="M180" s="106"/>
      <c r="EX180" s="20"/>
      <c r="EY180" s="29"/>
      <c r="EZ180" s="29"/>
      <c r="FA180" s="29"/>
      <c r="FE180" s="3" t="s">
        <v>141</v>
      </c>
      <c r="FG180" s="29"/>
    </row>
    <row r="181" spans="1:163" customFormat="1" ht="15" x14ac:dyDescent="0.25">
      <c r="A181" s="52"/>
      <c r="B181" s="53"/>
      <c r="C181" s="148" t="s">
        <v>48</v>
      </c>
      <c r="D181" s="148"/>
      <c r="E181" s="148"/>
      <c r="F181" s="23"/>
      <c r="G181" s="24"/>
      <c r="H181" s="24"/>
      <c r="I181" s="24"/>
      <c r="J181" s="27"/>
      <c r="K181" s="24"/>
      <c r="L181" s="96">
        <f>L177+L179+L180</f>
        <v>553644.99136117497</v>
      </c>
      <c r="M181" s="106"/>
      <c r="EX181" s="20"/>
      <c r="EY181" s="29"/>
      <c r="EZ181" s="29"/>
      <c r="FA181" s="29"/>
      <c r="FG181" s="29" t="s">
        <v>48</v>
      </c>
    </row>
    <row r="182" spans="1:163" customFormat="1" ht="45.75" x14ac:dyDescent="0.25">
      <c r="A182" s="21" t="s">
        <v>142</v>
      </c>
      <c r="B182" s="22" t="s">
        <v>132</v>
      </c>
      <c r="C182" s="148" t="s">
        <v>143</v>
      </c>
      <c r="D182" s="148"/>
      <c r="E182" s="148"/>
      <c r="F182" s="23" t="s">
        <v>134</v>
      </c>
      <c r="G182" s="24">
        <v>1.59</v>
      </c>
      <c r="H182" s="25">
        <v>1</v>
      </c>
      <c r="I182" s="57">
        <v>1.59</v>
      </c>
      <c r="J182" s="27"/>
      <c r="K182" s="24"/>
      <c r="L182" s="28"/>
      <c r="M182" s="106"/>
      <c r="EX182" s="20"/>
      <c r="EY182" s="29" t="s">
        <v>143</v>
      </c>
      <c r="EZ182" s="29" t="s">
        <v>0</v>
      </c>
      <c r="FA182" s="29" t="s">
        <v>0</v>
      </c>
      <c r="FG182" s="29"/>
    </row>
    <row r="183" spans="1:163" customFormat="1" ht="15" x14ac:dyDescent="0.25">
      <c r="A183" s="30"/>
      <c r="B183" s="31"/>
      <c r="C183" s="146" t="s">
        <v>135</v>
      </c>
      <c r="D183" s="146"/>
      <c r="E183" s="146"/>
      <c r="F183" s="146"/>
      <c r="G183" s="146"/>
      <c r="H183" s="146"/>
      <c r="I183" s="146"/>
      <c r="J183" s="146"/>
      <c r="K183" s="146"/>
      <c r="L183" s="149"/>
      <c r="M183" s="106"/>
      <c r="EX183" s="20"/>
      <c r="EY183" s="29"/>
      <c r="EZ183" s="29"/>
      <c r="FA183" s="29"/>
      <c r="FB183" s="3" t="s">
        <v>135</v>
      </c>
      <c r="FG183" s="29"/>
    </row>
    <row r="184" spans="1:163" customFormat="1" ht="68.25" x14ac:dyDescent="0.25">
      <c r="A184" s="32"/>
      <c r="B184" s="33" t="s">
        <v>27</v>
      </c>
      <c r="C184" s="141" t="s">
        <v>28</v>
      </c>
      <c r="D184" s="141"/>
      <c r="E184" s="141"/>
      <c r="F184" s="141"/>
      <c r="G184" s="141"/>
      <c r="H184" s="141"/>
      <c r="I184" s="141"/>
      <c r="J184" s="141"/>
      <c r="K184" s="141"/>
      <c r="L184" s="150"/>
      <c r="M184" s="106"/>
      <c r="EX184" s="20"/>
      <c r="EY184" s="29"/>
      <c r="EZ184" s="29"/>
      <c r="FA184" s="29"/>
      <c r="FC184" s="3" t="s">
        <v>28</v>
      </c>
      <c r="FG184" s="29"/>
    </row>
    <row r="185" spans="1:163" customFormat="1" ht="23.25" x14ac:dyDescent="0.25">
      <c r="A185" s="32"/>
      <c r="B185" s="33" t="s">
        <v>29</v>
      </c>
      <c r="C185" s="141" t="s">
        <v>30</v>
      </c>
      <c r="D185" s="141"/>
      <c r="E185" s="141"/>
      <c r="F185" s="141"/>
      <c r="G185" s="141"/>
      <c r="H185" s="141"/>
      <c r="I185" s="141"/>
      <c r="J185" s="141"/>
      <c r="K185" s="141"/>
      <c r="L185" s="150"/>
      <c r="M185" s="106"/>
      <c r="N185" s="118" t="s">
        <v>322</v>
      </c>
      <c r="EX185" s="20"/>
      <c r="EY185" s="29"/>
      <c r="EZ185" s="29"/>
      <c r="FA185" s="29"/>
      <c r="FC185" s="3" t="s">
        <v>30</v>
      </c>
      <c r="FG185" s="29"/>
    </row>
    <row r="186" spans="1:163" customFormat="1" ht="15" x14ac:dyDescent="0.25">
      <c r="A186" s="34"/>
      <c r="B186" s="33" t="s">
        <v>22</v>
      </c>
      <c r="C186" s="146" t="s">
        <v>31</v>
      </c>
      <c r="D186" s="146"/>
      <c r="E186" s="146"/>
      <c r="F186" s="35"/>
      <c r="G186" s="36"/>
      <c r="H186" s="36"/>
      <c r="I186" s="36"/>
      <c r="J186" s="117">
        <f>O186</f>
        <v>121808.3725</v>
      </c>
      <c r="K186" s="38">
        <v>1</v>
      </c>
      <c r="L186" s="41">
        <f>G182*J186*K186</f>
        <v>193675.312275</v>
      </c>
      <c r="M186" s="106">
        <v>49.45</v>
      </c>
      <c r="N186" s="112">
        <v>55756.707122500011</v>
      </c>
      <c r="O186" s="113">
        <v>121808.3725</v>
      </c>
      <c r="P186" s="105">
        <f>G190</f>
        <v>94</v>
      </c>
      <c r="Q186" s="105">
        <f>O186/P186*8</f>
        <v>10366.67</v>
      </c>
      <c r="R186" s="105">
        <f>Q186*22</f>
        <v>228066.74</v>
      </c>
      <c r="S186" s="105">
        <f>R186*(1-0.43)</f>
        <v>129998.04180000001</v>
      </c>
      <c r="EX186" s="20"/>
      <c r="EY186" s="29"/>
      <c r="EZ186" s="29"/>
      <c r="FA186" s="29"/>
      <c r="FD186" s="3" t="s">
        <v>31</v>
      </c>
      <c r="FG186" s="29"/>
    </row>
    <row r="187" spans="1:163" customFormat="1" ht="15" x14ac:dyDescent="0.25">
      <c r="A187" s="34"/>
      <c r="B187" s="33" t="s">
        <v>32</v>
      </c>
      <c r="C187" s="146" t="s">
        <v>33</v>
      </c>
      <c r="D187" s="146"/>
      <c r="E187" s="146"/>
      <c r="F187" s="35"/>
      <c r="G187" s="36"/>
      <c r="H187" s="36"/>
      <c r="I187" s="36"/>
      <c r="J187" s="116">
        <f>O187</f>
        <v>48587.499999999993</v>
      </c>
      <c r="K187" s="38">
        <v>1</v>
      </c>
      <c r="L187" s="41">
        <f>G182*J187*K187</f>
        <v>77254.124999999985</v>
      </c>
      <c r="M187" s="106">
        <v>14.53</v>
      </c>
      <c r="N187" s="112">
        <v>49931.954506250004</v>
      </c>
      <c r="O187" s="113">
        <v>48587.499999999993</v>
      </c>
      <c r="P187" s="105">
        <f>G191</f>
        <v>16.899999999999999</v>
      </c>
      <c r="Q187" s="105">
        <f>O187/P187*8</f>
        <v>23000</v>
      </c>
      <c r="EX187" s="20"/>
      <c r="EY187" s="29"/>
      <c r="EZ187" s="29"/>
      <c r="FA187" s="29"/>
      <c r="FD187" s="3" t="s">
        <v>33</v>
      </c>
      <c r="FG187" s="29"/>
    </row>
    <row r="188" spans="1:163" customFormat="1" ht="15" x14ac:dyDescent="0.25">
      <c r="A188" s="34"/>
      <c r="B188" s="33" t="s">
        <v>34</v>
      </c>
      <c r="C188" s="146" t="s">
        <v>35</v>
      </c>
      <c r="D188" s="146"/>
      <c r="E188" s="146"/>
      <c r="F188" s="35"/>
      <c r="G188" s="36"/>
      <c r="H188" s="36"/>
      <c r="I188" s="36"/>
      <c r="J188" s="39">
        <v>229.05</v>
      </c>
      <c r="K188" s="38">
        <v>1</v>
      </c>
      <c r="L188" s="42">
        <f>G182*J188*K188</f>
        <v>364.18950000000001</v>
      </c>
      <c r="M188" s="106"/>
      <c r="EX188" s="20"/>
      <c r="EY188" s="29"/>
      <c r="EZ188" s="29"/>
      <c r="FA188" s="29"/>
      <c r="FD188" s="3" t="s">
        <v>35</v>
      </c>
      <c r="FG188" s="29"/>
    </row>
    <row r="189" spans="1:163" customFormat="1" ht="15" x14ac:dyDescent="0.25">
      <c r="A189" s="34"/>
      <c r="B189" s="33" t="s">
        <v>36</v>
      </c>
      <c r="C189" s="146" t="s">
        <v>37</v>
      </c>
      <c r="D189" s="146"/>
      <c r="E189" s="146"/>
      <c r="F189" s="35"/>
      <c r="G189" s="36"/>
      <c r="H189" s="36"/>
      <c r="I189" s="36"/>
      <c r="J189" s="39">
        <v>0</v>
      </c>
      <c r="K189" s="36"/>
      <c r="L189" s="42">
        <f>G182*J189</f>
        <v>0</v>
      </c>
      <c r="M189" s="106"/>
      <c r="EX189" s="20"/>
      <c r="EY189" s="29"/>
      <c r="EZ189" s="29"/>
      <c r="FA189" s="29"/>
      <c r="FD189" s="3" t="s">
        <v>37</v>
      </c>
      <c r="FG189" s="29"/>
    </row>
    <row r="190" spans="1:163" customFormat="1" ht="15" x14ac:dyDescent="0.25">
      <c r="A190" s="43"/>
      <c r="B190" s="33"/>
      <c r="C190" s="146" t="s">
        <v>38</v>
      </c>
      <c r="D190" s="146"/>
      <c r="E190" s="146"/>
      <c r="F190" s="35" t="s">
        <v>39</v>
      </c>
      <c r="G190" s="51">
        <v>94</v>
      </c>
      <c r="H190" s="38">
        <v>1.3225</v>
      </c>
      <c r="I190" s="64">
        <v>197.66085000000001</v>
      </c>
      <c r="J190" s="45"/>
      <c r="K190" s="36"/>
      <c r="L190" s="46"/>
      <c r="M190" s="106"/>
      <c r="EX190" s="20"/>
      <c r="EY190" s="29"/>
      <c r="EZ190" s="29"/>
      <c r="FA190" s="29"/>
      <c r="FE190" s="3" t="s">
        <v>38</v>
      </c>
      <c r="FG190" s="29"/>
    </row>
    <row r="191" spans="1:163" customFormat="1" ht="15" x14ac:dyDescent="0.25">
      <c r="A191" s="43"/>
      <c r="B191" s="33"/>
      <c r="C191" s="146" t="s">
        <v>40</v>
      </c>
      <c r="D191" s="146"/>
      <c r="E191" s="146"/>
      <c r="F191" s="35" t="s">
        <v>39</v>
      </c>
      <c r="G191" s="61">
        <v>16.899999999999999</v>
      </c>
      <c r="H191" s="38">
        <v>1.4375</v>
      </c>
      <c r="I191" s="44">
        <v>38.627062500000001</v>
      </c>
      <c r="J191" s="45"/>
      <c r="K191" s="36"/>
      <c r="L191" s="46"/>
      <c r="M191" s="106"/>
      <c r="EX191" s="20"/>
      <c r="EY191" s="29"/>
      <c r="EZ191" s="29"/>
      <c r="FA191" s="29"/>
      <c r="FE191" s="3" t="s">
        <v>40</v>
      </c>
      <c r="FG191" s="29"/>
    </row>
    <row r="192" spans="1:163" customFormat="1" ht="15" x14ac:dyDescent="0.25">
      <c r="A192" s="30"/>
      <c r="B192" s="33"/>
      <c r="C192" s="151" t="s">
        <v>41</v>
      </c>
      <c r="D192" s="151"/>
      <c r="E192" s="151"/>
      <c r="F192" s="47"/>
      <c r="G192" s="48"/>
      <c r="H192" s="48"/>
      <c r="I192" s="48"/>
      <c r="J192" s="49">
        <v>3544.01</v>
      </c>
      <c r="K192" s="48"/>
      <c r="L192" s="50">
        <f>L186+L187+L189</f>
        <v>270929.43727499997</v>
      </c>
      <c r="M192" s="106"/>
      <c r="EX192" s="20"/>
      <c r="EY192" s="29"/>
      <c r="EZ192" s="29"/>
      <c r="FA192" s="29"/>
      <c r="FF192" s="3" t="s">
        <v>41</v>
      </c>
      <c r="FG192" s="29"/>
    </row>
    <row r="193" spans="1:163" customFormat="1" ht="15" x14ac:dyDescent="0.25">
      <c r="A193" s="43"/>
      <c r="B193" s="33"/>
      <c r="C193" s="146" t="s">
        <v>42</v>
      </c>
      <c r="D193" s="146"/>
      <c r="E193" s="146"/>
      <c r="F193" s="35"/>
      <c r="G193" s="36"/>
      <c r="H193" s="36"/>
      <c r="I193" s="36"/>
      <c r="J193" s="45"/>
      <c r="K193" s="36"/>
      <c r="L193" s="41">
        <f>L186+L188</f>
        <v>194039.50177500001</v>
      </c>
      <c r="M193" s="106"/>
      <c r="EX193" s="20"/>
      <c r="EY193" s="29"/>
      <c r="EZ193" s="29"/>
      <c r="FA193" s="29"/>
      <c r="FE193" s="3" t="s">
        <v>42</v>
      </c>
      <c r="FG193" s="29"/>
    </row>
    <row r="194" spans="1:163" customFormat="1" ht="23.25" x14ac:dyDescent="0.25">
      <c r="A194" s="43"/>
      <c r="B194" s="33" t="s">
        <v>138</v>
      </c>
      <c r="C194" s="146" t="s">
        <v>139</v>
      </c>
      <c r="D194" s="146"/>
      <c r="E194" s="146"/>
      <c r="F194" s="35" t="s">
        <v>45</v>
      </c>
      <c r="G194" s="51">
        <v>93</v>
      </c>
      <c r="H194" s="36"/>
      <c r="I194" s="51">
        <v>93</v>
      </c>
      <c r="J194" s="45"/>
      <c r="K194" s="36"/>
      <c r="L194" s="41">
        <f>L193*I194%</f>
        <v>180456.73665075001</v>
      </c>
      <c r="M194" s="106"/>
      <c r="EX194" s="20"/>
      <c r="EY194" s="29"/>
      <c r="EZ194" s="29"/>
      <c r="FA194" s="29"/>
      <c r="FE194" s="3" t="s">
        <v>139</v>
      </c>
      <c r="FG194" s="29"/>
    </row>
    <row r="195" spans="1:163" customFormat="1" ht="45" x14ac:dyDescent="0.25">
      <c r="A195" s="43"/>
      <c r="B195" s="33" t="s">
        <v>140</v>
      </c>
      <c r="C195" s="146" t="s">
        <v>141</v>
      </c>
      <c r="D195" s="146"/>
      <c r="E195" s="146"/>
      <c r="F195" s="35" t="s">
        <v>45</v>
      </c>
      <c r="G195" s="51">
        <v>62</v>
      </c>
      <c r="H195" s="40">
        <v>0.85</v>
      </c>
      <c r="I195" s="61">
        <v>52.7</v>
      </c>
      <c r="J195" s="45"/>
      <c r="K195" s="36"/>
      <c r="L195" s="41">
        <f>L193*I195%</f>
        <v>102258.81743542501</v>
      </c>
      <c r="M195" s="106"/>
      <c r="EX195" s="20"/>
      <c r="EY195" s="29"/>
      <c r="EZ195" s="29"/>
      <c r="FA195" s="29"/>
      <c r="FE195" s="3" t="s">
        <v>141</v>
      </c>
      <c r="FG195" s="29"/>
    </row>
    <row r="196" spans="1:163" customFormat="1" ht="15" x14ac:dyDescent="0.25">
      <c r="A196" s="52"/>
      <c r="B196" s="53"/>
      <c r="C196" s="148" t="s">
        <v>48</v>
      </c>
      <c r="D196" s="148"/>
      <c r="E196" s="148"/>
      <c r="F196" s="23"/>
      <c r="G196" s="24"/>
      <c r="H196" s="24"/>
      <c r="I196" s="24"/>
      <c r="J196" s="27"/>
      <c r="K196" s="24"/>
      <c r="L196" s="96">
        <f>L192+L194+L195</f>
        <v>553644.99136117497</v>
      </c>
      <c r="M196" s="106"/>
      <c r="EX196" s="20"/>
      <c r="EY196" s="29"/>
      <c r="EZ196" s="29"/>
      <c r="FA196" s="29"/>
      <c r="FG196" s="29" t="s">
        <v>48</v>
      </c>
    </row>
    <row r="197" spans="1:163" customFormat="1" ht="45.75" x14ac:dyDescent="0.25">
      <c r="A197" s="21" t="s">
        <v>144</v>
      </c>
      <c r="B197" s="22" t="s">
        <v>145</v>
      </c>
      <c r="C197" s="148" t="s">
        <v>146</v>
      </c>
      <c r="D197" s="148"/>
      <c r="E197" s="148"/>
      <c r="F197" s="23" t="s">
        <v>147</v>
      </c>
      <c r="G197" s="24">
        <v>0.04</v>
      </c>
      <c r="H197" s="25">
        <v>1</v>
      </c>
      <c r="I197" s="57">
        <v>0.04</v>
      </c>
      <c r="J197" s="27"/>
      <c r="K197" s="24"/>
      <c r="L197" s="28"/>
      <c r="M197" s="106"/>
      <c r="EX197" s="20"/>
      <c r="EY197" s="29" t="s">
        <v>146</v>
      </c>
      <c r="EZ197" s="29" t="s">
        <v>0</v>
      </c>
      <c r="FA197" s="29" t="s">
        <v>0</v>
      </c>
      <c r="FG197" s="29"/>
    </row>
    <row r="198" spans="1:163" customFormat="1" ht="15" x14ac:dyDescent="0.25">
      <c r="A198" s="30"/>
      <c r="B198" s="31"/>
      <c r="C198" s="146" t="s">
        <v>148</v>
      </c>
      <c r="D198" s="146"/>
      <c r="E198" s="146"/>
      <c r="F198" s="146"/>
      <c r="G198" s="146"/>
      <c r="H198" s="146"/>
      <c r="I198" s="146"/>
      <c r="J198" s="146"/>
      <c r="K198" s="146"/>
      <c r="L198" s="149"/>
      <c r="M198" s="106"/>
      <c r="EX198" s="20"/>
      <c r="EY198" s="29"/>
      <c r="EZ198" s="29"/>
      <c r="FA198" s="29"/>
      <c r="FB198" s="3" t="s">
        <v>148</v>
      </c>
      <c r="FG198" s="29"/>
    </row>
    <row r="199" spans="1:163" customFormat="1" ht="68.25" x14ac:dyDescent="0.25">
      <c r="A199" s="32"/>
      <c r="B199" s="33" t="s">
        <v>27</v>
      </c>
      <c r="C199" s="141" t="s">
        <v>28</v>
      </c>
      <c r="D199" s="141"/>
      <c r="E199" s="141"/>
      <c r="F199" s="141"/>
      <c r="G199" s="141"/>
      <c r="H199" s="141"/>
      <c r="I199" s="141"/>
      <c r="J199" s="141"/>
      <c r="K199" s="141"/>
      <c r="L199" s="150"/>
      <c r="M199" s="106"/>
      <c r="N199" s="118" t="s">
        <v>323</v>
      </c>
      <c r="EX199" s="20"/>
      <c r="EY199" s="29"/>
      <c r="EZ199" s="29"/>
      <c r="FA199" s="29"/>
      <c r="FC199" s="3" t="s">
        <v>28</v>
      </c>
      <c r="FG199" s="29"/>
    </row>
    <row r="200" spans="1:163" customFormat="1" ht="15" x14ac:dyDescent="0.25">
      <c r="A200" s="34"/>
      <c r="B200" s="33" t="s">
        <v>22</v>
      </c>
      <c r="C200" s="146" t="s">
        <v>31</v>
      </c>
      <c r="D200" s="146"/>
      <c r="E200" s="146"/>
      <c r="F200" s="35"/>
      <c r="G200" s="36"/>
      <c r="H200" s="36"/>
      <c r="I200" s="36"/>
      <c r="J200" s="117">
        <f>O200</f>
        <v>133470.87625</v>
      </c>
      <c r="K200" s="40">
        <v>1</v>
      </c>
      <c r="L200" s="42">
        <f>G197*J200*K200</f>
        <v>5338.8350500000006</v>
      </c>
      <c r="M200" s="106">
        <v>49.45</v>
      </c>
      <c r="N200" s="112">
        <v>12587.621124999998</v>
      </c>
      <c r="O200" s="113">
        <v>133470.87625</v>
      </c>
      <c r="P200" s="105">
        <f>G204</f>
        <v>103</v>
      </c>
      <c r="Q200" s="105">
        <f>O200/P200*8</f>
        <v>10366.67</v>
      </c>
      <c r="R200" s="105">
        <f>Q200*22</f>
        <v>228066.74</v>
      </c>
      <c r="S200" s="105">
        <f>R200*(1-0.43)</f>
        <v>129998.04180000001</v>
      </c>
      <c r="EX200" s="20"/>
      <c r="EY200" s="29"/>
      <c r="EZ200" s="29"/>
      <c r="FA200" s="29"/>
      <c r="FD200" s="3" t="s">
        <v>31</v>
      </c>
      <c r="FG200" s="29"/>
    </row>
    <row r="201" spans="1:163" customFormat="1" ht="15" x14ac:dyDescent="0.25">
      <c r="A201" s="43"/>
      <c r="B201" s="33"/>
      <c r="C201" s="146" t="s">
        <v>38</v>
      </c>
      <c r="D201" s="146"/>
      <c r="E201" s="146"/>
      <c r="F201" s="35" t="s">
        <v>39</v>
      </c>
      <c r="G201" s="40">
        <v>25.95</v>
      </c>
      <c r="H201" s="40">
        <v>1.1499999999999999</v>
      </c>
      <c r="I201" s="38">
        <v>1.1937</v>
      </c>
      <c r="J201" s="45"/>
      <c r="K201" s="36"/>
      <c r="L201" s="46"/>
      <c r="M201" s="106"/>
      <c r="N201" s="112"/>
      <c r="O201" s="113"/>
      <c r="P201" s="105"/>
      <c r="Q201" s="105"/>
      <c r="EX201" s="20"/>
      <c r="EY201" s="29"/>
      <c r="EZ201" s="29"/>
      <c r="FA201" s="29"/>
      <c r="FE201" s="3" t="s">
        <v>38</v>
      </c>
      <c r="FG201" s="29"/>
    </row>
    <row r="202" spans="1:163" customFormat="1" ht="15" x14ac:dyDescent="0.25">
      <c r="A202" s="30"/>
      <c r="B202" s="33"/>
      <c r="C202" s="151" t="s">
        <v>41</v>
      </c>
      <c r="D202" s="151"/>
      <c r="E202" s="151"/>
      <c r="F202" s="47"/>
      <c r="G202" s="48"/>
      <c r="H202" s="48"/>
      <c r="I202" s="48"/>
      <c r="J202" s="62">
        <v>221.35</v>
      </c>
      <c r="K202" s="48"/>
      <c r="L202" s="66">
        <f>L200</f>
        <v>5338.8350500000006</v>
      </c>
      <c r="M202" s="106"/>
      <c r="EX202" s="20"/>
      <c r="EY202" s="29"/>
      <c r="EZ202" s="29"/>
      <c r="FA202" s="29"/>
      <c r="FF202" s="3" t="s">
        <v>41</v>
      </c>
      <c r="FG202" s="29"/>
    </row>
    <row r="203" spans="1:163" customFormat="1" ht="15" x14ac:dyDescent="0.25">
      <c r="A203" s="43"/>
      <c r="B203" s="33"/>
      <c r="C203" s="146" t="s">
        <v>42</v>
      </c>
      <c r="D203" s="146"/>
      <c r="E203" s="146"/>
      <c r="F203" s="35"/>
      <c r="G203" s="36"/>
      <c r="H203" s="36"/>
      <c r="I203" s="36"/>
      <c r="J203" s="45"/>
      <c r="K203" s="36"/>
      <c r="L203" s="42">
        <f>L200</f>
        <v>5338.8350500000006</v>
      </c>
      <c r="M203" s="106"/>
      <c r="EX203" s="20"/>
      <c r="EY203" s="29"/>
      <c r="EZ203" s="29"/>
      <c r="FA203" s="29"/>
      <c r="FE203" s="3" t="s">
        <v>42</v>
      </c>
      <c r="FG203" s="29"/>
    </row>
    <row r="204" spans="1:163" customFormat="1" ht="45.75" x14ac:dyDescent="0.25">
      <c r="A204" s="43"/>
      <c r="B204" s="33" t="s">
        <v>149</v>
      </c>
      <c r="C204" s="146" t="s">
        <v>150</v>
      </c>
      <c r="D204" s="146"/>
      <c r="E204" s="146"/>
      <c r="F204" s="35" t="s">
        <v>45</v>
      </c>
      <c r="G204" s="51">
        <v>103</v>
      </c>
      <c r="H204" s="36"/>
      <c r="I204" s="51">
        <v>103</v>
      </c>
      <c r="J204" s="45"/>
      <c r="K204" s="36"/>
      <c r="L204" s="42">
        <f>L203*I204%</f>
        <v>5499.0001015000007</v>
      </c>
      <c r="M204" s="106"/>
      <c r="EX204" s="20"/>
      <c r="EY204" s="29"/>
      <c r="EZ204" s="29"/>
      <c r="FA204" s="29"/>
      <c r="FE204" s="3" t="s">
        <v>150</v>
      </c>
      <c r="FG204" s="29"/>
    </row>
    <row r="205" spans="1:163" customFormat="1" ht="45.75" x14ac:dyDescent="0.25">
      <c r="A205" s="43"/>
      <c r="B205" s="33" t="s">
        <v>151</v>
      </c>
      <c r="C205" s="146" t="s">
        <v>152</v>
      </c>
      <c r="D205" s="146"/>
      <c r="E205" s="146"/>
      <c r="F205" s="35" t="s">
        <v>45</v>
      </c>
      <c r="G205" s="51">
        <v>59</v>
      </c>
      <c r="H205" s="36"/>
      <c r="I205" s="51">
        <v>59</v>
      </c>
      <c r="J205" s="45"/>
      <c r="K205" s="36"/>
      <c r="L205" s="42">
        <f>L203*I205%</f>
        <v>3149.9126795000002</v>
      </c>
      <c r="M205" s="106"/>
      <c r="EX205" s="20"/>
      <c r="EY205" s="29"/>
      <c r="EZ205" s="29"/>
      <c r="FA205" s="29"/>
      <c r="FE205" s="3" t="s">
        <v>152</v>
      </c>
      <c r="FG205" s="29"/>
    </row>
    <row r="206" spans="1:163" customFormat="1" ht="15" x14ac:dyDescent="0.25">
      <c r="A206" s="52"/>
      <c r="B206" s="53"/>
      <c r="C206" s="148" t="s">
        <v>48</v>
      </c>
      <c r="D206" s="148"/>
      <c r="E206" s="148"/>
      <c r="F206" s="23"/>
      <c r="G206" s="24"/>
      <c r="H206" s="24"/>
      <c r="I206" s="24"/>
      <c r="J206" s="27"/>
      <c r="K206" s="24"/>
      <c r="L206" s="99">
        <f>L202+L204+L205</f>
        <v>13987.747831000001</v>
      </c>
      <c r="M206" s="106"/>
      <c r="EX206" s="20"/>
      <c r="EY206" s="29"/>
      <c r="EZ206" s="29"/>
      <c r="FA206" s="29"/>
      <c r="FG206" s="29" t="s">
        <v>48</v>
      </c>
    </row>
    <row r="207" spans="1:163" customFormat="1" ht="45.75" x14ac:dyDescent="0.25">
      <c r="A207" s="21" t="s">
        <v>153</v>
      </c>
      <c r="B207" s="22" t="s">
        <v>154</v>
      </c>
      <c r="C207" s="148" t="s">
        <v>155</v>
      </c>
      <c r="D207" s="148"/>
      <c r="E207" s="148"/>
      <c r="F207" s="23" t="s">
        <v>147</v>
      </c>
      <c r="G207" s="24">
        <v>0.04</v>
      </c>
      <c r="H207" s="25">
        <v>1</v>
      </c>
      <c r="I207" s="57">
        <v>0.04</v>
      </c>
      <c r="J207" s="27"/>
      <c r="K207" s="24"/>
      <c r="L207" s="28"/>
      <c r="M207" s="106"/>
      <c r="EX207" s="20"/>
      <c r="EY207" s="29" t="s">
        <v>155</v>
      </c>
      <c r="EZ207" s="29" t="s">
        <v>0</v>
      </c>
      <c r="FA207" s="29" t="s">
        <v>0</v>
      </c>
      <c r="FG207" s="29"/>
    </row>
    <row r="208" spans="1:163" customFormat="1" ht="15" x14ac:dyDescent="0.25">
      <c r="A208" s="30"/>
      <c r="B208" s="31"/>
      <c r="C208" s="146" t="s">
        <v>148</v>
      </c>
      <c r="D208" s="146"/>
      <c r="E208" s="146"/>
      <c r="F208" s="146"/>
      <c r="G208" s="146"/>
      <c r="H208" s="146"/>
      <c r="I208" s="146"/>
      <c r="J208" s="146"/>
      <c r="K208" s="146"/>
      <c r="L208" s="149"/>
      <c r="M208" s="106"/>
      <c r="EX208" s="20"/>
      <c r="EY208" s="29"/>
      <c r="EZ208" s="29"/>
      <c r="FA208" s="29"/>
      <c r="FB208" s="3" t="s">
        <v>148</v>
      </c>
      <c r="FG208" s="29"/>
    </row>
    <row r="209" spans="1:163" customFormat="1" ht="68.25" x14ac:dyDescent="0.25">
      <c r="A209" s="32"/>
      <c r="B209" s="33" t="s">
        <v>27</v>
      </c>
      <c r="C209" s="141" t="s">
        <v>28</v>
      </c>
      <c r="D209" s="141"/>
      <c r="E209" s="141"/>
      <c r="F209" s="141"/>
      <c r="G209" s="141"/>
      <c r="H209" s="141"/>
      <c r="I209" s="141"/>
      <c r="J209" s="141"/>
      <c r="K209" s="141"/>
      <c r="L209" s="150"/>
      <c r="M209" s="106"/>
      <c r="EX209" s="20"/>
      <c r="EY209" s="29"/>
      <c r="EZ209" s="29"/>
      <c r="FA209" s="29"/>
      <c r="FC209" s="3" t="s">
        <v>28</v>
      </c>
      <c r="FG209" s="29"/>
    </row>
    <row r="210" spans="1:163" customFormat="1" ht="15" x14ac:dyDescent="0.25">
      <c r="A210" s="32"/>
      <c r="B210" s="33"/>
      <c r="C210" s="141" t="s">
        <v>156</v>
      </c>
      <c r="D210" s="141"/>
      <c r="E210" s="141"/>
      <c r="F210" s="141"/>
      <c r="G210" s="141"/>
      <c r="H210" s="141"/>
      <c r="I210" s="141"/>
      <c r="J210" s="141"/>
      <c r="K210" s="141"/>
      <c r="L210" s="150"/>
      <c r="M210" s="106"/>
      <c r="N210" s="118" t="s">
        <v>323</v>
      </c>
      <c r="EX210" s="20"/>
      <c r="EY210" s="29"/>
      <c r="EZ210" s="29"/>
      <c r="FA210" s="29"/>
      <c r="FC210" s="3" t="s">
        <v>156</v>
      </c>
      <c r="FG210" s="29"/>
    </row>
    <row r="211" spans="1:163" customFormat="1" ht="15" x14ac:dyDescent="0.25">
      <c r="A211" s="34"/>
      <c r="B211" s="33" t="s">
        <v>22</v>
      </c>
      <c r="C211" s="146" t="s">
        <v>31</v>
      </c>
      <c r="D211" s="146"/>
      <c r="E211" s="146"/>
      <c r="F211" s="35"/>
      <c r="G211" s="36"/>
      <c r="H211" s="36"/>
      <c r="I211" s="36"/>
      <c r="J211" s="117">
        <f>O211</f>
        <v>133470.87625</v>
      </c>
      <c r="K211" s="51">
        <v>23</v>
      </c>
      <c r="L211" s="42">
        <f>G207*J211*K211</f>
        <v>122793.20615000001</v>
      </c>
      <c r="M211" s="106">
        <v>49.45</v>
      </c>
      <c r="N211" s="112">
        <v>11453.114500000001</v>
      </c>
      <c r="O211" s="113">
        <v>133470.87625</v>
      </c>
      <c r="P211" s="105">
        <f>G215</f>
        <v>103</v>
      </c>
      <c r="Q211" s="105">
        <f>O211/P211*8</f>
        <v>10366.67</v>
      </c>
      <c r="R211" s="105">
        <f>Q211*22</f>
        <v>228066.74</v>
      </c>
      <c r="S211" s="105">
        <f>R211*(1-0.43)</f>
        <v>129998.04180000001</v>
      </c>
      <c r="EX211" s="20"/>
      <c r="EY211" s="29"/>
      <c r="EZ211" s="29"/>
      <c r="FA211" s="29"/>
      <c r="FD211" s="3" t="s">
        <v>31</v>
      </c>
      <c r="FG211" s="29"/>
    </row>
    <row r="212" spans="1:163" customFormat="1" ht="15" x14ac:dyDescent="0.25">
      <c r="A212" s="43"/>
      <c r="B212" s="33"/>
      <c r="C212" s="146" t="s">
        <v>38</v>
      </c>
      <c r="D212" s="146"/>
      <c r="E212" s="146"/>
      <c r="F212" s="35" t="s">
        <v>39</v>
      </c>
      <c r="G212" s="40">
        <v>1.18</v>
      </c>
      <c r="H212" s="51">
        <v>23</v>
      </c>
      <c r="I212" s="38">
        <v>1.0855999999999999</v>
      </c>
      <c r="J212" s="45"/>
      <c r="K212" s="36"/>
      <c r="L212" s="46"/>
      <c r="M212" s="106"/>
      <c r="N212" s="112"/>
      <c r="O212" s="113"/>
      <c r="P212" s="105"/>
      <c r="Q212" s="105"/>
      <c r="EX212" s="20"/>
      <c r="EY212" s="29"/>
      <c r="EZ212" s="29"/>
      <c r="FA212" s="29"/>
      <c r="FE212" s="3" t="s">
        <v>38</v>
      </c>
      <c r="FG212" s="29"/>
    </row>
    <row r="213" spans="1:163" customFormat="1" ht="15" x14ac:dyDescent="0.25">
      <c r="A213" s="30"/>
      <c r="B213" s="33"/>
      <c r="C213" s="151" t="s">
        <v>41</v>
      </c>
      <c r="D213" s="151"/>
      <c r="E213" s="151"/>
      <c r="F213" s="47"/>
      <c r="G213" s="48"/>
      <c r="H213" s="48"/>
      <c r="I213" s="48"/>
      <c r="J213" s="62">
        <v>10.07</v>
      </c>
      <c r="K213" s="48"/>
      <c r="L213" s="66">
        <f>L211</f>
        <v>122793.20615000001</v>
      </c>
      <c r="M213" s="106"/>
      <c r="EX213" s="20"/>
      <c r="EY213" s="29"/>
      <c r="EZ213" s="29"/>
      <c r="FA213" s="29"/>
      <c r="FF213" s="3" t="s">
        <v>41</v>
      </c>
      <c r="FG213" s="29"/>
    </row>
    <row r="214" spans="1:163" customFormat="1" ht="15" x14ac:dyDescent="0.25">
      <c r="A214" s="43"/>
      <c r="B214" s="33"/>
      <c r="C214" s="146" t="s">
        <v>42</v>
      </c>
      <c r="D214" s="146"/>
      <c r="E214" s="146"/>
      <c r="F214" s="35"/>
      <c r="G214" s="36"/>
      <c r="H214" s="36"/>
      <c r="I214" s="36"/>
      <c r="J214" s="45"/>
      <c r="K214" s="36"/>
      <c r="L214" s="42">
        <f>L211</f>
        <v>122793.20615000001</v>
      </c>
      <c r="M214" s="106"/>
      <c r="EX214" s="20"/>
      <c r="EY214" s="29"/>
      <c r="EZ214" s="29"/>
      <c r="FA214" s="29"/>
      <c r="FE214" s="3" t="s">
        <v>42</v>
      </c>
      <c r="FG214" s="29"/>
    </row>
    <row r="215" spans="1:163" customFormat="1" ht="45.75" x14ac:dyDescent="0.25">
      <c r="A215" s="43"/>
      <c r="B215" s="33" t="s">
        <v>149</v>
      </c>
      <c r="C215" s="146" t="s">
        <v>150</v>
      </c>
      <c r="D215" s="146"/>
      <c r="E215" s="146"/>
      <c r="F215" s="35" t="s">
        <v>45</v>
      </c>
      <c r="G215" s="51">
        <v>103</v>
      </c>
      <c r="H215" s="36"/>
      <c r="I215" s="51">
        <v>103</v>
      </c>
      <c r="J215" s="45"/>
      <c r="K215" s="36"/>
      <c r="L215" s="42">
        <f>L214*I215%</f>
        <v>126477.00233450002</v>
      </c>
      <c r="M215" s="106"/>
      <c r="EX215" s="20"/>
      <c r="EY215" s="29"/>
      <c r="EZ215" s="29"/>
      <c r="FA215" s="29"/>
      <c r="FE215" s="3" t="s">
        <v>150</v>
      </c>
      <c r="FG215" s="29"/>
    </row>
    <row r="216" spans="1:163" customFormat="1" ht="45.75" x14ac:dyDescent="0.25">
      <c r="A216" s="43"/>
      <c r="B216" s="33" t="s">
        <v>151</v>
      </c>
      <c r="C216" s="146" t="s">
        <v>152</v>
      </c>
      <c r="D216" s="146"/>
      <c r="E216" s="146"/>
      <c r="F216" s="35" t="s">
        <v>45</v>
      </c>
      <c r="G216" s="51">
        <v>59</v>
      </c>
      <c r="H216" s="36"/>
      <c r="I216" s="51">
        <v>59</v>
      </c>
      <c r="J216" s="45"/>
      <c r="K216" s="36"/>
      <c r="L216" s="42">
        <f>L214*I216%</f>
        <v>72447.991628500007</v>
      </c>
      <c r="M216" s="106"/>
      <c r="EX216" s="20"/>
      <c r="EY216" s="29"/>
      <c r="EZ216" s="29"/>
      <c r="FA216" s="29"/>
      <c r="FE216" s="3" t="s">
        <v>152</v>
      </c>
      <c r="FG216" s="29"/>
    </row>
    <row r="217" spans="1:163" customFormat="1" ht="15" x14ac:dyDescent="0.25">
      <c r="A217" s="52"/>
      <c r="B217" s="53"/>
      <c r="C217" s="148" t="s">
        <v>48</v>
      </c>
      <c r="D217" s="148"/>
      <c r="E217" s="148"/>
      <c r="F217" s="23"/>
      <c r="G217" s="24"/>
      <c r="H217" s="24"/>
      <c r="I217" s="24"/>
      <c r="J217" s="27"/>
      <c r="K217" s="24"/>
      <c r="L217" s="99">
        <f>L213+L215+L216</f>
        <v>321718.20011300006</v>
      </c>
      <c r="M217" s="106"/>
      <c r="EX217" s="20"/>
      <c r="EY217" s="29"/>
      <c r="EZ217" s="29"/>
      <c r="FA217" s="29"/>
      <c r="FG217" s="29" t="s">
        <v>48</v>
      </c>
    </row>
    <row r="218" spans="1:163" customFormat="1" ht="23.25" x14ac:dyDescent="0.25">
      <c r="A218" s="21" t="s">
        <v>157</v>
      </c>
      <c r="B218" s="22" t="s">
        <v>158</v>
      </c>
      <c r="C218" s="148" t="s">
        <v>159</v>
      </c>
      <c r="D218" s="148"/>
      <c r="E218" s="148"/>
      <c r="F218" s="23" t="s">
        <v>51</v>
      </c>
      <c r="G218" s="24">
        <v>2</v>
      </c>
      <c r="H218" s="25">
        <v>1</v>
      </c>
      <c r="I218" s="25">
        <v>2</v>
      </c>
      <c r="J218" s="54">
        <v>24011</v>
      </c>
      <c r="K218" s="24"/>
      <c r="L218" s="55">
        <f>G218*J218</f>
        <v>48022</v>
      </c>
      <c r="M218" s="106"/>
      <c r="EX218" s="20"/>
      <c r="EY218" s="29" t="s">
        <v>159</v>
      </c>
      <c r="EZ218" s="29" t="s">
        <v>0</v>
      </c>
      <c r="FA218" s="29" t="s">
        <v>0</v>
      </c>
      <c r="FG218" s="29"/>
    </row>
    <row r="219" spans="1:163" customFormat="1" ht="15" x14ac:dyDescent="0.25">
      <c r="A219" s="30"/>
      <c r="B219" s="31"/>
      <c r="C219" s="146" t="s">
        <v>160</v>
      </c>
      <c r="D219" s="146"/>
      <c r="E219" s="146"/>
      <c r="F219" s="146"/>
      <c r="G219" s="146"/>
      <c r="H219" s="146"/>
      <c r="I219" s="146"/>
      <c r="J219" s="146"/>
      <c r="K219" s="146"/>
      <c r="L219" s="149"/>
      <c r="M219" s="106"/>
      <c r="EX219" s="20"/>
      <c r="EY219" s="29"/>
      <c r="EZ219" s="29"/>
      <c r="FA219" s="29"/>
      <c r="FB219" s="3" t="s">
        <v>160</v>
      </c>
      <c r="FG219" s="29"/>
    </row>
    <row r="220" spans="1:163" customFormat="1" ht="15" x14ac:dyDescent="0.25">
      <c r="A220" s="52"/>
      <c r="B220" s="53"/>
      <c r="C220" s="148" t="s">
        <v>48</v>
      </c>
      <c r="D220" s="148"/>
      <c r="E220" s="148"/>
      <c r="F220" s="23"/>
      <c r="G220" s="24"/>
      <c r="H220" s="24"/>
      <c r="I220" s="24"/>
      <c r="J220" s="27"/>
      <c r="K220" s="24"/>
      <c r="L220" s="96">
        <f>L218</f>
        <v>48022</v>
      </c>
      <c r="M220" s="106"/>
      <c r="EX220" s="20"/>
      <c r="EY220" s="29"/>
      <c r="EZ220" s="29"/>
      <c r="FA220" s="29"/>
      <c r="FG220" s="29" t="s">
        <v>48</v>
      </c>
    </row>
    <row r="221" spans="1:163" customFormat="1" ht="68.25" x14ac:dyDescent="0.25">
      <c r="A221" s="21" t="s">
        <v>161</v>
      </c>
      <c r="B221" s="22" t="s">
        <v>162</v>
      </c>
      <c r="C221" s="148" t="s">
        <v>163</v>
      </c>
      <c r="D221" s="148"/>
      <c r="E221" s="148"/>
      <c r="F221" s="23" t="s">
        <v>70</v>
      </c>
      <c r="G221" s="24">
        <v>1.6E-2</v>
      </c>
      <c r="H221" s="25">
        <v>1</v>
      </c>
      <c r="I221" s="58">
        <v>1.6E-2</v>
      </c>
      <c r="J221" s="27"/>
      <c r="K221" s="24"/>
      <c r="L221" s="28"/>
      <c r="M221" s="106"/>
      <c r="EX221" s="20"/>
      <c r="EY221" s="29" t="s">
        <v>163</v>
      </c>
      <c r="EZ221" s="29" t="s">
        <v>0</v>
      </c>
      <c r="FA221" s="29" t="s">
        <v>0</v>
      </c>
      <c r="FG221" s="29"/>
    </row>
    <row r="222" spans="1:163" customFormat="1" ht="15" x14ac:dyDescent="0.25">
      <c r="A222" s="30"/>
      <c r="B222" s="31"/>
      <c r="C222" s="146" t="s">
        <v>164</v>
      </c>
      <c r="D222" s="146"/>
      <c r="E222" s="146"/>
      <c r="F222" s="146"/>
      <c r="G222" s="146"/>
      <c r="H222" s="146"/>
      <c r="I222" s="146"/>
      <c r="J222" s="146"/>
      <c r="K222" s="146"/>
      <c r="L222" s="149"/>
      <c r="M222" s="106"/>
      <c r="EX222" s="20"/>
      <c r="EY222" s="29"/>
      <c r="EZ222" s="29"/>
      <c r="FA222" s="29"/>
      <c r="FB222" s="3" t="s">
        <v>164</v>
      </c>
      <c r="FG222" s="29"/>
    </row>
    <row r="223" spans="1:163" customFormat="1" ht="68.25" x14ac:dyDescent="0.25">
      <c r="A223" s="32"/>
      <c r="B223" s="33" t="s">
        <v>27</v>
      </c>
      <c r="C223" s="141" t="s">
        <v>28</v>
      </c>
      <c r="D223" s="141"/>
      <c r="E223" s="141"/>
      <c r="F223" s="141"/>
      <c r="G223" s="141"/>
      <c r="H223" s="141"/>
      <c r="I223" s="141"/>
      <c r="J223" s="141"/>
      <c r="K223" s="141"/>
      <c r="L223" s="150"/>
      <c r="M223" s="106"/>
      <c r="EX223" s="20"/>
      <c r="EY223" s="29"/>
      <c r="EZ223" s="29"/>
      <c r="FA223" s="29"/>
      <c r="FC223" s="3" t="s">
        <v>28</v>
      </c>
      <c r="FG223" s="29"/>
    </row>
    <row r="224" spans="1:163" customFormat="1" ht="23.25" x14ac:dyDescent="0.25">
      <c r="A224" s="32"/>
      <c r="B224" s="33" t="s">
        <v>29</v>
      </c>
      <c r="C224" s="141" t="s">
        <v>30</v>
      </c>
      <c r="D224" s="141"/>
      <c r="E224" s="141"/>
      <c r="F224" s="141"/>
      <c r="G224" s="141"/>
      <c r="H224" s="141"/>
      <c r="I224" s="141"/>
      <c r="J224" s="141"/>
      <c r="K224" s="141"/>
      <c r="L224" s="150"/>
      <c r="M224" s="106"/>
      <c r="N224" s="118" t="s">
        <v>318</v>
      </c>
      <c r="EX224" s="20"/>
      <c r="EY224" s="29"/>
      <c r="EZ224" s="29"/>
      <c r="FA224" s="29"/>
      <c r="FC224" s="3" t="s">
        <v>30</v>
      </c>
      <c r="FG224" s="29"/>
    </row>
    <row r="225" spans="1:163" customFormat="1" ht="15" x14ac:dyDescent="0.25">
      <c r="A225" s="34"/>
      <c r="B225" s="33" t="s">
        <v>22</v>
      </c>
      <c r="C225" s="146" t="s">
        <v>31</v>
      </c>
      <c r="D225" s="146"/>
      <c r="E225" s="146"/>
      <c r="F225" s="35"/>
      <c r="G225" s="36"/>
      <c r="H225" s="36"/>
      <c r="I225" s="36"/>
      <c r="J225" s="117">
        <f>O225</f>
        <v>72566.69</v>
      </c>
      <c r="K225" s="38">
        <v>1</v>
      </c>
      <c r="L225" s="42">
        <f>G221*J225*K225</f>
        <v>1161.0670400000001</v>
      </c>
      <c r="M225" s="106">
        <v>49.45</v>
      </c>
      <c r="N225" s="112">
        <v>36329.68864</v>
      </c>
      <c r="O225" s="113">
        <v>72566.69</v>
      </c>
      <c r="P225" s="105">
        <f>G229</f>
        <v>56</v>
      </c>
      <c r="Q225" s="105">
        <f>O225/P225*8</f>
        <v>10366.67</v>
      </c>
      <c r="R225" s="105">
        <f>Q225*22</f>
        <v>228066.74</v>
      </c>
      <c r="S225" s="105">
        <f>R225*(1-0.43)</f>
        <v>129998.04180000001</v>
      </c>
      <c r="EX225" s="20"/>
      <c r="EY225" s="29"/>
      <c r="EZ225" s="29"/>
      <c r="FA225" s="29"/>
      <c r="FD225" s="3" t="s">
        <v>31</v>
      </c>
      <c r="FG225" s="29"/>
    </row>
    <row r="226" spans="1:163" customFormat="1" ht="15" x14ac:dyDescent="0.25">
      <c r="A226" s="34"/>
      <c r="B226" s="33" t="s">
        <v>32</v>
      </c>
      <c r="C226" s="146" t="s">
        <v>33</v>
      </c>
      <c r="D226" s="146"/>
      <c r="E226" s="146"/>
      <c r="F226" s="35"/>
      <c r="G226" s="36"/>
      <c r="H226" s="36"/>
      <c r="I226" s="36"/>
      <c r="J226" s="117">
        <f>O226</f>
        <v>201.25000000000009</v>
      </c>
      <c r="K226" s="38">
        <v>1</v>
      </c>
      <c r="L226" s="42">
        <f>G221*J226*K226</f>
        <v>3.2200000000000015</v>
      </c>
      <c r="M226" s="106">
        <v>14.53</v>
      </c>
      <c r="N226" s="112">
        <v>129.70749375</v>
      </c>
      <c r="O226" s="113">
        <v>201.25000000000009</v>
      </c>
      <c r="P226" s="105">
        <f>G230</f>
        <v>7.0000000000000007E-2</v>
      </c>
      <c r="Q226" s="105">
        <f>O226/P226*8</f>
        <v>23000.000000000007</v>
      </c>
      <c r="EX226" s="20"/>
      <c r="EY226" s="29"/>
      <c r="EZ226" s="29"/>
      <c r="FA226" s="29"/>
      <c r="FD226" s="3" t="s">
        <v>33</v>
      </c>
      <c r="FG226" s="29"/>
    </row>
    <row r="227" spans="1:163" customFormat="1" ht="15" x14ac:dyDescent="0.25">
      <c r="A227" s="34"/>
      <c r="B227" s="33" t="s">
        <v>34</v>
      </c>
      <c r="C227" s="146" t="s">
        <v>35</v>
      </c>
      <c r="D227" s="146"/>
      <c r="E227" s="146"/>
      <c r="F227" s="35"/>
      <c r="G227" s="36"/>
      <c r="H227" s="36"/>
      <c r="I227" s="36"/>
      <c r="J227" s="39">
        <v>0.91</v>
      </c>
      <c r="K227" s="38">
        <v>1</v>
      </c>
      <c r="L227" s="42">
        <f>G221*J227*K227</f>
        <v>1.456E-2</v>
      </c>
      <c r="M227" s="106"/>
      <c r="EX227" s="20"/>
      <c r="EY227" s="29"/>
      <c r="EZ227" s="29"/>
      <c r="FA227" s="29"/>
      <c r="FD227" s="3" t="s">
        <v>35</v>
      </c>
      <c r="FG227" s="29"/>
    </row>
    <row r="228" spans="1:163" customFormat="1" ht="15" x14ac:dyDescent="0.25">
      <c r="A228" s="34"/>
      <c r="B228" s="33" t="s">
        <v>36</v>
      </c>
      <c r="C228" s="146" t="s">
        <v>37</v>
      </c>
      <c r="D228" s="146"/>
      <c r="E228" s="146"/>
      <c r="F228" s="35"/>
      <c r="G228" s="36"/>
      <c r="H228" s="36"/>
      <c r="I228" s="36"/>
      <c r="J228" s="39">
        <v>140.91999999999999</v>
      </c>
      <c r="K228" s="36"/>
      <c r="L228" s="42">
        <f>G221*J228</f>
        <v>2.2547199999999998</v>
      </c>
      <c r="M228" s="106"/>
      <c r="EX228" s="20"/>
      <c r="EY228" s="29"/>
      <c r="EZ228" s="29"/>
      <c r="FA228" s="29"/>
      <c r="FD228" s="3" t="s">
        <v>37</v>
      </c>
      <c r="FG228" s="29"/>
    </row>
    <row r="229" spans="1:163" customFormat="1" ht="15" x14ac:dyDescent="0.25">
      <c r="A229" s="43"/>
      <c r="B229" s="33"/>
      <c r="C229" s="146" t="s">
        <v>38</v>
      </c>
      <c r="D229" s="146"/>
      <c r="E229" s="146"/>
      <c r="F229" s="35" t="s">
        <v>39</v>
      </c>
      <c r="G229" s="51">
        <v>56</v>
      </c>
      <c r="H229" s="38">
        <v>1.3225</v>
      </c>
      <c r="I229" s="64">
        <v>1.18496</v>
      </c>
      <c r="J229" s="45"/>
      <c r="K229" s="36"/>
      <c r="L229" s="46"/>
      <c r="M229" s="106"/>
      <c r="EX229" s="20"/>
      <c r="EY229" s="29"/>
      <c r="EZ229" s="29"/>
      <c r="FA229" s="29"/>
      <c r="FE229" s="3" t="s">
        <v>38</v>
      </c>
      <c r="FG229" s="29"/>
    </row>
    <row r="230" spans="1:163" customFormat="1" ht="15" x14ac:dyDescent="0.25">
      <c r="A230" s="43"/>
      <c r="B230" s="33"/>
      <c r="C230" s="146" t="s">
        <v>40</v>
      </c>
      <c r="D230" s="146"/>
      <c r="E230" s="146"/>
      <c r="F230" s="35" t="s">
        <v>39</v>
      </c>
      <c r="G230" s="40">
        <v>7.0000000000000007E-2</v>
      </c>
      <c r="H230" s="38">
        <v>1.4375</v>
      </c>
      <c r="I230" s="64">
        <v>1.6100000000000001E-3</v>
      </c>
      <c r="J230" s="45"/>
      <c r="K230" s="36"/>
      <c r="L230" s="46"/>
      <c r="M230" s="106"/>
      <c r="EX230" s="20"/>
      <c r="EY230" s="29"/>
      <c r="EZ230" s="29"/>
      <c r="FA230" s="29"/>
      <c r="FE230" s="3" t="s">
        <v>40</v>
      </c>
      <c r="FG230" s="29"/>
    </row>
    <row r="231" spans="1:163" customFormat="1" ht="15" x14ac:dyDescent="0.25">
      <c r="A231" s="30"/>
      <c r="B231" s="33"/>
      <c r="C231" s="151" t="s">
        <v>41</v>
      </c>
      <c r="D231" s="151"/>
      <c r="E231" s="151"/>
      <c r="F231" s="47"/>
      <c r="G231" s="48"/>
      <c r="H231" s="48"/>
      <c r="I231" s="48"/>
      <c r="J231" s="62">
        <v>702.65</v>
      </c>
      <c r="K231" s="48"/>
      <c r="L231" s="66">
        <f>L225+L226+L228</f>
        <v>1166.5417600000001</v>
      </c>
      <c r="M231" s="106"/>
      <c r="EX231" s="20"/>
      <c r="EY231" s="29"/>
      <c r="EZ231" s="29"/>
      <c r="FA231" s="29"/>
      <c r="FF231" s="3" t="s">
        <v>41</v>
      </c>
      <c r="FG231" s="29"/>
    </row>
    <row r="232" spans="1:163" customFormat="1" ht="15" x14ac:dyDescent="0.25">
      <c r="A232" s="43"/>
      <c r="B232" s="33"/>
      <c r="C232" s="146" t="s">
        <v>42</v>
      </c>
      <c r="D232" s="146"/>
      <c r="E232" s="146"/>
      <c r="F232" s="35"/>
      <c r="G232" s="36"/>
      <c r="H232" s="36"/>
      <c r="I232" s="36"/>
      <c r="J232" s="45"/>
      <c r="K232" s="36"/>
      <c r="L232" s="42">
        <f>L225+L227</f>
        <v>1161.0816000000002</v>
      </c>
      <c r="M232" s="106"/>
      <c r="EX232" s="20"/>
      <c r="EY232" s="29"/>
      <c r="EZ232" s="29"/>
      <c r="FA232" s="29"/>
      <c r="FE232" s="3" t="s">
        <v>42</v>
      </c>
      <c r="FG232" s="29"/>
    </row>
    <row r="233" spans="1:163" customFormat="1" ht="45.75" x14ac:dyDescent="0.25">
      <c r="A233" s="43"/>
      <c r="B233" s="33" t="s">
        <v>165</v>
      </c>
      <c r="C233" s="146" t="s">
        <v>166</v>
      </c>
      <c r="D233" s="146"/>
      <c r="E233" s="146"/>
      <c r="F233" s="35" t="s">
        <v>45</v>
      </c>
      <c r="G233" s="51">
        <v>121</v>
      </c>
      <c r="H233" s="36"/>
      <c r="I233" s="51">
        <v>121</v>
      </c>
      <c r="J233" s="45"/>
      <c r="K233" s="36"/>
      <c r="L233" s="42">
        <f>L232*I233%</f>
        <v>1404.9087360000003</v>
      </c>
      <c r="M233" s="106"/>
      <c r="EX233" s="20"/>
      <c r="EY233" s="29"/>
      <c r="EZ233" s="29"/>
      <c r="FA233" s="29"/>
      <c r="FE233" s="3" t="s">
        <v>166</v>
      </c>
      <c r="FG233" s="29"/>
    </row>
    <row r="234" spans="1:163" customFormat="1" ht="45.75" x14ac:dyDescent="0.25">
      <c r="A234" s="43"/>
      <c r="B234" s="33" t="s">
        <v>167</v>
      </c>
      <c r="C234" s="146" t="s">
        <v>168</v>
      </c>
      <c r="D234" s="146"/>
      <c r="E234" s="146"/>
      <c r="F234" s="35" t="s">
        <v>45</v>
      </c>
      <c r="G234" s="51">
        <v>72</v>
      </c>
      <c r="H234" s="40">
        <v>0.85</v>
      </c>
      <c r="I234" s="61">
        <v>61.2</v>
      </c>
      <c r="J234" s="45"/>
      <c r="K234" s="36"/>
      <c r="L234" s="42">
        <f>L232*I234%</f>
        <v>710.58193920000008</v>
      </c>
      <c r="M234" s="106"/>
      <c r="EX234" s="20"/>
      <c r="EY234" s="29"/>
      <c r="EZ234" s="29"/>
      <c r="FA234" s="29"/>
      <c r="FE234" s="3" t="s">
        <v>168</v>
      </c>
      <c r="FG234" s="29"/>
    </row>
    <row r="235" spans="1:163" customFormat="1" ht="15" x14ac:dyDescent="0.25">
      <c r="A235" s="52"/>
      <c r="B235" s="53"/>
      <c r="C235" s="148" t="s">
        <v>48</v>
      </c>
      <c r="D235" s="148"/>
      <c r="E235" s="148"/>
      <c r="F235" s="23"/>
      <c r="G235" s="24"/>
      <c r="H235" s="24"/>
      <c r="I235" s="24"/>
      <c r="J235" s="27"/>
      <c r="K235" s="24"/>
      <c r="L235" s="99">
        <f>L231+L233+L234</f>
        <v>3282.0324352000007</v>
      </c>
      <c r="M235" s="106"/>
      <c r="EX235" s="20"/>
      <c r="EY235" s="29"/>
      <c r="EZ235" s="29"/>
      <c r="FA235" s="29"/>
      <c r="FG235" s="29" t="s">
        <v>48</v>
      </c>
    </row>
    <row r="236" spans="1:163" customFormat="1" ht="23.25" x14ac:dyDescent="0.25">
      <c r="A236" s="21" t="s">
        <v>169</v>
      </c>
      <c r="B236" s="22" t="s">
        <v>170</v>
      </c>
      <c r="C236" s="148" t="s">
        <v>171</v>
      </c>
      <c r="D236" s="148"/>
      <c r="E236" s="148"/>
      <c r="F236" s="23" t="s">
        <v>172</v>
      </c>
      <c r="G236" s="24">
        <v>1.6</v>
      </c>
      <c r="H236" s="25">
        <v>1</v>
      </c>
      <c r="I236" s="65">
        <v>1.6</v>
      </c>
      <c r="J236" s="56">
        <v>1664.4</v>
      </c>
      <c r="K236" s="24"/>
      <c r="L236" s="59">
        <f>G236*J236</f>
        <v>2663.0400000000004</v>
      </c>
      <c r="M236" s="106"/>
      <c r="EX236" s="20"/>
      <c r="EY236" s="29" t="s">
        <v>171</v>
      </c>
      <c r="EZ236" s="29" t="s">
        <v>0</v>
      </c>
      <c r="FA236" s="29" t="s">
        <v>0</v>
      </c>
      <c r="FG236" s="29"/>
    </row>
    <row r="237" spans="1:163" customFormat="1" ht="15" x14ac:dyDescent="0.25">
      <c r="A237" s="52"/>
      <c r="B237" s="53"/>
      <c r="C237" s="148" t="s">
        <v>48</v>
      </c>
      <c r="D237" s="148"/>
      <c r="E237" s="148"/>
      <c r="F237" s="23"/>
      <c r="G237" s="24"/>
      <c r="H237" s="24"/>
      <c r="I237" s="24"/>
      <c r="J237" s="27"/>
      <c r="K237" s="24"/>
      <c r="L237" s="99">
        <f>L236</f>
        <v>2663.0400000000004</v>
      </c>
      <c r="M237" s="106"/>
      <c r="EX237" s="20"/>
      <c r="EY237" s="29"/>
      <c r="EZ237" s="29"/>
      <c r="FA237" s="29"/>
      <c r="FG237" s="29" t="s">
        <v>48</v>
      </c>
    </row>
    <row r="238" spans="1:163" customFormat="1" ht="34.5" x14ac:dyDescent="0.25">
      <c r="A238" s="21" t="s">
        <v>173</v>
      </c>
      <c r="B238" s="22" t="s">
        <v>23</v>
      </c>
      <c r="C238" s="148" t="s">
        <v>24</v>
      </c>
      <c r="D238" s="148"/>
      <c r="E238" s="148"/>
      <c r="F238" s="23" t="s">
        <v>25</v>
      </c>
      <c r="G238" s="24">
        <v>0.03</v>
      </c>
      <c r="H238" s="25">
        <v>1</v>
      </c>
      <c r="I238" s="57">
        <v>0.03</v>
      </c>
      <c r="J238" s="27"/>
      <c r="K238" s="24"/>
      <c r="L238" s="28"/>
      <c r="M238" s="106"/>
      <c r="EX238" s="20"/>
      <c r="EY238" s="29" t="s">
        <v>24</v>
      </c>
      <c r="EZ238" s="29" t="s">
        <v>0</v>
      </c>
      <c r="FA238" s="29" t="s">
        <v>0</v>
      </c>
      <c r="FG238" s="29"/>
    </row>
    <row r="239" spans="1:163" customFormat="1" ht="15" x14ac:dyDescent="0.25">
      <c r="A239" s="30"/>
      <c r="B239" s="31"/>
      <c r="C239" s="146" t="s">
        <v>174</v>
      </c>
      <c r="D239" s="146"/>
      <c r="E239" s="146"/>
      <c r="F239" s="146"/>
      <c r="G239" s="146"/>
      <c r="H239" s="146"/>
      <c r="I239" s="146"/>
      <c r="J239" s="146"/>
      <c r="K239" s="146"/>
      <c r="L239" s="149"/>
      <c r="M239" s="106"/>
      <c r="EX239" s="20"/>
      <c r="EY239" s="29"/>
      <c r="EZ239" s="29"/>
      <c r="FA239" s="29"/>
      <c r="FB239" s="3" t="s">
        <v>174</v>
      </c>
      <c r="FG239" s="29"/>
    </row>
    <row r="240" spans="1:163" customFormat="1" ht="68.25" x14ac:dyDescent="0.25">
      <c r="A240" s="32"/>
      <c r="B240" s="33" t="s">
        <v>27</v>
      </c>
      <c r="C240" s="141" t="s">
        <v>28</v>
      </c>
      <c r="D240" s="141"/>
      <c r="E240" s="141"/>
      <c r="F240" s="141"/>
      <c r="G240" s="141"/>
      <c r="H240" s="141"/>
      <c r="I240" s="141"/>
      <c r="J240" s="141"/>
      <c r="K240" s="141"/>
      <c r="L240" s="150"/>
      <c r="M240" s="106"/>
      <c r="EX240" s="20"/>
      <c r="EY240" s="29"/>
      <c r="EZ240" s="29"/>
      <c r="FA240" s="29"/>
      <c r="FC240" s="3" t="s">
        <v>28</v>
      </c>
      <c r="FG240" s="29"/>
    </row>
    <row r="241" spans="1:163" customFormat="1" ht="23.25" x14ac:dyDescent="0.25">
      <c r="A241" s="32"/>
      <c r="B241" s="33" t="s">
        <v>29</v>
      </c>
      <c r="C241" s="141" t="s">
        <v>30</v>
      </c>
      <c r="D241" s="141"/>
      <c r="E241" s="141"/>
      <c r="F241" s="141"/>
      <c r="G241" s="141"/>
      <c r="H241" s="141"/>
      <c r="I241" s="141"/>
      <c r="J241" s="141"/>
      <c r="K241" s="141"/>
      <c r="L241" s="150"/>
      <c r="M241" s="106"/>
      <c r="N241" s="118" t="s">
        <v>317</v>
      </c>
      <c r="EX241" s="20"/>
      <c r="EY241" s="29"/>
      <c r="EZ241" s="29"/>
      <c r="FA241" s="29"/>
      <c r="FC241" s="3" t="s">
        <v>30</v>
      </c>
      <c r="FG241" s="29"/>
    </row>
    <row r="242" spans="1:163" customFormat="1" ht="15" x14ac:dyDescent="0.25">
      <c r="A242" s="34"/>
      <c r="B242" s="33" t="s">
        <v>22</v>
      </c>
      <c r="C242" s="146" t="s">
        <v>31</v>
      </c>
      <c r="D242" s="146"/>
      <c r="E242" s="146"/>
      <c r="F242" s="35"/>
      <c r="G242" s="36"/>
      <c r="H242" s="36"/>
      <c r="I242" s="36"/>
      <c r="J242" s="116">
        <f>O242</f>
        <v>284668.75820000004</v>
      </c>
      <c r="K242" s="38">
        <v>1</v>
      </c>
      <c r="L242" s="42">
        <f>G238*J242*K242</f>
        <v>8540.0627460000014</v>
      </c>
      <c r="M242" s="106">
        <v>49.45</v>
      </c>
      <c r="N242" s="112">
        <v>136626.10224499999</v>
      </c>
      <c r="O242" s="113">
        <v>284668.75820000004</v>
      </c>
      <c r="P242" s="105">
        <f>G246</f>
        <v>219.68</v>
      </c>
      <c r="Q242" s="105">
        <f>O242/P242*8</f>
        <v>10366.670000000002</v>
      </c>
      <c r="R242" s="105">
        <f>Q242*22</f>
        <v>228066.74000000005</v>
      </c>
      <c r="S242" s="105">
        <f>R242*(1-0.43)</f>
        <v>129998.04180000004</v>
      </c>
      <c r="EX242" s="20"/>
      <c r="EY242" s="29"/>
      <c r="EZ242" s="29"/>
      <c r="FA242" s="29"/>
      <c r="FD242" s="3" t="s">
        <v>31</v>
      </c>
      <c r="FG242" s="29"/>
    </row>
    <row r="243" spans="1:163" customFormat="1" ht="15" x14ac:dyDescent="0.25">
      <c r="A243" s="34"/>
      <c r="B243" s="33" t="s">
        <v>32</v>
      </c>
      <c r="C243" s="146" t="s">
        <v>33</v>
      </c>
      <c r="D243" s="146"/>
      <c r="E243" s="146"/>
      <c r="F243" s="35"/>
      <c r="G243" s="36"/>
      <c r="H243" s="36"/>
      <c r="I243" s="36"/>
      <c r="J243" s="117">
        <f>O243</f>
        <v>2041.25</v>
      </c>
      <c r="K243" s="38">
        <v>1</v>
      </c>
      <c r="L243" s="42">
        <f>G238*J243*K243</f>
        <v>61.237499999999997</v>
      </c>
      <c r="M243" s="106">
        <v>14.53</v>
      </c>
      <c r="N243" s="112">
        <v>4947.4740812499995</v>
      </c>
      <c r="O243" s="113">
        <v>2041.25</v>
      </c>
      <c r="P243" s="105">
        <f>G247</f>
        <v>0.71</v>
      </c>
      <c r="Q243" s="105">
        <f>O243/P243*8</f>
        <v>23000</v>
      </c>
      <c r="EX243" s="20"/>
      <c r="EY243" s="29"/>
      <c r="EZ243" s="29"/>
      <c r="FA243" s="29"/>
      <c r="FD243" s="3" t="s">
        <v>33</v>
      </c>
      <c r="FG243" s="29"/>
    </row>
    <row r="244" spans="1:163" customFormat="1" ht="15" x14ac:dyDescent="0.25">
      <c r="A244" s="34"/>
      <c r="B244" s="33" t="s">
        <v>34</v>
      </c>
      <c r="C244" s="146" t="s">
        <v>35</v>
      </c>
      <c r="D244" s="146"/>
      <c r="E244" s="146"/>
      <c r="F244" s="35"/>
      <c r="G244" s="36"/>
      <c r="H244" s="36"/>
      <c r="I244" s="36"/>
      <c r="J244" s="39">
        <v>9</v>
      </c>
      <c r="K244" s="38">
        <v>1</v>
      </c>
      <c r="L244" s="42">
        <f>G238*J244*K244</f>
        <v>0.27</v>
      </c>
      <c r="M244" s="106"/>
      <c r="EX244" s="20"/>
      <c r="EY244" s="29"/>
      <c r="EZ244" s="29"/>
      <c r="FA244" s="29"/>
      <c r="FD244" s="3" t="s">
        <v>35</v>
      </c>
      <c r="FG244" s="29"/>
    </row>
    <row r="245" spans="1:163" customFormat="1" ht="15" x14ac:dyDescent="0.25">
      <c r="A245" s="34"/>
      <c r="B245" s="33" t="s">
        <v>36</v>
      </c>
      <c r="C245" s="146" t="s">
        <v>37</v>
      </c>
      <c r="D245" s="146"/>
      <c r="E245" s="146"/>
      <c r="F245" s="35"/>
      <c r="G245" s="36"/>
      <c r="H245" s="36"/>
      <c r="I245" s="36"/>
      <c r="J245" s="37">
        <v>2732.35</v>
      </c>
      <c r="K245" s="36"/>
      <c r="L245" s="42">
        <f>G238*J245</f>
        <v>81.970500000000001</v>
      </c>
      <c r="M245" s="106"/>
      <c r="EX245" s="20"/>
      <c r="EY245" s="29"/>
      <c r="EZ245" s="29"/>
      <c r="FA245" s="29"/>
      <c r="FD245" s="3" t="s">
        <v>37</v>
      </c>
      <c r="FG245" s="29"/>
    </row>
    <row r="246" spans="1:163" customFormat="1" ht="15" x14ac:dyDescent="0.25">
      <c r="A246" s="43"/>
      <c r="B246" s="33"/>
      <c r="C246" s="146" t="s">
        <v>38</v>
      </c>
      <c r="D246" s="146"/>
      <c r="E246" s="146"/>
      <c r="F246" s="35" t="s">
        <v>39</v>
      </c>
      <c r="G246" s="40">
        <v>219.68</v>
      </c>
      <c r="H246" s="38">
        <v>1.3225</v>
      </c>
      <c r="I246" s="60">
        <v>8.7158040000000003</v>
      </c>
      <c r="J246" s="45"/>
      <c r="K246" s="36"/>
      <c r="L246" s="46"/>
      <c r="M246" s="106"/>
      <c r="EX246" s="20"/>
      <c r="EY246" s="29"/>
      <c r="EZ246" s="29"/>
      <c r="FA246" s="29"/>
      <c r="FE246" s="3" t="s">
        <v>38</v>
      </c>
      <c r="FG246" s="29"/>
    </row>
    <row r="247" spans="1:163" customFormat="1" ht="15" x14ac:dyDescent="0.25">
      <c r="A247" s="43"/>
      <c r="B247" s="33"/>
      <c r="C247" s="146" t="s">
        <v>40</v>
      </c>
      <c r="D247" s="146"/>
      <c r="E247" s="146"/>
      <c r="F247" s="35" t="s">
        <v>39</v>
      </c>
      <c r="G247" s="40">
        <v>0.71</v>
      </c>
      <c r="H247" s="38">
        <v>1.4375</v>
      </c>
      <c r="I247" s="44">
        <v>3.0618800000000002E-2</v>
      </c>
      <c r="J247" s="45"/>
      <c r="K247" s="36"/>
      <c r="L247" s="46"/>
      <c r="M247" s="106"/>
      <c r="EX247" s="20"/>
      <c r="EY247" s="29"/>
      <c r="EZ247" s="29"/>
      <c r="FA247" s="29"/>
      <c r="FE247" s="3" t="s">
        <v>40</v>
      </c>
      <c r="FG247" s="29"/>
    </row>
    <row r="248" spans="1:163" customFormat="1" ht="15" x14ac:dyDescent="0.25">
      <c r="A248" s="30"/>
      <c r="B248" s="33"/>
      <c r="C248" s="151" t="s">
        <v>41</v>
      </c>
      <c r="D248" s="151"/>
      <c r="E248" s="151"/>
      <c r="F248" s="47"/>
      <c r="G248" s="48"/>
      <c r="H248" s="48"/>
      <c r="I248" s="48"/>
      <c r="J248" s="49">
        <v>5058.38</v>
      </c>
      <c r="K248" s="48"/>
      <c r="L248" s="66">
        <f>L242+L243+L245</f>
        <v>8683.2707460000001</v>
      </c>
      <c r="M248" s="106"/>
      <c r="EX248" s="20"/>
      <c r="EY248" s="29"/>
      <c r="EZ248" s="29"/>
      <c r="FA248" s="29"/>
      <c r="FF248" s="3" t="s">
        <v>41</v>
      </c>
      <c r="FG248" s="29"/>
    </row>
    <row r="249" spans="1:163" customFormat="1" ht="15" x14ac:dyDescent="0.25">
      <c r="A249" s="43"/>
      <c r="B249" s="33"/>
      <c r="C249" s="146" t="s">
        <v>42</v>
      </c>
      <c r="D249" s="146"/>
      <c r="E249" s="146"/>
      <c r="F249" s="35"/>
      <c r="G249" s="36"/>
      <c r="H249" s="36"/>
      <c r="I249" s="36"/>
      <c r="J249" s="45"/>
      <c r="K249" s="36"/>
      <c r="L249" s="42">
        <f>L242+L244</f>
        <v>8540.3327460000019</v>
      </c>
      <c r="M249" s="106"/>
      <c r="EX249" s="20"/>
      <c r="EY249" s="29"/>
      <c r="EZ249" s="29"/>
      <c r="FA249" s="29"/>
      <c r="FE249" s="3" t="s">
        <v>42</v>
      </c>
      <c r="FG249" s="29"/>
    </row>
    <row r="250" spans="1:163" customFormat="1" ht="23.25" x14ac:dyDescent="0.25">
      <c r="A250" s="43"/>
      <c r="B250" s="33" t="s">
        <v>43</v>
      </c>
      <c r="C250" s="146" t="s">
        <v>44</v>
      </c>
      <c r="D250" s="146"/>
      <c r="E250" s="146"/>
      <c r="F250" s="35" t="s">
        <v>45</v>
      </c>
      <c r="G250" s="51">
        <v>126</v>
      </c>
      <c r="H250" s="36"/>
      <c r="I250" s="51">
        <v>126</v>
      </c>
      <c r="J250" s="45"/>
      <c r="K250" s="36"/>
      <c r="L250" s="42">
        <f>L249*I250%</f>
        <v>10760.819259960002</v>
      </c>
      <c r="M250" s="106"/>
      <c r="EX250" s="20"/>
      <c r="EY250" s="29"/>
      <c r="EZ250" s="29"/>
      <c r="FA250" s="29"/>
      <c r="FE250" s="3" t="s">
        <v>44</v>
      </c>
      <c r="FG250" s="29"/>
    </row>
    <row r="251" spans="1:163" customFormat="1" ht="23.25" x14ac:dyDescent="0.25">
      <c r="A251" s="43"/>
      <c r="B251" s="33" t="s">
        <v>46</v>
      </c>
      <c r="C251" s="146" t="s">
        <v>47</v>
      </c>
      <c r="D251" s="146"/>
      <c r="E251" s="146"/>
      <c r="F251" s="35" t="s">
        <v>45</v>
      </c>
      <c r="G251" s="51">
        <v>68</v>
      </c>
      <c r="H251" s="36"/>
      <c r="I251" s="51">
        <v>68</v>
      </c>
      <c r="J251" s="45"/>
      <c r="K251" s="36"/>
      <c r="L251" s="42">
        <f>L249*I251%</f>
        <v>5807.4262672800014</v>
      </c>
      <c r="M251" s="106"/>
      <c r="EX251" s="20"/>
      <c r="EY251" s="29"/>
      <c r="EZ251" s="29"/>
      <c r="FA251" s="29"/>
      <c r="FE251" s="3" t="s">
        <v>47</v>
      </c>
      <c r="FG251" s="29"/>
    </row>
    <row r="252" spans="1:163" customFormat="1" ht="15" x14ac:dyDescent="0.25">
      <c r="A252" s="52"/>
      <c r="B252" s="53"/>
      <c r="C252" s="148" t="s">
        <v>48</v>
      </c>
      <c r="D252" s="148"/>
      <c r="E252" s="148"/>
      <c r="F252" s="23"/>
      <c r="G252" s="24"/>
      <c r="H252" s="24"/>
      <c r="I252" s="24"/>
      <c r="J252" s="27"/>
      <c r="K252" s="24"/>
      <c r="L252" s="99">
        <f>L248+L250+L251</f>
        <v>25251.516273240006</v>
      </c>
      <c r="M252" s="106"/>
      <c r="EX252" s="20"/>
      <c r="EY252" s="29"/>
      <c r="EZ252" s="29"/>
      <c r="FA252" s="29"/>
      <c r="FG252" s="29" t="s">
        <v>48</v>
      </c>
    </row>
    <row r="253" spans="1:163" customFormat="1" ht="34.5" x14ac:dyDescent="0.25">
      <c r="A253" s="21" t="s">
        <v>175</v>
      </c>
      <c r="B253" s="22" t="s">
        <v>176</v>
      </c>
      <c r="C253" s="148" t="s">
        <v>177</v>
      </c>
      <c r="D253" s="148"/>
      <c r="E253" s="148"/>
      <c r="F253" s="23" t="s">
        <v>172</v>
      </c>
      <c r="G253" s="24">
        <v>53.96</v>
      </c>
      <c r="H253" s="25">
        <v>1</v>
      </c>
      <c r="I253" s="57">
        <v>53.96</v>
      </c>
      <c r="J253" s="56">
        <v>421.07</v>
      </c>
      <c r="K253" s="24"/>
      <c r="L253" s="55">
        <f>G253*J253</f>
        <v>22720.9372</v>
      </c>
      <c r="M253" s="106"/>
      <c r="EX253" s="20"/>
      <c r="EY253" s="29" t="s">
        <v>177</v>
      </c>
      <c r="EZ253" s="29" t="s">
        <v>0</v>
      </c>
      <c r="FA253" s="29" t="s">
        <v>0</v>
      </c>
      <c r="FG253" s="29"/>
    </row>
    <row r="254" spans="1:163" customFormat="1" ht="15" x14ac:dyDescent="0.25">
      <c r="A254" s="30"/>
      <c r="B254" s="31"/>
      <c r="C254" s="146" t="s">
        <v>178</v>
      </c>
      <c r="D254" s="146"/>
      <c r="E254" s="146"/>
      <c r="F254" s="146"/>
      <c r="G254" s="146"/>
      <c r="H254" s="146"/>
      <c r="I254" s="146"/>
      <c r="J254" s="146"/>
      <c r="K254" s="146"/>
      <c r="L254" s="149"/>
      <c r="M254" s="106"/>
      <c r="EX254" s="20"/>
      <c r="EY254" s="29"/>
      <c r="EZ254" s="29"/>
      <c r="FA254" s="29"/>
      <c r="FB254" s="3" t="s">
        <v>178</v>
      </c>
      <c r="FG254" s="29"/>
    </row>
    <row r="255" spans="1:163" customFormat="1" ht="15" x14ac:dyDescent="0.25">
      <c r="A255" s="52"/>
      <c r="B255" s="53"/>
      <c r="C255" s="148" t="s">
        <v>48</v>
      </c>
      <c r="D255" s="148"/>
      <c r="E255" s="148"/>
      <c r="F255" s="23"/>
      <c r="G255" s="24"/>
      <c r="H255" s="24"/>
      <c r="I255" s="24"/>
      <c r="J255" s="27"/>
      <c r="K255" s="24"/>
      <c r="L255" s="96">
        <f>L253</f>
        <v>22720.9372</v>
      </c>
      <c r="M255" s="106"/>
      <c r="EX255" s="20"/>
      <c r="EY255" s="29"/>
      <c r="EZ255" s="29"/>
      <c r="FA255" s="29"/>
      <c r="FG255" s="29" t="s">
        <v>48</v>
      </c>
    </row>
    <row r="256" spans="1:163" customFormat="1" ht="34.5" x14ac:dyDescent="0.25">
      <c r="A256" s="21" t="s">
        <v>179</v>
      </c>
      <c r="B256" s="22" t="s">
        <v>180</v>
      </c>
      <c r="C256" s="148" t="s">
        <v>181</v>
      </c>
      <c r="D256" s="148"/>
      <c r="E256" s="148"/>
      <c r="F256" s="23" t="s">
        <v>182</v>
      </c>
      <c r="G256" s="24">
        <v>0.16</v>
      </c>
      <c r="H256" s="25">
        <v>1</v>
      </c>
      <c r="I256" s="57">
        <v>0.16</v>
      </c>
      <c r="J256" s="27"/>
      <c r="K256" s="24"/>
      <c r="L256" s="28"/>
      <c r="M256" s="106"/>
      <c r="EX256" s="20"/>
      <c r="EY256" s="29" t="s">
        <v>181</v>
      </c>
      <c r="EZ256" s="29" t="s">
        <v>0</v>
      </c>
      <c r="FA256" s="29" t="s">
        <v>0</v>
      </c>
      <c r="FG256" s="29"/>
    </row>
    <row r="257" spans="1:164" customFormat="1" ht="15" x14ac:dyDescent="0.25">
      <c r="A257" s="30"/>
      <c r="B257" s="31"/>
      <c r="C257" s="146" t="s">
        <v>183</v>
      </c>
      <c r="D257" s="146"/>
      <c r="E257" s="146"/>
      <c r="F257" s="146"/>
      <c r="G257" s="146"/>
      <c r="H257" s="146"/>
      <c r="I257" s="146"/>
      <c r="J257" s="146"/>
      <c r="K257" s="146"/>
      <c r="L257" s="149"/>
      <c r="M257" s="106"/>
      <c r="EX257" s="20"/>
      <c r="EY257" s="29"/>
      <c r="EZ257" s="29"/>
      <c r="FA257" s="29"/>
      <c r="FB257" s="3" t="s">
        <v>183</v>
      </c>
      <c r="FG257" s="29"/>
    </row>
    <row r="258" spans="1:164" customFormat="1" ht="68.25" x14ac:dyDescent="0.25">
      <c r="A258" s="32"/>
      <c r="B258" s="33" t="s">
        <v>27</v>
      </c>
      <c r="C258" s="141" t="s">
        <v>28</v>
      </c>
      <c r="D258" s="141"/>
      <c r="E258" s="141"/>
      <c r="F258" s="141"/>
      <c r="G258" s="141"/>
      <c r="H258" s="141"/>
      <c r="I258" s="141"/>
      <c r="J258" s="141"/>
      <c r="K258" s="141"/>
      <c r="L258" s="150"/>
      <c r="M258" s="106"/>
      <c r="EX258" s="20"/>
      <c r="EY258" s="29"/>
      <c r="EZ258" s="29"/>
      <c r="FA258" s="29"/>
      <c r="FC258" s="3" t="s">
        <v>28</v>
      </c>
      <c r="FG258" s="29"/>
    </row>
    <row r="259" spans="1:164" customFormat="1" ht="23.25" x14ac:dyDescent="0.25">
      <c r="A259" s="32"/>
      <c r="B259" s="33" t="s">
        <v>29</v>
      </c>
      <c r="C259" s="141" t="s">
        <v>30</v>
      </c>
      <c r="D259" s="141"/>
      <c r="E259" s="141"/>
      <c r="F259" s="141"/>
      <c r="G259" s="141"/>
      <c r="H259" s="141"/>
      <c r="I259" s="141"/>
      <c r="J259" s="141"/>
      <c r="K259" s="141"/>
      <c r="L259" s="150"/>
      <c r="M259" s="106"/>
      <c r="N259" s="118" t="s">
        <v>324</v>
      </c>
      <c r="EX259" s="20"/>
      <c r="EY259" s="29"/>
      <c r="EZ259" s="29"/>
      <c r="FA259" s="29"/>
      <c r="FC259" s="3" t="s">
        <v>30</v>
      </c>
      <c r="FG259" s="29"/>
    </row>
    <row r="260" spans="1:164" customFormat="1" ht="15" x14ac:dyDescent="0.25">
      <c r="A260" s="34"/>
      <c r="B260" s="33" t="s">
        <v>22</v>
      </c>
      <c r="C260" s="146" t="s">
        <v>31</v>
      </c>
      <c r="D260" s="146"/>
      <c r="E260" s="146"/>
      <c r="F260" s="35"/>
      <c r="G260" s="36"/>
      <c r="H260" s="36"/>
      <c r="I260" s="36"/>
      <c r="J260" s="117">
        <f>O260</f>
        <v>29441.342799999999</v>
      </c>
      <c r="K260" s="38">
        <v>1</v>
      </c>
      <c r="L260" s="42">
        <f>G256*J260*K260</f>
        <v>4710.6148480000002</v>
      </c>
      <c r="M260" s="106">
        <v>49.45</v>
      </c>
      <c r="N260" s="112">
        <v>13966.97077125</v>
      </c>
      <c r="O260" s="113">
        <v>29441.342799999999</v>
      </c>
      <c r="P260" s="105">
        <f>G264</f>
        <v>22.72</v>
      </c>
      <c r="Q260" s="105">
        <f>O260/P260*8</f>
        <v>10366.67</v>
      </c>
      <c r="R260" s="105">
        <f>Q260*22</f>
        <v>228066.74</v>
      </c>
      <c r="S260" s="105">
        <f>R260*(1-0.43)</f>
        <v>129998.04180000001</v>
      </c>
      <c r="EX260" s="20"/>
      <c r="EY260" s="29"/>
      <c r="EZ260" s="29"/>
      <c r="FA260" s="29"/>
      <c r="FD260" s="3" t="s">
        <v>31</v>
      </c>
      <c r="FG260" s="29"/>
    </row>
    <row r="261" spans="1:164" customFormat="1" ht="15" x14ac:dyDescent="0.25">
      <c r="A261" s="34"/>
      <c r="B261" s="33" t="s">
        <v>32</v>
      </c>
      <c r="C261" s="146" t="s">
        <v>33</v>
      </c>
      <c r="D261" s="146"/>
      <c r="E261" s="146"/>
      <c r="F261" s="35"/>
      <c r="G261" s="36"/>
      <c r="H261" s="36"/>
      <c r="I261" s="36"/>
      <c r="J261" s="117">
        <f>O261</f>
        <v>57.5</v>
      </c>
      <c r="K261" s="38">
        <v>1</v>
      </c>
      <c r="L261" s="42">
        <f>G256*J261*K261</f>
        <v>9.2000000000000011</v>
      </c>
      <c r="M261" s="106">
        <v>14.53</v>
      </c>
      <c r="N261" s="112">
        <v>3015.4381437500001</v>
      </c>
      <c r="O261" s="113">
        <v>57.5</v>
      </c>
      <c r="P261" s="105">
        <f>G265</f>
        <v>0.02</v>
      </c>
      <c r="Q261" s="105">
        <f>O261/P261*8</f>
        <v>23000</v>
      </c>
      <c r="EX261" s="20"/>
      <c r="EY261" s="29"/>
      <c r="EZ261" s="29"/>
      <c r="FA261" s="29"/>
      <c r="FD261" s="3" t="s">
        <v>33</v>
      </c>
      <c r="FG261" s="29"/>
    </row>
    <row r="262" spans="1:164" customFormat="1" ht="15" x14ac:dyDescent="0.25">
      <c r="A262" s="34"/>
      <c r="B262" s="33" t="s">
        <v>34</v>
      </c>
      <c r="C262" s="146" t="s">
        <v>35</v>
      </c>
      <c r="D262" s="146"/>
      <c r="E262" s="146"/>
      <c r="F262" s="35"/>
      <c r="G262" s="36"/>
      <c r="H262" s="36"/>
      <c r="I262" s="36"/>
      <c r="J262" s="39">
        <v>0.26</v>
      </c>
      <c r="K262" s="38">
        <v>1</v>
      </c>
      <c r="L262" s="42">
        <f>G256*J262*K262</f>
        <v>4.1600000000000005E-2</v>
      </c>
      <c r="M262" s="106"/>
      <c r="EX262" s="20"/>
      <c r="EY262" s="29"/>
      <c r="EZ262" s="29"/>
      <c r="FA262" s="29"/>
      <c r="FD262" s="3" t="s">
        <v>35</v>
      </c>
      <c r="FG262" s="29"/>
    </row>
    <row r="263" spans="1:164" customFormat="1" ht="15" x14ac:dyDescent="0.25">
      <c r="A263" s="34"/>
      <c r="B263" s="33" t="s">
        <v>36</v>
      </c>
      <c r="C263" s="146" t="s">
        <v>37</v>
      </c>
      <c r="D263" s="146"/>
      <c r="E263" s="146"/>
      <c r="F263" s="35"/>
      <c r="G263" s="36"/>
      <c r="H263" s="36"/>
      <c r="I263" s="36"/>
      <c r="J263" s="39">
        <v>50.53</v>
      </c>
      <c r="K263" s="36"/>
      <c r="L263" s="42">
        <f>G256*J263</f>
        <v>8.0847999999999995</v>
      </c>
      <c r="M263" s="106"/>
      <c r="EX263" s="20"/>
      <c r="EY263" s="29"/>
      <c r="EZ263" s="29"/>
      <c r="FA263" s="29"/>
      <c r="FD263" s="3" t="s">
        <v>37</v>
      </c>
      <c r="FG263" s="29"/>
    </row>
    <row r="264" spans="1:164" customFormat="1" ht="15" x14ac:dyDescent="0.25">
      <c r="A264" s="43"/>
      <c r="B264" s="33"/>
      <c r="C264" s="146" t="s">
        <v>38</v>
      </c>
      <c r="D264" s="146"/>
      <c r="E264" s="146"/>
      <c r="F264" s="35" t="s">
        <v>39</v>
      </c>
      <c r="G264" s="40">
        <v>22.72</v>
      </c>
      <c r="H264" s="38">
        <v>1.3225</v>
      </c>
      <c r="I264" s="60">
        <v>4.8075520000000003</v>
      </c>
      <c r="J264" s="45"/>
      <c r="K264" s="36"/>
      <c r="L264" s="46"/>
      <c r="M264" s="106"/>
      <c r="EX264" s="20"/>
      <c r="EY264" s="29"/>
      <c r="EZ264" s="29"/>
      <c r="FA264" s="29"/>
      <c r="FE264" s="3" t="s">
        <v>38</v>
      </c>
      <c r="FG264" s="29"/>
    </row>
    <row r="265" spans="1:164" customFormat="1" ht="15" x14ac:dyDescent="0.25">
      <c r="A265" s="43"/>
      <c r="B265" s="33"/>
      <c r="C265" s="146" t="s">
        <v>40</v>
      </c>
      <c r="D265" s="146"/>
      <c r="E265" s="146"/>
      <c r="F265" s="35" t="s">
        <v>39</v>
      </c>
      <c r="G265" s="40">
        <v>0.02</v>
      </c>
      <c r="H265" s="38">
        <v>1.4375</v>
      </c>
      <c r="I265" s="38">
        <v>4.5999999999999999E-3</v>
      </c>
      <c r="J265" s="45"/>
      <c r="K265" s="36"/>
      <c r="L265" s="46"/>
      <c r="M265" s="106"/>
      <c r="EX265" s="20"/>
      <c r="EY265" s="29"/>
      <c r="EZ265" s="29"/>
      <c r="FA265" s="29"/>
      <c r="FE265" s="3" t="s">
        <v>40</v>
      </c>
      <c r="FG265" s="29"/>
    </row>
    <row r="266" spans="1:164" customFormat="1" ht="15" x14ac:dyDescent="0.25">
      <c r="A266" s="30"/>
      <c r="B266" s="33"/>
      <c r="C266" s="151" t="s">
        <v>41</v>
      </c>
      <c r="D266" s="151"/>
      <c r="E266" s="151"/>
      <c r="F266" s="47"/>
      <c r="G266" s="48"/>
      <c r="H266" s="48"/>
      <c r="I266" s="48"/>
      <c r="J266" s="62">
        <v>408.47</v>
      </c>
      <c r="K266" s="48"/>
      <c r="L266" s="66">
        <f>L260+L261+L263</f>
        <v>4727.8996479999996</v>
      </c>
      <c r="M266" s="106"/>
      <c r="EX266" s="20"/>
      <c r="EY266" s="29"/>
      <c r="EZ266" s="29"/>
      <c r="FA266" s="29"/>
      <c r="FF266" s="3" t="s">
        <v>41</v>
      </c>
      <c r="FG266" s="29"/>
    </row>
    <row r="267" spans="1:164" customFormat="1" ht="15" x14ac:dyDescent="0.25">
      <c r="A267" s="43"/>
      <c r="B267" s="33"/>
      <c r="C267" s="146" t="s">
        <v>42</v>
      </c>
      <c r="D267" s="146"/>
      <c r="E267" s="146"/>
      <c r="F267" s="35"/>
      <c r="G267" s="36"/>
      <c r="H267" s="36"/>
      <c r="I267" s="36"/>
      <c r="J267" s="45"/>
      <c r="K267" s="36"/>
      <c r="L267" s="42">
        <f>L260+L262</f>
        <v>4710.6564479999997</v>
      </c>
      <c r="M267" s="106"/>
      <c r="EX267" s="20"/>
      <c r="EY267" s="29"/>
      <c r="EZ267" s="29"/>
      <c r="FA267" s="29"/>
      <c r="FE267" s="3" t="s">
        <v>42</v>
      </c>
      <c r="FG267" s="29"/>
    </row>
    <row r="268" spans="1:164" customFormat="1" ht="23.25" x14ac:dyDescent="0.25">
      <c r="A268" s="43"/>
      <c r="B268" s="33" t="s">
        <v>72</v>
      </c>
      <c r="C268" s="146" t="s">
        <v>73</v>
      </c>
      <c r="D268" s="146"/>
      <c r="E268" s="146"/>
      <c r="F268" s="35" t="s">
        <v>45</v>
      </c>
      <c r="G268" s="51">
        <v>97</v>
      </c>
      <c r="H268" s="36"/>
      <c r="I268" s="51">
        <v>97</v>
      </c>
      <c r="J268" s="45"/>
      <c r="K268" s="36"/>
      <c r="L268" s="42">
        <f>L267*I268%</f>
        <v>4569.3367545599995</v>
      </c>
      <c r="M268" s="106"/>
      <c r="EX268" s="20"/>
      <c r="EY268" s="29"/>
      <c r="EZ268" s="29"/>
      <c r="FA268" s="29"/>
      <c r="FE268" s="3" t="s">
        <v>73</v>
      </c>
      <c r="FG268" s="29"/>
    </row>
    <row r="269" spans="1:164" customFormat="1" ht="23.25" x14ac:dyDescent="0.25">
      <c r="A269" s="43"/>
      <c r="B269" s="33" t="s">
        <v>74</v>
      </c>
      <c r="C269" s="146" t="s">
        <v>75</v>
      </c>
      <c r="D269" s="146"/>
      <c r="E269" s="146"/>
      <c r="F269" s="35" t="s">
        <v>45</v>
      </c>
      <c r="G269" s="51">
        <v>51</v>
      </c>
      <c r="H269" s="36"/>
      <c r="I269" s="51">
        <v>51</v>
      </c>
      <c r="J269" s="45"/>
      <c r="K269" s="36"/>
      <c r="L269" s="42">
        <f>L267*I269%</f>
        <v>2402.43478848</v>
      </c>
      <c r="M269" s="106"/>
      <c r="EX269" s="20"/>
      <c r="EY269" s="29"/>
      <c r="EZ269" s="29"/>
      <c r="FA269" s="29"/>
      <c r="FE269" s="3" t="s">
        <v>75</v>
      </c>
      <c r="FG269" s="29"/>
    </row>
    <row r="270" spans="1:164" customFormat="1" ht="15" x14ac:dyDescent="0.25">
      <c r="A270" s="52"/>
      <c r="B270" s="53"/>
      <c r="C270" s="148" t="s">
        <v>48</v>
      </c>
      <c r="D270" s="148"/>
      <c r="E270" s="148"/>
      <c r="F270" s="23"/>
      <c r="G270" s="24"/>
      <c r="H270" s="24"/>
      <c r="I270" s="24"/>
      <c r="J270" s="27"/>
      <c r="K270" s="24"/>
      <c r="L270" s="99">
        <f>L266+L268+L269</f>
        <v>11699.671191040001</v>
      </c>
      <c r="M270" s="106"/>
      <c r="EX270" s="20"/>
      <c r="EY270" s="29"/>
      <c r="EZ270" s="29"/>
      <c r="FA270" s="29"/>
      <c r="FG270" s="29" t="s">
        <v>48</v>
      </c>
    </row>
    <row r="271" spans="1:164" customFormat="1" ht="45" x14ac:dyDescent="0.25">
      <c r="A271" s="21" t="s">
        <v>184</v>
      </c>
      <c r="B271" s="22" t="s">
        <v>185</v>
      </c>
      <c r="C271" s="148" t="s">
        <v>186</v>
      </c>
      <c r="D271" s="148"/>
      <c r="E271" s="148"/>
      <c r="F271" s="23" t="s">
        <v>51</v>
      </c>
      <c r="G271" s="24">
        <v>16</v>
      </c>
      <c r="H271" s="25">
        <v>1</v>
      </c>
      <c r="I271" s="25">
        <v>16</v>
      </c>
      <c r="J271" s="56">
        <f>5100/1.2</f>
        <v>4250</v>
      </c>
      <c r="K271" s="26">
        <v>1</v>
      </c>
      <c r="L271" s="55">
        <f>G271*J271*K271</f>
        <v>68000</v>
      </c>
      <c r="M271" s="106"/>
      <c r="EX271" s="20"/>
      <c r="EY271" s="29" t="s">
        <v>186</v>
      </c>
      <c r="EZ271" s="29" t="s">
        <v>0</v>
      </c>
      <c r="FA271" s="29" t="s">
        <v>0</v>
      </c>
      <c r="FG271" s="29"/>
    </row>
    <row r="272" spans="1:164" customFormat="1" ht="15" x14ac:dyDescent="0.25">
      <c r="A272" s="30"/>
      <c r="B272" s="31"/>
      <c r="C272" s="152" t="s">
        <v>306</v>
      </c>
      <c r="D272" s="146"/>
      <c r="E272" s="146"/>
      <c r="F272" s="146"/>
      <c r="G272" s="146"/>
      <c r="H272" s="146"/>
      <c r="I272" s="146"/>
      <c r="J272" s="146"/>
      <c r="K272" s="146"/>
      <c r="L272" s="149"/>
      <c r="M272" s="106"/>
      <c r="EX272" s="20"/>
      <c r="EY272" s="29"/>
      <c r="EZ272" s="29"/>
      <c r="FA272" s="29"/>
      <c r="FG272" s="29"/>
      <c r="FH272" s="3" t="s">
        <v>187</v>
      </c>
    </row>
    <row r="273" spans="1:163" customFormat="1" ht="15" x14ac:dyDescent="0.25">
      <c r="A273" s="32"/>
      <c r="B273" s="33"/>
      <c r="C273" s="141" t="s">
        <v>54</v>
      </c>
      <c r="D273" s="141"/>
      <c r="E273" s="141"/>
      <c r="F273" s="141"/>
      <c r="G273" s="141"/>
      <c r="H273" s="141"/>
      <c r="I273" s="141"/>
      <c r="J273" s="141"/>
      <c r="K273" s="141"/>
      <c r="L273" s="150"/>
      <c r="M273" s="106"/>
      <c r="EX273" s="20"/>
      <c r="EY273" s="29"/>
      <c r="EZ273" s="29"/>
      <c r="FA273" s="29"/>
      <c r="FC273" s="3" t="s">
        <v>54</v>
      </c>
      <c r="FG273" s="29"/>
    </row>
    <row r="274" spans="1:163" customFormat="1" ht="15" x14ac:dyDescent="0.25">
      <c r="A274" s="32"/>
      <c r="B274" s="33"/>
      <c r="C274" s="141" t="s">
        <v>55</v>
      </c>
      <c r="D274" s="141"/>
      <c r="E274" s="141"/>
      <c r="F274" s="141"/>
      <c r="G274" s="141"/>
      <c r="H274" s="141"/>
      <c r="I274" s="141"/>
      <c r="J274" s="141"/>
      <c r="K274" s="141"/>
      <c r="L274" s="150"/>
      <c r="M274" s="106"/>
      <c r="EX274" s="20"/>
      <c r="EY274" s="29"/>
      <c r="EZ274" s="29"/>
      <c r="FA274" s="29"/>
      <c r="FC274" s="3" t="s">
        <v>55</v>
      </c>
      <c r="FG274" s="29"/>
    </row>
    <row r="275" spans="1:163" customFormat="1" ht="15" x14ac:dyDescent="0.25">
      <c r="A275" s="52"/>
      <c r="B275" s="53"/>
      <c r="C275" s="148" t="s">
        <v>48</v>
      </c>
      <c r="D275" s="148"/>
      <c r="E275" s="148"/>
      <c r="F275" s="23"/>
      <c r="G275" s="24"/>
      <c r="H275" s="24"/>
      <c r="I275" s="24"/>
      <c r="J275" s="27"/>
      <c r="K275" s="24"/>
      <c r="L275" s="96">
        <f>L271</f>
        <v>68000</v>
      </c>
      <c r="M275" s="106"/>
      <c r="EX275" s="20"/>
      <c r="EY275" s="29"/>
      <c r="EZ275" s="29"/>
      <c r="FA275" s="29"/>
      <c r="FG275" s="29" t="s">
        <v>48</v>
      </c>
    </row>
    <row r="276" spans="1:163" customFormat="1" ht="45.75" x14ac:dyDescent="0.25">
      <c r="A276" s="21" t="s">
        <v>188</v>
      </c>
      <c r="B276" s="22" t="s">
        <v>189</v>
      </c>
      <c r="C276" s="148" t="s">
        <v>190</v>
      </c>
      <c r="D276" s="148"/>
      <c r="E276" s="148"/>
      <c r="F276" s="23" t="s">
        <v>182</v>
      </c>
      <c r="G276" s="24">
        <v>6</v>
      </c>
      <c r="H276" s="25">
        <v>1</v>
      </c>
      <c r="I276" s="25">
        <v>6</v>
      </c>
      <c r="J276" s="27"/>
      <c r="K276" s="24"/>
      <c r="L276" s="28"/>
      <c r="M276" s="106"/>
      <c r="EX276" s="20"/>
      <c r="EY276" s="29" t="s">
        <v>190</v>
      </c>
      <c r="EZ276" s="29" t="s">
        <v>0</v>
      </c>
      <c r="FA276" s="29" t="s">
        <v>0</v>
      </c>
      <c r="FG276" s="29"/>
    </row>
    <row r="277" spans="1:163" customFormat="1" ht="15" x14ac:dyDescent="0.25">
      <c r="A277" s="30"/>
      <c r="B277" s="31"/>
      <c r="C277" s="146" t="s">
        <v>191</v>
      </c>
      <c r="D277" s="146"/>
      <c r="E277" s="146"/>
      <c r="F277" s="146"/>
      <c r="G277" s="146"/>
      <c r="H277" s="146"/>
      <c r="I277" s="146"/>
      <c r="J277" s="146"/>
      <c r="K277" s="146"/>
      <c r="L277" s="149"/>
      <c r="M277" s="106"/>
      <c r="EX277" s="20"/>
      <c r="EY277" s="29"/>
      <c r="EZ277" s="29"/>
      <c r="FA277" s="29"/>
      <c r="FB277" s="3" t="s">
        <v>191</v>
      </c>
      <c r="FG277" s="29"/>
    </row>
    <row r="278" spans="1:163" customFormat="1" ht="68.25" x14ac:dyDescent="0.25">
      <c r="A278" s="32"/>
      <c r="B278" s="33" t="s">
        <v>27</v>
      </c>
      <c r="C278" s="141" t="s">
        <v>28</v>
      </c>
      <c r="D278" s="141"/>
      <c r="E278" s="141"/>
      <c r="F278" s="141"/>
      <c r="G278" s="141"/>
      <c r="H278" s="141"/>
      <c r="I278" s="141"/>
      <c r="J278" s="141"/>
      <c r="K278" s="141"/>
      <c r="L278" s="150"/>
      <c r="M278" s="106"/>
      <c r="N278" s="118" t="s">
        <v>324</v>
      </c>
      <c r="EX278" s="20"/>
      <c r="EY278" s="29"/>
      <c r="EZ278" s="29"/>
      <c r="FA278" s="29"/>
      <c r="FC278" s="3" t="s">
        <v>28</v>
      </c>
      <c r="FG278" s="29"/>
    </row>
    <row r="279" spans="1:163" customFormat="1" ht="15" x14ac:dyDescent="0.25">
      <c r="A279" s="34"/>
      <c r="B279" s="33" t="s">
        <v>22</v>
      </c>
      <c r="C279" s="146" t="s">
        <v>31</v>
      </c>
      <c r="D279" s="146"/>
      <c r="E279" s="146"/>
      <c r="F279" s="35"/>
      <c r="G279" s="36"/>
      <c r="H279" s="36"/>
      <c r="I279" s="36"/>
      <c r="J279" s="117">
        <f>O279</f>
        <v>9770.5864749999982</v>
      </c>
      <c r="K279" s="40">
        <v>1</v>
      </c>
      <c r="L279" s="42">
        <f>G276*J279*K279</f>
        <v>58623.518849999993</v>
      </c>
      <c r="M279" s="106">
        <v>49.45</v>
      </c>
      <c r="N279" s="112">
        <v>3657.7175999999995</v>
      </c>
      <c r="O279" s="113">
        <v>9770.5864749999982</v>
      </c>
      <c r="P279" s="105">
        <f>G281</f>
        <v>7.54</v>
      </c>
      <c r="Q279" s="105">
        <f>O279/P279*8</f>
        <v>10366.669999999998</v>
      </c>
      <c r="R279" s="105">
        <f>Q279*22</f>
        <v>228066.73999999996</v>
      </c>
      <c r="S279" s="105">
        <f>R279*(1-0.43)</f>
        <v>129998.04179999999</v>
      </c>
      <c r="EX279" s="20"/>
      <c r="EY279" s="29"/>
      <c r="EZ279" s="29"/>
      <c r="FA279" s="29"/>
      <c r="FD279" s="3" t="s">
        <v>31</v>
      </c>
      <c r="FG279" s="29"/>
    </row>
    <row r="280" spans="1:163" customFormat="1" ht="15" x14ac:dyDescent="0.25">
      <c r="A280" s="34"/>
      <c r="B280" s="33" t="s">
        <v>32</v>
      </c>
      <c r="C280" s="146" t="s">
        <v>33</v>
      </c>
      <c r="D280" s="146"/>
      <c r="E280" s="146"/>
      <c r="F280" s="35"/>
      <c r="G280" s="36"/>
      <c r="H280" s="36"/>
      <c r="I280" s="36"/>
      <c r="J280" s="117">
        <v>0</v>
      </c>
      <c r="K280" s="40">
        <v>1</v>
      </c>
      <c r="L280" s="42">
        <f>G276*J280*K280</f>
        <v>0</v>
      </c>
      <c r="M280" s="106"/>
      <c r="N280" s="112"/>
      <c r="O280" s="113"/>
      <c r="P280" s="105"/>
      <c r="Q280" s="105"/>
      <c r="EX280" s="20"/>
      <c r="EY280" s="29"/>
      <c r="EZ280" s="29"/>
      <c r="FA280" s="29"/>
      <c r="FD280" s="3" t="s">
        <v>33</v>
      </c>
      <c r="FG280" s="29"/>
    </row>
    <row r="281" spans="1:163" customFormat="1" ht="15" x14ac:dyDescent="0.25">
      <c r="A281" s="43"/>
      <c r="B281" s="33"/>
      <c r="C281" s="146" t="s">
        <v>38</v>
      </c>
      <c r="D281" s="146"/>
      <c r="E281" s="146"/>
      <c r="F281" s="35" t="s">
        <v>39</v>
      </c>
      <c r="G281" s="40">
        <v>7.54</v>
      </c>
      <c r="H281" s="40">
        <v>1.1499999999999999</v>
      </c>
      <c r="I281" s="67">
        <v>52.026000000000003</v>
      </c>
      <c r="J281" s="45"/>
      <c r="K281" s="36"/>
      <c r="L281" s="46"/>
      <c r="M281" s="106"/>
      <c r="EX281" s="20"/>
      <c r="EY281" s="29"/>
      <c r="EZ281" s="29"/>
      <c r="FA281" s="29"/>
      <c r="FE281" s="3" t="s">
        <v>38</v>
      </c>
      <c r="FG281" s="29"/>
    </row>
    <row r="282" spans="1:163" customFormat="1" ht="15" x14ac:dyDescent="0.25">
      <c r="A282" s="30"/>
      <c r="B282" s="33"/>
      <c r="C282" s="151" t="s">
        <v>41</v>
      </c>
      <c r="D282" s="151"/>
      <c r="E282" s="151"/>
      <c r="F282" s="47"/>
      <c r="G282" s="48"/>
      <c r="H282" s="48"/>
      <c r="I282" s="48"/>
      <c r="J282" s="62">
        <v>72.12</v>
      </c>
      <c r="K282" s="48"/>
      <c r="L282" s="66">
        <f>L279+L280</f>
        <v>58623.518849999993</v>
      </c>
      <c r="M282" s="106"/>
      <c r="EX282" s="20"/>
      <c r="EY282" s="29"/>
      <c r="EZ282" s="29"/>
      <c r="FA282" s="29"/>
      <c r="FF282" s="3" t="s">
        <v>41</v>
      </c>
      <c r="FG282" s="29"/>
    </row>
    <row r="283" spans="1:163" customFormat="1" ht="15" x14ac:dyDescent="0.25">
      <c r="A283" s="43"/>
      <c r="B283" s="33"/>
      <c r="C283" s="146" t="s">
        <v>42</v>
      </c>
      <c r="D283" s="146"/>
      <c r="E283" s="146"/>
      <c r="F283" s="35"/>
      <c r="G283" s="36"/>
      <c r="H283" s="36"/>
      <c r="I283" s="36"/>
      <c r="J283" s="45"/>
      <c r="K283" s="36"/>
      <c r="L283" s="42">
        <f>L279</f>
        <v>58623.518849999993</v>
      </c>
      <c r="M283" s="106"/>
      <c r="EX283" s="20"/>
      <c r="EY283" s="29"/>
      <c r="EZ283" s="29"/>
      <c r="FA283" s="29"/>
      <c r="FE283" s="3" t="s">
        <v>42</v>
      </c>
      <c r="FG283" s="29"/>
    </row>
    <row r="284" spans="1:163" customFormat="1" ht="45.75" x14ac:dyDescent="0.25">
      <c r="A284" s="43"/>
      <c r="B284" s="33" t="s">
        <v>149</v>
      </c>
      <c r="C284" s="146" t="s">
        <v>150</v>
      </c>
      <c r="D284" s="146"/>
      <c r="E284" s="146"/>
      <c r="F284" s="35" t="s">
        <v>45</v>
      </c>
      <c r="G284" s="51">
        <v>103</v>
      </c>
      <c r="H284" s="36"/>
      <c r="I284" s="51">
        <v>103</v>
      </c>
      <c r="J284" s="45"/>
      <c r="K284" s="36"/>
      <c r="L284" s="42">
        <f>L283*I284%</f>
        <v>60382.224415499993</v>
      </c>
      <c r="M284" s="106"/>
      <c r="EX284" s="20"/>
      <c r="EY284" s="29"/>
      <c r="EZ284" s="29"/>
      <c r="FA284" s="29"/>
      <c r="FE284" s="3" t="s">
        <v>150</v>
      </c>
      <c r="FG284" s="29"/>
    </row>
    <row r="285" spans="1:163" customFormat="1" ht="45.75" x14ac:dyDescent="0.25">
      <c r="A285" s="43"/>
      <c r="B285" s="33" t="s">
        <v>151</v>
      </c>
      <c r="C285" s="146" t="s">
        <v>152</v>
      </c>
      <c r="D285" s="146"/>
      <c r="E285" s="146"/>
      <c r="F285" s="35" t="s">
        <v>45</v>
      </c>
      <c r="G285" s="51">
        <v>59</v>
      </c>
      <c r="H285" s="36"/>
      <c r="I285" s="51">
        <v>59</v>
      </c>
      <c r="J285" s="45"/>
      <c r="K285" s="36"/>
      <c r="L285" s="42">
        <f>L283*I285%</f>
        <v>34587.876121499998</v>
      </c>
      <c r="M285" s="106"/>
      <c r="EX285" s="20"/>
      <c r="EY285" s="29"/>
      <c r="EZ285" s="29"/>
      <c r="FA285" s="29"/>
      <c r="FE285" s="3" t="s">
        <v>152</v>
      </c>
      <c r="FG285" s="29"/>
    </row>
    <row r="286" spans="1:163" customFormat="1" ht="15" x14ac:dyDescent="0.25">
      <c r="A286" s="52"/>
      <c r="B286" s="53"/>
      <c r="C286" s="148" t="s">
        <v>48</v>
      </c>
      <c r="D286" s="148"/>
      <c r="E286" s="148"/>
      <c r="F286" s="23"/>
      <c r="G286" s="24"/>
      <c r="H286" s="24"/>
      <c r="I286" s="24"/>
      <c r="J286" s="27"/>
      <c r="K286" s="24"/>
      <c r="L286" s="96">
        <f>L282+L284+L285</f>
        <v>153593.61938699998</v>
      </c>
      <c r="M286" s="106"/>
      <c r="EX286" s="20"/>
      <c r="EY286" s="29"/>
      <c r="EZ286" s="29"/>
      <c r="FA286" s="29"/>
      <c r="FG286" s="29" t="s">
        <v>48</v>
      </c>
    </row>
    <row r="287" spans="1:163" customFormat="1" ht="34.5" x14ac:dyDescent="0.25">
      <c r="A287" s="21" t="s">
        <v>192</v>
      </c>
      <c r="B287" s="22" t="s">
        <v>193</v>
      </c>
      <c r="C287" s="148" t="s">
        <v>194</v>
      </c>
      <c r="D287" s="148"/>
      <c r="E287" s="148"/>
      <c r="F287" s="23" t="s">
        <v>182</v>
      </c>
      <c r="G287" s="24">
        <v>6</v>
      </c>
      <c r="H287" s="25">
        <v>1</v>
      </c>
      <c r="I287" s="25">
        <v>6</v>
      </c>
      <c r="J287" s="27"/>
      <c r="K287" s="24"/>
      <c r="L287" s="28"/>
      <c r="M287" s="106"/>
      <c r="EX287" s="20"/>
      <c r="EY287" s="29" t="s">
        <v>194</v>
      </c>
      <c r="EZ287" s="29" t="s">
        <v>0</v>
      </c>
      <c r="FA287" s="29" t="s">
        <v>0</v>
      </c>
      <c r="FG287" s="29"/>
    </row>
    <row r="288" spans="1:163" customFormat="1" ht="15" x14ac:dyDescent="0.25">
      <c r="A288" s="30"/>
      <c r="B288" s="31"/>
      <c r="C288" s="146" t="s">
        <v>191</v>
      </c>
      <c r="D288" s="146"/>
      <c r="E288" s="146"/>
      <c r="F288" s="146"/>
      <c r="G288" s="146"/>
      <c r="H288" s="146"/>
      <c r="I288" s="146"/>
      <c r="J288" s="146"/>
      <c r="K288" s="146"/>
      <c r="L288" s="149"/>
      <c r="M288" s="106"/>
      <c r="EX288" s="20"/>
      <c r="EY288" s="29"/>
      <c r="EZ288" s="29"/>
      <c r="FA288" s="29"/>
      <c r="FB288" s="3" t="s">
        <v>191</v>
      </c>
      <c r="FG288" s="29"/>
    </row>
    <row r="289" spans="1:164" customFormat="1" ht="68.25" x14ac:dyDescent="0.25">
      <c r="A289" s="32"/>
      <c r="B289" s="33" t="s">
        <v>27</v>
      </c>
      <c r="C289" s="141" t="s">
        <v>28</v>
      </c>
      <c r="D289" s="141"/>
      <c r="E289" s="141"/>
      <c r="F289" s="141"/>
      <c r="G289" s="141"/>
      <c r="H289" s="141"/>
      <c r="I289" s="141"/>
      <c r="J289" s="141"/>
      <c r="K289" s="141"/>
      <c r="L289" s="150"/>
      <c r="M289" s="106"/>
      <c r="N289" s="118" t="s">
        <v>324</v>
      </c>
      <c r="EX289" s="20"/>
      <c r="EY289" s="29"/>
      <c r="EZ289" s="29"/>
      <c r="FA289" s="29"/>
      <c r="FC289" s="3" t="s">
        <v>28</v>
      </c>
      <c r="FG289" s="29"/>
    </row>
    <row r="290" spans="1:164" customFormat="1" ht="15" x14ac:dyDescent="0.25">
      <c r="A290" s="34"/>
      <c r="B290" s="33" t="s">
        <v>22</v>
      </c>
      <c r="C290" s="146" t="s">
        <v>31</v>
      </c>
      <c r="D290" s="146"/>
      <c r="E290" s="146"/>
      <c r="F290" s="35"/>
      <c r="G290" s="36"/>
      <c r="H290" s="36"/>
      <c r="I290" s="36"/>
      <c r="J290" s="117">
        <v>6.06</v>
      </c>
      <c r="K290" s="40">
        <v>1</v>
      </c>
      <c r="L290" s="42">
        <f>G287*J290*K290</f>
        <v>36.36</v>
      </c>
      <c r="M290" s="106">
        <v>49.45</v>
      </c>
      <c r="N290" s="112">
        <v>344.61704999999995</v>
      </c>
      <c r="O290" s="113">
        <v>920.04196250000018</v>
      </c>
      <c r="P290" s="105">
        <f>G292</f>
        <v>0.71</v>
      </c>
      <c r="Q290" s="105">
        <f>O290/P290*8</f>
        <v>10366.670000000002</v>
      </c>
      <c r="R290" s="105">
        <f>Q290*22</f>
        <v>228066.74000000005</v>
      </c>
      <c r="S290" s="105">
        <f>R290*(1-0.43)</f>
        <v>129998.04180000004</v>
      </c>
      <c r="EX290" s="20"/>
      <c r="EY290" s="29"/>
      <c r="EZ290" s="29"/>
      <c r="FA290" s="29"/>
      <c r="FD290" s="3" t="s">
        <v>31</v>
      </c>
      <c r="FG290" s="29"/>
    </row>
    <row r="291" spans="1:164" customFormat="1" ht="15" x14ac:dyDescent="0.25">
      <c r="A291" s="34"/>
      <c r="B291" s="33" t="s">
        <v>32</v>
      </c>
      <c r="C291" s="146" t="s">
        <v>33</v>
      </c>
      <c r="D291" s="146"/>
      <c r="E291" s="146"/>
      <c r="F291" s="35"/>
      <c r="G291" s="36"/>
      <c r="H291" s="36"/>
      <c r="I291" s="36"/>
      <c r="J291" s="117">
        <v>0</v>
      </c>
      <c r="K291" s="40">
        <v>1</v>
      </c>
      <c r="L291" s="42">
        <f>G287*J291*K291</f>
        <v>0</v>
      </c>
      <c r="M291" s="106"/>
      <c r="EX291" s="20"/>
      <c r="EY291" s="29"/>
      <c r="EZ291" s="29"/>
      <c r="FA291" s="29"/>
      <c r="FD291" s="3" t="s">
        <v>33</v>
      </c>
      <c r="FG291" s="29"/>
    </row>
    <row r="292" spans="1:164" customFormat="1" ht="15" x14ac:dyDescent="0.25">
      <c r="A292" s="43"/>
      <c r="B292" s="33"/>
      <c r="C292" s="146" t="s">
        <v>38</v>
      </c>
      <c r="D292" s="146"/>
      <c r="E292" s="146"/>
      <c r="F292" s="35" t="s">
        <v>39</v>
      </c>
      <c r="G292" s="40">
        <v>0.71</v>
      </c>
      <c r="H292" s="40">
        <v>1.1499999999999999</v>
      </c>
      <c r="I292" s="67">
        <v>4.899</v>
      </c>
      <c r="J292" s="45"/>
      <c r="K292" s="36"/>
      <c r="L292" s="46"/>
      <c r="M292" s="106"/>
      <c r="EX292" s="20"/>
      <c r="EY292" s="29"/>
      <c r="EZ292" s="29"/>
      <c r="FA292" s="29"/>
      <c r="FE292" s="3" t="s">
        <v>38</v>
      </c>
      <c r="FG292" s="29"/>
    </row>
    <row r="293" spans="1:164" customFormat="1" ht="15" x14ac:dyDescent="0.25">
      <c r="A293" s="30"/>
      <c r="B293" s="33"/>
      <c r="C293" s="151" t="s">
        <v>41</v>
      </c>
      <c r="D293" s="151"/>
      <c r="E293" s="151"/>
      <c r="F293" s="47"/>
      <c r="G293" s="48"/>
      <c r="H293" s="48"/>
      <c r="I293" s="48"/>
      <c r="J293" s="62">
        <v>6.71</v>
      </c>
      <c r="K293" s="48"/>
      <c r="L293" s="66">
        <f>L290+L291</f>
        <v>36.36</v>
      </c>
      <c r="M293" s="106"/>
      <c r="EX293" s="20"/>
      <c r="EY293" s="29"/>
      <c r="EZ293" s="29"/>
      <c r="FA293" s="29"/>
      <c r="FF293" s="3" t="s">
        <v>41</v>
      </c>
      <c r="FG293" s="29"/>
    </row>
    <row r="294" spans="1:164" customFormat="1" ht="15" x14ac:dyDescent="0.25">
      <c r="A294" s="43"/>
      <c r="B294" s="33"/>
      <c r="C294" s="146" t="s">
        <v>42</v>
      </c>
      <c r="D294" s="146"/>
      <c r="E294" s="146"/>
      <c r="F294" s="35"/>
      <c r="G294" s="36"/>
      <c r="H294" s="36"/>
      <c r="I294" s="36"/>
      <c r="J294" s="45"/>
      <c r="K294" s="36"/>
      <c r="L294" s="42">
        <f>L290</f>
        <v>36.36</v>
      </c>
      <c r="M294" s="106"/>
      <c r="EX294" s="20"/>
      <c r="EY294" s="29"/>
      <c r="EZ294" s="29"/>
      <c r="FA294" s="29"/>
      <c r="FE294" s="3" t="s">
        <v>42</v>
      </c>
      <c r="FG294" s="29"/>
    </row>
    <row r="295" spans="1:164" customFormat="1" ht="45.75" x14ac:dyDescent="0.25">
      <c r="A295" s="43"/>
      <c r="B295" s="33" t="s">
        <v>149</v>
      </c>
      <c r="C295" s="146" t="s">
        <v>150</v>
      </c>
      <c r="D295" s="146"/>
      <c r="E295" s="146"/>
      <c r="F295" s="35" t="s">
        <v>45</v>
      </c>
      <c r="G295" s="51">
        <v>103</v>
      </c>
      <c r="H295" s="36"/>
      <c r="I295" s="51">
        <v>103</v>
      </c>
      <c r="J295" s="45"/>
      <c r="K295" s="36"/>
      <c r="L295" s="42">
        <f>L294*I295%</f>
        <v>37.450800000000001</v>
      </c>
      <c r="M295" s="106"/>
      <c r="EX295" s="20"/>
      <c r="EY295" s="29"/>
      <c r="EZ295" s="29"/>
      <c r="FA295" s="29"/>
      <c r="FE295" s="3" t="s">
        <v>150</v>
      </c>
      <c r="FG295" s="29"/>
    </row>
    <row r="296" spans="1:164" customFormat="1" ht="45.75" x14ac:dyDescent="0.25">
      <c r="A296" s="43"/>
      <c r="B296" s="33" t="s">
        <v>151</v>
      </c>
      <c r="C296" s="146" t="s">
        <v>152</v>
      </c>
      <c r="D296" s="146"/>
      <c r="E296" s="146"/>
      <c r="F296" s="35" t="s">
        <v>45</v>
      </c>
      <c r="G296" s="51">
        <v>59</v>
      </c>
      <c r="H296" s="36"/>
      <c r="I296" s="51">
        <v>59</v>
      </c>
      <c r="J296" s="45"/>
      <c r="K296" s="36"/>
      <c r="L296" s="42">
        <f>L294*I296%</f>
        <v>21.452399999999997</v>
      </c>
      <c r="M296" s="106"/>
      <c r="EX296" s="20"/>
      <c r="EY296" s="29"/>
      <c r="EZ296" s="29"/>
      <c r="FA296" s="29"/>
      <c r="FE296" s="3" t="s">
        <v>152</v>
      </c>
      <c r="FG296" s="29"/>
    </row>
    <row r="297" spans="1:164" customFormat="1" ht="15" x14ac:dyDescent="0.25">
      <c r="A297" s="52"/>
      <c r="B297" s="53"/>
      <c r="C297" s="148" t="s">
        <v>48</v>
      </c>
      <c r="D297" s="148"/>
      <c r="E297" s="148"/>
      <c r="F297" s="23"/>
      <c r="G297" s="24"/>
      <c r="H297" s="24"/>
      <c r="I297" s="24"/>
      <c r="J297" s="27"/>
      <c r="K297" s="24"/>
      <c r="L297" s="99">
        <f>L293+L295+L296</f>
        <v>95.263199999999998</v>
      </c>
      <c r="M297" s="106"/>
      <c r="EX297" s="20"/>
      <c r="EY297" s="29"/>
      <c r="EZ297" s="29"/>
      <c r="FA297" s="29"/>
      <c r="FG297" s="29" t="s">
        <v>48</v>
      </c>
    </row>
    <row r="298" spans="1:164" customFormat="1" ht="23.25" x14ac:dyDescent="0.25">
      <c r="A298" s="21" t="s">
        <v>195</v>
      </c>
      <c r="B298" s="22" t="s">
        <v>196</v>
      </c>
      <c r="C298" s="148" t="s">
        <v>197</v>
      </c>
      <c r="D298" s="148"/>
      <c r="E298" s="148"/>
      <c r="F298" s="23" t="s">
        <v>182</v>
      </c>
      <c r="G298" s="24">
        <v>6</v>
      </c>
      <c r="H298" s="25">
        <v>1</v>
      </c>
      <c r="I298" s="25">
        <v>6</v>
      </c>
      <c r="J298" s="56">
        <v>2480.64</v>
      </c>
      <c r="K298" s="24"/>
      <c r="L298" s="55">
        <f>G298*J298</f>
        <v>14883.84</v>
      </c>
      <c r="M298" s="106"/>
      <c r="EX298" s="20"/>
      <c r="EY298" s="29" t="s">
        <v>197</v>
      </c>
      <c r="EZ298" s="29" t="s">
        <v>0</v>
      </c>
      <c r="FA298" s="29" t="s">
        <v>0</v>
      </c>
      <c r="FG298" s="29"/>
    </row>
    <row r="299" spans="1:164" customFormat="1" ht="15" x14ac:dyDescent="0.25">
      <c r="A299" s="30"/>
      <c r="B299" s="31"/>
      <c r="C299" s="146" t="s">
        <v>191</v>
      </c>
      <c r="D299" s="146"/>
      <c r="E299" s="146"/>
      <c r="F299" s="146"/>
      <c r="G299" s="146"/>
      <c r="H299" s="146"/>
      <c r="I299" s="146"/>
      <c r="J299" s="146"/>
      <c r="K299" s="146"/>
      <c r="L299" s="149"/>
      <c r="M299" s="106"/>
      <c r="EX299" s="20"/>
      <c r="EY299" s="29"/>
      <c r="EZ299" s="29"/>
      <c r="FA299" s="29"/>
      <c r="FB299" s="3" t="s">
        <v>191</v>
      </c>
      <c r="FG299" s="29"/>
    </row>
    <row r="300" spans="1:164" customFormat="1" ht="15" x14ac:dyDescent="0.25">
      <c r="A300" s="52"/>
      <c r="B300" s="53"/>
      <c r="C300" s="148" t="s">
        <v>48</v>
      </c>
      <c r="D300" s="148"/>
      <c r="E300" s="148"/>
      <c r="F300" s="23"/>
      <c r="G300" s="24"/>
      <c r="H300" s="24"/>
      <c r="I300" s="24"/>
      <c r="J300" s="27"/>
      <c r="K300" s="24"/>
      <c r="L300" s="96">
        <f>L298</f>
        <v>14883.84</v>
      </c>
      <c r="M300" s="106"/>
      <c r="EX300" s="20"/>
      <c r="EY300" s="29"/>
      <c r="EZ300" s="29"/>
      <c r="FA300" s="29"/>
      <c r="FG300" s="29" t="s">
        <v>48</v>
      </c>
    </row>
    <row r="301" spans="1:164" customFormat="1" ht="33.75" x14ac:dyDescent="0.25">
      <c r="A301" s="21" t="s">
        <v>198</v>
      </c>
      <c r="B301" s="22" t="s">
        <v>199</v>
      </c>
      <c r="C301" s="148" t="s">
        <v>200</v>
      </c>
      <c r="D301" s="148"/>
      <c r="E301" s="148"/>
      <c r="F301" s="23" t="s">
        <v>51</v>
      </c>
      <c r="G301" s="24">
        <v>5</v>
      </c>
      <c r="H301" s="25">
        <v>1</v>
      </c>
      <c r="I301" s="25">
        <v>5</v>
      </c>
      <c r="J301" s="56">
        <f>1192/1.2</f>
        <v>993.33333333333337</v>
      </c>
      <c r="K301" s="26">
        <v>1</v>
      </c>
      <c r="L301" s="59">
        <f>G301*J301*K301</f>
        <v>4966.666666666667</v>
      </c>
      <c r="M301" s="106"/>
      <c r="EX301" s="20"/>
      <c r="EY301" s="29" t="s">
        <v>200</v>
      </c>
      <c r="EZ301" s="29" t="s">
        <v>0</v>
      </c>
      <c r="FA301" s="29" t="s">
        <v>0</v>
      </c>
      <c r="FG301" s="29"/>
    </row>
    <row r="302" spans="1:164" customFormat="1" ht="15" x14ac:dyDescent="0.25">
      <c r="A302" s="30"/>
      <c r="B302" s="31"/>
      <c r="C302" s="152" t="s">
        <v>307</v>
      </c>
      <c r="D302" s="146"/>
      <c r="E302" s="146"/>
      <c r="F302" s="146"/>
      <c r="G302" s="146"/>
      <c r="H302" s="146"/>
      <c r="I302" s="146"/>
      <c r="J302" s="146"/>
      <c r="K302" s="146"/>
      <c r="L302" s="149"/>
      <c r="M302" s="106"/>
      <c r="EX302" s="20"/>
      <c r="EY302" s="29"/>
      <c r="EZ302" s="29"/>
      <c r="FA302" s="29"/>
      <c r="FG302" s="29"/>
      <c r="FH302" s="3" t="s">
        <v>201</v>
      </c>
    </row>
    <row r="303" spans="1:164" customFormat="1" ht="15" x14ac:dyDescent="0.25">
      <c r="A303" s="32"/>
      <c r="B303" s="33"/>
      <c r="C303" s="141" t="s">
        <v>54</v>
      </c>
      <c r="D303" s="141"/>
      <c r="E303" s="141"/>
      <c r="F303" s="141"/>
      <c r="G303" s="141"/>
      <c r="H303" s="141"/>
      <c r="I303" s="141"/>
      <c r="J303" s="141"/>
      <c r="K303" s="141"/>
      <c r="L303" s="150"/>
      <c r="M303" s="106"/>
      <c r="EX303" s="20"/>
      <c r="EY303" s="29"/>
      <c r="EZ303" s="29"/>
      <c r="FA303" s="29"/>
      <c r="FC303" s="3" t="s">
        <v>54</v>
      </c>
      <c r="FG303" s="29"/>
    </row>
    <row r="304" spans="1:164" customFormat="1" ht="15" x14ac:dyDescent="0.25">
      <c r="A304" s="32"/>
      <c r="B304" s="33"/>
      <c r="C304" s="141" t="s">
        <v>55</v>
      </c>
      <c r="D304" s="141"/>
      <c r="E304" s="141"/>
      <c r="F304" s="141"/>
      <c r="G304" s="141"/>
      <c r="H304" s="141"/>
      <c r="I304" s="141"/>
      <c r="J304" s="141"/>
      <c r="K304" s="141"/>
      <c r="L304" s="150"/>
      <c r="M304" s="106"/>
      <c r="EX304" s="20"/>
      <c r="EY304" s="29"/>
      <c r="EZ304" s="29"/>
      <c r="FA304" s="29"/>
      <c r="FC304" s="3" t="s">
        <v>55</v>
      </c>
      <c r="FG304" s="29"/>
    </row>
    <row r="305" spans="1:166" customFormat="1" ht="15" x14ac:dyDescent="0.25">
      <c r="A305" s="52"/>
      <c r="B305" s="53"/>
      <c r="C305" s="148" t="s">
        <v>48</v>
      </c>
      <c r="D305" s="148"/>
      <c r="E305" s="148"/>
      <c r="F305" s="23"/>
      <c r="G305" s="24"/>
      <c r="H305" s="24"/>
      <c r="I305" s="24"/>
      <c r="J305" s="27"/>
      <c r="K305" s="24"/>
      <c r="L305" s="99">
        <f>L301</f>
        <v>4966.666666666667</v>
      </c>
      <c r="M305" s="106"/>
      <c r="EX305" s="20"/>
      <c r="EY305" s="29"/>
      <c r="EZ305" s="29"/>
      <c r="FA305" s="29"/>
      <c r="FG305" s="29" t="s">
        <v>48</v>
      </c>
    </row>
    <row r="306" spans="1:166" customFormat="1" ht="15" x14ac:dyDescent="0.25">
      <c r="A306" s="71"/>
      <c r="B306" s="72"/>
      <c r="C306" s="148" t="s">
        <v>202</v>
      </c>
      <c r="D306" s="148"/>
      <c r="E306" s="148"/>
      <c r="F306" s="148"/>
      <c r="G306" s="148"/>
      <c r="H306" s="148"/>
      <c r="I306" s="148"/>
      <c r="J306" s="148"/>
      <c r="K306" s="148"/>
      <c r="L306" s="100">
        <f>L32+L38+L44+L47+L50+L65+L71+L77+L82+L87+L92+L97+L113+L119+L134+L140+L155+L160+L165+L181+L196+L206+L217+L220+L235+L237+L252+L255+L270+L275+L286+L297+L300+L305</f>
        <v>5289214.3199042259</v>
      </c>
      <c r="M306" s="106"/>
      <c r="EX306" s="20"/>
      <c r="EY306" s="29"/>
      <c r="EZ306" s="29"/>
      <c r="FA306" s="29"/>
      <c r="FG306" s="29"/>
      <c r="FI306" s="29"/>
      <c r="FJ306" s="29" t="s">
        <v>202</v>
      </c>
    </row>
    <row r="307" spans="1:166" customFormat="1" ht="15" customHeight="1" x14ac:dyDescent="0.25">
      <c r="A307" s="90" t="s">
        <v>203</v>
      </c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2"/>
      <c r="M307" s="106"/>
      <c r="EX307" s="20" t="s">
        <v>203</v>
      </c>
      <c r="EY307" s="29"/>
      <c r="EZ307" s="29"/>
      <c r="FA307" s="29"/>
      <c r="FG307" s="29"/>
      <c r="FI307" s="29"/>
      <c r="FJ307" s="29"/>
    </row>
    <row r="308" spans="1:166" customFormat="1" ht="34.5" x14ac:dyDescent="0.25">
      <c r="A308" s="21" t="s">
        <v>204</v>
      </c>
      <c r="B308" s="22" t="s">
        <v>205</v>
      </c>
      <c r="C308" s="148" t="s">
        <v>206</v>
      </c>
      <c r="D308" s="148"/>
      <c r="E308" s="148"/>
      <c r="F308" s="23" t="s">
        <v>70</v>
      </c>
      <c r="G308" s="24">
        <v>24.02</v>
      </c>
      <c r="H308" s="25">
        <v>1</v>
      </c>
      <c r="I308" s="57">
        <v>24.02</v>
      </c>
      <c r="J308" s="27"/>
      <c r="K308" s="24"/>
      <c r="L308" s="28"/>
      <c r="M308" s="106"/>
      <c r="EX308" s="20"/>
      <c r="EY308" s="29" t="s">
        <v>206</v>
      </c>
      <c r="EZ308" s="29" t="s">
        <v>0</v>
      </c>
      <c r="FA308" s="29" t="s">
        <v>0</v>
      </c>
      <c r="FG308" s="29"/>
      <c r="FI308" s="29"/>
      <c r="FJ308" s="29"/>
    </row>
    <row r="309" spans="1:166" customFormat="1" ht="15" x14ac:dyDescent="0.25">
      <c r="A309" s="30"/>
      <c r="B309" s="31"/>
      <c r="C309" s="146" t="s">
        <v>207</v>
      </c>
      <c r="D309" s="146"/>
      <c r="E309" s="146"/>
      <c r="F309" s="146"/>
      <c r="G309" s="146"/>
      <c r="H309" s="146"/>
      <c r="I309" s="146"/>
      <c r="J309" s="146"/>
      <c r="K309" s="146"/>
      <c r="L309" s="149"/>
      <c r="M309" s="106"/>
      <c r="EX309" s="20"/>
      <c r="EY309" s="29"/>
      <c r="EZ309" s="29"/>
      <c r="FA309" s="29"/>
      <c r="FB309" s="3" t="s">
        <v>207</v>
      </c>
      <c r="FG309" s="29"/>
      <c r="FI309" s="29"/>
      <c r="FJ309" s="29"/>
    </row>
    <row r="310" spans="1:166" customFormat="1" ht="68.25" x14ac:dyDescent="0.25">
      <c r="A310" s="32"/>
      <c r="B310" s="33" t="s">
        <v>27</v>
      </c>
      <c r="C310" s="141" t="s">
        <v>28</v>
      </c>
      <c r="D310" s="141"/>
      <c r="E310" s="141"/>
      <c r="F310" s="141"/>
      <c r="G310" s="141"/>
      <c r="H310" s="141"/>
      <c r="I310" s="141"/>
      <c r="J310" s="141"/>
      <c r="K310" s="141"/>
      <c r="L310" s="150"/>
      <c r="M310" s="106"/>
      <c r="EX310" s="20"/>
      <c r="EY310" s="29"/>
      <c r="EZ310" s="29"/>
      <c r="FA310" s="29"/>
      <c r="FC310" s="3" t="s">
        <v>28</v>
      </c>
      <c r="FG310" s="29"/>
      <c r="FI310" s="29"/>
      <c r="FJ310" s="29"/>
    </row>
    <row r="311" spans="1:166" customFormat="1" ht="23.25" x14ac:dyDescent="0.25">
      <c r="A311" s="32"/>
      <c r="B311" s="33" t="s">
        <v>29</v>
      </c>
      <c r="C311" s="141" t="s">
        <v>30</v>
      </c>
      <c r="D311" s="141"/>
      <c r="E311" s="141"/>
      <c r="F311" s="141"/>
      <c r="G311" s="141"/>
      <c r="H311" s="141"/>
      <c r="I311" s="141"/>
      <c r="J311" s="141"/>
      <c r="K311" s="141"/>
      <c r="L311" s="150"/>
      <c r="M311" s="106"/>
      <c r="N311" s="118" t="s">
        <v>318</v>
      </c>
      <c r="EX311" s="20"/>
      <c r="EY311" s="29"/>
      <c r="EZ311" s="29"/>
      <c r="FA311" s="29"/>
      <c r="FC311" s="3" t="s">
        <v>30</v>
      </c>
      <c r="FG311" s="29"/>
      <c r="FI311" s="29"/>
      <c r="FJ311" s="29"/>
    </row>
    <row r="312" spans="1:166" customFormat="1" ht="15" x14ac:dyDescent="0.25">
      <c r="A312" s="34"/>
      <c r="B312" s="33" t="s">
        <v>22</v>
      </c>
      <c r="C312" s="146" t="s">
        <v>31</v>
      </c>
      <c r="D312" s="146"/>
      <c r="E312" s="146"/>
      <c r="F312" s="35"/>
      <c r="G312" s="36"/>
      <c r="H312" s="36"/>
      <c r="I312" s="36"/>
      <c r="J312" s="117">
        <f>O312</f>
        <v>38460.345700000005</v>
      </c>
      <c r="K312" s="38">
        <v>1</v>
      </c>
      <c r="L312" s="41">
        <f>G308*J312*K312</f>
        <v>923817.50371400011</v>
      </c>
      <c r="M312" s="106">
        <v>49.45</v>
      </c>
      <c r="N312" s="112">
        <v>18245.283398750002</v>
      </c>
      <c r="O312" s="113">
        <v>38460.345700000005</v>
      </c>
      <c r="P312" s="105">
        <f>G316</f>
        <v>29.68</v>
      </c>
      <c r="Q312" s="105">
        <f>O312/P312*8</f>
        <v>10366.670000000002</v>
      </c>
      <c r="R312" s="105">
        <f>Q312*22</f>
        <v>228066.74000000005</v>
      </c>
      <c r="S312" s="105">
        <f>R312*(1-0.43)</f>
        <v>129998.04180000004</v>
      </c>
      <c r="EX312" s="20"/>
      <c r="EY312" s="29"/>
      <c r="EZ312" s="29"/>
      <c r="FA312" s="29"/>
      <c r="FD312" s="3" t="s">
        <v>31</v>
      </c>
      <c r="FG312" s="29"/>
      <c r="FI312" s="29"/>
      <c r="FJ312" s="29"/>
    </row>
    <row r="313" spans="1:166" customFormat="1" ht="15" x14ac:dyDescent="0.25">
      <c r="A313" s="34"/>
      <c r="B313" s="33" t="s">
        <v>32</v>
      </c>
      <c r="C313" s="146" t="s">
        <v>33</v>
      </c>
      <c r="D313" s="146"/>
      <c r="E313" s="146"/>
      <c r="F313" s="35"/>
      <c r="G313" s="36"/>
      <c r="H313" s="36"/>
      <c r="I313" s="36"/>
      <c r="J313" s="117">
        <f>O313</f>
        <v>1150</v>
      </c>
      <c r="K313" s="38">
        <v>1</v>
      </c>
      <c r="L313" s="41">
        <f>G308*J313*K313</f>
        <v>27623</v>
      </c>
      <c r="M313" s="106">
        <v>14.53</v>
      </c>
      <c r="N313" s="112">
        <v>1880.6542250000002</v>
      </c>
      <c r="O313" s="113">
        <v>1150</v>
      </c>
      <c r="P313" s="105">
        <f>G317</f>
        <v>0.4</v>
      </c>
      <c r="Q313" s="105">
        <f>O313/P313*8</f>
        <v>23000</v>
      </c>
      <c r="EX313" s="20"/>
      <c r="EY313" s="29"/>
      <c r="EZ313" s="29"/>
      <c r="FA313" s="29"/>
      <c r="FD313" s="3" t="s">
        <v>33</v>
      </c>
      <c r="FG313" s="29"/>
      <c r="FI313" s="29"/>
      <c r="FJ313" s="29"/>
    </row>
    <row r="314" spans="1:166" customFormat="1" ht="15" x14ac:dyDescent="0.25">
      <c r="A314" s="34"/>
      <c r="B314" s="33" t="s">
        <v>34</v>
      </c>
      <c r="C314" s="146" t="s">
        <v>35</v>
      </c>
      <c r="D314" s="146"/>
      <c r="E314" s="146"/>
      <c r="F314" s="35"/>
      <c r="G314" s="36"/>
      <c r="H314" s="36"/>
      <c r="I314" s="36"/>
      <c r="J314" s="39">
        <v>5.0199999999999996</v>
      </c>
      <c r="K314" s="38">
        <v>1</v>
      </c>
      <c r="L314" s="42">
        <f>G308*J314*K314</f>
        <v>120.58039999999998</v>
      </c>
      <c r="M314" s="106"/>
      <c r="EX314" s="20"/>
      <c r="EY314" s="29"/>
      <c r="EZ314" s="29"/>
      <c r="FA314" s="29"/>
      <c r="FD314" s="3" t="s">
        <v>35</v>
      </c>
      <c r="FG314" s="29"/>
      <c r="FI314" s="29"/>
      <c r="FJ314" s="29"/>
    </row>
    <row r="315" spans="1:166" customFormat="1" ht="15" x14ac:dyDescent="0.25">
      <c r="A315" s="34"/>
      <c r="B315" s="33" t="s">
        <v>36</v>
      </c>
      <c r="C315" s="146" t="s">
        <v>37</v>
      </c>
      <c r="D315" s="146"/>
      <c r="E315" s="146"/>
      <c r="F315" s="35"/>
      <c r="G315" s="36"/>
      <c r="H315" s="36"/>
      <c r="I315" s="36"/>
      <c r="J315" s="39">
        <v>37.630000000000003</v>
      </c>
      <c r="K315" s="36"/>
      <c r="L315" s="42">
        <f>G308*J315</f>
        <v>903.87260000000003</v>
      </c>
      <c r="M315" s="106"/>
      <c r="EX315" s="20"/>
      <c r="EY315" s="29"/>
      <c r="EZ315" s="29"/>
      <c r="FA315" s="29"/>
      <c r="FD315" s="3" t="s">
        <v>37</v>
      </c>
      <c r="FG315" s="29"/>
      <c r="FI315" s="29"/>
      <c r="FJ315" s="29"/>
    </row>
    <row r="316" spans="1:166" customFormat="1" ht="15" x14ac:dyDescent="0.25">
      <c r="A316" s="43"/>
      <c r="B316" s="33"/>
      <c r="C316" s="146" t="s">
        <v>38</v>
      </c>
      <c r="D316" s="146"/>
      <c r="E316" s="146"/>
      <c r="F316" s="35" t="s">
        <v>39</v>
      </c>
      <c r="G316" s="40">
        <v>29.68</v>
      </c>
      <c r="H316" s="38">
        <v>1.3225</v>
      </c>
      <c r="I316" s="60">
        <v>942.82823599999995</v>
      </c>
      <c r="J316" s="45"/>
      <c r="K316" s="36"/>
      <c r="L316" s="46"/>
      <c r="M316" s="106"/>
      <c r="EX316" s="20"/>
      <c r="EY316" s="29"/>
      <c r="EZ316" s="29"/>
      <c r="FA316" s="29"/>
      <c r="FE316" s="3" t="s">
        <v>38</v>
      </c>
      <c r="FG316" s="29"/>
      <c r="FI316" s="29"/>
      <c r="FJ316" s="29"/>
    </row>
    <row r="317" spans="1:166" customFormat="1" ht="15" x14ac:dyDescent="0.25">
      <c r="A317" s="43"/>
      <c r="B317" s="33"/>
      <c r="C317" s="146" t="s">
        <v>40</v>
      </c>
      <c r="D317" s="146"/>
      <c r="E317" s="146"/>
      <c r="F317" s="35" t="s">
        <v>39</v>
      </c>
      <c r="G317" s="61">
        <v>0.4</v>
      </c>
      <c r="H317" s="38">
        <v>1.4375</v>
      </c>
      <c r="I317" s="38">
        <v>13.811500000000001</v>
      </c>
      <c r="J317" s="45"/>
      <c r="K317" s="36"/>
      <c r="L317" s="46"/>
      <c r="M317" s="106"/>
      <c r="EX317" s="20"/>
      <c r="EY317" s="29"/>
      <c r="EZ317" s="29"/>
      <c r="FA317" s="29"/>
      <c r="FE317" s="3" t="s">
        <v>40</v>
      </c>
      <c r="FG317" s="29"/>
      <c r="FI317" s="29"/>
      <c r="FJ317" s="29"/>
    </row>
    <row r="318" spans="1:166" customFormat="1" ht="15" x14ac:dyDescent="0.25">
      <c r="A318" s="30"/>
      <c r="B318" s="33"/>
      <c r="C318" s="151" t="s">
        <v>41</v>
      </c>
      <c r="D318" s="151"/>
      <c r="E318" s="151"/>
      <c r="F318" s="47"/>
      <c r="G318" s="48"/>
      <c r="H318" s="48"/>
      <c r="I318" s="48"/>
      <c r="J318" s="62">
        <v>406.66</v>
      </c>
      <c r="K318" s="48"/>
      <c r="L318" s="50">
        <f>L312+L313+L315</f>
        <v>952344.37631400011</v>
      </c>
      <c r="M318" s="106"/>
      <c r="EX318" s="20"/>
      <c r="EY318" s="29"/>
      <c r="EZ318" s="29"/>
      <c r="FA318" s="29"/>
      <c r="FF318" s="3" t="s">
        <v>41</v>
      </c>
      <c r="FG318" s="29"/>
      <c r="FI318" s="29"/>
      <c r="FJ318" s="29"/>
    </row>
    <row r="319" spans="1:166" customFormat="1" ht="15" x14ac:dyDescent="0.25">
      <c r="A319" s="43"/>
      <c r="B319" s="33"/>
      <c r="C319" s="146" t="s">
        <v>42</v>
      </c>
      <c r="D319" s="146"/>
      <c r="E319" s="146"/>
      <c r="F319" s="35"/>
      <c r="G319" s="36"/>
      <c r="H319" s="36"/>
      <c r="I319" s="36"/>
      <c r="J319" s="45"/>
      <c r="K319" s="36"/>
      <c r="L319" s="41">
        <f>L312+L314</f>
        <v>923938.08411400008</v>
      </c>
      <c r="M319" s="106"/>
      <c r="EX319" s="20"/>
      <c r="EY319" s="29"/>
      <c r="EZ319" s="29"/>
      <c r="FA319" s="29"/>
      <c r="FE319" s="3" t="s">
        <v>42</v>
      </c>
      <c r="FG319" s="29"/>
      <c r="FI319" s="29"/>
      <c r="FJ319" s="29"/>
    </row>
    <row r="320" spans="1:166" customFormat="1" ht="23.25" x14ac:dyDescent="0.25">
      <c r="A320" s="43"/>
      <c r="B320" s="33" t="s">
        <v>72</v>
      </c>
      <c r="C320" s="146" t="s">
        <v>73</v>
      </c>
      <c r="D320" s="146"/>
      <c r="E320" s="146"/>
      <c r="F320" s="35" t="s">
        <v>45</v>
      </c>
      <c r="G320" s="51">
        <v>97</v>
      </c>
      <c r="H320" s="36"/>
      <c r="I320" s="51">
        <v>97</v>
      </c>
      <c r="J320" s="45"/>
      <c r="K320" s="36"/>
      <c r="L320" s="41">
        <f>L319*I320%</f>
        <v>896219.94159058004</v>
      </c>
      <c r="M320" s="106"/>
      <c r="EX320" s="20"/>
      <c r="EY320" s="29"/>
      <c r="EZ320" s="29"/>
      <c r="FA320" s="29"/>
      <c r="FE320" s="3" t="s">
        <v>73</v>
      </c>
      <c r="FG320" s="29"/>
      <c r="FI320" s="29"/>
      <c r="FJ320" s="29"/>
    </row>
    <row r="321" spans="1:166" customFormat="1" ht="23.25" x14ac:dyDescent="0.25">
      <c r="A321" s="43"/>
      <c r="B321" s="33" t="s">
        <v>74</v>
      </c>
      <c r="C321" s="146" t="s">
        <v>75</v>
      </c>
      <c r="D321" s="146"/>
      <c r="E321" s="146"/>
      <c r="F321" s="35" t="s">
        <v>45</v>
      </c>
      <c r="G321" s="51">
        <v>51</v>
      </c>
      <c r="H321" s="36"/>
      <c r="I321" s="51">
        <v>51</v>
      </c>
      <c r="J321" s="45"/>
      <c r="K321" s="36"/>
      <c r="L321" s="41">
        <f>L319*I321%</f>
        <v>471208.42289814004</v>
      </c>
      <c r="M321" s="106"/>
      <c r="EX321" s="20"/>
      <c r="EY321" s="29"/>
      <c r="EZ321" s="29"/>
      <c r="FA321" s="29"/>
      <c r="FE321" s="3" t="s">
        <v>75</v>
      </c>
      <c r="FG321" s="29"/>
      <c r="FI321" s="29"/>
      <c r="FJ321" s="29"/>
    </row>
    <row r="322" spans="1:166" customFormat="1" ht="15" x14ac:dyDescent="0.25">
      <c r="A322" s="52"/>
      <c r="B322" s="53"/>
      <c r="C322" s="148" t="s">
        <v>48</v>
      </c>
      <c r="D322" s="148"/>
      <c r="E322" s="148"/>
      <c r="F322" s="23"/>
      <c r="G322" s="24"/>
      <c r="H322" s="24"/>
      <c r="I322" s="24"/>
      <c r="J322" s="27"/>
      <c r="K322" s="24"/>
      <c r="L322" s="96">
        <f>L318+L320+L321</f>
        <v>2319772.7408027202</v>
      </c>
      <c r="M322" s="106"/>
      <c r="EX322" s="20"/>
      <c r="EY322" s="29"/>
      <c r="EZ322" s="29"/>
      <c r="FA322" s="29"/>
      <c r="FG322" s="29" t="s">
        <v>48</v>
      </c>
      <c r="FI322" s="29"/>
      <c r="FJ322" s="29"/>
    </row>
    <row r="323" spans="1:166" customFormat="1" ht="45" x14ac:dyDescent="0.25">
      <c r="A323" s="21" t="s">
        <v>208</v>
      </c>
      <c r="B323" s="22" t="s">
        <v>209</v>
      </c>
      <c r="C323" s="148" t="s">
        <v>210</v>
      </c>
      <c r="D323" s="148"/>
      <c r="E323" s="148"/>
      <c r="F323" s="23" t="s">
        <v>172</v>
      </c>
      <c r="G323" s="24">
        <v>2450.04</v>
      </c>
      <c r="H323" s="25">
        <v>1</v>
      </c>
      <c r="I323" s="57">
        <v>2450.04</v>
      </c>
      <c r="J323" s="56">
        <f>1856.4/1.2</f>
        <v>1547.0000000000002</v>
      </c>
      <c r="K323" s="26">
        <v>1</v>
      </c>
      <c r="L323" s="55">
        <f>G323*J323*K323</f>
        <v>3790211.8800000004</v>
      </c>
      <c r="M323" s="106"/>
      <c r="EX323" s="20"/>
      <c r="EY323" s="29" t="s">
        <v>210</v>
      </c>
      <c r="EZ323" s="29" t="s">
        <v>0</v>
      </c>
      <c r="FA323" s="29" t="s">
        <v>0</v>
      </c>
      <c r="FG323" s="29"/>
      <c r="FI323" s="29"/>
      <c r="FJ323" s="29"/>
    </row>
    <row r="324" spans="1:166" customFormat="1" ht="15" x14ac:dyDescent="0.25">
      <c r="A324" s="30"/>
      <c r="B324" s="31"/>
      <c r="C324" s="146" t="s">
        <v>211</v>
      </c>
      <c r="D324" s="146"/>
      <c r="E324" s="146"/>
      <c r="F324" s="146"/>
      <c r="G324" s="146"/>
      <c r="H324" s="146"/>
      <c r="I324" s="146"/>
      <c r="J324" s="146"/>
      <c r="K324" s="146"/>
      <c r="L324" s="149"/>
      <c r="M324" s="106"/>
      <c r="EX324" s="20"/>
      <c r="EY324" s="29"/>
      <c r="EZ324" s="29"/>
      <c r="FA324" s="29"/>
      <c r="FB324" s="3" t="s">
        <v>211</v>
      </c>
      <c r="FG324" s="29"/>
      <c r="FI324" s="29"/>
      <c r="FJ324" s="29"/>
    </row>
    <row r="325" spans="1:166" customFormat="1" ht="15" x14ac:dyDescent="0.25">
      <c r="A325" s="30"/>
      <c r="B325" s="31"/>
      <c r="C325" s="152" t="s">
        <v>308</v>
      </c>
      <c r="D325" s="146"/>
      <c r="E325" s="146"/>
      <c r="F325" s="146"/>
      <c r="G325" s="146"/>
      <c r="H325" s="146"/>
      <c r="I325" s="146"/>
      <c r="J325" s="146"/>
      <c r="K325" s="146"/>
      <c r="L325" s="149"/>
      <c r="M325" s="106"/>
      <c r="EX325" s="20"/>
      <c r="EY325" s="29"/>
      <c r="EZ325" s="29"/>
      <c r="FA325" s="29"/>
      <c r="FG325" s="29"/>
      <c r="FH325" s="3" t="s">
        <v>212</v>
      </c>
      <c r="FI325" s="29"/>
      <c r="FJ325" s="29"/>
    </row>
    <row r="326" spans="1:166" customFormat="1" ht="15" x14ac:dyDescent="0.25">
      <c r="A326" s="32"/>
      <c r="B326" s="33"/>
      <c r="C326" s="141" t="s">
        <v>54</v>
      </c>
      <c r="D326" s="141"/>
      <c r="E326" s="141"/>
      <c r="F326" s="141"/>
      <c r="G326" s="141"/>
      <c r="H326" s="141"/>
      <c r="I326" s="141"/>
      <c r="J326" s="141"/>
      <c r="K326" s="141"/>
      <c r="L326" s="150"/>
      <c r="M326" s="106"/>
      <c r="EX326" s="20"/>
      <c r="EY326" s="29"/>
      <c r="EZ326" s="29"/>
      <c r="FA326" s="29"/>
      <c r="FC326" s="3" t="s">
        <v>54</v>
      </c>
      <c r="FG326" s="29"/>
      <c r="FI326" s="29"/>
      <c r="FJ326" s="29"/>
    </row>
    <row r="327" spans="1:166" customFormat="1" ht="15" x14ac:dyDescent="0.25">
      <c r="A327" s="32"/>
      <c r="B327" s="33"/>
      <c r="C327" s="141" t="s">
        <v>55</v>
      </c>
      <c r="D327" s="141"/>
      <c r="E327" s="141"/>
      <c r="F327" s="141"/>
      <c r="G327" s="141"/>
      <c r="H327" s="141"/>
      <c r="I327" s="141"/>
      <c r="J327" s="141"/>
      <c r="K327" s="141"/>
      <c r="L327" s="150"/>
      <c r="M327" s="106"/>
      <c r="EX327" s="20"/>
      <c r="EY327" s="29"/>
      <c r="EZ327" s="29"/>
      <c r="FA327" s="29"/>
      <c r="FC327" s="3" t="s">
        <v>55</v>
      </c>
      <c r="FG327" s="29"/>
      <c r="FI327" s="29"/>
      <c r="FJ327" s="29"/>
    </row>
    <row r="328" spans="1:166" customFormat="1" ht="15" x14ac:dyDescent="0.25">
      <c r="A328" s="52"/>
      <c r="B328" s="53"/>
      <c r="C328" s="148" t="s">
        <v>48</v>
      </c>
      <c r="D328" s="148"/>
      <c r="E328" s="148"/>
      <c r="F328" s="23"/>
      <c r="G328" s="24"/>
      <c r="H328" s="24"/>
      <c r="I328" s="24"/>
      <c r="J328" s="27"/>
      <c r="K328" s="24"/>
      <c r="L328" s="96">
        <f>L323</f>
        <v>3790211.8800000004</v>
      </c>
      <c r="M328" s="106"/>
      <c r="EX328" s="20"/>
      <c r="EY328" s="29"/>
      <c r="EZ328" s="29"/>
      <c r="FA328" s="29"/>
      <c r="FG328" s="29" t="s">
        <v>48</v>
      </c>
      <c r="FI328" s="29"/>
      <c r="FJ328" s="29"/>
    </row>
    <row r="329" spans="1:166" customFormat="1" ht="34.5" x14ac:dyDescent="0.25">
      <c r="A329" s="21" t="s">
        <v>213</v>
      </c>
      <c r="B329" s="22" t="s">
        <v>214</v>
      </c>
      <c r="C329" s="148" t="s">
        <v>215</v>
      </c>
      <c r="D329" s="148"/>
      <c r="E329" s="148"/>
      <c r="F329" s="23" t="s">
        <v>70</v>
      </c>
      <c r="G329" s="24">
        <v>9.1</v>
      </c>
      <c r="H329" s="25">
        <v>1</v>
      </c>
      <c r="I329" s="65">
        <v>9.1</v>
      </c>
      <c r="J329" s="27"/>
      <c r="K329" s="24"/>
      <c r="L329" s="28"/>
      <c r="M329" s="106"/>
      <c r="EX329" s="20"/>
      <c r="EY329" s="29" t="s">
        <v>215</v>
      </c>
      <c r="EZ329" s="29" t="s">
        <v>0</v>
      </c>
      <c r="FA329" s="29" t="s">
        <v>0</v>
      </c>
      <c r="FG329" s="29"/>
      <c r="FI329" s="29"/>
      <c r="FJ329" s="29"/>
    </row>
    <row r="330" spans="1:166" customFormat="1" ht="15" x14ac:dyDescent="0.25">
      <c r="A330" s="30"/>
      <c r="B330" s="31"/>
      <c r="C330" s="146" t="s">
        <v>216</v>
      </c>
      <c r="D330" s="146"/>
      <c r="E330" s="146"/>
      <c r="F330" s="146"/>
      <c r="G330" s="146"/>
      <c r="H330" s="146"/>
      <c r="I330" s="146"/>
      <c r="J330" s="146"/>
      <c r="K330" s="146"/>
      <c r="L330" s="149"/>
      <c r="M330" s="106"/>
      <c r="EX330" s="20"/>
      <c r="EY330" s="29"/>
      <c r="EZ330" s="29"/>
      <c r="FA330" s="29"/>
      <c r="FB330" s="3" t="s">
        <v>216</v>
      </c>
      <c r="FG330" s="29"/>
      <c r="FI330" s="29"/>
      <c r="FJ330" s="29"/>
    </row>
    <row r="331" spans="1:166" customFormat="1" ht="68.25" x14ac:dyDescent="0.25">
      <c r="A331" s="32"/>
      <c r="B331" s="33" t="s">
        <v>27</v>
      </c>
      <c r="C331" s="141" t="s">
        <v>28</v>
      </c>
      <c r="D331" s="141"/>
      <c r="E331" s="141"/>
      <c r="F331" s="141"/>
      <c r="G331" s="141"/>
      <c r="H331" s="141"/>
      <c r="I331" s="141"/>
      <c r="J331" s="141"/>
      <c r="K331" s="141"/>
      <c r="L331" s="150"/>
      <c r="M331" s="106"/>
      <c r="EX331" s="20"/>
      <c r="EY331" s="29"/>
      <c r="EZ331" s="29"/>
      <c r="FA331" s="29"/>
      <c r="FC331" s="3" t="s">
        <v>28</v>
      </c>
      <c r="FG331" s="29"/>
      <c r="FI331" s="29"/>
      <c r="FJ331" s="29"/>
    </row>
    <row r="332" spans="1:166" customFormat="1" ht="15" x14ac:dyDescent="0.25">
      <c r="A332" s="32"/>
      <c r="B332" s="33" t="s">
        <v>105</v>
      </c>
      <c r="C332" s="141" t="s">
        <v>106</v>
      </c>
      <c r="D332" s="141"/>
      <c r="E332" s="141"/>
      <c r="F332" s="141"/>
      <c r="G332" s="141"/>
      <c r="H332" s="141"/>
      <c r="I332" s="141"/>
      <c r="J332" s="141"/>
      <c r="K332" s="141"/>
      <c r="L332" s="150"/>
      <c r="M332" s="106"/>
      <c r="EX332" s="20"/>
      <c r="EY332" s="29"/>
      <c r="EZ332" s="29"/>
      <c r="FA332" s="29"/>
      <c r="FC332" s="3" t="s">
        <v>106</v>
      </c>
      <c r="FG332" s="29"/>
      <c r="FI332" s="29"/>
      <c r="FJ332" s="29"/>
    </row>
    <row r="333" spans="1:166" customFormat="1" ht="23.25" x14ac:dyDescent="0.25">
      <c r="A333" s="32"/>
      <c r="B333" s="33" t="s">
        <v>29</v>
      </c>
      <c r="C333" s="141" t="s">
        <v>30</v>
      </c>
      <c r="D333" s="141"/>
      <c r="E333" s="141"/>
      <c r="F333" s="141"/>
      <c r="G333" s="141"/>
      <c r="H333" s="141"/>
      <c r="I333" s="141"/>
      <c r="J333" s="141"/>
      <c r="K333" s="141"/>
      <c r="L333" s="150"/>
      <c r="M333" s="106"/>
      <c r="N333" s="118" t="s">
        <v>318</v>
      </c>
      <c r="EX333" s="20"/>
      <c r="EY333" s="29"/>
      <c r="EZ333" s="29"/>
      <c r="FA333" s="29"/>
      <c r="FC333" s="3" t="s">
        <v>30</v>
      </c>
      <c r="FG333" s="29"/>
      <c r="FI333" s="29"/>
      <c r="FJ333" s="29"/>
    </row>
    <row r="334" spans="1:166" customFormat="1" ht="15" x14ac:dyDescent="0.25">
      <c r="A334" s="34"/>
      <c r="B334" s="33" t="s">
        <v>22</v>
      </c>
      <c r="C334" s="146" t="s">
        <v>31</v>
      </c>
      <c r="D334" s="146"/>
      <c r="E334" s="146"/>
      <c r="F334" s="35"/>
      <c r="G334" s="36"/>
      <c r="H334" s="36"/>
      <c r="I334" s="36"/>
      <c r="J334" s="117">
        <f>O334</f>
        <v>31722.010199999993</v>
      </c>
      <c r="K334" s="64">
        <v>1</v>
      </c>
      <c r="L334" s="41">
        <f>G329*J334*K334</f>
        <v>288670.29281999992</v>
      </c>
      <c r="M334" s="106">
        <v>49.45</v>
      </c>
      <c r="N334" s="112">
        <v>16553.512237625004</v>
      </c>
      <c r="O334" s="113">
        <v>31722.010199999993</v>
      </c>
      <c r="P334" s="105">
        <f>G338</f>
        <v>24.48</v>
      </c>
      <c r="Q334" s="105">
        <f>O334/P334*8</f>
        <v>10366.669999999998</v>
      </c>
      <c r="R334" s="105">
        <f>Q334*22</f>
        <v>228066.73999999996</v>
      </c>
      <c r="S334" s="105">
        <f>R334*(1-0.43)</f>
        <v>129998.04179999999</v>
      </c>
      <c r="EX334" s="20"/>
      <c r="EY334" s="29"/>
      <c r="EZ334" s="29"/>
      <c r="FA334" s="29"/>
      <c r="FD334" s="3" t="s">
        <v>31</v>
      </c>
      <c r="FG334" s="29"/>
      <c r="FI334" s="29"/>
      <c r="FJ334" s="29"/>
    </row>
    <row r="335" spans="1:166" customFormat="1" ht="15" x14ac:dyDescent="0.25">
      <c r="A335" s="34"/>
      <c r="B335" s="33" t="s">
        <v>32</v>
      </c>
      <c r="C335" s="146" t="s">
        <v>33</v>
      </c>
      <c r="D335" s="146"/>
      <c r="E335" s="146"/>
      <c r="F335" s="35"/>
      <c r="G335" s="36"/>
      <c r="H335" s="36"/>
      <c r="I335" s="36"/>
      <c r="J335" s="117">
        <f>O335</f>
        <v>57385</v>
      </c>
      <c r="K335" s="38">
        <v>1</v>
      </c>
      <c r="L335" s="41">
        <f>G329*J335*K335</f>
        <v>522203.5</v>
      </c>
      <c r="M335" s="106">
        <v>14.53</v>
      </c>
      <c r="N335" s="112">
        <v>17599.48974375</v>
      </c>
      <c r="O335" s="113">
        <v>57385</v>
      </c>
      <c r="P335" s="105">
        <f>G339</f>
        <v>19.96</v>
      </c>
      <c r="Q335" s="105">
        <f>O335/P335*8</f>
        <v>23000</v>
      </c>
      <c r="EX335" s="20"/>
      <c r="EY335" s="29"/>
      <c r="EZ335" s="29"/>
      <c r="FA335" s="29"/>
      <c r="FD335" s="3" t="s">
        <v>33</v>
      </c>
      <c r="FG335" s="29"/>
      <c r="FI335" s="29"/>
      <c r="FJ335" s="29"/>
    </row>
    <row r="336" spans="1:166" customFormat="1" ht="15" x14ac:dyDescent="0.25">
      <c r="A336" s="34"/>
      <c r="B336" s="33" t="s">
        <v>34</v>
      </c>
      <c r="C336" s="146" t="s">
        <v>35</v>
      </c>
      <c r="D336" s="146"/>
      <c r="E336" s="146"/>
      <c r="F336" s="35"/>
      <c r="G336" s="36"/>
      <c r="H336" s="36"/>
      <c r="I336" s="36"/>
      <c r="J336" s="39">
        <v>216.58</v>
      </c>
      <c r="K336" s="38">
        <v>1</v>
      </c>
      <c r="L336" s="41">
        <f>G329*J336*K336</f>
        <v>1970.8779999999999</v>
      </c>
      <c r="M336" s="106"/>
      <c r="EX336" s="20"/>
      <c r="EY336" s="29"/>
      <c r="EZ336" s="29"/>
      <c r="FA336" s="29"/>
      <c r="FD336" s="3" t="s">
        <v>35</v>
      </c>
      <c r="FG336" s="29"/>
      <c r="FI336" s="29"/>
      <c r="FJ336" s="29"/>
    </row>
    <row r="337" spans="1:166" customFormat="1" ht="15" x14ac:dyDescent="0.25">
      <c r="A337" s="34"/>
      <c r="B337" s="33" t="s">
        <v>36</v>
      </c>
      <c r="C337" s="146" t="s">
        <v>37</v>
      </c>
      <c r="D337" s="146"/>
      <c r="E337" s="146"/>
      <c r="F337" s="35"/>
      <c r="G337" s="36"/>
      <c r="H337" s="36"/>
      <c r="I337" s="36"/>
      <c r="J337" s="39">
        <v>42.16</v>
      </c>
      <c r="K337" s="36"/>
      <c r="L337" s="42">
        <f>G329*J337</f>
        <v>383.65599999999995</v>
      </c>
      <c r="M337" s="106"/>
      <c r="EX337" s="20"/>
      <c r="EY337" s="29"/>
      <c r="EZ337" s="29"/>
      <c r="FA337" s="29"/>
      <c r="FD337" s="3" t="s">
        <v>37</v>
      </c>
      <c r="FG337" s="29"/>
      <c r="FI337" s="29"/>
      <c r="FJ337" s="29"/>
    </row>
    <row r="338" spans="1:166" customFormat="1" ht="15" x14ac:dyDescent="0.25">
      <c r="A338" s="43"/>
      <c r="B338" s="33"/>
      <c r="C338" s="146" t="s">
        <v>38</v>
      </c>
      <c r="D338" s="146"/>
      <c r="E338" s="146"/>
      <c r="F338" s="35" t="s">
        <v>39</v>
      </c>
      <c r="G338" s="40">
        <v>24.48</v>
      </c>
      <c r="H338" s="64">
        <v>1.45475</v>
      </c>
      <c r="I338" s="60">
        <v>324.07174800000001</v>
      </c>
      <c r="J338" s="45"/>
      <c r="K338" s="36"/>
      <c r="L338" s="46"/>
      <c r="M338" s="106"/>
      <c r="EX338" s="20"/>
      <c r="EY338" s="29"/>
      <c r="EZ338" s="29"/>
      <c r="FA338" s="29"/>
      <c r="FE338" s="3" t="s">
        <v>38</v>
      </c>
      <c r="FG338" s="29"/>
      <c r="FI338" s="29"/>
      <c r="FJ338" s="29"/>
    </row>
    <row r="339" spans="1:166" customFormat="1" ht="15" x14ac:dyDescent="0.25">
      <c r="A339" s="43"/>
      <c r="B339" s="33"/>
      <c r="C339" s="146" t="s">
        <v>40</v>
      </c>
      <c r="D339" s="146"/>
      <c r="E339" s="146"/>
      <c r="F339" s="35" t="s">
        <v>39</v>
      </c>
      <c r="G339" s="40">
        <v>19.96</v>
      </c>
      <c r="H339" s="38">
        <v>1.4375</v>
      </c>
      <c r="I339" s="64">
        <v>261.10174999999998</v>
      </c>
      <c r="J339" s="45"/>
      <c r="K339" s="36"/>
      <c r="L339" s="46"/>
      <c r="M339" s="106"/>
      <c r="EX339" s="20"/>
      <c r="EY339" s="29"/>
      <c r="EZ339" s="29"/>
      <c r="FA339" s="29"/>
      <c r="FE339" s="3" t="s">
        <v>40</v>
      </c>
      <c r="FG339" s="29"/>
      <c r="FI339" s="29"/>
      <c r="FJ339" s="29"/>
    </row>
    <row r="340" spans="1:166" customFormat="1" ht="15" x14ac:dyDescent="0.25">
      <c r="A340" s="30"/>
      <c r="B340" s="33"/>
      <c r="C340" s="151" t="s">
        <v>41</v>
      </c>
      <c r="D340" s="151"/>
      <c r="E340" s="151"/>
      <c r="F340" s="47"/>
      <c r="G340" s="48"/>
      <c r="H340" s="48"/>
      <c r="I340" s="48"/>
      <c r="J340" s="49">
        <v>1114.8800000000001</v>
      </c>
      <c r="K340" s="48"/>
      <c r="L340" s="50">
        <f>L334+L335+L337</f>
        <v>811257.44881999982</v>
      </c>
      <c r="M340" s="106"/>
      <c r="EX340" s="20"/>
      <c r="EY340" s="29"/>
      <c r="EZ340" s="29"/>
      <c r="FA340" s="29"/>
      <c r="FF340" s="3" t="s">
        <v>41</v>
      </c>
      <c r="FG340" s="29"/>
      <c r="FI340" s="29"/>
      <c r="FJ340" s="29"/>
    </row>
    <row r="341" spans="1:166" customFormat="1" ht="15" x14ac:dyDescent="0.25">
      <c r="A341" s="43"/>
      <c r="B341" s="33"/>
      <c r="C341" s="146" t="s">
        <v>42</v>
      </c>
      <c r="D341" s="146"/>
      <c r="E341" s="146"/>
      <c r="F341" s="35"/>
      <c r="G341" s="36"/>
      <c r="H341" s="36"/>
      <c r="I341" s="36"/>
      <c r="J341" s="45"/>
      <c r="K341" s="36"/>
      <c r="L341" s="41">
        <f>L334+L336</f>
        <v>290641.17081999994</v>
      </c>
      <c r="M341" s="106"/>
      <c r="EX341" s="20"/>
      <c r="EY341" s="29"/>
      <c r="EZ341" s="29"/>
      <c r="FA341" s="29"/>
      <c r="FE341" s="3" t="s">
        <v>42</v>
      </c>
      <c r="FG341" s="29"/>
      <c r="FI341" s="29"/>
      <c r="FJ341" s="29"/>
    </row>
    <row r="342" spans="1:166" customFormat="1" ht="23.25" x14ac:dyDescent="0.25">
      <c r="A342" s="43"/>
      <c r="B342" s="33" t="s">
        <v>72</v>
      </c>
      <c r="C342" s="146" t="s">
        <v>73</v>
      </c>
      <c r="D342" s="146"/>
      <c r="E342" s="146"/>
      <c r="F342" s="35" t="s">
        <v>45</v>
      </c>
      <c r="G342" s="51">
        <v>97</v>
      </c>
      <c r="H342" s="36"/>
      <c r="I342" s="51">
        <v>97</v>
      </c>
      <c r="J342" s="45"/>
      <c r="K342" s="36"/>
      <c r="L342" s="41">
        <f>L341*I342%</f>
        <v>281921.93569539994</v>
      </c>
      <c r="M342" s="106"/>
      <c r="EX342" s="20"/>
      <c r="EY342" s="29"/>
      <c r="EZ342" s="29"/>
      <c r="FA342" s="29"/>
      <c r="FE342" s="3" t="s">
        <v>73</v>
      </c>
      <c r="FG342" s="29"/>
      <c r="FI342" s="29"/>
      <c r="FJ342" s="29"/>
    </row>
    <row r="343" spans="1:166" customFormat="1" ht="23.25" x14ac:dyDescent="0.25">
      <c r="A343" s="43"/>
      <c r="B343" s="33" t="s">
        <v>74</v>
      </c>
      <c r="C343" s="146" t="s">
        <v>75</v>
      </c>
      <c r="D343" s="146"/>
      <c r="E343" s="146"/>
      <c r="F343" s="35" t="s">
        <v>45</v>
      </c>
      <c r="G343" s="51">
        <v>51</v>
      </c>
      <c r="H343" s="36"/>
      <c r="I343" s="51">
        <v>51</v>
      </c>
      <c r="J343" s="45"/>
      <c r="K343" s="36"/>
      <c r="L343" s="41">
        <f>L341*I343%</f>
        <v>148226.99711819997</v>
      </c>
      <c r="M343" s="106"/>
      <c r="EX343" s="20"/>
      <c r="EY343" s="29"/>
      <c r="EZ343" s="29"/>
      <c r="FA343" s="29"/>
      <c r="FE343" s="3" t="s">
        <v>75</v>
      </c>
      <c r="FG343" s="29"/>
      <c r="FI343" s="29"/>
      <c r="FJ343" s="29"/>
    </row>
    <row r="344" spans="1:166" customFormat="1" ht="15" x14ac:dyDescent="0.25">
      <c r="A344" s="52"/>
      <c r="B344" s="53"/>
      <c r="C344" s="148" t="s">
        <v>48</v>
      </c>
      <c r="D344" s="148"/>
      <c r="E344" s="148"/>
      <c r="F344" s="23"/>
      <c r="G344" s="24"/>
      <c r="H344" s="24"/>
      <c r="I344" s="24"/>
      <c r="J344" s="27"/>
      <c r="K344" s="24"/>
      <c r="L344" s="96">
        <f>L340+L342+L343</f>
        <v>1241406.3816335998</v>
      </c>
      <c r="M344" s="106"/>
      <c r="EX344" s="20"/>
      <c r="EY344" s="29"/>
      <c r="EZ344" s="29"/>
      <c r="FA344" s="29"/>
      <c r="FG344" s="29" t="s">
        <v>48</v>
      </c>
      <c r="FI344" s="29"/>
      <c r="FJ344" s="29"/>
    </row>
    <row r="345" spans="1:166" customFormat="1" ht="45" x14ac:dyDescent="0.25">
      <c r="A345" s="21" t="s">
        <v>217</v>
      </c>
      <c r="B345" s="22" t="s">
        <v>209</v>
      </c>
      <c r="C345" s="148" t="s">
        <v>210</v>
      </c>
      <c r="D345" s="148"/>
      <c r="E345" s="148"/>
      <c r="F345" s="23" t="s">
        <v>172</v>
      </c>
      <c r="G345" s="24">
        <v>928.2</v>
      </c>
      <c r="H345" s="25">
        <v>1</v>
      </c>
      <c r="I345" s="65">
        <v>2450.04</v>
      </c>
      <c r="J345" s="56">
        <f>1856.4/1.2</f>
        <v>1547.0000000000002</v>
      </c>
      <c r="K345" s="26">
        <v>1</v>
      </c>
      <c r="L345" s="55">
        <f>G345*J345*K345</f>
        <v>1435925.4000000004</v>
      </c>
      <c r="M345" s="106"/>
      <c r="EX345" s="20"/>
      <c r="EY345" s="29" t="s">
        <v>210</v>
      </c>
      <c r="EZ345" s="29" t="s">
        <v>0</v>
      </c>
      <c r="FA345" s="29" t="s">
        <v>0</v>
      </c>
      <c r="FG345" s="29"/>
      <c r="FI345" s="29"/>
      <c r="FJ345" s="29"/>
    </row>
    <row r="346" spans="1:166" customFormat="1" ht="15" x14ac:dyDescent="0.25">
      <c r="A346" s="30"/>
      <c r="B346" s="31"/>
      <c r="C346" s="146" t="s">
        <v>218</v>
      </c>
      <c r="D346" s="146"/>
      <c r="E346" s="146"/>
      <c r="F346" s="146"/>
      <c r="G346" s="146"/>
      <c r="H346" s="146"/>
      <c r="I346" s="146"/>
      <c r="J346" s="146"/>
      <c r="K346" s="146"/>
      <c r="L346" s="149"/>
      <c r="M346" s="106"/>
      <c r="EX346" s="20"/>
      <c r="EY346" s="29"/>
      <c r="EZ346" s="29"/>
      <c r="FA346" s="29"/>
      <c r="FB346" s="3" t="s">
        <v>218</v>
      </c>
      <c r="FG346" s="29"/>
      <c r="FI346" s="29"/>
      <c r="FJ346" s="29"/>
    </row>
    <row r="347" spans="1:166" customFormat="1" ht="15" x14ac:dyDescent="0.25">
      <c r="A347" s="30"/>
      <c r="B347" s="31"/>
      <c r="C347" s="152" t="s">
        <v>308</v>
      </c>
      <c r="D347" s="146"/>
      <c r="E347" s="146"/>
      <c r="F347" s="146"/>
      <c r="G347" s="146"/>
      <c r="H347" s="146"/>
      <c r="I347" s="146"/>
      <c r="J347" s="146"/>
      <c r="K347" s="146"/>
      <c r="L347" s="149"/>
      <c r="M347" s="106"/>
      <c r="EX347" s="20"/>
      <c r="EY347" s="29"/>
      <c r="EZ347" s="29"/>
      <c r="FA347" s="29"/>
      <c r="FG347" s="29"/>
      <c r="FH347" s="3" t="s">
        <v>212</v>
      </c>
      <c r="FI347" s="29"/>
      <c r="FJ347" s="29"/>
    </row>
    <row r="348" spans="1:166" customFormat="1" ht="15" x14ac:dyDescent="0.25">
      <c r="A348" s="32"/>
      <c r="B348" s="33"/>
      <c r="C348" s="141" t="s">
        <v>54</v>
      </c>
      <c r="D348" s="141"/>
      <c r="E348" s="141"/>
      <c r="F348" s="141"/>
      <c r="G348" s="141"/>
      <c r="H348" s="141"/>
      <c r="I348" s="141"/>
      <c r="J348" s="141"/>
      <c r="K348" s="141"/>
      <c r="L348" s="150"/>
      <c r="M348" s="106"/>
      <c r="EX348" s="20"/>
      <c r="EY348" s="29"/>
      <c r="EZ348" s="29"/>
      <c r="FA348" s="29"/>
      <c r="FC348" s="3" t="s">
        <v>54</v>
      </c>
      <c r="FG348" s="29"/>
      <c r="FI348" s="29"/>
      <c r="FJ348" s="29"/>
    </row>
    <row r="349" spans="1:166" customFormat="1" ht="15" x14ac:dyDescent="0.25">
      <c r="A349" s="32"/>
      <c r="B349" s="33"/>
      <c r="C349" s="141" t="s">
        <v>55</v>
      </c>
      <c r="D349" s="141"/>
      <c r="E349" s="141"/>
      <c r="F349" s="141"/>
      <c r="G349" s="141"/>
      <c r="H349" s="141"/>
      <c r="I349" s="141"/>
      <c r="J349" s="141"/>
      <c r="K349" s="141"/>
      <c r="L349" s="150"/>
      <c r="M349" s="106"/>
      <c r="EX349" s="20"/>
      <c r="EY349" s="29"/>
      <c r="EZ349" s="29"/>
      <c r="FA349" s="29"/>
      <c r="FC349" s="3" t="s">
        <v>55</v>
      </c>
      <c r="FG349" s="29"/>
      <c r="FI349" s="29"/>
      <c r="FJ349" s="29"/>
    </row>
    <row r="350" spans="1:166" customFormat="1" ht="15" x14ac:dyDescent="0.25">
      <c r="A350" s="52"/>
      <c r="B350" s="53"/>
      <c r="C350" s="148" t="s">
        <v>48</v>
      </c>
      <c r="D350" s="148"/>
      <c r="E350" s="148"/>
      <c r="F350" s="23"/>
      <c r="G350" s="24"/>
      <c r="H350" s="24"/>
      <c r="I350" s="24"/>
      <c r="J350" s="27"/>
      <c r="K350" s="24"/>
      <c r="L350" s="96">
        <f>L345</f>
        <v>1435925.4000000004</v>
      </c>
      <c r="M350" s="106"/>
      <c r="EX350" s="20"/>
      <c r="EY350" s="29"/>
      <c r="EZ350" s="29"/>
      <c r="FA350" s="29"/>
      <c r="FG350" s="29" t="s">
        <v>48</v>
      </c>
      <c r="FI350" s="29"/>
      <c r="FJ350" s="29"/>
    </row>
    <row r="351" spans="1:166" customFormat="1" ht="23.25" x14ac:dyDescent="0.25">
      <c r="A351" s="21" t="s">
        <v>219</v>
      </c>
      <c r="B351" s="22" t="s">
        <v>220</v>
      </c>
      <c r="C351" s="148" t="s">
        <v>221</v>
      </c>
      <c r="D351" s="148"/>
      <c r="E351" s="148"/>
      <c r="F351" s="23" t="s">
        <v>134</v>
      </c>
      <c r="G351" s="24">
        <v>0.95799999999999996</v>
      </c>
      <c r="H351" s="25">
        <v>1</v>
      </c>
      <c r="I351" s="58">
        <v>0.95799999999999996</v>
      </c>
      <c r="J351" s="27"/>
      <c r="K351" s="24"/>
      <c r="L351" s="28"/>
      <c r="M351" s="106"/>
      <c r="EX351" s="20"/>
      <c r="EY351" s="29" t="s">
        <v>221</v>
      </c>
      <c r="EZ351" s="29" t="s">
        <v>0</v>
      </c>
      <c r="FA351" s="29" t="s">
        <v>0</v>
      </c>
      <c r="FG351" s="29"/>
      <c r="FI351" s="29"/>
      <c r="FJ351" s="29"/>
    </row>
    <row r="352" spans="1:166" customFormat="1" ht="15" x14ac:dyDescent="0.25">
      <c r="A352" s="30"/>
      <c r="B352" s="31"/>
      <c r="C352" s="146" t="s">
        <v>222</v>
      </c>
      <c r="D352" s="146"/>
      <c r="E352" s="146"/>
      <c r="F352" s="146"/>
      <c r="G352" s="146"/>
      <c r="H352" s="146"/>
      <c r="I352" s="146"/>
      <c r="J352" s="146"/>
      <c r="K352" s="146"/>
      <c r="L352" s="149"/>
      <c r="M352" s="106"/>
      <c r="EX352" s="20"/>
      <c r="EY352" s="29"/>
      <c r="EZ352" s="29"/>
      <c r="FA352" s="29"/>
      <c r="FB352" s="3" t="s">
        <v>222</v>
      </c>
      <c r="FG352" s="29"/>
      <c r="FI352" s="29"/>
      <c r="FJ352" s="29"/>
    </row>
    <row r="353" spans="1:166" customFormat="1" ht="68.25" x14ac:dyDescent="0.25">
      <c r="A353" s="32"/>
      <c r="B353" s="33" t="s">
        <v>27</v>
      </c>
      <c r="C353" s="141" t="s">
        <v>28</v>
      </c>
      <c r="D353" s="141"/>
      <c r="E353" s="141"/>
      <c r="F353" s="141"/>
      <c r="G353" s="141"/>
      <c r="H353" s="141"/>
      <c r="I353" s="141"/>
      <c r="J353" s="141"/>
      <c r="K353" s="141"/>
      <c r="L353" s="150"/>
      <c r="M353" s="106"/>
      <c r="EX353" s="20"/>
      <c r="EY353" s="29"/>
      <c r="EZ353" s="29"/>
      <c r="FA353" s="29"/>
      <c r="FC353" s="3" t="s">
        <v>28</v>
      </c>
      <c r="FG353" s="29"/>
      <c r="FI353" s="29"/>
      <c r="FJ353" s="29"/>
    </row>
    <row r="354" spans="1:166" customFormat="1" ht="23.25" x14ac:dyDescent="0.25">
      <c r="A354" s="32"/>
      <c r="B354" s="33" t="s">
        <v>29</v>
      </c>
      <c r="C354" s="141" t="s">
        <v>30</v>
      </c>
      <c r="D354" s="141"/>
      <c r="E354" s="141"/>
      <c r="F354" s="141"/>
      <c r="G354" s="141"/>
      <c r="H354" s="141"/>
      <c r="I354" s="141"/>
      <c r="J354" s="141"/>
      <c r="K354" s="141"/>
      <c r="L354" s="150"/>
      <c r="M354" s="106"/>
      <c r="N354" s="118" t="s">
        <v>322</v>
      </c>
      <c r="EX354" s="20"/>
      <c r="EY354" s="29"/>
      <c r="EZ354" s="29"/>
      <c r="FA354" s="29"/>
      <c r="FC354" s="3" t="s">
        <v>30</v>
      </c>
      <c r="FG354" s="29"/>
      <c r="FI354" s="29"/>
      <c r="FJ354" s="29"/>
    </row>
    <row r="355" spans="1:166" customFormat="1" ht="15" x14ac:dyDescent="0.25">
      <c r="A355" s="34"/>
      <c r="B355" s="33" t="s">
        <v>22</v>
      </c>
      <c r="C355" s="146" t="s">
        <v>31</v>
      </c>
      <c r="D355" s="146"/>
      <c r="E355" s="146"/>
      <c r="F355" s="35"/>
      <c r="G355" s="36"/>
      <c r="H355" s="36"/>
      <c r="I355" s="36"/>
      <c r="J355" s="117">
        <f>O355</f>
        <v>80872.984337499991</v>
      </c>
      <c r="K355" s="38">
        <v>1</v>
      </c>
      <c r="L355" s="42">
        <f>G351*J355*K355</f>
        <v>77476.318995324982</v>
      </c>
      <c r="M355" s="106">
        <v>49.45</v>
      </c>
      <c r="N355" s="112">
        <v>37018.979607499998</v>
      </c>
      <c r="O355" s="113">
        <v>80872.984337499991</v>
      </c>
      <c r="P355" s="105">
        <f>G359</f>
        <v>62.41</v>
      </c>
      <c r="Q355" s="105">
        <f>O355/P355*8</f>
        <v>10366.67</v>
      </c>
      <c r="R355" s="105">
        <f>Q355*22</f>
        <v>228066.74</v>
      </c>
      <c r="S355" s="105">
        <f>R355*(1-0.43)</f>
        <v>129998.04180000001</v>
      </c>
      <c r="EX355" s="20"/>
      <c r="EY355" s="29"/>
      <c r="EZ355" s="29"/>
      <c r="FA355" s="29"/>
      <c r="FD355" s="3" t="s">
        <v>31</v>
      </c>
      <c r="FG355" s="29"/>
      <c r="FI355" s="29"/>
      <c r="FJ355" s="29"/>
    </row>
    <row r="356" spans="1:166" customFormat="1" ht="15" x14ac:dyDescent="0.25">
      <c r="A356" s="34"/>
      <c r="B356" s="33" t="s">
        <v>32</v>
      </c>
      <c r="C356" s="146" t="s">
        <v>33</v>
      </c>
      <c r="D356" s="146"/>
      <c r="E356" s="146"/>
      <c r="F356" s="35"/>
      <c r="G356" s="36"/>
      <c r="H356" s="36"/>
      <c r="I356" s="36"/>
      <c r="J356" s="117">
        <f>O356</f>
        <v>747.5</v>
      </c>
      <c r="K356" s="38">
        <v>1</v>
      </c>
      <c r="L356" s="42">
        <f>G351*J356*K356</f>
        <v>716.10500000000002</v>
      </c>
      <c r="M356" s="106">
        <v>14.53</v>
      </c>
      <c r="N356" s="112">
        <v>3946.3661624999995</v>
      </c>
      <c r="O356" s="113">
        <v>747.5</v>
      </c>
      <c r="P356" s="105">
        <f>G360</f>
        <v>0.26</v>
      </c>
      <c r="Q356" s="105">
        <f>O356/P356*8</f>
        <v>23000</v>
      </c>
      <c r="EX356" s="20"/>
      <c r="EY356" s="29"/>
      <c r="EZ356" s="29"/>
      <c r="FA356" s="29"/>
      <c r="FD356" s="3" t="s">
        <v>33</v>
      </c>
      <c r="FG356" s="29"/>
      <c r="FI356" s="29"/>
      <c r="FJ356" s="29"/>
    </row>
    <row r="357" spans="1:166" customFormat="1" ht="15" x14ac:dyDescent="0.25">
      <c r="A357" s="34"/>
      <c r="B357" s="33" t="s">
        <v>34</v>
      </c>
      <c r="C357" s="146" t="s">
        <v>35</v>
      </c>
      <c r="D357" s="146"/>
      <c r="E357" s="146"/>
      <c r="F357" s="35"/>
      <c r="G357" s="36"/>
      <c r="H357" s="36"/>
      <c r="I357" s="36"/>
      <c r="J357" s="39">
        <v>3.02</v>
      </c>
      <c r="K357" s="38">
        <v>1</v>
      </c>
      <c r="L357" s="42">
        <f>G351*J357*K357</f>
        <v>2.89316</v>
      </c>
      <c r="M357" s="106"/>
      <c r="EX357" s="20"/>
      <c r="EY357" s="29"/>
      <c r="EZ357" s="29"/>
      <c r="FA357" s="29"/>
      <c r="FD357" s="3" t="s">
        <v>35</v>
      </c>
      <c r="FG357" s="29"/>
      <c r="FI357" s="29"/>
      <c r="FJ357" s="29"/>
    </row>
    <row r="358" spans="1:166" customFormat="1" ht="15" x14ac:dyDescent="0.25">
      <c r="A358" s="34"/>
      <c r="B358" s="33" t="s">
        <v>36</v>
      </c>
      <c r="C358" s="146" t="s">
        <v>37</v>
      </c>
      <c r="D358" s="146"/>
      <c r="E358" s="146"/>
      <c r="F358" s="35"/>
      <c r="G358" s="36"/>
      <c r="H358" s="36"/>
      <c r="I358" s="36"/>
      <c r="J358" s="39">
        <v>63.71</v>
      </c>
      <c r="K358" s="36"/>
      <c r="L358" s="42">
        <f>G351*J358</f>
        <v>61.034179999999999</v>
      </c>
      <c r="M358" s="106"/>
      <c r="EX358" s="20"/>
      <c r="EY358" s="29"/>
      <c r="EZ358" s="29"/>
      <c r="FA358" s="29"/>
      <c r="FD358" s="3" t="s">
        <v>37</v>
      </c>
      <c r="FG358" s="29"/>
      <c r="FI358" s="29"/>
      <c r="FJ358" s="29"/>
    </row>
    <row r="359" spans="1:166" customFormat="1" ht="15" x14ac:dyDescent="0.25">
      <c r="A359" s="43"/>
      <c r="B359" s="33"/>
      <c r="C359" s="146" t="s">
        <v>38</v>
      </c>
      <c r="D359" s="146"/>
      <c r="E359" s="146"/>
      <c r="F359" s="35" t="s">
        <v>39</v>
      </c>
      <c r="G359" s="40">
        <v>62.41</v>
      </c>
      <c r="H359" s="38">
        <v>1.3225</v>
      </c>
      <c r="I359" s="44">
        <v>79.070661599999994</v>
      </c>
      <c r="J359" s="45"/>
      <c r="K359" s="36"/>
      <c r="L359" s="46"/>
      <c r="M359" s="106"/>
      <c r="EX359" s="20"/>
      <c r="EY359" s="29"/>
      <c r="EZ359" s="29"/>
      <c r="FA359" s="29"/>
      <c r="FE359" s="3" t="s">
        <v>38</v>
      </c>
      <c r="FG359" s="29"/>
      <c r="FI359" s="29"/>
      <c r="FJ359" s="29"/>
    </row>
    <row r="360" spans="1:166" customFormat="1" ht="15" x14ac:dyDescent="0.25">
      <c r="A360" s="43"/>
      <c r="B360" s="33"/>
      <c r="C360" s="146" t="s">
        <v>40</v>
      </c>
      <c r="D360" s="146"/>
      <c r="E360" s="146"/>
      <c r="F360" s="35" t="s">
        <v>39</v>
      </c>
      <c r="G360" s="40">
        <v>0.26</v>
      </c>
      <c r="H360" s="38">
        <v>1.4375</v>
      </c>
      <c r="I360" s="44">
        <v>0.3580525</v>
      </c>
      <c r="J360" s="45"/>
      <c r="K360" s="36"/>
      <c r="L360" s="46"/>
      <c r="M360" s="106"/>
      <c r="EX360" s="20"/>
      <c r="EY360" s="29"/>
      <c r="EZ360" s="29"/>
      <c r="FA360" s="29"/>
      <c r="FE360" s="3" t="s">
        <v>40</v>
      </c>
      <c r="FG360" s="29"/>
      <c r="FI360" s="29"/>
      <c r="FJ360" s="29"/>
    </row>
    <row r="361" spans="1:166" customFormat="1" ht="15" x14ac:dyDescent="0.25">
      <c r="A361" s="30"/>
      <c r="B361" s="33"/>
      <c r="C361" s="151" t="s">
        <v>41</v>
      </c>
      <c r="D361" s="151"/>
      <c r="E361" s="151"/>
      <c r="F361" s="47"/>
      <c r="G361" s="48"/>
      <c r="H361" s="48"/>
      <c r="I361" s="48"/>
      <c r="J361" s="62">
        <v>818.71</v>
      </c>
      <c r="K361" s="48"/>
      <c r="L361" s="50">
        <f>L355+L356+L358</f>
        <v>78253.45817532498</v>
      </c>
      <c r="M361" s="106"/>
      <c r="EX361" s="20"/>
      <c r="EY361" s="29"/>
      <c r="EZ361" s="29"/>
      <c r="FA361" s="29"/>
      <c r="FF361" s="3" t="s">
        <v>41</v>
      </c>
      <c r="FG361" s="29"/>
      <c r="FI361" s="29"/>
      <c r="FJ361" s="29"/>
    </row>
    <row r="362" spans="1:166" customFormat="1" ht="15" x14ac:dyDescent="0.25">
      <c r="A362" s="43"/>
      <c r="B362" s="33"/>
      <c r="C362" s="146" t="s">
        <v>42</v>
      </c>
      <c r="D362" s="146"/>
      <c r="E362" s="146"/>
      <c r="F362" s="35"/>
      <c r="G362" s="36"/>
      <c r="H362" s="36"/>
      <c r="I362" s="36"/>
      <c r="J362" s="45"/>
      <c r="K362" s="36"/>
      <c r="L362" s="42">
        <f>L355+L357</f>
        <v>77479.212155324989</v>
      </c>
      <c r="M362" s="106"/>
      <c r="EX362" s="20"/>
      <c r="EY362" s="29"/>
      <c r="EZ362" s="29"/>
      <c r="FA362" s="29"/>
      <c r="FE362" s="3" t="s">
        <v>42</v>
      </c>
      <c r="FG362" s="29"/>
      <c r="FI362" s="29"/>
      <c r="FJ362" s="29"/>
    </row>
    <row r="363" spans="1:166" customFormat="1" ht="15" x14ac:dyDescent="0.25">
      <c r="A363" s="43"/>
      <c r="B363" s="33" t="s">
        <v>223</v>
      </c>
      <c r="C363" s="146" t="s">
        <v>224</v>
      </c>
      <c r="D363" s="146"/>
      <c r="E363" s="146"/>
      <c r="F363" s="35" t="s">
        <v>45</v>
      </c>
      <c r="G363" s="51">
        <v>97</v>
      </c>
      <c r="H363" s="36"/>
      <c r="I363" s="51">
        <v>97</v>
      </c>
      <c r="J363" s="45"/>
      <c r="K363" s="36"/>
      <c r="L363" s="42">
        <f>L362*I363%</f>
        <v>75154.835790665238</v>
      </c>
      <c r="M363" s="106"/>
      <c r="EX363" s="20"/>
      <c r="EY363" s="29"/>
      <c r="EZ363" s="29"/>
      <c r="FA363" s="29"/>
      <c r="FE363" s="3" t="s">
        <v>224</v>
      </c>
      <c r="FG363" s="29"/>
      <c r="FI363" s="29"/>
      <c r="FJ363" s="29"/>
    </row>
    <row r="364" spans="1:166" customFormat="1" ht="22.5" x14ac:dyDescent="0.25">
      <c r="A364" s="43"/>
      <c r="B364" s="33" t="s">
        <v>225</v>
      </c>
      <c r="C364" s="146" t="s">
        <v>226</v>
      </c>
      <c r="D364" s="146"/>
      <c r="E364" s="146"/>
      <c r="F364" s="35" t="s">
        <v>45</v>
      </c>
      <c r="G364" s="51">
        <v>55</v>
      </c>
      <c r="H364" s="40">
        <v>0.85</v>
      </c>
      <c r="I364" s="40">
        <v>46.75</v>
      </c>
      <c r="J364" s="45"/>
      <c r="K364" s="36"/>
      <c r="L364" s="42">
        <f>L362*I364%</f>
        <v>36221.531682614434</v>
      </c>
      <c r="M364" s="106"/>
      <c r="EX364" s="20"/>
      <c r="EY364" s="29"/>
      <c r="EZ364" s="29"/>
      <c r="FA364" s="29"/>
      <c r="FE364" s="3" t="s">
        <v>226</v>
      </c>
      <c r="FG364" s="29"/>
      <c r="FI364" s="29"/>
      <c r="FJ364" s="29"/>
    </row>
    <row r="365" spans="1:166" customFormat="1" ht="15" x14ac:dyDescent="0.25">
      <c r="A365" s="52"/>
      <c r="B365" s="53"/>
      <c r="C365" s="148" t="s">
        <v>48</v>
      </c>
      <c r="D365" s="148"/>
      <c r="E365" s="148"/>
      <c r="F365" s="23"/>
      <c r="G365" s="24"/>
      <c r="H365" s="24"/>
      <c r="I365" s="24"/>
      <c r="J365" s="27"/>
      <c r="K365" s="24"/>
      <c r="L365" s="96">
        <f>L361+L363+L364</f>
        <v>189629.82564860466</v>
      </c>
      <c r="M365" s="106"/>
      <c r="EX365" s="20"/>
      <c r="EY365" s="29"/>
      <c r="EZ365" s="29"/>
      <c r="FA365" s="29"/>
      <c r="FG365" s="29" t="s">
        <v>48</v>
      </c>
      <c r="FI365" s="29"/>
      <c r="FJ365" s="29"/>
    </row>
    <row r="366" spans="1:166" customFormat="1" ht="33.75" x14ac:dyDescent="0.25">
      <c r="A366" s="21" t="s">
        <v>227</v>
      </c>
      <c r="B366" s="22" t="s">
        <v>228</v>
      </c>
      <c r="C366" s="148" t="s">
        <v>229</v>
      </c>
      <c r="D366" s="148"/>
      <c r="E366" s="148"/>
      <c r="F366" s="23" t="s">
        <v>230</v>
      </c>
      <c r="G366" s="24">
        <v>143.69999999999999</v>
      </c>
      <c r="H366" s="25">
        <v>1</v>
      </c>
      <c r="I366" s="65">
        <v>143.69999999999999</v>
      </c>
      <c r="J366" s="56">
        <f>1915/1.2</f>
        <v>1595.8333333333335</v>
      </c>
      <c r="K366" s="26">
        <v>1</v>
      </c>
      <c r="L366" s="55">
        <f>G366*J366*K366</f>
        <v>229321.25</v>
      </c>
      <c r="M366" s="106"/>
      <c r="EX366" s="20"/>
      <c r="EY366" s="29" t="s">
        <v>229</v>
      </c>
      <c r="EZ366" s="29" t="s">
        <v>0</v>
      </c>
      <c r="FA366" s="29" t="s">
        <v>0</v>
      </c>
      <c r="FG366" s="29"/>
      <c r="FI366" s="29"/>
      <c r="FJ366" s="29"/>
    </row>
    <row r="367" spans="1:166" customFormat="1" ht="15" x14ac:dyDescent="0.25">
      <c r="A367" s="30"/>
      <c r="B367" s="31"/>
      <c r="C367" s="146" t="s">
        <v>231</v>
      </c>
      <c r="D367" s="146"/>
      <c r="E367" s="146"/>
      <c r="F367" s="146"/>
      <c r="G367" s="146"/>
      <c r="H367" s="146"/>
      <c r="I367" s="146"/>
      <c r="J367" s="146"/>
      <c r="K367" s="146"/>
      <c r="L367" s="149"/>
      <c r="M367" s="106"/>
      <c r="EX367" s="20"/>
      <c r="EY367" s="29"/>
      <c r="EZ367" s="29"/>
      <c r="FA367" s="29"/>
      <c r="FB367" s="3" t="s">
        <v>231</v>
      </c>
      <c r="FG367" s="29"/>
      <c r="FI367" s="29"/>
      <c r="FJ367" s="29"/>
    </row>
    <row r="368" spans="1:166" customFormat="1" ht="15" x14ac:dyDescent="0.25">
      <c r="A368" s="30"/>
      <c r="B368" s="31"/>
      <c r="C368" s="152" t="s">
        <v>309</v>
      </c>
      <c r="D368" s="146"/>
      <c r="E368" s="146"/>
      <c r="F368" s="146"/>
      <c r="G368" s="146"/>
      <c r="H368" s="146"/>
      <c r="I368" s="146"/>
      <c r="J368" s="146"/>
      <c r="K368" s="146"/>
      <c r="L368" s="149"/>
      <c r="M368" s="106"/>
      <c r="EX368" s="20"/>
      <c r="EY368" s="29"/>
      <c r="EZ368" s="29"/>
      <c r="FA368" s="29"/>
      <c r="FG368" s="29"/>
      <c r="FH368" s="3" t="s">
        <v>232</v>
      </c>
      <c r="FI368" s="29"/>
      <c r="FJ368" s="29"/>
    </row>
    <row r="369" spans="1:166" customFormat="1" ht="15" x14ac:dyDescent="0.25">
      <c r="A369" s="32"/>
      <c r="B369" s="33"/>
      <c r="C369" s="141" t="s">
        <v>54</v>
      </c>
      <c r="D369" s="141"/>
      <c r="E369" s="141"/>
      <c r="F369" s="141"/>
      <c r="G369" s="141"/>
      <c r="H369" s="141"/>
      <c r="I369" s="141"/>
      <c r="J369" s="141"/>
      <c r="K369" s="141"/>
      <c r="L369" s="150"/>
      <c r="M369" s="106"/>
      <c r="EX369" s="20"/>
      <c r="EY369" s="29"/>
      <c r="EZ369" s="29"/>
      <c r="FA369" s="29"/>
      <c r="FC369" s="3" t="s">
        <v>54</v>
      </c>
      <c r="FG369" s="29"/>
      <c r="FI369" s="29"/>
      <c r="FJ369" s="29"/>
    </row>
    <row r="370" spans="1:166" customFormat="1" ht="15" x14ac:dyDescent="0.25">
      <c r="A370" s="32"/>
      <c r="B370" s="33"/>
      <c r="C370" s="141" t="s">
        <v>55</v>
      </c>
      <c r="D370" s="141"/>
      <c r="E370" s="141"/>
      <c r="F370" s="141"/>
      <c r="G370" s="141"/>
      <c r="H370" s="141"/>
      <c r="I370" s="141"/>
      <c r="J370" s="141"/>
      <c r="K370" s="141"/>
      <c r="L370" s="150"/>
      <c r="M370" s="106"/>
      <c r="EX370" s="20"/>
      <c r="EY370" s="29"/>
      <c r="EZ370" s="29"/>
      <c r="FA370" s="29"/>
      <c r="FC370" s="3" t="s">
        <v>55</v>
      </c>
      <c r="FG370" s="29"/>
      <c r="FI370" s="29"/>
      <c r="FJ370" s="29"/>
    </row>
    <row r="371" spans="1:166" customFormat="1" ht="15" x14ac:dyDescent="0.25">
      <c r="A371" s="52"/>
      <c r="B371" s="53"/>
      <c r="C371" s="148" t="s">
        <v>48</v>
      </c>
      <c r="D371" s="148"/>
      <c r="E371" s="148"/>
      <c r="F371" s="23"/>
      <c r="G371" s="24"/>
      <c r="H371" s="24"/>
      <c r="I371" s="24"/>
      <c r="J371" s="27"/>
      <c r="K371" s="24"/>
      <c r="L371" s="96">
        <f>L366</f>
        <v>229321.25</v>
      </c>
      <c r="M371" s="106"/>
      <c r="EX371" s="20"/>
      <c r="EY371" s="29"/>
      <c r="EZ371" s="29"/>
      <c r="FA371" s="29"/>
      <c r="FG371" s="29" t="s">
        <v>48</v>
      </c>
      <c r="FI371" s="29"/>
      <c r="FJ371" s="29"/>
    </row>
    <row r="372" spans="1:166" customFormat="1" ht="68.25" x14ac:dyDescent="0.25">
      <c r="A372" s="21" t="s">
        <v>233</v>
      </c>
      <c r="B372" s="22" t="s">
        <v>234</v>
      </c>
      <c r="C372" s="148" t="s">
        <v>235</v>
      </c>
      <c r="D372" s="148"/>
      <c r="E372" s="148"/>
      <c r="F372" s="23" t="s">
        <v>51</v>
      </c>
      <c r="G372" s="24">
        <v>16</v>
      </c>
      <c r="H372" s="25">
        <v>1</v>
      </c>
      <c r="I372" s="25">
        <v>16</v>
      </c>
      <c r="J372" s="27"/>
      <c r="K372" s="24"/>
      <c r="L372" s="28"/>
      <c r="M372" s="106"/>
      <c r="EX372" s="20"/>
      <c r="EY372" s="29" t="s">
        <v>235</v>
      </c>
      <c r="EZ372" s="29" t="s">
        <v>0</v>
      </c>
      <c r="FA372" s="29" t="s">
        <v>0</v>
      </c>
      <c r="FG372" s="29"/>
      <c r="FI372" s="29"/>
      <c r="FJ372" s="29"/>
    </row>
    <row r="373" spans="1:166" customFormat="1" ht="15" x14ac:dyDescent="0.25">
      <c r="A373" s="30"/>
      <c r="B373" s="31"/>
      <c r="C373" s="146" t="s">
        <v>236</v>
      </c>
      <c r="D373" s="146"/>
      <c r="E373" s="146"/>
      <c r="F373" s="146"/>
      <c r="G373" s="146"/>
      <c r="H373" s="146"/>
      <c r="I373" s="146"/>
      <c r="J373" s="146"/>
      <c r="K373" s="146"/>
      <c r="L373" s="149"/>
      <c r="M373" s="106"/>
      <c r="EX373" s="20"/>
      <c r="EY373" s="29"/>
      <c r="EZ373" s="29"/>
      <c r="FA373" s="29"/>
      <c r="FB373" s="3" t="s">
        <v>236</v>
      </c>
      <c r="FG373" s="29"/>
      <c r="FI373" s="29"/>
      <c r="FJ373" s="29"/>
    </row>
    <row r="374" spans="1:166" customFormat="1" ht="68.25" x14ac:dyDescent="0.25">
      <c r="A374" s="32"/>
      <c r="B374" s="33" t="s">
        <v>27</v>
      </c>
      <c r="C374" s="141" t="s">
        <v>28</v>
      </c>
      <c r="D374" s="141"/>
      <c r="E374" s="141"/>
      <c r="F374" s="141"/>
      <c r="G374" s="141"/>
      <c r="H374" s="141"/>
      <c r="I374" s="141"/>
      <c r="J374" s="141"/>
      <c r="K374" s="141"/>
      <c r="L374" s="150"/>
      <c r="M374" s="106"/>
      <c r="EX374" s="20"/>
      <c r="EY374" s="29"/>
      <c r="EZ374" s="29"/>
      <c r="FA374" s="29"/>
      <c r="FC374" s="3" t="s">
        <v>28</v>
      </c>
      <c r="FG374" s="29"/>
      <c r="FI374" s="29"/>
      <c r="FJ374" s="29"/>
    </row>
    <row r="375" spans="1:166" customFormat="1" ht="23.25" x14ac:dyDescent="0.25">
      <c r="A375" s="32"/>
      <c r="B375" s="33" t="s">
        <v>29</v>
      </c>
      <c r="C375" s="141" t="s">
        <v>30</v>
      </c>
      <c r="D375" s="141"/>
      <c r="E375" s="141"/>
      <c r="F375" s="141"/>
      <c r="G375" s="141"/>
      <c r="H375" s="141"/>
      <c r="I375" s="141"/>
      <c r="J375" s="141"/>
      <c r="K375" s="141"/>
      <c r="L375" s="150"/>
      <c r="M375" s="106"/>
      <c r="N375" s="118" t="s">
        <v>325</v>
      </c>
      <c r="EX375" s="20"/>
      <c r="EY375" s="29"/>
      <c r="EZ375" s="29"/>
      <c r="FA375" s="29"/>
      <c r="FC375" s="3" t="s">
        <v>30</v>
      </c>
      <c r="FG375" s="29"/>
      <c r="FI375" s="29"/>
      <c r="FJ375" s="29"/>
    </row>
    <row r="376" spans="1:166" customFormat="1" ht="15" x14ac:dyDescent="0.25">
      <c r="A376" s="34"/>
      <c r="B376" s="33" t="s">
        <v>22</v>
      </c>
      <c r="C376" s="146" t="s">
        <v>31</v>
      </c>
      <c r="D376" s="146"/>
      <c r="E376" s="146"/>
      <c r="F376" s="35"/>
      <c r="G376" s="36"/>
      <c r="H376" s="36"/>
      <c r="I376" s="36"/>
      <c r="J376" s="117">
        <f>O376</f>
        <v>1788.2505749999982</v>
      </c>
      <c r="K376" s="38">
        <v>1</v>
      </c>
      <c r="L376" s="42">
        <f>G372*J376*K376</f>
        <v>28612.009199999971</v>
      </c>
      <c r="M376" s="106">
        <v>49.45</v>
      </c>
      <c r="N376" s="112">
        <v>848.20719625000015</v>
      </c>
      <c r="O376" s="113">
        <v>1788.2505749999982</v>
      </c>
      <c r="P376" s="105">
        <f>G378</f>
        <v>1.38</v>
      </c>
      <c r="Q376" s="105">
        <f>O376/P376*8</f>
        <v>10366.669999999991</v>
      </c>
      <c r="R376" s="105">
        <f>Q376*22</f>
        <v>228066.73999999982</v>
      </c>
      <c r="S376" s="105">
        <f>R376*(1-0.43)</f>
        <v>129998.0417999999</v>
      </c>
      <c r="EX376" s="20"/>
      <c r="EY376" s="29"/>
      <c r="EZ376" s="29"/>
      <c r="FA376" s="29"/>
      <c r="FD376" s="3" t="s">
        <v>31</v>
      </c>
      <c r="FG376" s="29"/>
      <c r="FI376" s="29"/>
      <c r="FJ376" s="29"/>
    </row>
    <row r="377" spans="1:166" customFormat="1" ht="15" x14ac:dyDescent="0.25">
      <c r="A377" s="34"/>
      <c r="B377" s="33" t="s">
        <v>36</v>
      </c>
      <c r="C377" s="146" t="s">
        <v>37</v>
      </c>
      <c r="D377" s="146"/>
      <c r="E377" s="146"/>
      <c r="F377" s="35"/>
      <c r="G377" s="36"/>
      <c r="H377" s="36"/>
      <c r="I377" s="36"/>
      <c r="J377" s="39">
        <v>4.0999999999999996</v>
      </c>
      <c r="K377" s="36"/>
      <c r="L377" s="42">
        <f>G372*J377</f>
        <v>65.599999999999994</v>
      </c>
      <c r="M377" s="106"/>
      <c r="N377" s="112"/>
      <c r="O377" s="113"/>
      <c r="P377" s="105"/>
      <c r="Q377" s="105"/>
      <c r="EX377" s="20"/>
      <c r="EY377" s="29"/>
      <c r="EZ377" s="29"/>
      <c r="FA377" s="29"/>
      <c r="FD377" s="3" t="s">
        <v>37</v>
      </c>
      <c r="FG377" s="29"/>
      <c r="FI377" s="29"/>
      <c r="FJ377" s="29"/>
    </row>
    <row r="378" spans="1:166" customFormat="1" ht="15" x14ac:dyDescent="0.25">
      <c r="A378" s="43"/>
      <c r="B378" s="33"/>
      <c r="C378" s="146" t="s">
        <v>38</v>
      </c>
      <c r="D378" s="146"/>
      <c r="E378" s="146"/>
      <c r="F378" s="35" t="s">
        <v>39</v>
      </c>
      <c r="G378" s="40">
        <v>1.38</v>
      </c>
      <c r="H378" s="38">
        <v>1.3225</v>
      </c>
      <c r="I378" s="38">
        <v>29.200800000000001</v>
      </c>
      <c r="J378" s="45"/>
      <c r="K378" s="36"/>
      <c r="L378" s="46"/>
      <c r="M378" s="106"/>
      <c r="EX378" s="20"/>
      <c r="EY378" s="29"/>
      <c r="EZ378" s="29"/>
      <c r="FA378" s="29"/>
      <c r="FE378" s="3" t="s">
        <v>38</v>
      </c>
      <c r="FG378" s="29"/>
      <c r="FI378" s="29"/>
      <c r="FJ378" s="29"/>
    </row>
    <row r="379" spans="1:166" customFormat="1" ht="15" x14ac:dyDescent="0.25">
      <c r="A379" s="30"/>
      <c r="B379" s="33"/>
      <c r="C379" s="151" t="s">
        <v>41</v>
      </c>
      <c r="D379" s="151"/>
      <c r="E379" s="151"/>
      <c r="F379" s="47"/>
      <c r="G379" s="48"/>
      <c r="H379" s="48"/>
      <c r="I379" s="48"/>
      <c r="J379" s="62">
        <v>17.07</v>
      </c>
      <c r="K379" s="48"/>
      <c r="L379" s="66">
        <f>L376+L377</f>
        <v>28677.60919999997</v>
      </c>
      <c r="M379" s="106"/>
      <c r="EX379" s="20"/>
      <c r="EY379" s="29"/>
      <c r="EZ379" s="29"/>
      <c r="FA379" s="29"/>
      <c r="FF379" s="3" t="s">
        <v>41</v>
      </c>
      <c r="FG379" s="29"/>
      <c r="FI379" s="29"/>
      <c r="FJ379" s="29"/>
    </row>
    <row r="380" spans="1:166" customFormat="1" ht="15" x14ac:dyDescent="0.25">
      <c r="A380" s="43"/>
      <c r="B380" s="33"/>
      <c r="C380" s="146" t="s">
        <v>42</v>
      </c>
      <c r="D380" s="146"/>
      <c r="E380" s="146"/>
      <c r="F380" s="35"/>
      <c r="G380" s="36"/>
      <c r="H380" s="36"/>
      <c r="I380" s="36"/>
      <c r="J380" s="45"/>
      <c r="K380" s="36"/>
      <c r="L380" s="42">
        <f>L376</f>
        <v>28612.009199999971</v>
      </c>
      <c r="M380" s="106"/>
      <c r="EX380" s="20"/>
      <c r="EY380" s="29"/>
      <c r="EZ380" s="29"/>
      <c r="FA380" s="29"/>
      <c r="FE380" s="3" t="s">
        <v>42</v>
      </c>
      <c r="FG380" s="29"/>
      <c r="FI380" s="29"/>
      <c r="FJ380" s="29"/>
    </row>
    <row r="381" spans="1:166" customFormat="1" ht="23.25" x14ac:dyDescent="0.25">
      <c r="A381" s="43"/>
      <c r="B381" s="33" t="s">
        <v>72</v>
      </c>
      <c r="C381" s="146" t="s">
        <v>73</v>
      </c>
      <c r="D381" s="146"/>
      <c r="E381" s="146"/>
      <c r="F381" s="35" t="s">
        <v>45</v>
      </c>
      <c r="G381" s="51">
        <v>97</v>
      </c>
      <c r="H381" s="36"/>
      <c r="I381" s="51">
        <v>97</v>
      </c>
      <c r="J381" s="45"/>
      <c r="K381" s="36"/>
      <c r="L381" s="42">
        <f>L380*I381%</f>
        <v>27753.648923999972</v>
      </c>
      <c r="M381" s="106"/>
      <c r="EX381" s="20"/>
      <c r="EY381" s="29"/>
      <c r="EZ381" s="29"/>
      <c r="FA381" s="29"/>
      <c r="FE381" s="3" t="s">
        <v>73</v>
      </c>
      <c r="FG381" s="29"/>
      <c r="FI381" s="29"/>
      <c r="FJ381" s="29"/>
    </row>
    <row r="382" spans="1:166" customFormat="1" ht="23.25" x14ac:dyDescent="0.25">
      <c r="A382" s="43"/>
      <c r="B382" s="33" t="s">
        <v>74</v>
      </c>
      <c r="C382" s="146" t="s">
        <v>75</v>
      </c>
      <c r="D382" s="146"/>
      <c r="E382" s="146"/>
      <c r="F382" s="35" t="s">
        <v>45</v>
      </c>
      <c r="G382" s="51">
        <v>51</v>
      </c>
      <c r="H382" s="36"/>
      <c r="I382" s="51">
        <v>51</v>
      </c>
      <c r="J382" s="45"/>
      <c r="K382" s="36"/>
      <c r="L382" s="42">
        <f>L380*I382%</f>
        <v>14592.124691999985</v>
      </c>
      <c r="M382" s="106"/>
      <c r="EX382" s="20"/>
      <c r="EY382" s="29"/>
      <c r="EZ382" s="29"/>
      <c r="FA382" s="29"/>
      <c r="FE382" s="3" t="s">
        <v>75</v>
      </c>
      <c r="FG382" s="29"/>
      <c r="FI382" s="29"/>
      <c r="FJ382" s="29"/>
    </row>
    <row r="383" spans="1:166" customFormat="1" ht="15" x14ac:dyDescent="0.25">
      <c r="A383" s="52"/>
      <c r="B383" s="53"/>
      <c r="C383" s="148" t="s">
        <v>48</v>
      </c>
      <c r="D383" s="148"/>
      <c r="E383" s="148"/>
      <c r="F383" s="23"/>
      <c r="G383" s="24"/>
      <c r="H383" s="24"/>
      <c r="I383" s="24"/>
      <c r="J383" s="27"/>
      <c r="K383" s="24"/>
      <c r="L383" s="99">
        <f>L379+L381+L382</f>
        <v>71023.382815999925</v>
      </c>
      <c r="M383" s="106"/>
      <c r="EX383" s="20"/>
      <c r="EY383" s="29"/>
      <c r="EZ383" s="29"/>
      <c r="FA383" s="29"/>
      <c r="FG383" s="29" t="s">
        <v>48</v>
      </c>
      <c r="FI383" s="29"/>
      <c r="FJ383" s="29"/>
    </row>
    <row r="384" spans="1:166" customFormat="1" ht="33.75" x14ac:dyDescent="0.25">
      <c r="A384" s="21" t="s">
        <v>237</v>
      </c>
      <c r="B384" s="22" t="s">
        <v>238</v>
      </c>
      <c r="C384" s="148" t="s">
        <v>239</v>
      </c>
      <c r="D384" s="148"/>
      <c r="E384" s="148"/>
      <c r="F384" s="23" t="s">
        <v>51</v>
      </c>
      <c r="G384" s="24">
        <v>16</v>
      </c>
      <c r="H384" s="25">
        <v>1</v>
      </c>
      <c r="I384" s="25">
        <v>16</v>
      </c>
      <c r="J384" s="56">
        <f>4935/1.2</f>
        <v>4112.5</v>
      </c>
      <c r="K384" s="26">
        <v>1</v>
      </c>
      <c r="L384" s="55">
        <f>G384*J384*K384</f>
        <v>65800</v>
      </c>
      <c r="M384" s="106"/>
      <c r="EX384" s="20"/>
      <c r="EY384" s="29" t="s">
        <v>239</v>
      </c>
      <c r="EZ384" s="29" t="s">
        <v>0</v>
      </c>
      <c r="FA384" s="29" t="s">
        <v>0</v>
      </c>
      <c r="FG384" s="29"/>
      <c r="FI384" s="29"/>
      <c r="FJ384" s="29"/>
    </row>
    <row r="385" spans="1:166" customFormat="1" ht="15" x14ac:dyDescent="0.25">
      <c r="A385" s="30"/>
      <c r="B385" s="31"/>
      <c r="C385" s="146" t="s">
        <v>236</v>
      </c>
      <c r="D385" s="146"/>
      <c r="E385" s="146"/>
      <c r="F385" s="146"/>
      <c r="G385" s="146"/>
      <c r="H385" s="146"/>
      <c r="I385" s="146"/>
      <c r="J385" s="146"/>
      <c r="K385" s="146"/>
      <c r="L385" s="149"/>
      <c r="M385" s="106"/>
      <c r="EX385" s="20"/>
      <c r="EY385" s="29"/>
      <c r="EZ385" s="29"/>
      <c r="FA385" s="29"/>
      <c r="FB385" s="3" t="s">
        <v>236</v>
      </c>
      <c r="FG385" s="29"/>
      <c r="FI385" s="29"/>
      <c r="FJ385" s="29"/>
    </row>
    <row r="386" spans="1:166" customFormat="1" ht="15" x14ac:dyDescent="0.25">
      <c r="A386" s="30"/>
      <c r="B386" s="31"/>
      <c r="C386" s="152" t="s">
        <v>310</v>
      </c>
      <c r="D386" s="146"/>
      <c r="E386" s="146"/>
      <c r="F386" s="146"/>
      <c r="G386" s="146"/>
      <c r="H386" s="146"/>
      <c r="I386" s="146"/>
      <c r="J386" s="146"/>
      <c r="K386" s="146"/>
      <c r="L386" s="149"/>
      <c r="M386" s="106"/>
      <c r="EX386" s="20"/>
      <c r="EY386" s="29"/>
      <c r="EZ386" s="29"/>
      <c r="FA386" s="29"/>
      <c r="FG386" s="29"/>
      <c r="FH386" s="3" t="s">
        <v>240</v>
      </c>
      <c r="FI386" s="29"/>
      <c r="FJ386" s="29"/>
    </row>
    <row r="387" spans="1:166" customFormat="1" ht="15" x14ac:dyDescent="0.25">
      <c r="A387" s="32"/>
      <c r="B387" s="33"/>
      <c r="C387" s="141" t="s">
        <v>54</v>
      </c>
      <c r="D387" s="141"/>
      <c r="E387" s="141"/>
      <c r="F387" s="141"/>
      <c r="G387" s="141"/>
      <c r="H387" s="141"/>
      <c r="I387" s="141"/>
      <c r="J387" s="141"/>
      <c r="K387" s="141"/>
      <c r="L387" s="150"/>
      <c r="M387" s="106"/>
      <c r="EX387" s="20"/>
      <c r="EY387" s="29"/>
      <c r="EZ387" s="29"/>
      <c r="FA387" s="29"/>
      <c r="FC387" s="3" t="s">
        <v>54</v>
      </c>
      <c r="FG387" s="29"/>
      <c r="FI387" s="29"/>
      <c r="FJ387" s="29"/>
    </row>
    <row r="388" spans="1:166" customFormat="1" ht="15" x14ac:dyDescent="0.25">
      <c r="A388" s="32"/>
      <c r="B388" s="33"/>
      <c r="C388" s="141" t="s">
        <v>55</v>
      </c>
      <c r="D388" s="141"/>
      <c r="E388" s="141"/>
      <c r="F388" s="141"/>
      <c r="G388" s="141"/>
      <c r="H388" s="141"/>
      <c r="I388" s="141"/>
      <c r="J388" s="141"/>
      <c r="K388" s="141"/>
      <c r="L388" s="150"/>
      <c r="M388" s="106"/>
      <c r="EX388" s="20"/>
      <c r="EY388" s="29"/>
      <c r="EZ388" s="29"/>
      <c r="FA388" s="29"/>
      <c r="FC388" s="3" t="s">
        <v>55</v>
      </c>
      <c r="FG388" s="29"/>
      <c r="FI388" s="29"/>
      <c r="FJ388" s="29"/>
    </row>
    <row r="389" spans="1:166" customFormat="1" ht="15" x14ac:dyDescent="0.25">
      <c r="A389" s="52"/>
      <c r="B389" s="53"/>
      <c r="C389" s="148" t="s">
        <v>48</v>
      </c>
      <c r="D389" s="148"/>
      <c r="E389" s="148"/>
      <c r="F389" s="23"/>
      <c r="G389" s="24"/>
      <c r="H389" s="24"/>
      <c r="I389" s="24"/>
      <c r="J389" s="27"/>
      <c r="K389" s="24"/>
      <c r="L389" s="96">
        <f>L384</f>
        <v>65800</v>
      </c>
      <c r="M389" s="106"/>
      <c r="EX389" s="20"/>
      <c r="EY389" s="29"/>
      <c r="EZ389" s="29"/>
      <c r="FA389" s="29"/>
      <c r="FG389" s="29" t="s">
        <v>48</v>
      </c>
      <c r="FI389" s="29"/>
      <c r="FJ389" s="29"/>
    </row>
    <row r="390" spans="1:166" customFormat="1" ht="34.5" x14ac:dyDescent="0.25">
      <c r="A390" s="21" t="s">
        <v>241</v>
      </c>
      <c r="B390" s="22" t="s">
        <v>242</v>
      </c>
      <c r="C390" s="148" t="s">
        <v>243</v>
      </c>
      <c r="D390" s="148"/>
      <c r="E390" s="148"/>
      <c r="F390" s="23" t="s">
        <v>51</v>
      </c>
      <c r="G390" s="24">
        <v>2</v>
      </c>
      <c r="H390" s="25">
        <v>1</v>
      </c>
      <c r="I390" s="25">
        <v>2</v>
      </c>
      <c r="J390" s="27"/>
      <c r="K390" s="24"/>
      <c r="L390" s="28"/>
      <c r="M390" s="106"/>
      <c r="EX390" s="20"/>
      <c r="EY390" s="29" t="s">
        <v>243</v>
      </c>
      <c r="EZ390" s="29" t="s">
        <v>0</v>
      </c>
      <c r="FA390" s="29" t="s">
        <v>0</v>
      </c>
      <c r="FG390" s="29"/>
      <c r="FI390" s="29"/>
      <c r="FJ390" s="29"/>
    </row>
    <row r="391" spans="1:166" customFormat="1" ht="68.25" x14ac:dyDescent="0.25">
      <c r="A391" s="32"/>
      <c r="B391" s="33" t="s">
        <v>27</v>
      </c>
      <c r="C391" s="141" t="s">
        <v>28</v>
      </c>
      <c r="D391" s="141"/>
      <c r="E391" s="141"/>
      <c r="F391" s="141"/>
      <c r="G391" s="141"/>
      <c r="H391" s="141"/>
      <c r="I391" s="141"/>
      <c r="J391" s="141"/>
      <c r="K391" s="141"/>
      <c r="L391" s="150"/>
      <c r="M391" s="106"/>
      <c r="EX391" s="20"/>
      <c r="EY391" s="29"/>
      <c r="EZ391" s="29"/>
      <c r="FA391" s="29"/>
      <c r="FC391" s="3" t="s">
        <v>28</v>
      </c>
      <c r="FG391" s="29"/>
      <c r="FI391" s="29"/>
      <c r="FJ391" s="29"/>
    </row>
    <row r="392" spans="1:166" customFormat="1" ht="23.25" x14ac:dyDescent="0.25">
      <c r="A392" s="32"/>
      <c r="B392" s="33" t="s">
        <v>29</v>
      </c>
      <c r="C392" s="141" t="s">
        <v>30</v>
      </c>
      <c r="D392" s="141"/>
      <c r="E392" s="141"/>
      <c r="F392" s="141"/>
      <c r="G392" s="141"/>
      <c r="H392" s="141"/>
      <c r="I392" s="141"/>
      <c r="J392" s="141"/>
      <c r="K392" s="141"/>
      <c r="L392" s="150"/>
      <c r="M392" s="106"/>
      <c r="N392" s="118" t="s">
        <v>325</v>
      </c>
      <c r="EX392" s="20"/>
      <c r="EY392" s="29"/>
      <c r="EZ392" s="29"/>
      <c r="FA392" s="29"/>
      <c r="FC392" s="3" t="s">
        <v>30</v>
      </c>
      <c r="FG392" s="29"/>
      <c r="FI392" s="29"/>
      <c r="FJ392" s="29"/>
    </row>
    <row r="393" spans="1:166" customFormat="1" ht="15" x14ac:dyDescent="0.25">
      <c r="A393" s="34"/>
      <c r="B393" s="33" t="s">
        <v>22</v>
      </c>
      <c r="C393" s="146" t="s">
        <v>31</v>
      </c>
      <c r="D393" s="146"/>
      <c r="E393" s="146"/>
      <c r="F393" s="35"/>
      <c r="G393" s="36"/>
      <c r="H393" s="36"/>
      <c r="I393" s="36"/>
      <c r="J393" s="117">
        <f>O393</f>
        <v>9666.9197750000021</v>
      </c>
      <c r="K393" s="38">
        <v>1</v>
      </c>
      <c r="L393" s="42">
        <f>G390*J393*K393</f>
        <v>19333.839550000004</v>
      </c>
      <c r="M393" s="106">
        <v>49.45</v>
      </c>
      <c r="N393" s="112">
        <v>4585.6814650000006</v>
      </c>
      <c r="O393" s="113">
        <v>9666.9197750000021</v>
      </c>
      <c r="P393" s="105">
        <f>G397</f>
        <v>7.46</v>
      </c>
      <c r="Q393" s="105">
        <f>O393/P393*8</f>
        <v>10366.670000000002</v>
      </c>
      <c r="R393" s="105">
        <f>Q393*22</f>
        <v>228066.74000000005</v>
      </c>
      <c r="S393" s="105">
        <f>R393*(1-0.43)</f>
        <v>129998.04180000004</v>
      </c>
      <c r="EX393" s="20"/>
      <c r="EY393" s="29"/>
      <c r="EZ393" s="29"/>
      <c r="FA393" s="29"/>
      <c r="FD393" s="3" t="s">
        <v>31</v>
      </c>
      <c r="FG393" s="29"/>
      <c r="FI393" s="29"/>
      <c r="FJ393" s="29"/>
    </row>
    <row r="394" spans="1:166" customFormat="1" ht="15" x14ac:dyDescent="0.25">
      <c r="A394" s="34"/>
      <c r="B394" s="33" t="s">
        <v>32</v>
      </c>
      <c r="C394" s="146" t="s">
        <v>33</v>
      </c>
      <c r="D394" s="146"/>
      <c r="E394" s="146"/>
      <c r="F394" s="35"/>
      <c r="G394" s="36"/>
      <c r="H394" s="36"/>
      <c r="I394" s="36"/>
      <c r="J394" s="117">
        <f>O394</f>
        <v>57.5</v>
      </c>
      <c r="K394" s="38">
        <v>1</v>
      </c>
      <c r="L394" s="42">
        <f>G390*J394*K394</f>
        <v>115</v>
      </c>
      <c r="M394" s="106">
        <v>14.53</v>
      </c>
      <c r="N394" s="112">
        <v>37.805243749999995</v>
      </c>
      <c r="O394" s="113">
        <v>57.5</v>
      </c>
      <c r="P394" s="105">
        <f>G398</f>
        <v>0.02</v>
      </c>
      <c r="Q394" s="105">
        <f>O394/P394*8</f>
        <v>23000</v>
      </c>
      <c r="EX394" s="20"/>
      <c r="EY394" s="29"/>
      <c r="EZ394" s="29"/>
      <c r="FA394" s="29"/>
      <c r="FD394" s="3" t="s">
        <v>33</v>
      </c>
      <c r="FG394" s="29"/>
      <c r="FI394" s="29"/>
      <c r="FJ394" s="29"/>
    </row>
    <row r="395" spans="1:166" customFormat="1" ht="15" x14ac:dyDescent="0.25">
      <c r="A395" s="34"/>
      <c r="B395" s="33" t="s">
        <v>34</v>
      </c>
      <c r="C395" s="146" t="s">
        <v>35</v>
      </c>
      <c r="D395" s="146"/>
      <c r="E395" s="146"/>
      <c r="F395" s="35"/>
      <c r="G395" s="36"/>
      <c r="H395" s="36"/>
      <c r="I395" s="36"/>
      <c r="J395" s="39">
        <v>0.26</v>
      </c>
      <c r="K395" s="38">
        <v>1</v>
      </c>
      <c r="L395" s="42">
        <f>G390*J395*K395</f>
        <v>0.52</v>
      </c>
      <c r="M395" s="106"/>
      <c r="EX395" s="20"/>
      <c r="EY395" s="29"/>
      <c r="EZ395" s="29"/>
      <c r="FA395" s="29"/>
      <c r="FD395" s="3" t="s">
        <v>35</v>
      </c>
      <c r="FG395" s="29"/>
      <c r="FI395" s="29"/>
      <c r="FJ395" s="29"/>
    </row>
    <row r="396" spans="1:166" customFormat="1" ht="15" x14ac:dyDescent="0.25">
      <c r="A396" s="34"/>
      <c r="B396" s="33" t="s">
        <v>36</v>
      </c>
      <c r="C396" s="146" t="s">
        <v>37</v>
      </c>
      <c r="D396" s="146"/>
      <c r="E396" s="146"/>
      <c r="F396" s="35"/>
      <c r="G396" s="36"/>
      <c r="H396" s="36"/>
      <c r="I396" s="36"/>
      <c r="J396" s="39">
        <v>46.64</v>
      </c>
      <c r="K396" s="36"/>
      <c r="L396" s="42">
        <f>G390*J396</f>
        <v>93.28</v>
      </c>
      <c r="M396" s="106"/>
      <c r="EX396" s="20"/>
      <c r="EY396" s="29"/>
      <c r="EZ396" s="29"/>
      <c r="FA396" s="29"/>
      <c r="FD396" s="3" t="s">
        <v>37</v>
      </c>
      <c r="FG396" s="29"/>
      <c r="FI396" s="29"/>
      <c r="FJ396" s="29"/>
    </row>
    <row r="397" spans="1:166" customFormat="1" ht="15" x14ac:dyDescent="0.25">
      <c r="A397" s="43"/>
      <c r="B397" s="33"/>
      <c r="C397" s="146" t="s">
        <v>38</v>
      </c>
      <c r="D397" s="146"/>
      <c r="E397" s="146"/>
      <c r="F397" s="35" t="s">
        <v>39</v>
      </c>
      <c r="G397" s="40">
        <v>7.46</v>
      </c>
      <c r="H397" s="38">
        <v>1.3225</v>
      </c>
      <c r="I397" s="38">
        <v>19.7317</v>
      </c>
      <c r="J397" s="45"/>
      <c r="K397" s="36"/>
      <c r="L397" s="46"/>
      <c r="M397" s="106"/>
      <c r="EX397" s="20"/>
      <c r="EY397" s="29"/>
      <c r="EZ397" s="29"/>
      <c r="FA397" s="29"/>
      <c r="FE397" s="3" t="s">
        <v>38</v>
      </c>
      <c r="FG397" s="29"/>
      <c r="FI397" s="29"/>
      <c r="FJ397" s="29"/>
    </row>
    <row r="398" spans="1:166" customFormat="1" ht="15" x14ac:dyDescent="0.25">
      <c r="A398" s="43"/>
      <c r="B398" s="33"/>
      <c r="C398" s="146" t="s">
        <v>40</v>
      </c>
      <c r="D398" s="146"/>
      <c r="E398" s="146"/>
      <c r="F398" s="35" t="s">
        <v>39</v>
      </c>
      <c r="G398" s="40">
        <v>0.02</v>
      </c>
      <c r="H398" s="38">
        <v>1.4375</v>
      </c>
      <c r="I398" s="38">
        <v>5.7500000000000002E-2</v>
      </c>
      <c r="J398" s="45"/>
      <c r="K398" s="36"/>
      <c r="L398" s="46"/>
      <c r="M398" s="106"/>
      <c r="EX398" s="20"/>
      <c r="EY398" s="29"/>
      <c r="EZ398" s="29"/>
      <c r="FA398" s="29"/>
      <c r="FE398" s="3" t="s">
        <v>40</v>
      </c>
      <c r="FG398" s="29"/>
      <c r="FI398" s="29"/>
      <c r="FJ398" s="29"/>
    </row>
    <row r="399" spans="1:166" customFormat="1" ht="15" x14ac:dyDescent="0.25">
      <c r="A399" s="30"/>
      <c r="B399" s="33"/>
      <c r="C399" s="151" t="s">
        <v>41</v>
      </c>
      <c r="D399" s="151"/>
      <c r="E399" s="151"/>
      <c r="F399" s="47"/>
      <c r="G399" s="48"/>
      <c r="H399" s="48"/>
      <c r="I399" s="48"/>
      <c r="J399" s="62">
        <v>118.57</v>
      </c>
      <c r="K399" s="48"/>
      <c r="L399" s="66">
        <f>L393+L394+L396</f>
        <v>19542.119550000003</v>
      </c>
      <c r="M399" s="106"/>
      <c r="EX399" s="20"/>
      <c r="EY399" s="29"/>
      <c r="EZ399" s="29"/>
      <c r="FA399" s="29"/>
      <c r="FF399" s="3" t="s">
        <v>41</v>
      </c>
      <c r="FG399" s="29"/>
      <c r="FI399" s="29"/>
      <c r="FJ399" s="29"/>
    </row>
    <row r="400" spans="1:166" customFormat="1" ht="15" x14ac:dyDescent="0.25">
      <c r="A400" s="43"/>
      <c r="B400" s="33"/>
      <c r="C400" s="146" t="s">
        <v>42</v>
      </c>
      <c r="D400" s="146"/>
      <c r="E400" s="146"/>
      <c r="F400" s="35"/>
      <c r="G400" s="36"/>
      <c r="H400" s="36"/>
      <c r="I400" s="36"/>
      <c r="J400" s="45"/>
      <c r="K400" s="36"/>
      <c r="L400" s="42">
        <f>L393+L395</f>
        <v>19334.359550000005</v>
      </c>
      <c r="M400" s="106"/>
      <c r="EX400" s="20"/>
      <c r="EY400" s="29"/>
      <c r="EZ400" s="29"/>
      <c r="FA400" s="29"/>
      <c r="FE400" s="3" t="s">
        <v>42</v>
      </c>
      <c r="FG400" s="29"/>
      <c r="FI400" s="29"/>
      <c r="FJ400" s="29"/>
    </row>
    <row r="401" spans="1:166" customFormat="1" ht="23.25" x14ac:dyDescent="0.25">
      <c r="A401" s="43"/>
      <c r="B401" s="33" t="s">
        <v>72</v>
      </c>
      <c r="C401" s="146" t="s">
        <v>73</v>
      </c>
      <c r="D401" s="146"/>
      <c r="E401" s="146"/>
      <c r="F401" s="35" t="s">
        <v>45</v>
      </c>
      <c r="G401" s="51">
        <v>97</v>
      </c>
      <c r="H401" s="36"/>
      <c r="I401" s="51">
        <v>97</v>
      </c>
      <c r="J401" s="45"/>
      <c r="K401" s="36"/>
      <c r="L401" s="42">
        <f>L400*I401%</f>
        <v>18754.328763500005</v>
      </c>
      <c r="M401" s="106"/>
      <c r="EX401" s="20"/>
      <c r="EY401" s="29"/>
      <c r="EZ401" s="29"/>
      <c r="FA401" s="29"/>
      <c r="FE401" s="3" t="s">
        <v>73</v>
      </c>
      <c r="FG401" s="29"/>
      <c r="FI401" s="29"/>
      <c r="FJ401" s="29"/>
    </row>
    <row r="402" spans="1:166" customFormat="1" ht="23.25" x14ac:dyDescent="0.25">
      <c r="A402" s="43"/>
      <c r="B402" s="33" t="s">
        <v>74</v>
      </c>
      <c r="C402" s="146" t="s">
        <v>75</v>
      </c>
      <c r="D402" s="146"/>
      <c r="E402" s="146"/>
      <c r="F402" s="35" t="s">
        <v>45</v>
      </c>
      <c r="G402" s="51">
        <v>51</v>
      </c>
      <c r="H402" s="36"/>
      <c r="I402" s="51">
        <v>51</v>
      </c>
      <c r="J402" s="45"/>
      <c r="K402" s="36"/>
      <c r="L402" s="42">
        <f>L400*I402%</f>
        <v>9860.5233705000028</v>
      </c>
      <c r="M402" s="106"/>
      <c r="EX402" s="20"/>
      <c r="EY402" s="29"/>
      <c r="EZ402" s="29"/>
      <c r="FA402" s="29"/>
      <c r="FE402" s="3" t="s">
        <v>75</v>
      </c>
      <c r="FG402" s="29"/>
      <c r="FI402" s="29"/>
      <c r="FJ402" s="29"/>
    </row>
    <row r="403" spans="1:166" customFormat="1" ht="15" x14ac:dyDescent="0.25">
      <c r="A403" s="52"/>
      <c r="B403" s="53"/>
      <c r="C403" s="148" t="s">
        <v>48</v>
      </c>
      <c r="D403" s="148"/>
      <c r="E403" s="148"/>
      <c r="F403" s="23"/>
      <c r="G403" s="24"/>
      <c r="H403" s="24"/>
      <c r="I403" s="24"/>
      <c r="J403" s="27"/>
      <c r="K403" s="24"/>
      <c r="L403" s="99">
        <f>L399+L401+L402</f>
        <v>48156.971684000004</v>
      </c>
      <c r="M403" s="106"/>
      <c r="EX403" s="20"/>
      <c r="EY403" s="29"/>
      <c r="EZ403" s="29"/>
      <c r="FA403" s="29"/>
      <c r="FG403" s="29" t="s">
        <v>48</v>
      </c>
      <c r="FI403" s="29"/>
      <c r="FJ403" s="29"/>
    </row>
    <row r="404" spans="1:166" customFormat="1" ht="34.5" x14ac:dyDescent="0.25">
      <c r="A404" s="21" t="s">
        <v>244</v>
      </c>
      <c r="B404" s="22" t="s">
        <v>245</v>
      </c>
      <c r="C404" s="148" t="s">
        <v>246</v>
      </c>
      <c r="D404" s="148"/>
      <c r="E404" s="148"/>
      <c r="F404" s="23" t="s">
        <v>51</v>
      </c>
      <c r="G404" s="24">
        <v>2</v>
      </c>
      <c r="H404" s="25">
        <v>1</v>
      </c>
      <c r="I404" s="25">
        <v>2</v>
      </c>
      <c r="J404" s="56">
        <f>9728.4/1.2</f>
        <v>8107</v>
      </c>
      <c r="K404" s="26">
        <v>1</v>
      </c>
      <c r="L404" s="55">
        <f>G404*J404*K404</f>
        <v>16214</v>
      </c>
      <c r="M404" s="106"/>
      <c r="EX404" s="20"/>
      <c r="EY404" s="29" t="s">
        <v>246</v>
      </c>
      <c r="EZ404" s="29" t="s">
        <v>0</v>
      </c>
      <c r="FA404" s="29" t="s">
        <v>0</v>
      </c>
      <c r="FG404" s="29"/>
      <c r="FI404" s="29"/>
      <c r="FJ404" s="29"/>
    </row>
    <row r="405" spans="1:166" customFormat="1" ht="15" x14ac:dyDescent="0.25">
      <c r="A405" s="30"/>
      <c r="B405" s="31"/>
      <c r="C405" s="152" t="s">
        <v>311</v>
      </c>
      <c r="D405" s="146"/>
      <c r="E405" s="146"/>
      <c r="F405" s="146"/>
      <c r="G405" s="146"/>
      <c r="H405" s="146"/>
      <c r="I405" s="146"/>
      <c r="J405" s="146"/>
      <c r="K405" s="146"/>
      <c r="L405" s="149"/>
      <c r="M405" s="106"/>
      <c r="EX405" s="20"/>
      <c r="EY405" s="29"/>
      <c r="EZ405" s="29"/>
      <c r="FA405" s="29"/>
      <c r="FG405" s="29"/>
      <c r="FH405" s="3" t="s">
        <v>247</v>
      </c>
      <c r="FI405" s="29"/>
      <c r="FJ405" s="29"/>
    </row>
    <row r="406" spans="1:166" customFormat="1" ht="15" x14ac:dyDescent="0.25">
      <c r="A406" s="32"/>
      <c r="B406" s="33"/>
      <c r="C406" s="141" t="s">
        <v>54</v>
      </c>
      <c r="D406" s="141"/>
      <c r="E406" s="141"/>
      <c r="F406" s="141"/>
      <c r="G406" s="141"/>
      <c r="H406" s="141"/>
      <c r="I406" s="141"/>
      <c r="J406" s="141"/>
      <c r="K406" s="141"/>
      <c r="L406" s="150"/>
      <c r="M406" s="106"/>
      <c r="EX406" s="20"/>
      <c r="EY406" s="29"/>
      <c r="EZ406" s="29"/>
      <c r="FA406" s="29"/>
      <c r="FC406" s="3" t="s">
        <v>54</v>
      </c>
      <c r="FG406" s="29"/>
      <c r="FI406" s="29"/>
      <c r="FJ406" s="29"/>
    </row>
    <row r="407" spans="1:166" customFormat="1" ht="15" x14ac:dyDescent="0.25">
      <c r="A407" s="32"/>
      <c r="B407" s="33"/>
      <c r="C407" s="141" t="s">
        <v>55</v>
      </c>
      <c r="D407" s="141"/>
      <c r="E407" s="141"/>
      <c r="F407" s="141"/>
      <c r="G407" s="141"/>
      <c r="H407" s="141"/>
      <c r="I407" s="141"/>
      <c r="J407" s="141"/>
      <c r="K407" s="141"/>
      <c r="L407" s="150"/>
      <c r="M407" s="106"/>
      <c r="EX407" s="20"/>
      <c r="EY407" s="29"/>
      <c r="EZ407" s="29"/>
      <c r="FA407" s="29"/>
      <c r="FC407" s="3" t="s">
        <v>55</v>
      </c>
      <c r="FG407" s="29"/>
      <c r="FI407" s="29"/>
      <c r="FJ407" s="29"/>
    </row>
    <row r="408" spans="1:166" customFormat="1" ht="15" x14ac:dyDescent="0.25">
      <c r="A408" s="52"/>
      <c r="B408" s="53"/>
      <c r="C408" s="148" t="s">
        <v>48</v>
      </c>
      <c r="D408" s="148"/>
      <c r="E408" s="148"/>
      <c r="F408" s="23"/>
      <c r="G408" s="24"/>
      <c r="H408" s="24"/>
      <c r="I408" s="24"/>
      <c r="J408" s="27"/>
      <c r="K408" s="24"/>
      <c r="L408" s="96">
        <f>L404</f>
        <v>16214</v>
      </c>
      <c r="M408" s="106"/>
      <c r="EX408" s="20"/>
      <c r="EY408" s="29"/>
      <c r="EZ408" s="29"/>
      <c r="FA408" s="29"/>
      <c r="FG408" s="29" t="s">
        <v>48</v>
      </c>
      <c r="FI408" s="29"/>
      <c r="FJ408" s="29"/>
    </row>
    <row r="409" spans="1:166" customFormat="1" ht="34.5" x14ac:dyDescent="0.25">
      <c r="A409" s="21" t="s">
        <v>248</v>
      </c>
      <c r="B409" s="22" t="s">
        <v>249</v>
      </c>
      <c r="C409" s="148" t="s">
        <v>250</v>
      </c>
      <c r="D409" s="148"/>
      <c r="E409" s="148"/>
      <c r="F409" s="23" t="s">
        <v>51</v>
      </c>
      <c r="G409" s="24">
        <v>4</v>
      </c>
      <c r="H409" s="25">
        <v>1</v>
      </c>
      <c r="I409" s="25">
        <v>4</v>
      </c>
      <c r="J409" s="27"/>
      <c r="K409" s="24"/>
      <c r="L409" s="28"/>
      <c r="M409" s="106"/>
      <c r="EX409" s="20"/>
      <c r="EY409" s="29" t="s">
        <v>250</v>
      </c>
      <c r="EZ409" s="29" t="s">
        <v>0</v>
      </c>
      <c r="FA409" s="29" t="s">
        <v>0</v>
      </c>
      <c r="FG409" s="29"/>
      <c r="FI409" s="29"/>
      <c r="FJ409" s="29"/>
    </row>
    <row r="410" spans="1:166" customFormat="1" ht="15" x14ac:dyDescent="0.25">
      <c r="A410" s="30"/>
      <c r="B410" s="31"/>
      <c r="C410" s="146" t="s">
        <v>251</v>
      </c>
      <c r="D410" s="146"/>
      <c r="E410" s="146"/>
      <c r="F410" s="146"/>
      <c r="G410" s="146"/>
      <c r="H410" s="146"/>
      <c r="I410" s="146"/>
      <c r="J410" s="146"/>
      <c r="K410" s="146"/>
      <c r="L410" s="149"/>
      <c r="M410" s="106"/>
      <c r="EX410" s="20"/>
      <c r="EY410" s="29"/>
      <c r="EZ410" s="29"/>
      <c r="FA410" s="29"/>
      <c r="FB410" s="3" t="s">
        <v>251</v>
      </c>
      <c r="FG410" s="29"/>
      <c r="FI410" s="29"/>
      <c r="FJ410" s="29"/>
    </row>
    <row r="411" spans="1:166" customFormat="1" ht="68.25" x14ac:dyDescent="0.25">
      <c r="A411" s="32"/>
      <c r="B411" s="33" t="s">
        <v>27</v>
      </c>
      <c r="C411" s="141" t="s">
        <v>28</v>
      </c>
      <c r="D411" s="141"/>
      <c r="E411" s="141"/>
      <c r="F411" s="141"/>
      <c r="G411" s="141"/>
      <c r="H411" s="141"/>
      <c r="I411" s="141"/>
      <c r="J411" s="141"/>
      <c r="K411" s="141"/>
      <c r="L411" s="150"/>
      <c r="M411" s="106"/>
      <c r="EX411" s="20"/>
      <c r="EY411" s="29"/>
      <c r="EZ411" s="29"/>
      <c r="FA411" s="29"/>
      <c r="FC411" s="3" t="s">
        <v>28</v>
      </c>
      <c r="FG411" s="29"/>
      <c r="FI411" s="29"/>
      <c r="FJ411" s="29"/>
    </row>
    <row r="412" spans="1:166" customFormat="1" ht="23.25" x14ac:dyDescent="0.25">
      <c r="A412" s="32"/>
      <c r="B412" s="33" t="s">
        <v>29</v>
      </c>
      <c r="C412" s="141" t="s">
        <v>30</v>
      </c>
      <c r="D412" s="141"/>
      <c r="E412" s="141"/>
      <c r="F412" s="141"/>
      <c r="G412" s="141"/>
      <c r="H412" s="141"/>
      <c r="I412" s="141"/>
      <c r="J412" s="141"/>
      <c r="K412" s="141"/>
      <c r="L412" s="150"/>
      <c r="M412" s="106"/>
      <c r="N412" s="118" t="s">
        <v>326</v>
      </c>
      <c r="EX412" s="20"/>
      <c r="EY412" s="29"/>
      <c r="EZ412" s="29"/>
      <c r="FA412" s="29"/>
      <c r="FC412" s="3" t="s">
        <v>30</v>
      </c>
      <c r="FG412" s="29"/>
      <c r="FI412" s="29"/>
      <c r="FJ412" s="29"/>
    </row>
    <row r="413" spans="1:166" customFormat="1" ht="15" x14ac:dyDescent="0.25">
      <c r="A413" s="34"/>
      <c r="B413" s="33" t="s">
        <v>22</v>
      </c>
      <c r="C413" s="146" t="s">
        <v>31</v>
      </c>
      <c r="D413" s="146"/>
      <c r="E413" s="146"/>
      <c r="F413" s="35"/>
      <c r="G413" s="36"/>
      <c r="H413" s="36"/>
      <c r="I413" s="36"/>
      <c r="J413" s="117">
        <f>O413</f>
        <v>492.41682499999979</v>
      </c>
      <c r="K413" s="38">
        <v>1</v>
      </c>
      <c r="L413" s="42">
        <f>G409*J413*K413</f>
        <v>1969.6672999999992</v>
      </c>
      <c r="M413" s="106">
        <v>49.45</v>
      </c>
      <c r="N413" s="112">
        <v>233.46952124999999</v>
      </c>
      <c r="O413" s="113">
        <v>492.41682499999979</v>
      </c>
      <c r="P413" s="105">
        <f>G415</f>
        <v>0.38</v>
      </c>
      <c r="Q413" s="105">
        <f>O413/P413*8</f>
        <v>10366.669999999995</v>
      </c>
      <c r="R413" s="105">
        <f>Q413*22</f>
        <v>228066.73999999987</v>
      </c>
      <c r="S413" s="105">
        <f>R413*(1-0.43)</f>
        <v>129998.04179999995</v>
      </c>
      <c r="EX413" s="20"/>
      <c r="EY413" s="29"/>
      <c r="EZ413" s="29"/>
      <c r="FA413" s="29"/>
      <c r="FD413" s="3" t="s">
        <v>31</v>
      </c>
      <c r="FG413" s="29"/>
      <c r="FI413" s="29"/>
      <c r="FJ413" s="29"/>
    </row>
    <row r="414" spans="1:166" customFormat="1" ht="15" x14ac:dyDescent="0.25">
      <c r="A414" s="34"/>
      <c r="B414" s="33" t="s">
        <v>36</v>
      </c>
      <c r="C414" s="146" t="s">
        <v>37</v>
      </c>
      <c r="D414" s="146"/>
      <c r="E414" s="146"/>
      <c r="F414" s="35"/>
      <c r="G414" s="36"/>
      <c r="H414" s="36"/>
      <c r="I414" s="36"/>
      <c r="J414" s="39">
        <v>15.07</v>
      </c>
      <c r="K414" s="36"/>
      <c r="L414" s="42">
        <f>G409*J414</f>
        <v>60.28</v>
      </c>
      <c r="M414" s="106"/>
      <c r="N414" s="112"/>
      <c r="O414" s="113"/>
      <c r="P414" s="105"/>
      <c r="Q414" s="105"/>
      <c r="EX414" s="20"/>
      <c r="EY414" s="29"/>
      <c r="EZ414" s="29"/>
      <c r="FA414" s="29"/>
      <c r="FD414" s="3" t="s">
        <v>37</v>
      </c>
      <c r="FG414" s="29"/>
      <c r="FI414" s="29"/>
      <c r="FJ414" s="29"/>
    </row>
    <row r="415" spans="1:166" customFormat="1" ht="15" x14ac:dyDescent="0.25">
      <c r="A415" s="43"/>
      <c r="B415" s="33"/>
      <c r="C415" s="146" t="s">
        <v>38</v>
      </c>
      <c r="D415" s="146"/>
      <c r="E415" s="146"/>
      <c r="F415" s="35" t="s">
        <v>39</v>
      </c>
      <c r="G415" s="40">
        <v>0.38</v>
      </c>
      <c r="H415" s="38">
        <v>1.3225</v>
      </c>
      <c r="I415" s="38">
        <v>2.0102000000000002</v>
      </c>
      <c r="J415" s="45"/>
      <c r="K415" s="36"/>
      <c r="L415" s="46"/>
      <c r="M415" s="106"/>
      <c r="EX415" s="20"/>
      <c r="EY415" s="29"/>
      <c r="EZ415" s="29"/>
      <c r="FA415" s="29"/>
      <c r="FE415" s="3" t="s">
        <v>38</v>
      </c>
      <c r="FG415" s="29"/>
      <c r="FI415" s="29"/>
      <c r="FJ415" s="29"/>
    </row>
    <row r="416" spans="1:166" customFormat="1" ht="15" x14ac:dyDescent="0.25">
      <c r="A416" s="30"/>
      <c r="B416" s="33"/>
      <c r="C416" s="151" t="s">
        <v>41</v>
      </c>
      <c r="D416" s="151"/>
      <c r="E416" s="151"/>
      <c r="F416" s="47"/>
      <c r="G416" s="48"/>
      <c r="H416" s="48"/>
      <c r="I416" s="48"/>
      <c r="J416" s="62">
        <v>18.64</v>
      </c>
      <c r="K416" s="48"/>
      <c r="L416" s="66">
        <f>L413+L414</f>
        <v>2029.9472999999991</v>
      </c>
      <c r="M416" s="106"/>
      <c r="EX416" s="20"/>
      <c r="EY416" s="29"/>
      <c r="EZ416" s="29"/>
      <c r="FA416" s="29"/>
      <c r="FF416" s="3" t="s">
        <v>41</v>
      </c>
      <c r="FG416" s="29"/>
      <c r="FI416" s="29"/>
      <c r="FJ416" s="29"/>
    </row>
    <row r="417" spans="1:166" customFormat="1" ht="15" x14ac:dyDescent="0.25">
      <c r="A417" s="43"/>
      <c r="B417" s="33"/>
      <c r="C417" s="146" t="s">
        <v>42</v>
      </c>
      <c r="D417" s="146"/>
      <c r="E417" s="146"/>
      <c r="F417" s="35"/>
      <c r="G417" s="36"/>
      <c r="H417" s="36"/>
      <c r="I417" s="36"/>
      <c r="J417" s="45"/>
      <c r="K417" s="36"/>
      <c r="L417" s="42">
        <f>L413</f>
        <v>1969.6672999999992</v>
      </c>
      <c r="M417" s="106"/>
      <c r="EX417" s="20"/>
      <c r="EY417" s="29"/>
      <c r="EZ417" s="29"/>
      <c r="FA417" s="29"/>
      <c r="FE417" s="3" t="s">
        <v>42</v>
      </c>
      <c r="FG417" s="29"/>
      <c r="FI417" s="29"/>
      <c r="FJ417" s="29"/>
    </row>
    <row r="418" spans="1:166" customFormat="1" ht="23.25" x14ac:dyDescent="0.25">
      <c r="A418" s="43"/>
      <c r="B418" s="33" t="s">
        <v>72</v>
      </c>
      <c r="C418" s="146" t="s">
        <v>73</v>
      </c>
      <c r="D418" s="146"/>
      <c r="E418" s="146"/>
      <c r="F418" s="35" t="s">
        <v>45</v>
      </c>
      <c r="G418" s="51">
        <v>97</v>
      </c>
      <c r="H418" s="36"/>
      <c r="I418" s="51">
        <v>97</v>
      </c>
      <c r="J418" s="45"/>
      <c r="K418" s="36"/>
      <c r="L418" s="42">
        <f>L417*I418%</f>
        <v>1910.5772809999992</v>
      </c>
      <c r="M418" s="106"/>
      <c r="EX418" s="20"/>
      <c r="EY418" s="29"/>
      <c r="EZ418" s="29"/>
      <c r="FA418" s="29"/>
      <c r="FE418" s="3" t="s">
        <v>73</v>
      </c>
      <c r="FG418" s="29"/>
      <c r="FI418" s="29"/>
      <c r="FJ418" s="29"/>
    </row>
    <row r="419" spans="1:166" customFormat="1" ht="23.25" x14ac:dyDescent="0.25">
      <c r="A419" s="43"/>
      <c r="B419" s="33" t="s">
        <v>74</v>
      </c>
      <c r="C419" s="146" t="s">
        <v>75</v>
      </c>
      <c r="D419" s="146"/>
      <c r="E419" s="146"/>
      <c r="F419" s="35" t="s">
        <v>45</v>
      </c>
      <c r="G419" s="51">
        <v>51</v>
      </c>
      <c r="H419" s="36"/>
      <c r="I419" s="51">
        <v>51</v>
      </c>
      <c r="J419" s="45"/>
      <c r="K419" s="36"/>
      <c r="L419" s="42">
        <f>L417*I419%</f>
        <v>1004.5303229999996</v>
      </c>
      <c r="M419" s="106"/>
      <c r="EX419" s="20"/>
      <c r="EY419" s="29"/>
      <c r="EZ419" s="29"/>
      <c r="FA419" s="29"/>
      <c r="FE419" s="3" t="s">
        <v>75</v>
      </c>
      <c r="FG419" s="29"/>
      <c r="FI419" s="29"/>
      <c r="FJ419" s="29"/>
    </row>
    <row r="420" spans="1:166" customFormat="1" ht="15" x14ac:dyDescent="0.25">
      <c r="A420" s="52"/>
      <c r="B420" s="53"/>
      <c r="C420" s="148" t="s">
        <v>48</v>
      </c>
      <c r="D420" s="148"/>
      <c r="E420" s="148"/>
      <c r="F420" s="23"/>
      <c r="G420" s="24"/>
      <c r="H420" s="24"/>
      <c r="I420" s="24"/>
      <c r="J420" s="27"/>
      <c r="K420" s="24"/>
      <c r="L420" s="99">
        <f>L416+L418+L419</f>
        <v>4945.0549039999978</v>
      </c>
      <c r="M420" s="106"/>
      <c r="EX420" s="20"/>
      <c r="EY420" s="29"/>
      <c r="EZ420" s="29"/>
      <c r="FA420" s="29"/>
      <c r="FG420" s="29" t="s">
        <v>48</v>
      </c>
      <c r="FI420" s="29"/>
      <c r="FJ420" s="29"/>
    </row>
    <row r="421" spans="1:166" customFormat="1" ht="33.75" x14ac:dyDescent="0.25">
      <c r="A421" s="21" t="s">
        <v>252</v>
      </c>
      <c r="B421" s="22" t="s">
        <v>253</v>
      </c>
      <c r="C421" s="148" t="s">
        <v>254</v>
      </c>
      <c r="D421" s="148"/>
      <c r="E421" s="148"/>
      <c r="F421" s="23" t="s">
        <v>51</v>
      </c>
      <c r="G421" s="24">
        <v>4</v>
      </c>
      <c r="H421" s="25">
        <v>1</v>
      </c>
      <c r="I421" s="25">
        <v>4</v>
      </c>
      <c r="J421" s="56">
        <f>6900/1.2</f>
        <v>5750</v>
      </c>
      <c r="K421" s="26">
        <v>1</v>
      </c>
      <c r="L421" s="55">
        <f>G421*J421*K421</f>
        <v>23000</v>
      </c>
      <c r="M421" s="106"/>
      <c r="EX421" s="20"/>
      <c r="EY421" s="29" t="s">
        <v>254</v>
      </c>
      <c r="EZ421" s="29" t="s">
        <v>0</v>
      </c>
      <c r="FA421" s="29" t="s">
        <v>0</v>
      </c>
      <c r="FG421" s="29"/>
      <c r="FI421" s="29"/>
      <c r="FJ421" s="29"/>
    </row>
    <row r="422" spans="1:166" customFormat="1" ht="15" x14ac:dyDescent="0.25">
      <c r="A422" s="30"/>
      <c r="B422" s="31"/>
      <c r="C422" s="146" t="s">
        <v>251</v>
      </c>
      <c r="D422" s="146"/>
      <c r="E422" s="146"/>
      <c r="F422" s="146"/>
      <c r="G422" s="146"/>
      <c r="H422" s="146"/>
      <c r="I422" s="146"/>
      <c r="J422" s="146"/>
      <c r="K422" s="146"/>
      <c r="L422" s="149"/>
      <c r="M422" s="106"/>
      <c r="EX422" s="20"/>
      <c r="EY422" s="29"/>
      <c r="EZ422" s="29"/>
      <c r="FA422" s="29"/>
      <c r="FB422" s="3" t="s">
        <v>251</v>
      </c>
      <c r="FG422" s="29"/>
      <c r="FI422" s="29"/>
      <c r="FJ422" s="29"/>
    </row>
    <row r="423" spans="1:166" customFormat="1" ht="15" x14ac:dyDescent="0.25">
      <c r="A423" s="30"/>
      <c r="B423" s="31"/>
      <c r="C423" s="152" t="s">
        <v>312</v>
      </c>
      <c r="D423" s="146"/>
      <c r="E423" s="146"/>
      <c r="F423" s="146"/>
      <c r="G423" s="146"/>
      <c r="H423" s="146"/>
      <c r="I423" s="146"/>
      <c r="J423" s="146"/>
      <c r="K423" s="146"/>
      <c r="L423" s="149"/>
      <c r="M423" s="106"/>
      <c r="EX423" s="20"/>
      <c r="EY423" s="29"/>
      <c r="EZ423" s="29"/>
      <c r="FA423" s="29"/>
      <c r="FG423" s="29"/>
      <c r="FH423" s="3" t="s">
        <v>255</v>
      </c>
      <c r="FI423" s="29"/>
      <c r="FJ423" s="29"/>
    </row>
    <row r="424" spans="1:166" customFormat="1" ht="15" x14ac:dyDescent="0.25">
      <c r="A424" s="32"/>
      <c r="B424" s="33"/>
      <c r="C424" s="141" t="s">
        <v>54</v>
      </c>
      <c r="D424" s="141"/>
      <c r="E424" s="141"/>
      <c r="F424" s="141"/>
      <c r="G424" s="141"/>
      <c r="H424" s="141"/>
      <c r="I424" s="141"/>
      <c r="J424" s="141"/>
      <c r="K424" s="141"/>
      <c r="L424" s="150"/>
      <c r="M424" s="106"/>
      <c r="EX424" s="20"/>
      <c r="EY424" s="29"/>
      <c r="EZ424" s="29"/>
      <c r="FA424" s="29"/>
      <c r="FC424" s="3" t="s">
        <v>54</v>
      </c>
      <c r="FG424" s="29"/>
      <c r="FI424" s="29"/>
      <c r="FJ424" s="29"/>
    </row>
    <row r="425" spans="1:166" customFormat="1" ht="15" x14ac:dyDescent="0.25">
      <c r="A425" s="32"/>
      <c r="B425" s="33"/>
      <c r="C425" s="141" t="s">
        <v>55</v>
      </c>
      <c r="D425" s="141"/>
      <c r="E425" s="141"/>
      <c r="F425" s="141"/>
      <c r="G425" s="141"/>
      <c r="H425" s="141"/>
      <c r="I425" s="141"/>
      <c r="J425" s="141"/>
      <c r="K425" s="141"/>
      <c r="L425" s="150"/>
      <c r="M425" s="106"/>
      <c r="EX425" s="20"/>
      <c r="EY425" s="29"/>
      <c r="EZ425" s="29"/>
      <c r="FA425" s="29"/>
      <c r="FC425" s="3" t="s">
        <v>55</v>
      </c>
      <c r="FG425" s="29"/>
      <c r="FI425" s="29"/>
      <c r="FJ425" s="29"/>
    </row>
    <row r="426" spans="1:166" customFormat="1" ht="15" x14ac:dyDescent="0.25">
      <c r="A426" s="52"/>
      <c r="B426" s="53"/>
      <c r="C426" s="148" t="s">
        <v>48</v>
      </c>
      <c r="D426" s="148"/>
      <c r="E426" s="148"/>
      <c r="F426" s="23"/>
      <c r="G426" s="24"/>
      <c r="H426" s="24"/>
      <c r="I426" s="24"/>
      <c r="J426" s="27"/>
      <c r="K426" s="24"/>
      <c r="L426" s="96">
        <f>L421</f>
        <v>23000</v>
      </c>
      <c r="M426" s="106"/>
      <c r="EX426" s="20"/>
      <c r="EY426" s="29"/>
      <c r="EZ426" s="29"/>
      <c r="FA426" s="29"/>
      <c r="FG426" s="29" t="s">
        <v>48</v>
      </c>
      <c r="FI426" s="29"/>
      <c r="FJ426" s="29"/>
    </row>
    <row r="427" spans="1:166" customFormat="1" ht="15" x14ac:dyDescent="0.25">
      <c r="A427" s="52"/>
      <c r="B427" s="68"/>
      <c r="C427" s="68"/>
      <c r="D427" s="68"/>
      <c r="E427" s="68"/>
      <c r="F427" s="69"/>
      <c r="G427" s="69"/>
      <c r="H427" s="69"/>
      <c r="I427" s="69"/>
      <c r="J427" s="70"/>
      <c r="K427" s="69"/>
      <c r="L427" s="101"/>
      <c r="M427" s="106"/>
      <c r="EX427" s="20"/>
      <c r="EY427" s="29"/>
      <c r="EZ427" s="29"/>
      <c r="FA427" s="29"/>
      <c r="FG427" s="29"/>
      <c r="FI427" s="29"/>
      <c r="FJ427" s="29"/>
    </row>
    <row r="428" spans="1:166" customFormat="1" ht="15" x14ac:dyDescent="0.25">
      <c r="A428" s="71"/>
      <c r="B428" s="72"/>
      <c r="C428" s="148" t="s">
        <v>256</v>
      </c>
      <c r="D428" s="148"/>
      <c r="E428" s="148"/>
      <c r="F428" s="148"/>
      <c r="G428" s="148"/>
      <c r="H428" s="148"/>
      <c r="I428" s="148"/>
      <c r="J428" s="148"/>
      <c r="K428" s="148"/>
      <c r="L428" s="100">
        <f>L322+L328+L344+L350+L365+L371+L383+L389+L403+L408+L420+L426</f>
        <v>9435406.8874889258</v>
      </c>
      <c r="M428" s="106"/>
      <c r="EX428" s="20"/>
      <c r="EY428" s="29"/>
      <c r="EZ428" s="29"/>
      <c r="FA428" s="29"/>
      <c r="FG428" s="29"/>
      <c r="FI428" s="29"/>
      <c r="FJ428" s="29" t="s">
        <v>256</v>
      </c>
    </row>
    <row r="429" spans="1:166" customFormat="1" ht="15" customHeight="1" x14ac:dyDescent="0.25">
      <c r="A429" s="90" t="s">
        <v>257</v>
      </c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2"/>
      <c r="M429" s="106"/>
      <c r="EX429" s="20" t="s">
        <v>257</v>
      </c>
      <c r="EY429" s="29"/>
      <c r="EZ429" s="29"/>
      <c r="FA429" s="29"/>
      <c r="FG429" s="29"/>
      <c r="FI429" s="29"/>
      <c r="FJ429" s="29"/>
    </row>
    <row r="430" spans="1:166" customFormat="1" ht="23.25" x14ac:dyDescent="0.25">
      <c r="A430" s="21" t="s">
        <v>258</v>
      </c>
      <c r="B430" s="22" t="s">
        <v>259</v>
      </c>
      <c r="C430" s="148" t="s">
        <v>260</v>
      </c>
      <c r="D430" s="148"/>
      <c r="E430" s="148"/>
      <c r="F430" s="23" t="s">
        <v>261</v>
      </c>
      <c r="G430" s="24">
        <v>16</v>
      </c>
      <c r="H430" s="25">
        <v>1</v>
      </c>
      <c r="I430" s="25">
        <v>16</v>
      </c>
      <c r="J430" s="27"/>
      <c r="K430" s="24"/>
      <c r="L430" s="28"/>
      <c r="M430" s="106"/>
      <c r="EX430" s="20"/>
      <c r="EY430" s="29" t="s">
        <v>260</v>
      </c>
      <c r="EZ430" s="29" t="s">
        <v>0</v>
      </c>
      <c r="FA430" s="29" t="s">
        <v>0</v>
      </c>
      <c r="FG430" s="29"/>
      <c r="FI430" s="29"/>
      <c r="FJ430" s="29"/>
    </row>
    <row r="431" spans="1:166" customFormat="1" ht="15" x14ac:dyDescent="0.25">
      <c r="A431" s="30"/>
      <c r="B431" s="31"/>
      <c r="C431" s="146" t="s">
        <v>262</v>
      </c>
      <c r="D431" s="146"/>
      <c r="E431" s="146"/>
      <c r="F431" s="146"/>
      <c r="G431" s="146"/>
      <c r="H431" s="146"/>
      <c r="I431" s="146"/>
      <c r="J431" s="146"/>
      <c r="K431" s="146"/>
      <c r="L431" s="149"/>
      <c r="M431" s="106"/>
      <c r="EX431" s="20"/>
      <c r="EY431" s="29"/>
      <c r="EZ431" s="29"/>
      <c r="FA431" s="29"/>
      <c r="FB431" s="3" t="s">
        <v>262</v>
      </c>
      <c r="FG431" s="29"/>
      <c r="FI431" s="29"/>
      <c r="FJ431" s="29"/>
    </row>
    <row r="432" spans="1:166" customFormat="1" ht="68.25" x14ac:dyDescent="0.25">
      <c r="A432" s="32"/>
      <c r="B432" s="33" t="s">
        <v>27</v>
      </c>
      <c r="C432" s="141" t="s">
        <v>28</v>
      </c>
      <c r="D432" s="141"/>
      <c r="E432" s="141"/>
      <c r="F432" s="141"/>
      <c r="G432" s="141"/>
      <c r="H432" s="141"/>
      <c r="I432" s="141"/>
      <c r="J432" s="141"/>
      <c r="K432" s="141"/>
      <c r="L432" s="150"/>
      <c r="M432" s="106"/>
      <c r="EX432" s="20"/>
      <c r="EY432" s="29"/>
      <c r="EZ432" s="29"/>
      <c r="FA432" s="29"/>
      <c r="FC432" s="3" t="s">
        <v>28</v>
      </c>
      <c r="FG432" s="29"/>
      <c r="FI432" s="29"/>
      <c r="FJ432" s="29"/>
    </row>
    <row r="433" spans="1:166" customFormat="1" ht="23.25" x14ac:dyDescent="0.25">
      <c r="A433" s="32"/>
      <c r="B433" s="33" t="s">
        <v>29</v>
      </c>
      <c r="C433" s="141" t="s">
        <v>30</v>
      </c>
      <c r="D433" s="141"/>
      <c r="E433" s="141"/>
      <c r="F433" s="141"/>
      <c r="G433" s="141"/>
      <c r="H433" s="141"/>
      <c r="I433" s="141"/>
      <c r="J433" s="141"/>
      <c r="K433" s="141"/>
      <c r="L433" s="150"/>
      <c r="M433" s="106"/>
      <c r="N433" s="118" t="s">
        <v>327</v>
      </c>
      <c r="EX433" s="20"/>
      <c r="EY433" s="29"/>
      <c r="EZ433" s="29"/>
      <c r="FA433" s="29"/>
      <c r="FC433" s="3" t="s">
        <v>30</v>
      </c>
      <c r="FG433" s="29"/>
      <c r="FI433" s="29"/>
      <c r="FJ433" s="29"/>
    </row>
    <row r="434" spans="1:166" customFormat="1" ht="15" x14ac:dyDescent="0.25">
      <c r="A434" s="34"/>
      <c r="B434" s="33" t="s">
        <v>22</v>
      </c>
      <c r="C434" s="146" t="s">
        <v>31</v>
      </c>
      <c r="D434" s="146"/>
      <c r="E434" s="146"/>
      <c r="F434" s="35"/>
      <c r="G434" s="36"/>
      <c r="H434" s="36"/>
      <c r="I434" s="36"/>
      <c r="J434" s="117">
        <f>O434</f>
        <v>6297.7520250000007</v>
      </c>
      <c r="K434" s="38">
        <v>1</v>
      </c>
      <c r="L434" s="41">
        <f>G430*J434*K434</f>
        <v>100764.03240000001</v>
      </c>
      <c r="M434" s="106">
        <v>49.45</v>
      </c>
      <c r="N434" s="112">
        <f>J434*M434*K434</f>
        <v>311423.83763625007</v>
      </c>
      <c r="O434" s="113">
        <v>6297.7520250000007</v>
      </c>
      <c r="P434" s="105">
        <f>G435</f>
        <v>4.8600000000000003</v>
      </c>
      <c r="Q434" s="105">
        <f>O434/P434*8</f>
        <v>10366.67</v>
      </c>
      <c r="R434" s="105">
        <f>Q434*22</f>
        <v>228066.74</v>
      </c>
      <c r="S434" s="105">
        <f>R434*(1-0.43)</f>
        <v>129998.04180000001</v>
      </c>
      <c r="EX434" s="20"/>
      <c r="EY434" s="29"/>
      <c r="EZ434" s="29"/>
      <c r="FA434" s="29"/>
      <c r="FD434" s="3" t="s">
        <v>31</v>
      </c>
      <c r="FG434" s="29"/>
      <c r="FI434" s="29"/>
      <c r="FJ434" s="29"/>
    </row>
    <row r="435" spans="1:166" customFormat="1" ht="15" x14ac:dyDescent="0.25">
      <c r="A435" s="43"/>
      <c r="B435" s="33"/>
      <c r="C435" s="146" t="s">
        <v>38</v>
      </c>
      <c r="D435" s="146"/>
      <c r="E435" s="146"/>
      <c r="F435" s="35" t="s">
        <v>39</v>
      </c>
      <c r="G435" s="40">
        <v>4.8600000000000003</v>
      </c>
      <c r="H435" s="38">
        <v>1.3225</v>
      </c>
      <c r="I435" s="38">
        <v>102.83759999999999</v>
      </c>
      <c r="J435" s="45"/>
      <c r="K435" s="36"/>
      <c r="L435" s="46"/>
      <c r="M435" s="106"/>
      <c r="EX435" s="20"/>
      <c r="EY435" s="29"/>
      <c r="EZ435" s="29"/>
      <c r="FA435" s="29"/>
      <c r="FE435" s="3" t="s">
        <v>38</v>
      </c>
      <c r="FG435" s="29"/>
      <c r="FI435" s="29"/>
      <c r="FJ435" s="29"/>
    </row>
    <row r="436" spans="1:166" customFormat="1" ht="15" x14ac:dyDescent="0.25">
      <c r="A436" s="30"/>
      <c r="B436" s="33"/>
      <c r="C436" s="151" t="s">
        <v>41</v>
      </c>
      <c r="D436" s="151"/>
      <c r="E436" s="151"/>
      <c r="F436" s="47"/>
      <c r="G436" s="48"/>
      <c r="H436" s="48"/>
      <c r="I436" s="48"/>
      <c r="J436" s="62">
        <v>55.71</v>
      </c>
      <c r="K436" s="48"/>
      <c r="L436" s="50">
        <f>L434</f>
        <v>100764.03240000001</v>
      </c>
      <c r="M436" s="106"/>
      <c r="EX436" s="20"/>
      <c r="EY436" s="29"/>
      <c r="EZ436" s="29"/>
      <c r="FA436" s="29"/>
      <c r="FF436" s="3" t="s">
        <v>41</v>
      </c>
      <c r="FG436" s="29"/>
      <c r="FI436" s="29"/>
      <c r="FJ436" s="29"/>
    </row>
    <row r="437" spans="1:166" customFormat="1" ht="15" x14ac:dyDescent="0.25">
      <c r="A437" s="43"/>
      <c r="B437" s="33"/>
      <c r="C437" s="146" t="s">
        <v>42</v>
      </c>
      <c r="D437" s="146"/>
      <c r="E437" s="146"/>
      <c r="F437" s="35"/>
      <c r="G437" s="36"/>
      <c r="H437" s="36"/>
      <c r="I437" s="36"/>
      <c r="J437" s="45"/>
      <c r="K437" s="36"/>
      <c r="L437" s="41">
        <f>L434</f>
        <v>100764.03240000001</v>
      </c>
      <c r="M437" s="106"/>
      <c r="EX437" s="20"/>
      <c r="EY437" s="29"/>
      <c r="EZ437" s="29"/>
      <c r="FA437" s="29"/>
      <c r="FE437" s="3" t="s">
        <v>42</v>
      </c>
      <c r="FG437" s="29"/>
      <c r="FI437" s="29"/>
      <c r="FJ437" s="29"/>
    </row>
    <row r="438" spans="1:166" customFormat="1" ht="23.25" x14ac:dyDescent="0.25">
      <c r="A438" s="43"/>
      <c r="B438" s="33" t="s">
        <v>263</v>
      </c>
      <c r="C438" s="146" t="s">
        <v>264</v>
      </c>
      <c r="D438" s="146"/>
      <c r="E438" s="146"/>
      <c r="F438" s="35" t="s">
        <v>45</v>
      </c>
      <c r="G438" s="51">
        <v>74</v>
      </c>
      <c r="H438" s="36"/>
      <c r="I438" s="51">
        <v>74</v>
      </c>
      <c r="J438" s="45"/>
      <c r="K438" s="36"/>
      <c r="L438" s="42">
        <f>L437*I438%</f>
        <v>74565.383976000012</v>
      </c>
      <c r="M438" s="106"/>
      <c r="EX438" s="20"/>
      <c r="EY438" s="29"/>
      <c r="EZ438" s="29"/>
      <c r="FA438" s="29"/>
      <c r="FE438" s="3" t="s">
        <v>264</v>
      </c>
      <c r="FG438" s="29"/>
      <c r="FI438" s="29"/>
      <c r="FJ438" s="29"/>
    </row>
    <row r="439" spans="1:166" customFormat="1" ht="23.25" x14ac:dyDescent="0.25">
      <c r="A439" s="43"/>
      <c r="B439" s="33" t="s">
        <v>265</v>
      </c>
      <c r="C439" s="146" t="s">
        <v>266</v>
      </c>
      <c r="D439" s="146"/>
      <c r="E439" s="146"/>
      <c r="F439" s="35" t="s">
        <v>45</v>
      </c>
      <c r="G439" s="51">
        <v>36</v>
      </c>
      <c r="H439" s="36"/>
      <c r="I439" s="51">
        <v>36</v>
      </c>
      <c r="J439" s="45"/>
      <c r="K439" s="36"/>
      <c r="L439" s="42">
        <f>L437*I439%</f>
        <v>36275.051664000006</v>
      </c>
      <c r="M439" s="106"/>
      <c r="EX439" s="20"/>
      <c r="EY439" s="29"/>
      <c r="EZ439" s="29"/>
      <c r="FA439" s="29"/>
      <c r="FE439" s="3" t="s">
        <v>266</v>
      </c>
      <c r="FG439" s="29"/>
      <c r="FI439" s="29"/>
      <c r="FJ439" s="29"/>
    </row>
    <row r="440" spans="1:166" customFormat="1" ht="15" x14ac:dyDescent="0.25">
      <c r="A440" s="52"/>
      <c r="B440" s="53"/>
      <c r="C440" s="148" t="s">
        <v>48</v>
      </c>
      <c r="D440" s="148"/>
      <c r="E440" s="148"/>
      <c r="F440" s="23"/>
      <c r="G440" s="24"/>
      <c r="H440" s="24"/>
      <c r="I440" s="24"/>
      <c r="J440" s="27"/>
      <c r="K440" s="24"/>
      <c r="L440" s="96">
        <f>L436+L438+L439</f>
        <v>211604.46804000004</v>
      </c>
      <c r="M440" s="106"/>
      <c r="EX440" s="20"/>
      <c r="EY440" s="29"/>
      <c r="EZ440" s="29"/>
      <c r="FA440" s="29"/>
      <c r="FG440" s="29" t="s">
        <v>48</v>
      </c>
      <c r="FI440" s="29"/>
      <c r="FJ440" s="29"/>
    </row>
    <row r="441" spans="1:166" customFormat="1" ht="34.5" x14ac:dyDescent="0.25">
      <c r="A441" s="21" t="s">
        <v>267</v>
      </c>
      <c r="B441" s="22" t="s">
        <v>268</v>
      </c>
      <c r="C441" s="148" t="s">
        <v>269</v>
      </c>
      <c r="D441" s="148"/>
      <c r="E441" s="148"/>
      <c r="F441" s="23" t="s">
        <v>51</v>
      </c>
      <c r="G441" s="24">
        <v>8</v>
      </c>
      <c r="H441" s="25">
        <v>1</v>
      </c>
      <c r="I441" s="25">
        <v>8</v>
      </c>
      <c r="J441" s="27"/>
      <c r="K441" s="24"/>
      <c r="L441" s="28"/>
      <c r="M441" s="106"/>
      <c r="EX441" s="20"/>
      <c r="EY441" s="29" t="s">
        <v>269</v>
      </c>
      <c r="EZ441" s="29" t="s">
        <v>0</v>
      </c>
      <c r="FA441" s="29" t="s">
        <v>0</v>
      </c>
      <c r="FG441" s="29"/>
      <c r="FI441" s="29"/>
      <c r="FJ441" s="29"/>
    </row>
    <row r="442" spans="1:166" customFormat="1" ht="15" x14ac:dyDescent="0.25">
      <c r="A442" s="30"/>
      <c r="B442" s="31"/>
      <c r="C442" s="146" t="s">
        <v>270</v>
      </c>
      <c r="D442" s="146"/>
      <c r="E442" s="146"/>
      <c r="F442" s="146"/>
      <c r="G442" s="146"/>
      <c r="H442" s="146"/>
      <c r="I442" s="146"/>
      <c r="J442" s="146"/>
      <c r="K442" s="146"/>
      <c r="L442" s="149"/>
      <c r="M442" s="106"/>
      <c r="EX442" s="20"/>
      <c r="EY442" s="29"/>
      <c r="EZ442" s="29"/>
      <c r="FA442" s="29"/>
      <c r="FB442" s="3" t="s">
        <v>270</v>
      </c>
      <c r="FG442" s="29"/>
      <c r="FI442" s="29"/>
      <c r="FJ442" s="29"/>
    </row>
    <row r="443" spans="1:166" customFormat="1" ht="68.25" x14ac:dyDescent="0.25">
      <c r="A443" s="32"/>
      <c r="B443" s="33" t="s">
        <v>27</v>
      </c>
      <c r="C443" s="141" t="s">
        <v>28</v>
      </c>
      <c r="D443" s="141"/>
      <c r="E443" s="141"/>
      <c r="F443" s="141"/>
      <c r="G443" s="141"/>
      <c r="H443" s="141"/>
      <c r="I443" s="141"/>
      <c r="J443" s="141"/>
      <c r="K443" s="141"/>
      <c r="L443" s="150"/>
      <c r="M443" s="106"/>
      <c r="EX443" s="20"/>
      <c r="EY443" s="29"/>
      <c r="EZ443" s="29"/>
      <c r="FA443" s="29"/>
      <c r="FC443" s="3" t="s">
        <v>28</v>
      </c>
      <c r="FG443" s="29"/>
      <c r="FI443" s="29"/>
      <c r="FJ443" s="29"/>
    </row>
    <row r="444" spans="1:166" customFormat="1" ht="23.25" x14ac:dyDescent="0.25">
      <c r="A444" s="32"/>
      <c r="B444" s="33" t="s">
        <v>29</v>
      </c>
      <c r="C444" s="141" t="s">
        <v>30</v>
      </c>
      <c r="D444" s="141"/>
      <c r="E444" s="141"/>
      <c r="F444" s="141"/>
      <c r="G444" s="141"/>
      <c r="H444" s="141"/>
      <c r="I444" s="141"/>
      <c r="J444" s="141"/>
      <c r="K444" s="141"/>
      <c r="L444" s="150"/>
      <c r="M444" s="106"/>
      <c r="N444" s="118" t="s">
        <v>325</v>
      </c>
      <c r="EX444" s="20"/>
      <c r="EY444" s="29"/>
      <c r="EZ444" s="29"/>
      <c r="FA444" s="29"/>
      <c r="FC444" s="3" t="s">
        <v>30</v>
      </c>
      <c r="FG444" s="29"/>
      <c r="FI444" s="29"/>
      <c r="FJ444" s="29"/>
    </row>
    <row r="445" spans="1:166" customFormat="1" ht="15" x14ac:dyDescent="0.25">
      <c r="A445" s="34"/>
      <c r="B445" s="33" t="s">
        <v>22</v>
      </c>
      <c r="C445" s="146" t="s">
        <v>31</v>
      </c>
      <c r="D445" s="146"/>
      <c r="E445" s="146"/>
      <c r="F445" s="35"/>
      <c r="G445" s="36"/>
      <c r="H445" s="36"/>
      <c r="I445" s="36"/>
      <c r="J445" s="117">
        <f>O445</f>
        <v>1062.5836750000001</v>
      </c>
      <c r="K445" s="38">
        <v>1</v>
      </c>
      <c r="L445" s="42">
        <f>G441*J445*K445</f>
        <v>8500.6694000000007</v>
      </c>
      <c r="M445" s="106">
        <v>49.45</v>
      </c>
      <c r="N445" s="112">
        <f>J445*M445*K445</f>
        <v>52544.762728750007</v>
      </c>
      <c r="O445" s="113">
        <v>1062.5836750000001</v>
      </c>
      <c r="P445" s="105">
        <f>G446</f>
        <v>0.82</v>
      </c>
      <c r="Q445" s="105">
        <f>O445/P445*8</f>
        <v>10366.670000000002</v>
      </c>
      <c r="R445" s="105">
        <f>Q445*22</f>
        <v>228066.74000000005</v>
      </c>
      <c r="S445" s="105">
        <f>R445*(1-0.43)</f>
        <v>129998.04180000004</v>
      </c>
      <c r="EX445" s="20"/>
      <c r="EY445" s="29"/>
      <c r="EZ445" s="29"/>
      <c r="FA445" s="29"/>
      <c r="FD445" s="3" t="s">
        <v>31</v>
      </c>
      <c r="FG445" s="29"/>
      <c r="FI445" s="29"/>
      <c r="FJ445" s="29"/>
    </row>
    <row r="446" spans="1:166" customFormat="1" ht="15" x14ac:dyDescent="0.25">
      <c r="A446" s="43"/>
      <c r="B446" s="33"/>
      <c r="C446" s="146" t="s">
        <v>38</v>
      </c>
      <c r="D446" s="146"/>
      <c r="E446" s="146"/>
      <c r="F446" s="35" t="s">
        <v>39</v>
      </c>
      <c r="G446" s="40">
        <v>0.82</v>
      </c>
      <c r="H446" s="38">
        <v>1.3225</v>
      </c>
      <c r="I446" s="38">
        <v>8.6755999999999993</v>
      </c>
      <c r="J446" s="45"/>
      <c r="K446" s="36"/>
      <c r="L446" s="46"/>
      <c r="M446" s="106"/>
      <c r="EX446" s="20"/>
      <c r="EY446" s="29"/>
      <c r="EZ446" s="29"/>
      <c r="FA446" s="29"/>
      <c r="FE446" s="3" t="s">
        <v>38</v>
      </c>
      <c r="FG446" s="29"/>
      <c r="FI446" s="29"/>
      <c r="FJ446" s="29"/>
    </row>
    <row r="447" spans="1:166" customFormat="1" ht="15" x14ac:dyDescent="0.25">
      <c r="A447" s="30"/>
      <c r="B447" s="33"/>
      <c r="C447" s="151" t="s">
        <v>41</v>
      </c>
      <c r="D447" s="151"/>
      <c r="E447" s="151"/>
      <c r="F447" s="47"/>
      <c r="G447" s="48"/>
      <c r="H447" s="48"/>
      <c r="I447" s="48"/>
      <c r="J447" s="62">
        <v>10.5</v>
      </c>
      <c r="K447" s="48"/>
      <c r="L447" s="66">
        <f>L445</f>
        <v>8500.6694000000007</v>
      </c>
      <c r="M447" s="106"/>
      <c r="EX447" s="20"/>
      <c r="EY447" s="29"/>
      <c r="EZ447" s="29"/>
      <c r="FA447" s="29"/>
      <c r="FF447" s="3" t="s">
        <v>41</v>
      </c>
      <c r="FG447" s="29"/>
      <c r="FI447" s="29"/>
      <c r="FJ447" s="29"/>
    </row>
    <row r="448" spans="1:166" customFormat="1" ht="15" x14ac:dyDescent="0.25">
      <c r="A448" s="43"/>
      <c r="B448" s="33"/>
      <c r="C448" s="146" t="s">
        <v>42</v>
      </c>
      <c r="D448" s="146"/>
      <c r="E448" s="146"/>
      <c r="F448" s="35"/>
      <c r="G448" s="36"/>
      <c r="H448" s="36"/>
      <c r="I448" s="36"/>
      <c r="J448" s="45"/>
      <c r="K448" s="36"/>
      <c r="L448" s="42">
        <f>L445</f>
        <v>8500.6694000000007</v>
      </c>
      <c r="M448" s="106"/>
      <c r="EX448" s="20"/>
      <c r="EY448" s="29"/>
      <c r="EZ448" s="29"/>
      <c r="FA448" s="29"/>
      <c r="FE448" s="3" t="s">
        <v>42</v>
      </c>
      <c r="FG448" s="29"/>
      <c r="FI448" s="29"/>
      <c r="FJ448" s="29"/>
    </row>
    <row r="449" spans="1:169" customFormat="1" ht="23.25" x14ac:dyDescent="0.25">
      <c r="A449" s="43"/>
      <c r="B449" s="33" t="s">
        <v>263</v>
      </c>
      <c r="C449" s="146" t="s">
        <v>264</v>
      </c>
      <c r="D449" s="146"/>
      <c r="E449" s="146"/>
      <c r="F449" s="35" t="s">
        <v>45</v>
      </c>
      <c r="G449" s="51">
        <v>74</v>
      </c>
      <c r="H449" s="36"/>
      <c r="I449" s="51">
        <v>74</v>
      </c>
      <c r="J449" s="45"/>
      <c r="K449" s="36"/>
      <c r="L449" s="42">
        <f>L448*I449%</f>
        <v>6290.4953560000004</v>
      </c>
      <c r="M449" s="106"/>
      <c r="EX449" s="20"/>
      <c r="EY449" s="29"/>
      <c r="EZ449" s="29"/>
      <c r="FA449" s="29"/>
      <c r="FE449" s="3" t="s">
        <v>264</v>
      </c>
      <c r="FG449" s="29"/>
      <c r="FI449" s="29"/>
      <c r="FJ449" s="29"/>
    </row>
    <row r="450" spans="1:169" customFormat="1" ht="23.25" x14ac:dyDescent="0.25">
      <c r="A450" s="43"/>
      <c r="B450" s="33" t="s">
        <v>265</v>
      </c>
      <c r="C450" s="146" t="s">
        <v>266</v>
      </c>
      <c r="D450" s="146"/>
      <c r="E450" s="146"/>
      <c r="F450" s="35" t="s">
        <v>45</v>
      </c>
      <c r="G450" s="51">
        <v>36</v>
      </c>
      <c r="H450" s="36"/>
      <c r="I450" s="51">
        <v>36</v>
      </c>
      <c r="J450" s="45"/>
      <c r="K450" s="36"/>
      <c r="L450" s="42">
        <f>L448*I450%</f>
        <v>3060.240984</v>
      </c>
      <c r="M450" s="106"/>
      <c r="EX450" s="20"/>
      <c r="EY450" s="29"/>
      <c r="EZ450" s="29"/>
      <c r="FA450" s="29"/>
      <c r="FE450" s="3" t="s">
        <v>266</v>
      </c>
      <c r="FG450" s="29"/>
      <c r="FI450" s="29"/>
      <c r="FJ450" s="29"/>
    </row>
    <row r="451" spans="1:169" customFormat="1" ht="15" x14ac:dyDescent="0.25">
      <c r="A451" s="52"/>
      <c r="B451" s="53"/>
      <c r="C451" s="148" t="s">
        <v>48</v>
      </c>
      <c r="D451" s="148"/>
      <c r="E451" s="148"/>
      <c r="F451" s="23"/>
      <c r="G451" s="24"/>
      <c r="H451" s="24"/>
      <c r="I451" s="24"/>
      <c r="J451" s="27"/>
      <c r="K451" s="24"/>
      <c r="L451" s="99">
        <f>L447+L449+L450</f>
        <v>17851.405740000002</v>
      </c>
      <c r="M451" s="106"/>
      <c r="EX451" s="20"/>
      <c r="EY451" s="29"/>
      <c r="EZ451" s="29"/>
      <c r="FA451" s="29"/>
      <c r="FG451" s="29" t="s">
        <v>48</v>
      </c>
      <c r="FI451" s="29"/>
      <c r="FJ451" s="29"/>
    </row>
    <row r="452" spans="1:169" customFormat="1" ht="15" x14ac:dyDescent="0.25">
      <c r="A452" s="52"/>
      <c r="B452" s="68"/>
      <c r="C452" s="68"/>
      <c r="D452" s="68"/>
      <c r="E452" s="68"/>
      <c r="F452" s="69"/>
      <c r="G452" s="69"/>
      <c r="H452" s="69"/>
      <c r="I452" s="69"/>
      <c r="J452" s="70"/>
      <c r="K452" s="69"/>
      <c r="L452" s="101"/>
      <c r="M452" s="106"/>
      <c r="EX452" s="20"/>
      <c r="EY452" s="29"/>
      <c r="EZ452" s="29"/>
      <c r="FA452" s="29"/>
      <c r="FG452" s="29"/>
      <c r="FI452" s="29"/>
      <c r="FJ452" s="29"/>
    </row>
    <row r="453" spans="1:169" customFormat="1" ht="15" x14ac:dyDescent="0.25">
      <c r="A453" s="71"/>
      <c r="B453" s="72"/>
      <c r="C453" s="148" t="s">
        <v>271</v>
      </c>
      <c r="D453" s="148"/>
      <c r="E453" s="148"/>
      <c r="F453" s="148"/>
      <c r="G453" s="148"/>
      <c r="H453" s="148"/>
      <c r="I453" s="148"/>
      <c r="J453" s="148"/>
      <c r="K453" s="148"/>
      <c r="L453" s="100">
        <f>L440+L451</f>
        <v>229455.87378000002</v>
      </c>
      <c r="M453" s="106"/>
      <c r="EX453" s="20"/>
      <c r="EY453" s="29"/>
      <c r="EZ453" s="29"/>
      <c r="FA453" s="29"/>
      <c r="FG453" s="29"/>
      <c r="FI453" s="29"/>
      <c r="FJ453" s="29" t="s">
        <v>271</v>
      </c>
    </row>
    <row r="454" spans="1:169" customFormat="1" ht="11.25" hidden="1" customHeight="1" x14ac:dyDescent="0.25">
      <c r="A454" s="9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102"/>
      <c r="M454" s="106"/>
    </row>
    <row r="455" spans="1:169" customFormat="1" ht="15" x14ac:dyDescent="0.25">
      <c r="A455" s="71"/>
      <c r="B455" s="72"/>
      <c r="C455" s="148" t="s">
        <v>272</v>
      </c>
      <c r="D455" s="148"/>
      <c r="E455" s="148"/>
      <c r="F455" s="148"/>
      <c r="G455" s="148"/>
      <c r="H455" s="148"/>
      <c r="I455" s="148"/>
      <c r="J455" s="148"/>
      <c r="K455" s="148"/>
      <c r="L455" s="74"/>
      <c r="M455" s="106"/>
      <c r="FK455" s="29" t="s">
        <v>272</v>
      </c>
    </row>
    <row r="456" spans="1:169" customFormat="1" ht="16.5" x14ac:dyDescent="0.3">
      <c r="A456" s="75"/>
      <c r="B456" s="33"/>
      <c r="C456" s="146" t="s">
        <v>273</v>
      </c>
      <c r="D456" s="146"/>
      <c r="E456" s="146"/>
      <c r="F456" s="146"/>
      <c r="G456" s="146"/>
      <c r="H456" s="146"/>
      <c r="I456" s="146"/>
      <c r="J456" s="146"/>
      <c r="K456" s="146"/>
      <c r="L456" s="76">
        <f>L28+L61+L109+L130+L151+L177+L192+L202+L213+L231+L248+L266+L282+L293+L318+L340+L361+L379+L399+L416+L436+L447+L38+L44+L47+L50+L71+L77+L82+L87+L92+L97+L119+L140+L160+L165+L220+L237+L255+L275+L300+L305+L328+L350+L371+L389+L408+L426</f>
        <v>11634989.968100101</v>
      </c>
      <c r="M456" s="109"/>
      <c r="N456" s="77"/>
      <c r="O456" s="77"/>
      <c r="FK456" s="29"/>
      <c r="FL456" s="3" t="s">
        <v>273</v>
      </c>
    </row>
    <row r="457" spans="1:169" customFormat="1" ht="16.5" x14ac:dyDescent="0.3">
      <c r="A457" s="75"/>
      <c r="B457" s="78"/>
      <c r="C457" s="145" t="s">
        <v>274</v>
      </c>
      <c r="D457" s="145"/>
      <c r="E457" s="145"/>
      <c r="F457" s="145"/>
      <c r="G457" s="145"/>
      <c r="H457" s="145"/>
      <c r="I457" s="145"/>
      <c r="J457" s="145"/>
      <c r="K457" s="145"/>
      <c r="L457" s="80">
        <f>L456+L459+L460</f>
        <v>14954077.081173148</v>
      </c>
      <c r="M457" s="109"/>
      <c r="N457" s="77"/>
      <c r="O457" s="77"/>
      <c r="FK457" s="29"/>
      <c r="FM457" s="29" t="s">
        <v>274</v>
      </c>
    </row>
    <row r="458" spans="1:169" customFormat="1" ht="16.5" x14ac:dyDescent="0.3">
      <c r="A458" s="75"/>
      <c r="B458" s="33"/>
      <c r="C458" s="146" t="s">
        <v>275</v>
      </c>
      <c r="D458" s="146"/>
      <c r="E458" s="146"/>
      <c r="F458" s="146"/>
      <c r="G458" s="146"/>
      <c r="H458" s="146"/>
      <c r="I458" s="146"/>
      <c r="J458" s="146"/>
      <c r="K458" s="146"/>
      <c r="L458" s="76">
        <f>L29+L62+L110+L131+L152+L178+L193+L203+L214+L232+L249+L267+L283+L294+L319+L341+L362+L380+L400+L417+L437+L448</f>
        <v>2233573.3879464353</v>
      </c>
      <c r="M458" s="109"/>
      <c r="N458" s="77"/>
      <c r="O458" s="77"/>
      <c r="FK458" s="29"/>
      <c r="FL458" s="3" t="s">
        <v>275</v>
      </c>
      <c r="FM458" s="29"/>
    </row>
    <row r="459" spans="1:169" customFormat="1" ht="16.5" x14ac:dyDescent="0.3">
      <c r="A459" s="75"/>
      <c r="B459" s="33"/>
      <c r="C459" s="146" t="s">
        <v>276</v>
      </c>
      <c r="D459" s="146"/>
      <c r="E459" s="146"/>
      <c r="F459" s="146"/>
      <c r="G459" s="146"/>
      <c r="H459" s="146"/>
      <c r="I459" s="146"/>
      <c r="J459" s="146"/>
      <c r="K459" s="146"/>
      <c r="L459" s="76">
        <f>L30+L63+L111+L132+L153+L179+L194+L204+L215+L233+L250+L268+L284+L295+L320+L342+L363+L381+L401+L418+L438+L449</f>
        <v>2162987.5478853658</v>
      </c>
      <c r="M459" s="109"/>
      <c r="N459" s="77"/>
      <c r="O459" s="77"/>
      <c r="FK459" s="29"/>
      <c r="FL459" s="3" t="s">
        <v>276</v>
      </c>
      <c r="FM459" s="29"/>
    </row>
    <row r="460" spans="1:169" customFormat="1" ht="16.5" x14ac:dyDescent="0.3">
      <c r="A460" s="75"/>
      <c r="B460" s="33"/>
      <c r="C460" s="146" t="s">
        <v>277</v>
      </c>
      <c r="D460" s="146"/>
      <c r="E460" s="146"/>
      <c r="F460" s="146"/>
      <c r="G460" s="146"/>
      <c r="H460" s="146"/>
      <c r="I460" s="146"/>
      <c r="J460" s="146"/>
      <c r="K460" s="146"/>
      <c r="L460" s="76">
        <f>L31+L64+L112+L133+L154+L180+L195+L205+L216+L234+L251+L269+L285+L296+L321+L343+L364+L382+L402+L419+L439+L450</f>
        <v>1156099.5651876824</v>
      </c>
      <c r="M460" s="109"/>
      <c r="N460" s="77"/>
      <c r="O460" s="77"/>
      <c r="FK460" s="29"/>
      <c r="FL460" s="3" t="s">
        <v>277</v>
      </c>
      <c r="FM460" s="29"/>
    </row>
    <row r="461" spans="1:169" customFormat="1" ht="16.5" x14ac:dyDescent="0.3">
      <c r="A461" s="75"/>
      <c r="B461" s="78"/>
      <c r="C461" s="145" t="s">
        <v>278</v>
      </c>
      <c r="D461" s="145"/>
      <c r="E461" s="145"/>
      <c r="F461" s="145"/>
      <c r="G461" s="145"/>
      <c r="H461" s="145"/>
      <c r="I461" s="145"/>
      <c r="J461" s="145"/>
      <c r="K461" s="145"/>
      <c r="L461" s="80">
        <f>L457-L453</f>
        <v>14724621.207393147</v>
      </c>
      <c r="M461" s="109"/>
      <c r="N461" s="91"/>
      <c r="O461" s="77"/>
      <c r="FK461" s="29"/>
      <c r="FM461" s="29" t="s">
        <v>278</v>
      </c>
    </row>
    <row r="462" spans="1:169" customFormat="1" ht="16.5" x14ac:dyDescent="0.3">
      <c r="A462" s="75"/>
      <c r="B462" s="33"/>
      <c r="C462" s="146" t="s">
        <v>279</v>
      </c>
      <c r="D462" s="146"/>
      <c r="E462" s="146"/>
      <c r="F462" s="146"/>
      <c r="G462" s="146"/>
      <c r="H462" s="146"/>
      <c r="I462" s="146"/>
      <c r="J462" s="146"/>
      <c r="K462" s="146"/>
      <c r="L462" s="76">
        <f>L461*0.0224</f>
        <v>329831.51504560647</v>
      </c>
      <c r="M462" s="109"/>
      <c r="N462" s="77"/>
      <c r="O462" s="77"/>
      <c r="FK462" s="29"/>
      <c r="FL462" s="3" t="s">
        <v>279</v>
      </c>
      <c r="FM462" s="29"/>
    </row>
    <row r="463" spans="1:169" customFormat="1" ht="16.5" x14ac:dyDescent="0.3">
      <c r="A463" s="75"/>
      <c r="B463" s="78"/>
      <c r="C463" s="145" t="s">
        <v>274</v>
      </c>
      <c r="D463" s="145"/>
      <c r="E463" s="145"/>
      <c r="F463" s="145"/>
      <c r="G463" s="145"/>
      <c r="H463" s="145"/>
      <c r="I463" s="145"/>
      <c r="J463" s="145"/>
      <c r="K463" s="145"/>
      <c r="L463" s="80">
        <f>L461+L462</f>
        <v>15054452.722438753</v>
      </c>
      <c r="M463" s="109"/>
      <c r="N463" s="77"/>
      <c r="O463" s="77"/>
      <c r="FK463" s="29"/>
      <c r="FM463" s="29" t="s">
        <v>274</v>
      </c>
    </row>
    <row r="464" spans="1:169" customFormat="1" ht="16.5" x14ac:dyDescent="0.3">
      <c r="A464" s="75"/>
      <c r="B464" s="33"/>
      <c r="C464" s="146" t="s">
        <v>280</v>
      </c>
      <c r="D464" s="146"/>
      <c r="E464" s="146"/>
      <c r="F464" s="146"/>
      <c r="G464" s="146"/>
      <c r="H464" s="146"/>
      <c r="I464" s="146"/>
      <c r="J464" s="146"/>
      <c r="K464" s="146"/>
      <c r="L464" s="76">
        <f>L463*0.024</f>
        <v>361306.86533853004</v>
      </c>
      <c r="M464" s="109"/>
      <c r="N464" s="77"/>
      <c r="O464" s="77"/>
      <c r="FK464" s="29"/>
      <c r="FL464" s="3" t="s">
        <v>280</v>
      </c>
      <c r="FM464" s="29"/>
    </row>
    <row r="465" spans="1:233" customFormat="1" ht="16.5" x14ac:dyDescent="0.3">
      <c r="A465" s="75"/>
      <c r="B465" s="78"/>
      <c r="C465" s="145" t="s">
        <v>274</v>
      </c>
      <c r="D465" s="145"/>
      <c r="E465" s="145"/>
      <c r="F465" s="145"/>
      <c r="G465" s="145"/>
      <c r="H465" s="145"/>
      <c r="I465" s="145"/>
      <c r="J465" s="145"/>
      <c r="K465" s="145"/>
      <c r="L465" s="80">
        <f>L463+L464</f>
        <v>15415759.587777283</v>
      </c>
      <c r="M465" s="109"/>
      <c r="N465" s="77"/>
      <c r="O465" s="77"/>
      <c r="FK465" s="29"/>
      <c r="FM465" s="29" t="s">
        <v>274</v>
      </c>
    </row>
    <row r="466" spans="1:233" customFormat="1" ht="16.5" x14ac:dyDescent="0.3">
      <c r="A466" s="75"/>
      <c r="B466" s="78"/>
      <c r="C466" s="145" t="s">
        <v>281</v>
      </c>
      <c r="D466" s="145"/>
      <c r="E466" s="145"/>
      <c r="F466" s="145"/>
      <c r="G466" s="145"/>
      <c r="H466" s="145"/>
      <c r="I466" s="145"/>
      <c r="J466" s="145"/>
      <c r="K466" s="145"/>
      <c r="L466" s="80">
        <f>L465+L453</f>
        <v>15645215.461557284</v>
      </c>
      <c r="M466" s="80">
        <f>L466*1.2</f>
        <v>18774258.553868741</v>
      </c>
      <c r="N466" s="77"/>
      <c r="O466" s="77"/>
      <c r="FK466" s="29"/>
      <c r="FM466" s="29" t="s">
        <v>281</v>
      </c>
    </row>
    <row r="467" spans="1:233" customFormat="1" ht="16.5" x14ac:dyDescent="0.3">
      <c r="A467" s="75"/>
      <c r="B467" s="33"/>
      <c r="C467" s="146" t="s">
        <v>282</v>
      </c>
      <c r="D467" s="146"/>
      <c r="E467" s="146"/>
      <c r="F467" s="146"/>
      <c r="G467" s="146"/>
      <c r="H467" s="146"/>
      <c r="I467" s="146"/>
      <c r="J467" s="146"/>
      <c r="K467" s="146"/>
      <c r="L467" s="76">
        <f>L466*0.03</f>
        <v>469356.46384671849</v>
      </c>
      <c r="M467" s="109"/>
      <c r="N467" s="77"/>
      <c r="O467" s="77"/>
      <c r="FK467" s="29"/>
      <c r="FL467" s="3" t="s">
        <v>282</v>
      </c>
      <c r="FM467" s="29"/>
    </row>
    <row r="468" spans="1:233" customFormat="1" ht="16.5" x14ac:dyDescent="0.3">
      <c r="A468" s="75"/>
      <c r="B468" s="78"/>
      <c r="C468" s="145" t="s">
        <v>283</v>
      </c>
      <c r="D468" s="145"/>
      <c r="E468" s="145"/>
      <c r="F468" s="145"/>
      <c r="G468" s="145"/>
      <c r="H468" s="145"/>
      <c r="I468" s="145"/>
      <c r="J468" s="145"/>
      <c r="K468" s="145"/>
      <c r="L468" s="80">
        <f>L466+L467</f>
        <v>16114571.925404003</v>
      </c>
      <c r="M468" s="109"/>
      <c r="N468" s="77"/>
      <c r="O468" s="77"/>
      <c r="FK468" s="29"/>
      <c r="FM468" s="29" t="s">
        <v>283</v>
      </c>
    </row>
    <row r="469" spans="1:233" customFormat="1" ht="16.5" hidden="1" x14ac:dyDescent="0.3">
      <c r="A469" s="75"/>
      <c r="B469" s="33"/>
      <c r="C469" s="146" t="s">
        <v>284</v>
      </c>
      <c r="D469" s="146"/>
      <c r="E469" s="146"/>
      <c r="F469" s="146"/>
      <c r="G469" s="146"/>
      <c r="H469" s="146"/>
      <c r="I469" s="146"/>
      <c r="J469" s="146"/>
      <c r="K469" s="146"/>
      <c r="L469" s="76">
        <f>L468*1</f>
        <v>16114571.925404003</v>
      </c>
      <c r="M469" s="109"/>
      <c r="N469" s="77"/>
      <c r="O469" s="77"/>
      <c r="FK469" s="29"/>
      <c r="FL469" s="3" t="s">
        <v>284</v>
      </c>
      <c r="FM469" s="29"/>
    </row>
    <row r="470" spans="1:233" customFormat="1" ht="16.5" x14ac:dyDescent="0.3">
      <c r="A470" s="75"/>
      <c r="B470" s="78"/>
      <c r="C470" s="145" t="s">
        <v>285</v>
      </c>
      <c r="D470" s="145"/>
      <c r="E470" s="145"/>
      <c r="F470" s="145"/>
      <c r="G470" s="145"/>
      <c r="H470" s="145"/>
      <c r="I470" s="145"/>
      <c r="J470" s="145"/>
      <c r="K470" s="145"/>
      <c r="L470" s="80">
        <f>L469</f>
        <v>16114571.925404003</v>
      </c>
      <c r="M470" s="109"/>
      <c r="N470" s="77"/>
      <c r="O470" s="77"/>
      <c r="FK470" s="29"/>
      <c r="FM470" s="29" t="s">
        <v>285</v>
      </c>
    </row>
    <row r="471" spans="1:233" customFormat="1" ht="16.5" x14ac:dyDescent="0.3">
      <c r="A471" s="75"/>
      <c r="B471" s="33"/>
      <c r="C471" s="146" t="s">
        <v>286</v>
      </c>
      <c r="D471" s="146"/>
      <c r="E471" s="146"/>
      <c r="F471" s="146"/>
      <c r="G471" s="146"/>
      <c r="H471" s="146"/>
      <c r="I471" s="146"/>
      <c r="J471" s="146"/>
      <c r="K471" s="146"/>
      <c r="L471" s="76">
        <f>L470*0.2</f>
        <v>3222914.3850808009</v>
      </c>
      <c r="M471" s="109"/>
      <c r="N471" s="77"/>
      <c r="O471" s="77"/>
      <c r="FK471" s="29"/>
      <c r="FM471" s="29"/>
      <c r="FN471" s="3" t="s">
        <v>286</v>
      </c>
    </row>
    <row r="472" spans="1:233" customFormat="1" ht="16.5" x14ac:dyDescent="0.3">
      <c r="A472" s="94"/>
      <c r="B472" s="95"/>
      <c r="C472" s="147" t="s">
        <v>287</v>
      </c>
      <c r="D472" s="147"/>
      <c r="E472" s="147"/>
      <c r="F472" s="147"/>
      <c r="G472" s="147"/>
      <c r="H472" s="147"/>
      <c r="I472" s="147"/>
      <c r="J472" s="147"/>
      <c r="K472" s="147"/>
      <c r="L472" s="103">
        <f>L470+L471</f>
        <v>19337486.310484804</v>
      </c>
      <c r="M472" s="109"/>
      <c r="N472" s="77"/>
      <c r="O472" s="77"/>
      <c r="FK472" s="29"/>
      <c r="FM472" s="29"/>
      <c r="FO472" s="29" t="s">
        <v>287</v>
      </c>
    </row>
    <row r="473" spans="1:233" customFormat="1" ht="1.5" customHeight="1" x14ac:dyDescent="0.25">
      <c r="B473" s="70"/>
      <c r="C473" s="68"/>
      <c r="D473" s="68"/>
      <c r="E473" s="68"/>
      <c r="F473" s="68"/>
      <c r="G473" s="68"/>
      <c r="H473" s="68"/>
      <c r="I473" s="68"/>
      <c r="J473" s="68"/>
      <c r="K473" s="68"/>
      <c r="L473" s="79"/>
      <c r="M473" s="106"/>
    </row>
    <row r="474" spans="1:233" customFormat="1" ht="26.25" customHeight="1" x14ac:dyDescent="0.25">
      <c r="A474" s="81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106"/>
    </row>
    <row r="475" spans="1:233" s="14" customFormat="1" ht="15" x14ac:dyDescent="0.25">
      <c r="A475" s="4"/>
      <c r="B475" s="83" t="s">
        <v>288</v>
      </c>
      <c r="C475" s="143"/>
      <c r="D475" s="143"/>
      <c r="E475" s="143"/>
      <c r="F475" s="143"/>
      <c r="G475" s="143"/>
      <c r="H475" s="144" t="s">
        <v>289</v>
      </c>
      <c r="I475" s="144"/>
      <c r="J475" s="144"/>
      <c r="K475" s="144"/>
      <c r="L475" s="144"/>
      <c r="M475" s="106"/>
      <c r="N475"/>
      <c r="O475"/>
      <c r="P475"/>
      <c r="Q475"/>
      <c r="R475"/>
      <c r="S475"/>
      <c r="T475"/>
      <c r="U475"/>
      <c r="V475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 t="s">
        <v>0</v>
      </c>
      <c r="FQ475" s="6" t="s">
        <v>0</v>
      </c>
      <c r="FR475" s="6" t="s">
        <v>0</v>
      </c>
      <c r="FS475" s="6" t="s">
        <v>0</v>
      </c>
      <c r="FT475" s="6" t="s">
        <v>0</v>
      </c>
      <c r="FU475" s="6" t="s">
        <v>289</v>
      </c>
      <c r="FV475" s="6" t="s">
        <v>0</v>
      </c>
      <c r="FW475" s="6" t="s">
        <v>0</v>
      </c>
      <c r="FX475" s="6" t="s">
        <v>0</v>
      </c>
      <c r="FY475" s="6" t="s">
        <v>0</v>
      </c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</row>
    <row r="476" spans="1:233" s="84" customFormat="1" ht="16.5" customHeight="1" x14ac:dyDescent="0.25">
      <c r="A476" s="5"/>
      <c r="B476" s="83"/>
      <c r="C476" s="142" t="s">
        <v>290</v>
      </c>
      <c r="D476" s="142"/>
      <c r="E476" s="142"/>
      <c r="F476" s="142"/>
      <c r="G476" s="142"/>
      <c r="H476" s="142"/>
      <c r="I476" s="142"/>
      <c r="J476" s="142"/>
      <c r="K476" s="142"/>
      <c r="L476" s="142"/>
      <c r="M476" s="110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  <c r="CM476" s="85"/>
      <c r="CN476" s="85"/>
      <c r="CO476" s="85"/>
      <c r="CP476" s="85"/>
      <c r="CQ476" s="85"/>
      <c r="CR476" s="85"/>
      <c r="CS476" s="85"/>
      <c r="CT476" s="85"/>
      <c r="CU476" s="85"/>
      <c r="CV476" s="85"/>
      <c r="CW476" s="85"/>
      <c r="CX476" s="85"/>
      <c r="CY476" s="85"/>
      <c r="CZ476" s="85"/>
      <c r="DA476" s="85"/>
      <c r="DB476" s="85"/>
      <c r="DC476" s="85"/>
      <c r="DD476" s="85"/>
      <c r="DE476" s="85"/>
      <c r="DF476" s="85"/>
      <c r="DG476" s="85"/>
      <c r="DH476" s="85"/>
      <c r="DI476" s="85"/>
      <c r="DJ476" s="85"/>
      <c r="DK476" s="85"/>
      <c r="DL476" s="85"/>
      <c r="DM476" s="85"/>
      <c r="DN476" s="85"/>
      <c r="DO476" s="85"/>
      <c r="DP476" s="85"/>
      <c r="DQ476" s="85"/>
      <c r="DR476" s="85"/>
      <c r="DS476" s="85"/>
      <c r="DT476" s="85"/>
      <c r="DU476" s="85"/>
      <c r="DV476" s="85"/>
      <c r="DW476" s="85"/>
      <c r="DX476" s="85"/>
      <c r="DY476" s="85"/>
      <c r="DZ476" s="85"/>
      <c r="EA476" s="85"/>
      <c r="EB476" s="85"/>
      <c r="EC476" s="85"/>
      <c r="ED476" s="85"/>
      <c r="EE476" s="85"/>
      <c r="EF476" s="85"/>
      <c r="EG476" s="85"/>
      <c r="EH476" s="85"/>
      <c r="EI476" s="85"/>
      <c r="EJ476" s="85"/>
      <c r="EK476" s="85"/>
      <c r="EL476" s="85"/>
      <c r="EM476" s="85"/>
      <c r="EN476" s="85"/>
      <c r="EO476" s="85"/>
      <c r="EP476" s="85"/>
      <c r="EQ476" s="85"/>
      <c r="ER476" s="85"/>
      <c r="ES476" s="85"/>
      <c r="ET476" s="85"/>
      <c r="EU476" s="85"/>
      <c r="EV476" s="85"/>
      <c r="EW476" s="85"/>
      <c r="EX476" s="85"/>
      <c r="EY476" s="85"/>
      <c r="EZ476" s="85"/>
      <c r="FA476" s="85"/>
      <c r="FB476" s="85"/>
      <c r="FC476" s="85"/>
      <c r="FD476" s="85"/>
      <c r="FE476" s="85"/>
      <c r="FF476" s="85"/>
      <c r="FG476" s="85"/>
      <c r="FH476" s="85"/>
      <c r="FI476" s="85"/>
      <c r="FJ476" s="85"/>
      <c r="FK476" s="85"/>
      <c r="FL476" s="85"/>
      <c r="FM476" s="85"/>
      <c r="FN476" s="85"/>
      <c r="FO476" s="85"/>
      <c r="FP476" s="85"/>
      <c r="FQ476" s="85"/>
      <c r="FR476" s="85"/>
      <c r="FS476" s="85"/>
      <c r="FT476" s="85"/>
      <c r="FU476" s="85"/>
      <c r="FV476" s="85"/>
      <c r="FW476" s="85"/>
      <c r="FX476" s="85"/>
      <c r="FY476" s="85"/>
      <c r="FZ476" s="85"/>
      <c r="GA476" s="85"/>
      <c r="GB476" s="85"/>
      <c r="GC476" s="85"/>
      <c r="GD476" s="85"/>
      <c r="GE476" s="85"/>
      <c r="GF476" s="85"/>
      <c r="GG476" s="85"/>
      <c r="GH476" s="85"/>
      <c r="GI476" s="85"/>
      <c r="GJ476" s="85"/>
      <c r="GK476" s="85"/>
      <c r="GL476" s="85"/>
      <c r="GM476" s="85"/>
      <c r="GN476" s="85"/>
      <c r="GO476" s="85"/>
      <c r="GP476" s="85"/>
      <c r="GQ476" s="85"/>
      <c r="GR476" s="85"/>
      <c r="GS476" s="85"/>
      <c r="GT476" s="85"/>
      <c r="GU476" s="85"/>
      <c r="GV476" s="85"/>
      <c r="GW476" s="85"/>
      <c r="GX476" s="85"/>
      <c r="GY476" s="85"/>
      <c r="GZ476" s="85"/>
      <c r="HA476" s="85"/>
      <c r="HB476" s="85"/>
      <c r="HC476" s="85"/>
      <c r="HD476" s="85"/>
      <c r="HE476" s="85"/>
      <c r="HF476" s="85"/>
      <c r="HG476" s="85"/>
      <c r="HH476" s="85"/>
      <c r="HI476" s="85"/>
      <c r="HJ476" s="85"/>
      <c r="HK476" s="85"/>
      <c r="HL476" s="85"/>
      <c r="HM476" s="85"/>
      <c r="HN476" s="85"/>
      <c r="HO476" s="85"/>
      <c r="HP476" s="85"/>
      <c r="HQ476" s="85"/>
      <c r="HR476" s="85"/>
      <c r="HS476" s="85"/>
      <c r="HT476" s="85"/>
      <c r="HU476" s="85"/>
      <c r="HV476" s="85"/>
      <c r="HW476" s="85"/>
      <c r="HX476" s="85"/>
      <c r="HY476" s="85"/>
    </row>
    <row r="477" spans="1:233" s="14" customFormat="1" ht="15" x14ac:dyDescent="0.25">
      <c r="A477" s="4"/>
      <c r="B477" s="83" t="s">
        <v>291</v>
      </c>
      <c r="C477" s="143"/>
      <c r="D477" s="143"/>
      <c r="E477" s="143"/>
      <c r="F477" s="143"/>
      <c r="G477" s="143"/>
      <c r="H477" s="144"/>
      <c r="I477" s="144"/>
      <c r="J477" s="144"/>
      <c r="K477" s="144"/>
      <c r="L477" s="144"/>
      <c r="M477" s="106"/>
      <c r="N477"/>
      <c r="O477"/>
      <c r="P477"/>
      <c r="Q477"/>
      <c r="R477"/>
      <c r="S477"/>
      <c r="T477"/>
      <c r="U477"/>
      <c r="V477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 t="s">
        <v>0</v>
      </c>
      <c r="GA477" s="6" t="s">
        <v>0</v>
      </c>
      <c r="GB477" s="6" t="s">
        <v>0</v>
      </c>
      <c r="GC477" s="6" t="s">
        <v>0</v>
      </c>
      <c r="GD477" s="6" t="s">
        <v>0</v>
      </c>
      <c r="GE477" s="6" t="s">
        <v>0</v>
      </c>
      <c r="GF477" s="6" t="s">
        <v>0</v>
      </c>
      <c r="GG477" s="6" t="s">
        <v>0</v>
      </c>
      <c r="GH477" s="6" t="s">
        <v>0</v>
      </c>
      <c r="GI477" s="6" t="s">
        <v>0</v>
      </c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</row>
    <row r="478" spans="1:233" s="84" customFormat="1" ht="16.5" customHeight="1" x14ac:dyDescent="0.25">
      <c r="A478" s="5"/>
      <c r="C478" s="142" t="s">
        <v>290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10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  <c r="CM478" s="85"/>
      <c r="CN478" s="85"/>
      <c r="CO478" s="85"/>
      <c r="CP478" s="85"/>
      <c r="CQ478" s="85"/>
      <c r="CR478" s="85"/>
      <c r="CS478" s="85"/>
      <c r="CT478" s="85"/>
      <c r="CU478" s="85"/>
      <c r="CV478" s="85"/>
      <c r="CW478" s="85"/>
      <c r="CX478" s="85"/>
      <c r="CY478" s="85"/>
      <c r="CZ478" s="85"/>
      <c r="DA478" s="85"/>
      <c r="DB478" s="85"/>
      <c r="DC478" s="85"/>
      <c r="DD478" s="85"/>
      <c r="DE478" s="85"/>
      <c r="DF478" s="85"/>
      <c r="DG478" s="85"/>
      <c r="DH478" s="85"/>
      <c r="DI478" s="85"/>
      <c r="DJ478" s="85"/>
      <c r="DK478" s="85"/>
      <c r="DL478" s="85"/>
      <c r="DM478" s="85"/>
      <c r="DN478" s="85"/>
      <c r="DO478" s="85"/>
      <c r="DP478" s="85"/>
      <c r="DQ478" s="85"/>
      <c r="DR478" s="85"/>
      <c r="DS478" s="85"/>
      <c r="DT478" s="85"/>
      <c r="DU478" s="85"/>
      <c r="DV478" s="85"/>
      <c r="DW478" s="85"/>
      <c r="DX478" s="85"/>
      <c r="DY478" s="85"/>
      <c r="DZ478" s="85"/>
      <c r="EA478" s="85"/>
      <c r="EB478" s="85"/>
      <c r="EC478" s="85"/>
      <c r="ED478" s="85"/>
      <c r="EE478" s="85"/>
      <c r="EF478" s="85"/>
      <c r="EG478" s="85"/>
      <c r="EH478" s="85"/>
      <c r="EI478" s="85"/>
      <c r="EJ478" s="85"/>
      <c r="EK478" s="85"/>
      <c r="EL478" s="85"/>
      <c r="EM478" s="85"/>
      <c r="EN478" s="85"/>
      <c r="EO478" s="85"/>
      <c r="EP478" s="85"/>
      <c r="EQ478" s="85"/>
      <c r="ER478" s="85"/>
      <c r="ES478" s="85"/>
      <c r="ET478" s="85"/>
      <c r="EU478" s="85"/>
      <c r="EV478" s="85"/>
      <c r="EW478" s="85"/>
      <c r="EX478" s="85"/>
      <c r="EY478" s="85"/>
      <c r="EZ478" s="85"/>
      <c r="FA478" s="85"/>
      <c r="FB478" s="85"/>
      <c r="FC478" s="85"/>
      <c r="FD478" s="85"/>
      <c r="FE478" s="85"/>
      <c r="FF478" s="85"/>
      <c r="FG478" s="85"/>
      <c r="FH478" s="85"/>
      <c r="FI478" s="85"/>
      <c r="FJ478" s="85"/>
      <c r="FK478" s="85"/>
      <c r="FL478" s="85"/>
      <c r="FM478" s="85"/>
      <c r="FN478" s="85"/>
      <c r="FO478" s="85"/>
      <c r="FP478" s="85"/>
      <c r="FQ478" s="85"/>
      <c r="FR478" s="85"/>
      <c r="FS478" s="85"/>
      <c r="FT478" s="85"/>
      <c r="FU478" s="85"/>
      <c r="FV478" s="85"/>
      <c r="FW478" s="85"/>
      <c r="FX478" s="85"/>
      <c r="FY478" s="85"/>
      <c r="FZ478" s="85"/>
      <c r="GA478" s="85"/>
      <c r="GB478" s="85"/>
      <c r="GC478" s="85"/>
      <c r="GD478" s="85"/>
      <c r="GE478" s="85"/>
      <c r="GF478" s="85"/>
      <c r="GG478" s="85"/>
      <c r="GH478" s="85"/>
      <c r="GI478" s="85"/>
      <c r="GJ478" s="85"/>
      <c r="GK478" s="85"/>
      <c r="GL478" s="85"/>
      <c r="GM478" s="85"/>
      <c r="GN478" s="85"/>
      <c r="GO478" s="85"/>
      <c r="GP478" s="85"/>
      <c r="GQ478" s="85"/>
      <c r="GR478" s="85"/>
      <c r="GS478" s="85"/>
      <c r="GT478" s="85"/>
      <c r="GU478" s="85"/>
      <c r="GV478" s="85"/>
      <c r="GW478" s="85"/>
      <c r="GX478" s="85"/>
      <c r="GY478" s="85"/>
      <c r="GZ478" s="85"/>
      <c r="HA478" s="85"/>
      <c r="HB478" s="85"/>
      <c r="HC478" s="85"/>
      <c r="HD478" s="85"/>
      <c r="HE478" s="85"/>
      <c r="HF478" s="85"/>
      <c r="HG478" s="85"/>
      <c r="HH478" s="85"/>
      <c r="HI478" s="85"/>
      <c r="HJ478" s="85"/>
      <c r="HK478" s="85"/>
      <c r="HL478" s="85"/>
      <c r="HM478" s="85"/>
      <c r="HN478" s="85"/>
      <c r="HO478" s="85"/>
      <c r="HP478" s="85"/>
      <c r="HQ478" s="85"/>
      <c r="HR478" s="85"/>
      <c r="HS478" s="85"/>
      <c r="HT478" s="85"/>
      <c r="HU478" s="85"/>
      <c r="HV478" s="85"/>
      <c r="HW478" s="85"/>
      <c r="HX478" s="85"/>
      <c r="HY478" s="85"/>
    </row>
    <row r="479" spans="1:233" customFormat="1" ht="21" customHeight="1" x14ac:dyDescent="0.25">
      <c r="M479" s="106"/>
    </row>
    <row r="480" spans="1:233" s="14" customFormat="1" ht="22.5" customHeight="1" x14ac:dyDescent="0.25">
      <c r="A480" s="141" t="s">
        <v>292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11"/>
      <c r="N480" s="73"/>
      <c r="O480"/>
      <c r="P480"/>
      <c r="Q480"/>
      <c r="R480"/>
      <c r="S480"/>
      <c r="T480"/>
      <c r="U480"/>
      <c r="V480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3" t="s">
        <v>292</v>
      </c>
      <c r="GK480" s="3" t="s">
        <v>0</v>
      </c>
      <c r="GL480" s="3" t="s">
        <v>0</v>
      </c>
      <c r="GM480" s="3" t="s">
        <v>0</v>
      </c>
      <c r="GN480" s="3" t="s">
        <v>0</v>
      </c>
      <c r="GO480" s="3" t="s">
        <v>0</v>
      </c>
      <c r="GP480" s="3" t="s">
        <v>0</v>
      </c>
      <c r="GQ480" s="3" t="s">
        <v>0</v>
      </c>
      <c r="GR480" s="3" t="s">
        <v>0</v>
      </c>
      <c r="GS480" s="3" t="s">
        <v>0</v>
      </c>
      <c r="GT480" s="3" t="s">
        <v>0</v>
      </c>
      <c r="GU480" s="3" t="s">
        <v>0</v>
      </c>
      <c r="GV480" s="3" t="s">
        <v>0</v>
      </c>
      <c r="GW480" s="3" t="s">
        <v>0</v>
      </c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</row>
    <row r="481" spans="1:233" s="14" customFormat="1" ht="11.25" customHeight="1" x14ac:dyDescent="0.25">
      <c r="A481" s="141" t="s">
        <v>293</v>
      </c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11"/>
      <c r="N481" s="73"/>
      <c r="O481"/>
      <c r="P481"/>
      <c r="Q481"/>
      <c r="R481"/>
      <c r="S481"/>
      <c r="T481"/>
      <c r="U481"/>
      <c r="V481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3" t="s">
        <v>293</v>
      </c>
      <c r="GY481" s="3" t="s">
        <v>0</v>
      </c>
      <c r="GZ481" s="3" t="s">
        <v>0</v>
      </c>
      <c r="HA481" s="3" t="s">
        <v>0</v>
      </c>
      <c r="HB481" s="3" t="s">
        <v>0</v>
      </c>
      <c r="HC481" s="3" t="s">
        <v>0</v>
      </c>
      <c r="HD481" s="3" t="s">
        <v>0</v>
      </c>
      <c r="HE481" s="3" t="s">
        <v>0</v>
      </c>
      <c r="HF481" s="3" t="s">
        <v>0</v>
      </c>
      <c r="HG481" s="3" t="s">
        <v>0</v>
      </c>
      <c r="HH481" s="3" t="s">
        <v>0</v>
      </c>
      <c r="HI481" s="3" t="s">
        <v>0</v>
      </c>
      <c r="HJ481" s="3" t="s">
        <v>0</v>
      </c>
      <c r="HK481" s="3" t="s">
        <v>0</v>
      </c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</row>
    <row r="482" spans="1:233" s="14" customFormat="1" ht="15" x14ac:dyDescent="0.25">
      <c r="A482" s="141" t="s">
        <v>294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11"/>
      <c r="N482" s="73"/>
      <c r="O482"/>
      <c r="P482"/>
      <c r="Q482"/>
      <c r="R482"/>
      <c r="S482"/>
      <c r="T482"/>
      <c r="U482"/>
      <c r="V482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3" t="s">
        <v>294</v>
      </c>
      <c r="HM482" s="3" t="s">
        <v>0</v>
      </c>
      <c r="HN482" s="3" t="s">
        <v>0</v>
      </c>
      <c r="HO482" s="3" t="s">
        <v>0</v>
      </c>
      <c r="HP482" s="3" t="s">
        <v>0</v>
      </c>
      <c r="HQ482" s="3" t="s">
        <v>0</v>
      </c>
      <c r="HR482" s="3" t="s">
        <v>0</v>
      </c>
      <c r="HS482" s="3" t="s">
        <v>0</v>
      </c>
      <c r="HT482" s="3" t="s">
        <v>0</v>
      </c>
      <c r="HU482" s="3" t="s">
        <v>0</v>
      </c>
      <c r="HV482" s="3" t="s">
        <v>0</v>
      </c>
      <c r="HW482" s="3" t="s">
        <v>0</v>
      </c>
      <c r="HX482" s="3" t="s">
        <v>0</v>
      </c>
      <c r="HY482" s="3" t="s">
        <v>0</v>
      </c>
    </row>
    <row r="483" spans="1:233" s="14" customFormat="1" ht="20.2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111"/>
      <c r="N483" s="73"/>
      <c r="O483"/>
      <c r="P483"/>
      <c r="Q483"/>
      <c r="R483"/>
      <c r="S483"/>
      <c r="T483"/>
      <c r="U483"/>
      <c r="V483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</row>
    <row r="484" spans="1:233" customFormat="1" ht="15" x14ac:dyDescent="0.25">
      <c r="B484" s="86"/>
      <c r="D484" s="86"/>
      <c r="F484" s="86"/>
      <c r="M484" s="106"/>
    </row>
  </sheetData>
  <autoFilter ref="A15:L426" xr:uid="{00000000-0001-0000-0000-000000000000}"/>
  <mergeCells count="476">
    <mergeCell ref="A2:L2"/>
    <mergeCell ref="A3:L3"/>
    <mergeCell ref="A4:L4"/>
    <mergeCell ref="A6:L6"/>
    <mergeCell ref="A7:L7"/>
    <mergeCell ref="B8:F8"/>
    <mergeCell ref="G13:G15"/>
    <mergeCell ref="H13:H15"/>
    <mergeCell ref="I13:I15"/>
    <mergeCell ref="J13:L14"/>
    <mergeCell ref="C16:E16"/>
    <mergeCell ref="C18:E18"/>
    <mergeCell ref="B9:F9"/>
    <mergeCell ref="D11:F11"/>
    <mergeCell ref="A13:A15"/>
    <mergeCell ref="B13:B15"/>
    <mergeCell ref="C13:E15"/>
    <mergeCell ref="F13:F15"/>
    <mergeCell ref="C25:E25"/>
    <mergeCell ref="C26:E26"/>
    <mergeCell ref="C27:E27"/>
    <mergeCell ref="C28:E28"/>
    <mergeCell ref="C29:E29"/>
    <mergeCell ref="C30:E30"/>
    <mergeCell ref="C19:L19"/>
    <mergeCell ref="C20:L20"/>
    <mergeCell ref="C21:L21"/>
    <mergeCell ref="C22:E22"/>
    <mergeCell ref="C23:E23"/>
    <mergeCell ref="C24:E24"/>
    <mergeCell ref="C37:L37"/>
    <mergeCell ref="C38:E38"/>
    <mergeCell ref="C39:E39"/>
    <mergeCell ref="C40:L40"/>
    <mergeCell ref="C41:L41"/>
    <mergeCell ref="C42:L42"/>
    <mergeCell ref="C31:E31"/>
    <mergeCell ref="C32:E32"/>
    <mergeCell ref="C33:E33"/>
    <mergeCell ref="C34:L34"/>
    <mergeCell ref="C35:L35"/>
    <mergeCell ref="C36:L36"/>
    <mergeCell ref="C49:L49"/>
    <mergeCell ref="C50:E50"/>
    <mergeCell ref="C51:E51"/>
    <mergeCell ref="C52:L52"/>
    <mergeCell ref="C53:L53"/>
    <mergeCell ref="C54:L54"/>
    <mergeCell ref="C43:L43"/>
    <mergeCell ref="C44:E44"/>
    <mergeCell ref="C45:E45"/>
    <mergeCell ref="C46:L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73:L73"/>
    <mergeCell ref="C74:L74"/>
    <mergeCell ref="C75:L75"/>
    <mergeCell ref="C76:L76"/>
    <mergeCell ref="C77:E77"/>
    <mergeCell ref="C78:E78"/>
    <mergeCell ref="C67:L67"/>
    <mergeCell ref="C68:L68"/>
    <mergeCell ref="C69:L69"/>
    <mergeCell ref="C70:L70"/>
    <mergeCell ref="C71:E71"/>
    <mergeCell ref="C72:E72"/>
    <mergeCell ref="C85:L85"/>
    <mergeCell ref="C86:L86"/>
    <mergeCell ref="C87:E87"/>
    <mergeCell ref="C88:E88"/>
    <mergeCell ref="C89:L89"/>
    <mergeCell ref="C90:L90"/>
    <mergeCell ref="C79:L79"/>
    <mergeCell ref="C80:L80"/>
    <mergeCell ref="C81:L81"/>
    <mergeCell ref="C82:E82"/>
    <mergeCell ref="C83:E83"/>
    <mergeCell ref="C84:L84"/>
    <mergeCell ref="C97:E97"/>
    <mergeCell ref="C98:E98"/>
    <mergeCell ref="C99:L99"/>
    <mergeCell ref="C100:L100"/>
    <mergeCell ref="C101:L101"/>
    <mergeCell ref="C102:L102"/>
    <mergeCell ref="C91:L91"/>
    <mergeCell ref="C92:E92"/>
    <mergeCell ref="C93:E93"/>
    <mergeCell ref="C94:L94"/>
    <mergeCell ref="C95:L95"/>
    <mergeCell ref="C96:L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L121"/>
    <mergeCell ref="C122:L122"/>
    <mergeCell ref="C123:L123"/>
    <mergeCell ref="C124:E124"/>
    <mergeCell ref="C125:E125"/>
    <mergeCell ref="C126:E126"/>
    <mergeCell ref="C115:L115"/>
    <mergeCell ref="C116:L116"/>
    <mergeCell ref="C117:L117"/>
    <mergeCell ref="C118:L118"/>
    <mergeCell ref="C119:E119"/>
    <mergeCell ref="C120:E120"/>
    <mergeCell ref="C133:E133"/>
    <mergeCell ref="C134:E134"/>
    <mergeCell ref="C135:E135"/>
    <mergeCell ref="C136:L136"/>
    <mergeCell ref="C137:L137"/>
    <mergeCell ref="C138:L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L139"/>
    <mergeCell ref="C140:E140"/>
    <mergeCell ref="C141:E141"/>
    <mergeCell ref="C142:L142"/>
    <mergeCell ref="C143:L143"/>
    <mergeCell ref="C144:L144"/>
    <mergeCell ref="C157:L157"/>
    <mergeCell ref="C158:L158"/>
    <mergeCell ref="C159:L159"/>
    <mergeCell ref="C160:E160"/>
    <mergeCell ref="C161:E161"/>
    <mergeCell ref="C162:L162"/>
    <mergeCell ref="C151:E151"/>
    <mergeCell ref="C152:E152"/>
    <mergeCell ref="C153:E153"/>
    <mergeCell ref="C154:E154"/>
    <mergeCell ref="C155:E155"/>
    <mergeCell ref="C156:E156"/>
    <mergeCell ref="C169:L169"/>
    <mergeCell ref="C170:L170"/>
    <mergeCell ref="C171:E171"/>
    <mergeCell ref="C172:E172"/>
    <mergeCell ref="C173:E173"/>
    <mergeCell ref="C174:E174"/>
    <mergeCell ref="C163:L163"/>
    <mergeCell ref="C164:L164"/>
    <mergeCell ref="C165:E165"/>
    <mergeCell ref="C166:E166"/>
    <mergeCell ref="C167:L167"/>
    <mergeCell ref="C168:L168"/>
    <mergeCell ref="C181:E181"/>
    <mergeCell ref="C182:E182"/>
    <mergeCell ref="C183:L183"/>
    <mergeCell ref="C184:L184"/>
    <mergeCell ref="C185:L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L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L208"/>
    <mergeCell ref="C209:L209"/>
    <mergeCell ref="C210:L210"/>
    <mergeCell ref="C199:L199"/>
    <mergeCell ref="C200:E200"/>
    <mergeCell ref="C201:E201"/>
    <mergeCell ref="C202:E202"/>
    <mergeCell ref="C203:E203"/>
    <mergeCell ref="C204:E204"/>
    <mergeCell ref="C217:E217"/>
    <mergeCell ref="C218:E218"/>
    <mergeCell ref="C219:L219"/>
    <mergeCell ref="C220:E220"/>
    <mergeCell ref="C221:E221"/>
    <mergeCell ref="C222:L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L223"/>
    <mergeCell ref="C224:L224"/>
    <mergeCell ref="C225:E225"/>
    <mergeCell ref="C226:E226"/>
    <mergeCell ref="C227:E227"/>
    <mergeCell ref="C228:E228"/>
    <mergeCell ref="C241:L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L239"/>
    <mergeCell ref="C240:L240"/>
    <mergeCell ref="C253:E253"/>
    <mergeCell ref="C254:L254"/>
    <mergeCell ref="C255:E255"/>
    <mergeCell ref="C256:E256"/>
    <mergeCell ref="C257:L257"/>
    <mergeCell ref="C258:L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L259"/>
    <mergeCell ref="C260:E260"/>
    <mergeCell ref="C261:E261"/>
    <mergeCell ref="C262:E262"/>
    <mergeCell ref="C263:E263"/>
    <mergeCell ref="C264:E264"/>
    <mergeCell ref="C277:L277"/>
    <mergeCell ref="C278:L278"/>
    <mergeCell ref="C279:E279"/>
    <mergeCell ref="C280:E280"/>
    <mergeCell ref="C281:E281"/>
    <mergeCell ref="C282:E282"/>
    <mergeCell ref="C271:E271"/>
    <mergeCell ref="C272:L272"/>
    <mergeCell ref="C273:L273"/>
    <mergeCell ref="C274:L274"/>
    <mergeCell ref="C275:E275"/>
    <mergeCell ref="C276:E276"/>
    <mergeCell ref="C289:L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L288"/>
    <mergeCell ref="C301:E301"/>
    <mergeCell ref="C302:L302"/>
    <mergeCell ref="C303:L303"/>
    <mergeCell ref="C304:L304"/>
    <mergeCell ref="C305:E305"/>
    <mergeCell ref="C306:K306"/>
    <mergeCell ref="C295:E295"/>
    <mergeCell ref="C296:E296"/>
    <mergeCell ref="C297:E297"/>
    <mergeCell ref="C298:E298"/>
    <mergeCell ref="C299:L299"/>
    <mergeCell ref="C300:E300"/>
    <mergeCell ref="C314:E314"/>
    <mergeCell ref="C315:E315"/>
    <mergeCell ref="C316:E316"/>
    <mergeCell ref="C317:E317"/>
    <mergeCell ref="C318:E318"/>
    <mergeCell ref="C319:E319"/>
    <mergeCell ref="C308:E308"/>
    <mergeCell ref="C309:L309"/>
    <mergeCell ref="C310:L310"/>
    <mergeCell ref="C311:L311"/>
    <mergeCell ref="C312:E312"/>
    <mergeCell ref="C313:E313"/>
    <mergeCell ref="C326:L326"/>
    <mergeCell ref="C327:L327"/>
    <mergeCell ref="C328:E328"/>
    <mergeCell ref="C329:E329"/>
    <mergeCell ref="C330:L330"/>
    <mergeCell ref="C331:L331"/>
    <mergeCell ref="C320:E320"/>
    <mergeCell ref="C321:E321"/>
    <mergeCell ref="C322:E322"/>
    <mergeCell ref="C323:E323"/>
    <mergeCell ref="C324:L324"/>
    <mergeCell ref="C325:L325"/>
    <mergeCell ref="C338:E338"/>
    <mergeCell ref="C339:E339"/>
    <mergeCell ref="C340:E340"/>
    <mergeCell ref="C341:E341"/>
    <mergeCell ref="C342:E342"/>
    <mergeCell ref="C343:E343"/>
    <mergeCell ref="C332:L332"/>
    <mergeCell ref="C333:L333"/>
    <mergeCell ref="C334:E334"/>
    <mergeCell ref="C335:E335"/>
    <mergeCell ref="C336:E336"/>
    <mergeCell ref="C337:E337"/>
    <mergeCell ref="C350:E350"/>
    <mergeCell ref="C351:E351"/>
    <mergeCell ref="C352:L352"/>
    <mergeCell ref="C353:L353"/>
    <mergeCell ref="C354:L354"/>
    <mergeCell ref="C355:E355"/>
    <mergeCell ref="C344:E344"/>
    <mergeCell ref="C345:E345"/>
    <mergeCell ref="C346:L346"/>
    <mergeCell ref="C347:L347"/>
    <mergeCell ref="C348:L348"/>
    <mergeCell ref="C349:L349"/>
    <mergeCell ref="C362:E362"/>
    <mergeCell ref="C363:E363"/>
    <mergeCell ref="C364:E364"/>
    <mergeCell ref="C365:E365"/>
    <mergeCell ref="C366:E366"/>
    <mergeCell ref="C367:L367"/>
    <mergeCell ref="C356:E356"/>
    <mergeCell ref="C357:E357"/>
    <mergeCell ref="C358:E358"/>
    <mergeCell ref="C359:E359"/>
    <mergeCell ref="C360:E360"/>
    <mergeCell ref="C361:E361"/>
    <mergeCell ref="C374:L374"/>
    <mergeCell ref="C375:L375"/>
    <mergeCell ref="C376:E376"/>
    <mergeCell ref="C377:E377"/>
    <mergeCell ref="C378:E378"/>
    <mergeCell ref="C379:E379"/>
    <mergeCell ref="C368:L368"/>
    <mergeCell ref="C369:L369"/>
    <mergeCell ref="C370:L370"/>
    <mergeCell ref="C371:E371"/>
    <mergeCell ref="C372:E372"/>
    <mergeCell ref="C373:L373"/>
    <mergeCell ref="C386:L386"/>
    <mergeCell ref="C387:L387"/>
    <mergeCell ref="C388:L388"/>
    <mergeCell ref="C389:E389"/>
    <mergeCell ref="C390:E390"/>
    <mergeCell ref="C391:L391"/>
    <mergeCell ref="C380:E380"/>
    <mergeCell ref="C381:E381"/>
    <mergeCell ref="C382:E382"/>
    <mergeCell ref="C383:E383"/>
    <mergeCell ref="C384:E384"/>
    <mergeCell ref="C385:L385"/>
    <mergeCell ref="C398:E398"/>
    <mergeCell ref="C399:E399"/>
    <mergeCell ref="C400:E400"/>
    <mergeCell ref="C401:E401"/>
    <mergeCell ref="C402:E402"/>
    <mergeCell ref="C403:E403"/>
    <mergeCell ref="C392:L392"/>
    <mergeCell ref="C393:E393"/>
    <mergeCell ref="C394:E394"/>
    <mergeCell ref="C395:E395"/>
    <mergeCell ref="C396:E396"/>
    <mergeCell ref="C397:E397"/>
    <mergeCell ref="C410:L410"/>
    <mergeCell ref="C411:L411"/>
    <mergeCell ref="C412:L412"/>
    <mergeCell ref="C413:E413"/>
    <mergeCell ref="C414:E414"/>
    <mergeCell ref="C415:E415"/>
    <mergeCell ref="C404:E404"/>
    <mergeCell ref="C405:L405"/>
    <mergeCell ref="C406:L406"/>
    <mergeCell ref="C407:L407"/>
    <mergeCell ref="C408:E408"/>
    <mergeCell ref="C409:E409"/>
    <mergeCell ref="C422:L422"/>
    <mergeCell ref="C423:L423"/>
    <mergeCell ref="C424:L424"/>
    <mergeCell ref="C425:L425"/>
    <mergeCell ref="C426:E426"/>
    <mergeCell ref="C428:K428"/>
    <mergeCell ref="C416:E416"/>
    <mergeCell ref="C417:E417"/>
    <mergeCell ref="C418:E418"/>
    <mergeCell ref="C419:E419"/>
    <mergeCell ref="C420:E420"/>
    <mergeCell ref="C421:E421"/>
    <mergeCell ref="C436:E436"/>
    <mergeCell ref="C437:E437"/>
    <mergeCell ref="C438:E438"/>
    <mergeCell ref="C439:E439"/>
    <mergeCell ref="C440:E440"/>
    <mergeCell ref="C441:E441"/>
    <mergeCell ref="C430:E430"/>
    <mergeCell ref="C431:L431"/>
    <mergeCell ref="C432:L432"/>
    <mergeCell ref="C433:L433"/>
    <mergeCell ref="C434:E434"/>
    <mergeCell ref="C435:E435"/>
    <mergeCell ref="C448:E448"/>
    <mergeCell ref="C449:E449"/>
    <mergeCell ref="C450:E450"/>
    <mergeCell ref="C451:E451"/>
    <mergeCell ref="C453:K453"/>
    <mergeCell ref="C455:K455"/>
    <mergeCell ref="C442:L442"/>
    <mergeCell ref="C443:L443"/>
    <mergeCell ref="C444:L444"/>
    <mergeCell ref="C445:E445"/>
    <mergeCell ref="C446:E446"/>
    <mergeCell ref="C447:E447"/>
    <mergeCell ref="C462:K462"/>
    <mergeCell ref="C463:K463"/>
    <mergeCell ref="C464:K464"/>
    <mergeCell ref="C465:K465"/>
    <mergeCell ref="C466:K466"/>
    <mergeCell ref="C467:K467"/>
    <mergeCell ref="C456:K456"/>
    <mergeCell ref="C457:K457"/>
    <mergeCell ref="C458:K458"/>
    <mergeCell ref="C459:K459"/>
    <mergeCell ref="C460:K460"/>
    <mergeCell ref="C461:K461"/>
    <mergeCell ref="A482:L482"/>
    <mergeCell ref="C476:L476"/>
    <mergeCell ref="C477:G477"/>
    <mergeCell ref="H477:L477"/>
    <mergeCell ref="C478:L478"/>
    <mergeCell ref="A480:L480"/>
    <mergeCell ref="A481:L481"/>
    <mergeCell ref="C468:K468"/>
    <mergeCell ref="C469:K469"/>
    <mergeCell ref="C470:K470"/>
    <mergeCell ref="C471:K471"/>
    <mergeCell ref="C472:K472"/>
    <mergeCell ref="C475:G475"/>
    <mergeCell ref="H475:L47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F6CAA-A7C2-45E2-9C38-7DAD7EDA967F}">
  <sheetPr>
    <tabColor rgb="FFFF0000"/>
    <pageSetUpPr fitToPage="1"/>
  </sheetPr>
  <dimension ref="A1:HY484"/>
  <sheetViews>
    <sheetView topLeftCell="A7" zoomScale="110" zoomScaleNormal="110" workbookViewId="0">
      <pane ySplit="10" topLeftCell="A310" activePane="bottomLeft" state="frozen"/>
      <selection activeCell="A7" sqref="A7"/>
      <selection pane="bottomLeft" activeCell="O312" sqref="O31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9.285156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18.28515625" style="110" customWidth="1"/>
    <col min="14" max="14" width="12.140625" style="2" customWidth="1"/>
    <col min="15" max="15" width="14.7109375" style="2" customWidth="1"/>
    <col min="16" max="16" width="9.140625" style="2"/>
    <col min="17" max="17" width="13.28515625" style="2" bestFit="1" customWidth="1"/>
    <col min="18" max="18" width="12.42578125" style="2" customWidth="1"/>
    <col min="19" max="19" width="13.28515625" style="2" bestFit="1" customWidth="1"/>
    <col min="20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4" width="159" style="3" hidden="1" customWidth="1"/>
    <col min="155" max="157" width="34.140625" style="3" hidden="1" customWidth="1"/>
    <col min="158" max="159" width="130" style="3" hidden="1" customWidth="1"/>
    <col min="160" max="163" width="34.140625" style="3" hidden="1" customWidth="1"/>
    <col min="164" max="164" width="130" style="3" hidden="1" customWidth="1"/>
    <col min="165" max="165" width="159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53" customFormat="1" ht="8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06"/>
    </row>
    <row r="2" spans="1:153" customFormat="1" ht="15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6"/>
      <c r="DS2" s="6" t="s">
        <v>1</v>
      </c>
      <c r="DT2" s="6" t="s">
        <v>0</v>
      </c>
      <c r="DU2" s="6" t="s">
        <v>0</v>
      </c>
      <c r="DV2" s="6" t="s">
        <v>0</v>
      </c>
      <c r="DW2" s="6" t="s">
        <v>0</v>
      </c>
      <c r="DX2" s="6" t="s">
        <v>0</v>
      </c>
      <c r="DY2" s="6" t="s">
        <v>0</v>
      </c>
      <c r="DZ2" s="6" t="s">
        <v>0</v>
      </c>
      <c r="EA2" s="6" t="s">
        <v>0</v>
      </c>
      <c r="EB2" s="6" t="s">
        <v>0</v>
      </c>
      <c r="EC2" s="6" t="s">
        <v>0</v>
      </c>
      <c r="ED2" s="6" t="s">
        <v>0</v>
      </c>
      <c r="EE2" s="6" t="s">
        <v>0</v>
      </c>
      <c r="EF2" s="6" t="s">
        <v>0</v>
      </c>
    </row>
    <row r="3" spans="1:153" customFormat="1" ht="15" x14ac:dyDescent="0.2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06"/>
    </row>
    <row r="4" spans="1:153" customFormat="1" ht="15.75" customHeight="1" x14ac:dyDescent="0.25">
      <c r="A4" s="172" t="s">
        <v>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06"/>
    </row>
    <row r="5" spans="1:153" customFormat="1" ht="8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6"/>
    </row>
    <row r="6" spans="1:153" customFormat="1" ht="15" x14ac:dyDescent="0.25">
      <c r="A6" s="173" t="s">
        <v>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06"/>
      <c r="EG6" s="6" t="s">
        <v>4</v>
      </c>
      <c r="EH6" s="6" t="s">
        <v>0</v>
      </c>
      <c r="EI6" s="6" t="s">
        <v>0</v>
      </c>
      <c r="EJ6" s="6" t="s">
        <v>0</v>
      </c>
      <c r="EK6" s="6" t="s">
        <v>0</v>
      </c>
      <c r="EL6" s="6" t="s">
        <v>0</v>
      </c>
      <c r="EM6" s="6" t="s">
        <v>0</v>
      </c>
      <c r="EN6" s="6" t="s">
        <v>0</v>
      </c>
      <c r="EO6" s="6" t="s">
        <v>0</v>
      </c>
      <c r="EP6" s="6" t="s">
        <v>0</v>
      </c>
      <c r="EQ6" s="6" t="s">
        <v>0</v>
      </c>
      <c r="ER6" s="6" t="s">
        <v>0</v>
      </c>
      <c r="ES6" s="6" t="s">
        <v>0</v>
      </c>
      <c r="ET6" s="6" t="s">
        <v>0</v>
      </c>
    </row>
    <row r="7" spans="1:153" customFormat="1" ht="13.5" customHeight="1" x14ac:dyDescent="0.25">
      <c r="A7" s="171" t="s">
        <v>5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06"/>
    </row>
    <row r="8" spans="1:153" customFormat="1" ht="18" customHeight="1" x14ac:dyDescent="0.25">
      <c r="A8" s="4" t="s">
        <v>6</v>
      </c>
      <c r="B8" s="174" t="s">
        <v>7</v>
      </c>
      <c r="C8" s="174"/>
      <c r="D8" s="174"/>
      <c r="E8" s="174"/>
      <c r="F8" s="174"/>
      <c r="G8" s="7"/>
      <c r="H8" s="7"/>
      <c r="I8" s="7"/>
      <c r="J8" s="7"/>
      <c r="K8" s="7"/>
      <c r="L8" s="7"/>
      <c r="M8" s="106"/>
    </row>
    <row r="9" spans="1:153" customFormat="1" ht="15" x14ac:dyDescent="0.25">
      <c r="A9" s="4"/>
      <c r="B9" s="156" t="s">
        <v>8</v>
      </c>
      <c r="C9" s="156"/>
      <c r="D9" s="156"/>
      <c r="E9" s="156"/>
      <c r="F9" s="156"/>
      <c r="G9" s="10"/>
      <c r="H9" s="10"/>
      <c r="I9" s="10"/>
      <c r="J9" s="10"/>
      <c r="K9" s="10"/>
      <c r="L9" s="10"/>
      <c r="M9" s="106"/>
    </row>
    <row r="10" spans="1:153" customFormat="1" ht="9.75" customHeight="1" x14ac:dyDescent="0.25">
      <c r="A10" s="4"/>
      <c r="B10" s="4"/>
      <c r="C10" s="4"/>
      <c r="D10" s="11"/>
      <c r="E10" s="11"/>
      <c r="F10" s="11"/>
      <c r="G10" s="11"/>
      <c r="H10" s="11"/>
      <c r="I10" s="11"/>
      <c r="J10" s="11"/>
      <c r="K10" s="11"/>
      <c r="L10" s="11"/>
      <c r="M10" s="106"/>
    </row>
    <row r="11" spans="1:153" customFormat="1" ht="15" x14ac:dyDescent="0.25">
      <c r="A11" s="12" t="s">
        <v>9</v>
      </c>
      <c r="B11" s="4"/>
      <c r="C11" s="4"/>
      <c r="D11" s="157" t="s">
        <v>10</v>
      </c>
      <c r="E11" s="157"/>
      <c r="F11" s="157"/>
      <c r="G11" s="13"/>
      <c r="H11" s="13"/>
      <c r="I11" s="13"/>
      <c r="J11" s="13"/>
      <c r="K11" s="13"/>
      <c r="L11" s="13"/>
      <c r="M11" s="106"/>
      <c r="EU11" s="6" t="s">
        <v>10</v>
      </c>
      <c r="EV11" s="6" t="s">
        <v>0</v>
      </c>
      <c r="EW11" s="6" t="s">
        <v>0</v>
      </c>
    </row>
    <row r="12" spans="1:153" customFormat="1" ht="9.75" customHeight="1" x14ac:dyDescent="0.25">
      <c r="A12" s="4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06"/>
    </row>
    <row r="13" spans="1:153" customFormat="1" ht="36" customHeight="1" x14ac:dyDescent="0.25">
      <c r="A13" s="158" t="s">
        <v>11</v>
      </c>
      <c r="B13" s="158" t="s">
        <v>12</v>
      </c>
      <c r="C13" s="161" t="s">
        <v>13</v>
      </c>
      <c r="D13" s="162"/>
      <c r="E13" s="163"/>
      <c r="F13" s="158" t="s">
        <v>14</v>
      </c>
      <c r="G13" s="158" t="s">
        <v>15</v>
      </c>
      <c r="H13" s="158" t="s">
        <v>18</v>
      </c>
      <c r="I13" s="158" t="s">
        <v>19</v>
      </c>
      <c r="J13" s="161" t="s">
        <v>16</v>
      </c>
      <c r="K13" s="162"/>
      <c r="L13" s="163"/>
      <c r="M13" s="106"/>
    </row>
    <row r="14" spans="1:153" customFormat="1" ht="11.25" customHeight="1" x14ac:dyDescent="0.25">
      <c r="A14" s="159"/>
      <c r="B14" s="159"/>
      <c r="C14" s="164"/>
      <c r="D14" s="165"/>
      <c r="E14" s="166"/>
      <c r="F14" s="159"/>
      <c r="G14" s="159"/>
      <c r="H14" s="159"/>
      <c r="I14" s="159"/>
      <c r="J14" s="167"/>
      <c r="K14" s="168"/>
      <c r="L14" s="169"/>
      <c r="M14" s="106"/>
    </row>
    <row r="15" spans="1:153" customFormat="1" ht="54" customHeight="1" x14ac:dyDescent="0.25">
      <c r="A15" s="160"/>
      <c r="B15" s="160"/>
      <c r="C15" s="167"/>
      <c r="D15" s="168"/>
      <c r="E15" s="169"/>
      <c r="F15" s="160"/>
      <c r="G15" s="160" t="s">
        <v>17</v>
      </c>
      <c r="H15" s="160"/>
      <c r="I15" s="160"/>
      <c r="J15" s="16" t="s">
        <v>17</v>
      </c>
      <c r="K15" s="16" t="s">
        <v>18</v>
      </c>
      <c r="L15" s="16" t="s">
        <v>20</v>
      </c>
      <c r="M15" s="107" t="s">
        <v>313</v>
      </c>
      <c r="N15" s="107" t="s">
        <v>314</v>
      </c>
      <c r="O15" s="107" t="s">
        <v>315</v>
      </c>
      <c r="P15" s="107" t="s">
        <v>329</v>
      </c>
      <c r="Q15" s="107" t="s">
        <v>328</v>
      </c>
      <c r="R15" s="107" t="s">
        <v>319</v>
      </c>
      <c r="S15" s="107" t="s">
        <v>321</v>
      </c>
    </row>
    <row r="16" spans="1:153" customFormat="1" ht="15" x14ac:dyDescent="0.25">
      <c r="A16" s="17">
        <v>1</v>
      </c>
      <c r="B16" s="18">
        <v>2</v>
      </c>
      <c r="C16" s="153">
        <v>3</v>
      </c>
      <c r="D16" s="154"/>
      <c r="E16" s="155"/>
      <c r="F16" s="18">
        <v>4</v>
      </c>
      <c r="G16" s="18">
        <v>5</v>
      </c>
      <c r="H16" s="18">
        <v>6</v>
      </c>
      <c r="I16" s="18">
        <v>7</v>
      </c>
      <c r="J16" s="18">
        <v>8</v>
      </c>
      <c r="K16" s="18">
        <v>9</v>
      </c>
      <c r="L16" s="18">
        <v>10</v>
      </c>
      <c r="M16" s="108"/>
      <c r="N16" s="19"/>
      <c r="O16" s="19"/>
      <c r="P16" s="120"/>
      <c r="Q16" s="121">
        <v>10366.67</v>
      </c>
    </row>
    <row r="17" spans="1:163" customFormat="1" ht="15" customHeight="1" x14ac:dyDescent="0.25">
      <c r="A17" s="90" t="s">
        <v>21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9"/>
      <c r="M17" s="106"/>
      <c r="Q17" s="121">
        <v>23000</v>
      </c>
      <c r="EX17" s="20" t="s">
        <v>21</v>
      </c>
    </row>
    <row r="18" spans="1:163" customFormat="1" ht="34.5" x14ac:dyDescent="0.25">
      <c r="A18" s="21" t="s">
        <v>22</v>
      </c>
      <c r="B18" s="22" t="s">
        <v>23</v>
      </c>
      <c r="C18" s="148" t="s">
        <v>24</v>
      </c>
      <c r="D18" s="148"/>
      <c r="E18" s="148"/>
      <c r="F18" s="23" t="s">
        <v>25</v>
      </c>
      <c r="G18" s="24">
        <v>0.27995999999999999</v>
      </c>
      <c r="H18" s="25">
        <v>1</v>
      </c>
      <c r="I18" s="26">
        <v>0.27995999999999999</v>
      </c>
      <c r="J18" s="27"/>
      <c r="K18" s="24"/>
      <c r="L18" s="28"/>
      <c r="M18" s="106"/>
      <c r="EX18" s="20"/>
      <c r="EY18" s="29" t="s">
        <v>24</v>
      </c>
      <c r="EZ18" s="29" t="s">
        <v>0</v>
      </c>
      <c r="FA18" s="29" t="s">
        <v>0</v>
      </c>
    </row>
    <row r="19" spans="1:163" customFormat="1" ht="15" x14ac:dyDescent="0.25">
      <c r="A19" s="30"/>
      <c r="B19" s="31"/>
      <c r="C19" s="146" t="s">
        <v>26</v>
      </c>
      <c r="D19" s="146"/>
      <c r="E19" s="146"/>
      <c r="F19" s="146"/>
      <c r="G19" s="146"/>
      <c r="H19" s="146"/>
      <c r="I19" s="146"/>
      <c r="J19" s="146"/>
      <c r="K19" s="146"/>
      <c r="L19" s="149"/>
      <c r="M19" s="106"/>
      <c r="EX19" s="20"/>
      <c r="EY19" s="29"/>
      <c r="EZ19" s="29"/>
      <c r="FA19" s="29"/>
      <c r="FB19" s="3" t="s">
        <v>26</v>
      </c>
    </row>
    <row r="20" spans="1:163" customFormat="1" ht="68.25" x14ac:dyDescent="0.25">
      <c r="A20" s="32"/>
      <c r="B20" s="33" t="s">
        <v>27</v>
      </c>
      <c r="C20" s="141" t="s">
        <v>28</v>
      </c>
      <c r="D20" s="141"/>
      <c r="E20" s="141"/>
      <c r="F20" s="141"/>
      <c r="G20" s="141"/>
      <c r="H20" s="141"/>
      <c r="I20" s="141"/>
      <c r="J20" s="141"/>
      <c r="K20" s="141"/>
      <c r="L20" s="150"/>
      <c r="M20" s="106"/>
      <c r="EX20" s="20"/>
      <c r="EY20" s="29"/>
      <c r="EZ20" s="29"/>
      <c r="FA20" s="29"/>
      <c r="FC20" s="3" t="s">
        <v>28</v>
      </c>
    </row>
    <row r="21" spans="1:163" customFormat="1" ht="23.25" x14ac:dyDescent="0.25">
      <c r="A21" s="32"/>
      <c r="B21" s="33" t="s">
        <v>29</v>
      </c>
      <c r="C21" s="141" t="s">
        <v>30</v>
      </c>
      <c r="D21" s="141"/>
      <c r="E21" s="141"/>
      <c r="F21" s="141"/>
      <c r="G21" s="141"/>
      <c r="H21" s="141"/>
      <c r="I21" s="141"/>
      <c r="J21" s="141"/>
      <c r="K21" s="141"/>
      <c r="L21" s="150"/>
      <c r="M21" s="106"/>
      <c r="N21" s="119" t="s">
        <v>317</v>
      </c>
      <c r="EX21" s="20"/>
      <c r="EY21" s="29"/>
      <c r="EZ21" s="29"/>
      <c r="FA21" s="29"/>
      <c r="FC21" s="3" t="s">
        <v>30</v>
      </c>
    </row>
    <row r="22" spans="1:163" customFormat="1" ht="15" x14ac:dyDescent="0.25">
      <c r="A22" s="34"/>
      <c r="B22" s="33" t="s">
        <v>22</v>
      </c>
      <c r="C22" s="146" t="s">
        <v>31</v>
      </c>
      <c r="D22" s="146"/>
      <c r="E22" s="146"/>
      <c r="F22" s="35"/>
      <c r="G22" s="36"/>
      <c r="H22" s="36"/>
      <c r="I22" s="36"/>
      <c r="J22" s="116">
        <f>O22</f>
        <v>284668.76</v>
      </c>
      <c r="K22" s="38">
        <v>1.3225</v>
      </c>
      <c r="L22" s="42">
        <f>G18*J22*K22</f>
        <v>105397.78285059599</v>
      </c>
      <c r="M22" s="106">
        <v>49.45</v>
      </c>
      <c r="N22" s="112">
        <v>136626.10224499999</v>
      </c>
      <c r="O22" s="113">
        <v>284668.76</v>
      </c>
      <c r="P22" s="104">
        <f>G26</f>
        <v>219.68</v>
      </c>
      <c r="Q22" s="105">
        <f>O22/P22*8</f>
        <v>10366.670065549892</v>
      </c>
      <c r="R22" s="105">
        <f>Q22*22</f>
        <v>228066.74144209761</v>
      </c>
      <c r="S22" s="105">
        <f>R22*(1-0.43)</f>
        <v>129998.04262199566</v>
      </c>
      <c r="EX22" s="20"/>
      <c r="EY22" s="29"/>
      <c r="EZ22" s="29"/>
      <c r="FA22" s="29"/>
      <c r="FD22" s="3" t="s">
        <v>31</v>
      </c>
    </row>
    <row r="23" spans="1:163" customFormat="1" ht="15" x14ac:dyDescent="0.25">
      <c r="A23" s="34"/>
      <c r="B23" s="33" t="s">
        <v>32</v>
      </c>
      <c r="C23" s="146" t="s">
        <v>33</v>
      </c>
      <c r="D23" s="146"/>
      <c r="E23" s="146"/>
      <c r="F23" s="35"/>
      <c r="G23" s="36"/>
      <c r="H23" s="36"/>
      <c r="I23" s="36"/>
      <c r="J23" s="117">
        <f>O23</f>
        <v>2041.25</v>
      </c>
      <c r="K23" s="38">
        <v>1.4375</v>
      </c>
      <c r="L23" s="42">
        <f>G18*J23*K23</f>
        <v>821.48575312499997</v>
      </c>
      <c r="M23" s="106">
        <v>14.53</v>
      </c>
      <c r="N23" s="112">
        <v>4947.4740812499995</v>
      </c>
      <c r="O23" s="113">
        <v>2041.25</v>
      </c>
      <c r="P23" s="104">
        <f>G27</f>
        <v>0.71</v>
      </c>
      <c r="Q23" s="105">
        <f>O23/P23*8</f>
        <v>23000</v>
      </c>
      <c r="S23" s="122"/>
      <c r="EX23" s="20"/>
      <c r="EY23" s="29"/>
      <c r="EZ23" s="29"/>
      <c r="FA23" s="29"/>
      <c r="FD23" s="3" t="s">
        <v>33</v>
      </c>
    </row>
    <row r="24" spans="1:163" customFormat="1" ht="15" x14ac:dyDescent="0.25">
      <c r="A24" s="34"/>
      <c r="B24" s="33" t="s">
        <v>34</v>
      </c>
      <c r="C24" s="146" t="s">
        <v>35</v>
      </c>
      <c r="D24" s="146"/>
      <c r="E24" s="146"/>
      <c r="F24" s="35"/>
      <c r="G24" s="36"/>
      <c r="H24" s="36"/>
      <c r="I24" s="36"/>
      <c r="J24" s="39">
        <v>9</v>
      </c>
      <c r="K24" s="38">
        <v>1.4375</v>
      </c>
      <c r="L24" s="42">
        <f>G18*J24*K24</f>
        <v>3.6219824999999997</v>
      </c>
      <c r="M24" s="106"/>
      <c r="EX24" s="20"/>
      <c r="EY24" s="29"/>
      <c r="EZ24" s="29"/>
      <c r="FA24" s="29"/>
      <c r="FD24" s="3" t="s">
        <v>35</v>
      </c>
    </row>
    <row r="25" spans="1:163" customFormat="1" ht="15" x14ac:dyDescent="0.25">
      <c r="A25" s="34"/>
      <c r="B25" s="33" t="s">
        <v>36</v>
      </c>
      <c r="C25" s="146" t="s">
        <v>37</v>
      </c>
      <c r="D25" s="146"/>
      <c r="E25" s="146"/>
      <c r="F25" s="35"/>
      <c r="G25" s="36"/>
      <c r="H25" s="36"/>
      <c r="I25" s="36"/>
      <c r="J25" s="37">
        <v>2732.35</v>
      </c>
      <c r="K25" s="51"/>
      <c r="L25" s="42">
        <f>G18*J25</f>
        <v>764.9487059999999</v>
      </c>
      <c r="M25" s="106"/>
      <c r="EX25" s="20"/>
      <c r="EY25" s="29"/>
      <c r="EZ25" s="29"/>
      <c r="FA25" s="29"/>
      <c r="FD25" s="3" t="s">
        <v>37</v>
      </c>
    </row>
    <row r="26" spans="1:163" customFormat="1" ht="15" x14ac:dyDescent="0.25">
      <c r="A26" s="43"/>
      <c r="B26" s="33"/>
      <c r="C26" s="146" t="s">
        <v>38</v>
      </c>
      <c r="D26" s="146"/>
      <c r="E26" s="146"/>
      <c r="F26" s="35" t="s">
        <v>39</v>
      </c>
      <c r="G26" s="40">
        <v>219.68</v>
      </c>
      <c r="H26" s="38">
        <v>1.3225</v>
      </c>
      <c r="I26" s="40">
        <v>81.335882900000001</v>
      </c>
      <c r="J26" s="45"/>
      <c r="K26" s="36"/>
      <c r="L26" s="46"/>
      <c r="M26" s="106"/>
      <c r="EX26" s="20"/>
      <c r="EY26" s="29"/>
      <c r="EZ26" s="29"/>
      <c r="FA26" s="29"/>
      <c r="FE26" s="3" t="s">
        <v>38</v>
      </c>
    </row>
    <row r="27" spans="1:163" customFormat="1" ht="15" x14ac:dyDescent="0.25">
      <c r="A27" s="43"/>
      <c r="B27" s="33"/>
      <c r="C27" s="146" t="s">
        <v>40</v>
      </c>
      <c r="D27" s="146"/>
      <c r="E27" s="146"/>
      <c r="F27" s="35" t="s">
        <v>39</v>
      </c>
      <c r="G27" s="40">
        <v>0.71</v>
      </c>
      <c r="H27" s="38">
        <v>1.4375</v>
      </c>
      <c r="I27" s="40">
        <v>0.28573419999999999</v>
      </c>
      <c r="J27" s="45"/>
      <c r="K27" s="36"/>
      <c r="L27" s="46"/>
      <c r="M27" s="106"/>
      <c r="EX27" s="20"/>
      <c r="EY27" s="29"/>
      <c r="EZ27" s="29"/>
      <c r="FA27" s="29"/>
      <c r="FE27" s="3" t="s">
        <v>40</v>
      </c>
    </row>
    <row r="28" spans="1:163" customFormat="1" ht="15" x14ac:dyDescent="0.25">
      <c r="A28" s="30"/>
      <c r="B28" s="33"/>
      <c r="C28" s="151" t="s">
        <v>41</v>
      </c>
      <c r="D28" s="151"/>
      <c r="E28" s="151"/>
      <c r="F28" s="47"/>
      <c r="G28" s="48"/>
      <c r="H28" s="48"/>
      <c r="I28" s="48"/>
      <c r="J28" s="49">
        <v>5058.38</v>
      </c>
      <c r="K28" s="48"/>
      <c r="L28" s="50">
        <f>L22+L23+L25</f>
        <v>106984.21730972099</v>
      </c>
      <c r="M28" s="106"/>
      <c r="O28" s="114"/>
      <c r="EX28" s="20"/>
      <c r="EY28" s="29"/>
      <c r="EZ28" s="29"/>
      <c r="FA28" s="29"/>
      <c r="FF28" s="3" t="s">
        <v>41</v>
      </c>
    </row>
    <row r="29" spans="1:163" customFormat="1" ht="15" x14ac:dyDescent="0.25">
      <c r="A29" s="43"/>
      <c r="B29" s="33"/>
      <c r="C29" s="146" t="s">
        <v>42</v>
      </c>
      <c r="D29" s="146"/>
      <c r="E29" s="146"/>
      <c r="F29" s="35"/>
      <c r="G29" s="36"/>
      <c r="H29" s="36"/>
      <c r="I29" s="36"/>
      <c r="J29" s="45"/>
      <c r="K29" s="36"/>
      <c r="L29" s="42">
        <f>L22+L24</f>
        <v>105401.40483309599</v>
      </c>
      <c r="M29" s="106"/>
      <c r="N29" s="105"/>
      <c r="O29" s="114"/>
      <c r="EX29" s="20"/>
      <c r="EY29" s="29"/>
      <c r="EZ29" s="29"/>
      <c r="FA29" s="29"/>
      <c r="FE29" s="3" t="s">
        <v>42</v>
      </c>
    </row>
    <row r="30" spans="1:163" customFormat="1" ht="23.25" x14ac:dyDescent="0.25">
      <c r="A30" s="43"/>
      <c r="B30" s="33" t="s">
        <v>43</v>
      </c>
      <c r="C30" s="146" t="s">
        <v>44</v>
      </c>
      <c r="D30" s="146"/>
      <c r="E30" s="146"/>
      <c r="F30" s="35" t="s">
        <v>45</v>
      </c>
      <c r="G30" s="51">
        <v>126</v>
      </c>
      <c r="H30" s="36"/>
      <c r="I30" s="51">
        <v>126</v>
      </c>
      <c r="J30" s="45"/>
      <c r="K30" s="36"/>
      <c r="L30" s="42">
        <f>L29*I30%</f>
        <v>132805.77008970096</v>
      </c>
      <c r="M30" s="106"/>
      <c r="O30" s="114"/>
      <c r="P30" s="114"/>
      <c r="Q30" s="115"/>
      <c r="EX30" s="20"/>
      <c r="EY30" s="29"/>
      <c r="EZ30" s="29"/>
      <c r="FA30" s="29"/>
      <c r="FE30" s="3" t="s">
        <v>44</v>
      </c>
    </row>
    <row r="31" spans="1:163" customFormat="1" ht="23.25" x14ac:dyDescent="0.25">
      <c r="A31" s="43"/>
      <c r="B31" s="33" t="s">
        <v>46</v>
      </c>
      <c r="C31" s="146" t="s">
        <v>47</v>
      </c>
      <c r="D31" s="146"/>
      <c r="E31" s="146"/>
      <c r="F31" s="35" t="s">
        <v>45</v>
      </c>
      <c r="G31" s="51">
        <v>68</v>
      </c>
      <c r="H31" s="36"/>
      <c r="I31" s="51">
        <v>68</v>
      </c>
      <c r="J31" s="45"/>
      <c r="K31" s="36"/>
      <c r="L31" s="42">
        <f>L29*I31%</f>
        <v>71672.955286505283</v>
      </c>
      <c r="M31" s="106"/>
      <c r="EX31" s="20"/>
      <c r="EY31" s="29"/>
      <c r="EZ31" s="29"/>
      <c r="FA31" s="29"/>
      <c r="FE31" s="3" t="s">
        <v>47</v>
      </c>
    </row>
    <row r="32" spans="1:163" customFormat="1" ht="15" x14ac:dyDescent="0.25">
      <c r="A32" s="52"/>
      <c r="B32" s="53"/>
      <c r="C32" s="148" t="s">
        <v>48</v>
      </c>
      <c r="D32" s="148"/>
      <c r="E32" s="148"/>
      <c r="F32" s="23"/>
      <c r="G32" s="24"/>
      <c r="H32" s="24"/>
      <c r="I32" s="24"/>
      <c r="J32" s="27"/>
      <c r="K32" s="24"/>
      <c r="L32" s="96">
        <f>L28+L30+L31</f>
        <v>311462.94268592726</v>
      </c>
      <c r="M32" s="106"/>
      <c r="EX32" s="20"/>
      <c r="EY32" s="29"/>
      <c r="EZ32" s="29"/>
      <c r="FA32" s="29"/>
      <c r="FG32" s="29" t="s">
        <v>48</v>
      </c>
    </row>
    <row r="33" spans="1:164" customFormat="1" ht="33.75" x14ac:dyDescent="0.25">
      <c r="A33" s="21" t="s">
        <v>32</v>
      </c>
      <c r="B33" s="22" t="s">
        <v>49</v>
      </c>
      <c r="C33" s="148" t="s">
        <v>50</v>
      </c>
      <c r="D33" s="148"/>
      <c r="E33" s="148"/>
      <c r="F33" s="23" t="s">
        <v>51</v>
      </c>
      <c r="G33" s="24">
        <v>190</v>
      </c>
      <c r="H33" s="25">
        <v>1</v>
      </c>
      <c r="I33" s="25">
        <v>190</v>
      </c>
      <c r="J33" s="56">
        <f>1555.9/1.2</f>
        <v>1296.5833333333335</v>
      </c>
      <c r="K33" s="26">
        <v>1.04236</v>
      </c>
      <c r="L33" s="97">
        <f>G33*J33*K33</f>
        <v>256786.25463333336</v>
      </c>
      <c r="M33" s="106"/>
      <c r="EX33" s="20"/>
      <c r="EY33" s="29" t="s">
        <v>50</v>
      </c>
      <c r="EZ33" s="29" t="s">
        <v>0</v>
      </c>
      <c r="FA33" s="29" t="s">
        <v>0</v>
      </c>
      <c r="FG33" s="29"/>
    </row>
    <row r="34" spans="1:164" customFormat="1" ht="15" x14ac:dyDescent="0.25">
      <c r="A34" s="30"/>
      <c r="B34" s="31"/>
      <c r="C34" s="146" t="s">
        <v>52</v>
      </c>
      <c r="D34" s="146"/>
      <c r="E34" s="146"/>
      <c r="F34" s="146"/>
      <c r="G34" s="146"/>
      <c r="H34" s="146"/>
      <c r="I34" s="146"/>
      <c r="J34" s="146"/>
      <c r="K34" s="146"/>
      <c r="L34" s="149"/>
      <c r="M34" s="106"/>
      <c r="EX34" s="20"/>
      <c r="EY34" s="29"/>
      <c r="EZ34" s="29"/>
      <c r="FA34" s="29"/>
      <c r="FB34" s="3" t="s">
        <v>52</v>
      </c>
      <c r="FG34" s="29"/>
    </row>
    <row r="35" spans="1:164" customFormat="1" ht="15" x14ac:dyDescent="0.25">
      <c r="A35" s="30"/>
      <c r="B35" s="31"/>
      <c r="C35" s="152" t="s">
        <v>296</v>
      </c>
      <c r="D35" s="146"/>
      <c r="E35" s="146"/>
      <c r="F35" s="146"/>
      <c r="G35" s="146"/>
      <c r="H35" s="146"/>
      <c r="I35" s="146"/>
      <c r="J35" s="146"/>
      <c r="K35" s="146"/>
      <c r="L35" s="149"/>
      <c r="M35" s="106"/>
      <c r="EX35" s="20"/>
      <c r="EY35" s="29"/>
      <c r="EZ35" s="29"/>
      <c r="FA35" s="29"/>
      <c r="FG35" s="29"/>
      <c r="FH35" s="3" t="s">
        <v>53</v>
      </c>
    </row>
    <row r="36" spans="1:164" customFormat="1" ht="15" x14ac:dyDescent="0.25">
      <c r="A36" s="32"/>
      <c r="B36" s="33"/>
      <c r="C36" s="141" t="s">
        <v>54</v>
      </c>
      <c r="D36" s="141"/>
      <c r="E36" s="141"/>
      <c r="F36" s="141"/>
      <c r="G36" s="141"/>
      <c r="H36" s="141"/>
      <c r="I36" s="141"/>
      <c r="J36" s="141"/>
      <c r="K36" s="141"/>
      <c r="L36" s="150"/>
      <c r="M36" s="106"/>
      <c r="EX36" s="20"/>
      <c r="EY36" s="29"/>
      <c r="EZ36" s="29"/>
      <c r="FA36" s="29"/>
      <c r="FC36" s="3" t="s">
        <v>54</v>
      </c>
      <c r="FG36" s="29"/>
    </row>
    <row r="37" spans="1:164" customFormat="1" ht="15" x14ac:dyDescent="0.25">
      <c r="A37" s="32"/>
      <c r="B37" s="33"/>
      <c r="C37" s="141" t="s">
        <v>55</v>
      </c>
      <c r="D37" s="141"/>
      <c r="E37" s="141"/>
      <c r="F37" s="141"/>
      <c r="G37" s="141"/>
      <c r="H37" s="141"/>
      <c r="I37" s="141"/>
      <c r="J37" s="141"/>
      <c r="K37" s="141"/>
      <c r="L37" s="150"/>
      <c r="M37" s="106"/>
      <c r="EX37" s="20"/>
      <c r="EY37" s="29"/>
      <c r="EZ37" s="29"/>
      <c r="FA37" s="29"/>
      <c r="FC37" s="3" t="s">
        <v>55</v>
      </c>
      <c r="FG37" s="29"/>
    </row>
    <row r="38" spans="1:164" customFormat="1" ht="15" x14ac:dyDescent="0.25">
      <c r="A38" s="52"/>
      <c r="B38" s="53"/>
      <c r="C38" s="148" t="s">
        <v>48</v>
      </c>
      <c r="D38" s="148"/>
      <c r="E38" s="148"/>
      <c r="F38" s="23"/>
      <c r="G38" s="24"/>
      <c r="H38" s="24"/>
      <c r="I38" s="24"/>
      <c r="J38" s="27"/>
      <c r="K38" s="24"/>
      <c r="L38" s="96">
        <f>L33</f>
        <v>256786.25463333336</v>
      </c>
      <c r="M38" s="106"/>
      <c r="EX38" s="20"/>
      <c r="EY38" s="29"/>
      <c r="EZ38" s="29"/>
      <c r="FA38" s="29"/>
      <c r="FG38" s="29" t="s">
        <v>48</v>
      </c>
    </row>
    <row r="39" spans="1:164" customFormat="1" ht="33.75" x14ac:dyDescent="0.25">
      <c r="A39" s="21" t="s">
        <v>34</v>
      </c>
      <c r="B39" s="22" t="s">
        <v>56</v>
      </c>
      <c r="C39" s="148" t="s">
        <v>57</v>
      </c>
      <c r="D39" s="148"/>
      <c r="E39" s="148"/>
      <c r="F39" s="23" t="s">
        <v>51</v>
      </c>
      <c r="G39" s="24">
        <v>149</v>
      </c>
      <c r="H39" s="25">
        <v>1</v>
      </c>
      <c r="I39" s="25">
        <v>149</v>
      </c>
      <c r="J39" s="56">
        <f>956/1.2</f>
        <v>796.66666666666674</v>
      </c>
      <c r="K39" s="26">
        <v>1.04236</v>
      </c>
      <c r="L39" s="55">
        <f>G39*J39*K39</f>
        <v>123731.60653333334</v>
      </c>
      <c r="M39" s="106"/>
      <c r="EX39" s="20"/>
      <c r="EY39" s="29" t="s">
        <v>57</v>
      </c>
      <c r="EZ39" s="29" t="s">
        <v>0</v>
      </c>
      <c r="FA39" s="29" t="s">
        <v>0</v>
      </c>
      <c r="FG39" s="29"/>
    </row>
    <row r="40" spans="1:164" customFormat="1" ht="15" x14ac:dyDescent="0.25">
      <c r="A40" s="30"/>
      <c r="B40" s="31"/>
      <c r="C40" s="146" t="s">
        <v>58</v>
      </c>
      <c r="D40" s="146"/>
      <c r="E40" s="146"/>
      <c r="F40" s="146"/>
      <c r="G40" s="146"/>
      <c r="H40" s="146"/>
      <c r="I40" s="146"/>
      <c r="J40" s="146"/>
      <c r="K40" s="146"/>
      <c r="L40" s="149"/>
      <c r="M40" s="106"/>
      <c r="EX40" s="20"/>
      <c r="EY40" s="29"/>
      <c r="EZ40" s="29"/>
      <c r="FA40" s="29"/>
      <c r="FB40" s="3" t="s">
        <v>58</v>
      </c>
      <c r="FG40" s="29"/>
    </row>
    <row r="41" spans="1:164" customFormat="1" ht="15" x14ac:dyDescent="0.25">
      <c r="A41" s="30"/>
      <c r="B41" s="31"/>
      <c r="C41" s="152" t="s">
        <v>295</v>
      </c>
      <c r="D41" s="146"/>
      <c r="E41" s="146"/>
      <c r="F41" s="146"/>
      <c r="G41" s="146"/>
      <c r="H41" s="146"/>
      <c r="I41" s="146"/>
      <c r="J41" s="146"/>
      <c r="K41" s="146"/>
      <c r="L41" s="149"/>
      <c r="M41" s="106"/>
      <c r="EX41" s="20"/>
      <c r="EY41" s="29"/>
      <c r="EZ41" s="29"/>
      <c r="FA41" s="29"/>
      <c r="FG41" s="29"/>
      <c r="FH41" s="3" t="s">
        <v>59</v>
      </c>
    </row>
    <row r="42" spans="1:164" customFormat="1" ht="15" x14ac:dyDescent="0.25">
      <c r="A42" s="32"/>
      <c r="B42" s="33"/>
      <c r="C42" s="141" t="s">
        <v>54</v>
      </c>
      <c r="D42" s="141"/>
      <c r="E42" s="141"/>
      <c r="F42" s="141"/>
      <c r="G42" s="141"/>
      <c r="H42" s="141"/>
      <c r="I42" s="141"/>
      <c r="J42" s="141"/>
      <c r="K42" s="141"/>
      <c r="L42" s="150"/>
      <c r="M42" s="106"/>
      <c r="EX42" s="20"/>
      <c r="EY42" s="29"/>
      <c r="EZ42" s="29"/>
      <c r="FA42" s="29"/>
      <c r="FC42" s="3" t="s">
        <v>54</v>
      </c>
      <c r="FG42" s="29"/>
    </row>
    <row r="43" spans="1:164" customFormat="1" ht="15" x14ac:dyDescent="0.25">
      <c r="A43" s="32"/>
      <c r="B43" s="33"/>
      <c r="C43" s="141" t="s">
        <v>55</v>
      </c>
      <c r="D43" s="141"/>
      <c r="E43" s="141"/>
      <c r="F43" s="141"/>
      <c r="G43" s="141"/>
      <c r="H43" s="141"/>
      <c r="I43" s="141"/>
      <c r="J43" s="141"/>
      <c r="K43" s="141"/>
      <c r="L43" s="150"/>
      <c r="M43" s="106"/>
      <c r="EX43" s="20"/>
      <c r="EY43" s="29"/>
      <c r="EZ43" s="29"/>
      <c r="FA43" s="29"/>
      <c r="FC43" s="3" t="s">
        <v>55</v>
      </c>
      <c r="FG43" s="29"/>
    </row>
    <row r="44" spans="1:164" customFormat="1" ht="15" x14ac:dyDescent="0.25">
      <c r="A44" s="52"/>
      <c r="B44" s="53"/>
      <c r="C44" s="148" t="s">
        <v>48</v>
      </c>
      <c r="D44" s="148"/>
      <c r="E44" s="148"/>
      <c r="F44" s="23"/>
      <c r="G44" s="24"/>
      <c r="H44" s="24"/>
      <c r="I44" s="24"/>
      <c r="J44" s="27"/>
      <c r="K44" s="24"/>
      <c r="L44" s="96">
        <f>L39</f>
        <v>123731.60653333334</v>
      </c>
      <c r="M44" s="106"/>
      <c r="EX44" s="20"/>
      <c r="EY44" s="29"/>
      <c r="EZ44" s="29"/>
      <c r="FA44" s="29"/>
      <c r="FG44" s="29" t="s">
        <v>48</v>
      </c>
    </row>
    <row r="45" spans="1:164" customFormat="1" ht="23.25" x14ac:dyDescent="0.25">
      <c r="A45" s="21" t="s">
        <v>36</v>
      </c>
      <c r="B45" s="22" t="s">
        <v>60</v>
      </c>
      <c r="C45" s="148" t="s">
        <v>61</v>
      </c>
      <c r="D45" s="148"/>
      <c r="E45" s="148"/>
      <c r="F45" s="23" t="s">
        <v>25</v>
      </c>
      <c r="G45" s="24">
        <v>4.0000000000000001E-3</v>
      </c>
      <c r="H45" s="25">
        <v>1</v>
      </c>
      <c r="I45" s="58">
        <v>4.0000000000000001E-3</v>
      </c>
      <c r="J45" s="54">
        <v>140835</v>
      </c>
      <c r="K45" s="24">
        <v>1</v>
      </c>
      <c r="L45" s="98">
        <f>G45*J45*K45</f>
        <v>563.34</v>
      </c>
      <c r="M45" s="106"/>
      <c r="EX45" s="20"/>
      <c r="EY45" s="29" t="s">
        <v>61</v>
      </c>
      <c r="EZ45" s="29" t="s">
        <v>0</v>
      </c>
      <c r="FA45" s="29" t="s">
        <v>0</v>
      </c>
      <c r="FG45" s="29"/>
    </row>
    <row r="46" spans="1:164" customFormat="1" ht="15" x14ac:dyDescent="0.25">
      <c r="A46" s="30"/>
      <c r="B46" s="31"/>
      <c r="C46" s="146" t="s">
        <v>62</v>
      </c>
      <c r="D46" s="146"/>
      <c r="E46" s="146"/>
      <c r="F46" s="146"/>
      <c r="G46" s="146"/>
      <c r="H46" s="146"/>
      <c r="I46" s="146"/>
      <c r="J46" s="146"/>
      <c r="K46" s="146"/>
      <c r="L46" s="149"/>
      <c r="M46" s="106"/>
      <c r="EX46" s="20"/>
      <c r="EY46" s="29"/>
      <c r="EZ46" s="29"/>
      <c r="FA46" s="29"/>
      <c r="FB46" s="3" t="s">
        <v>62</v>
      </c>
      <c r="FG46" s="29"/>
    </row>
    <row r="47" spans="1:164" customFormat="1" ht="15" x14ac:dyDescent="0.25">
      <c r="A47" s="52"/>
      <c r="B47" s="53"/>
      <c r="C47" s="148" t="s">
        <v>48</v>
      </c>
      <c r="D47" s="148"/>
      <c r="E47" s="148"/>
      <c r="F47" s="23"/>
      <c r="G47" s="24"/>
      <c r="H47" s="24"/>
      <c r="I47" s="24"/>
      <c r="J47" s="27"/>
      <c r="K47" s="24"/>
      <c r="L47" s="99">
        <f>L45</f>
        <v>563.34</v>
      </c>
      <c r="M47" s="106"/>
      <c r="EX47" s="20"/>
      <c r="EY47" s="29"/>
      <c r="EZ47" s="29"/>
      <c r="FA47" s="29"/>
      <c r="FG47" s="29" t="s">
        <v>48</v>
      </c>
    </row>
    <row r="48" spans="1:164" customFormat="1" ht="23.25" x14ac:dyDescent="0.25">
      <c r="A48" s="21" t="s">
        <v>63</v>
      </c>
      <c r="B48" s="22" t="s">
        <v>64</v>
      </c>
      <c r="C48" s="148" t="s">
        <v>65</v>
      </c>
      <c r="D48" s="148"/>
      <c r="E48" s="148"/>
      <c r="F48" s="23" t="s">
        <v>25</v>
      </c>
      <c r="G48" s="24">
        <v>6.0000000000000001E-3</v>
      </c>
      <c r="H48" s="25">
        <v>1</v>
      </c>
      <c r="I48" s="58">
        <v>6.0000000000000001E-3</v>
      </c>
      <c r="J48" s="54">
        <v>91945</v>
      </c>
      <c r="K48" s="24">
        <v>1</v>
      </c>
      <c r="L48" s="59">
        <f>G48*J48*K48</f>
        <v>551.66999999999996</v>
      </c>
      <c r="M48" s="106"/>
      <c r="EX48" s="20"/>
      <c r="EY48" s="29" t="s">
        <v>65</v>
      </c>
      <c r="EZ48" s="29" t="s">
        <v>0</v>
      </c>
      <c r="FA48" s="29" t="s">
        <v>0</v>
      </c>
      <c r="FG48" s="29"/>
    </row>
    <row r="49" spans="1:163" customFormat="1" ht="15" x14ac:dyDescent="0.25">
      <c r="A49" s="30"/>
      <c r="B49" s="31"/>
      <c r="C49" s="146" t="s">
        <v>66</v>
      </c>
      <c r="D49" s="146"/>
      <c r="E49" s="146"/>
      <c r="F49" s="146"/>
      <c r="G49" s="146"/>
      <c r="H49" s="146"/>
      <c r="I49" s="146"/>
      <c r="J49" s="146"/>
      <c r="K49" s="146"/>
      <c r="L49" s="149"/>
      <c r="M49" s="106"/>
      <c r="EX49" s="20"/>
      <c r="EY49" s="29"/>
      <c r="EZ49" s="29"/>
      <c r="FA49" s="29"/>
      <c r="FB49" s="3" t="s">
        <v>66</v>
      </c>
      <c r="FG49" s="29"/>
    </row>
    <row r="50" spans="1:163" customFormat="1" ht="15" x14ac:dyDescent="0.25">
      <c r="A50" s="52"/>
      <c r="B50" s="53"/>
      <c r="C50" s="148" t="s">
        <v>48</v>
      </c>
      <c r="D50" s="148"/>
      <c r="E50" s="148"/>
      <c r="F50" s="23"/>
      <c r="G50" s="24"/>
      <c r="H50" s="24"/>
      <c r="I50" s="24"/>
      <c r="J50" s="27"/>
      <c r="K50" s="24"/>
      <c r="L50" s="99">
        <f>L48</f>
        <v>551.66999999999996</v>
      </c>
      <c r="M50" s="106"/>
      <c r="EX50" s="20"/>
      <c r="EY50" s="29"/>
      <c r="EZ50" s="29"/>
      <c r="FA50" s="29"/>
      <c r="FG50" s="29" t="s">
        <v>48</v>
      </c>
    </row>
    <row r="51" spans="1:163" customFormat="1" ht="23.25" x14ac:dyDescent="0.25">
      <c r="A51" s="21" t="s">
        <v>67</v>
      </c>
      <c r="B51" s="22" t="s">
        <v>68</v>
      </c>
      <c r="C51" s="148" t="s">
        <v>69</v>
      </c>
      <c r="D51" s="148"/>
      <c r="E51" s="148"/>
      <c r="F51" s="23" t="s">
        <v>70</v>
      </c>
      <c r="G51" s="24">
        <v>0.84</v>
      </c>
      <c r="H51" s="25">
        <v>1</v>
      </c>
      <c r="I51" s="57">
        <v>0.84</v>
      </c>
      <c r="J51" s="27"/>
      <c r="K51" s="24"/>
      <c r="L51" s="28"/>
      <c r="M51" s="106"/>
      <c r="EX51" s="20"/>
      <c r="EY51" s="29" t="s">
        <v>69</v>
      </c>
      <c r="EZ51" s="29" t="s">
        <v>0</v>
      </c>
      <c r="FA51" s="29" t="s">
        <v>0</v>
      </c>
      <c r="FG51" s="29"/>
    </row>
    <row r="52" spans="1:163" customFormat="1" ht="15" x14ac:dyDescent="0.25">
      <c r="A52" s="30"/>
      <c r="B52" s="31"/>
      <c r="C52" s="146" t="s">
        <v>71</v>
      </c>
      <c r="D52" s="146"/>
      <c r="E52" s="146"/>
      <c r="F52" s="146"/>
      <c r="G52" s="146"/>
      <c r="H52" s="146"/>
      <c r="I52" s="146"/>
      <c r="J52" s="146"/>
      <c r="K52" s="146"/>
      <c r="L52" s="149"/>
      <c r="M52" s="106"/>
      <c r="EX52" s="20"/>
      <c r="EY52" s="29"/>
      <c r="EZ52" s="29"/>
      <c r="FA52" s="29"/>
      <c r="FB52" s="3" t="s">
        <v>71</v>
      </c>
      <c r="FG52" s="29"/>
    </row>
    <row r="53" spans="1:163" customFormat="1" ht="68.25" x14ac:dyDescent="0.25">
      <c r="A53" s="32"/>
      <c r="B53" s="33" t="s">
        <v>27</v>
      </c>
      <c r="C53" s="141" t="s">
        <v>28</v>
      </c>
      <c r="D53" s="141"/>
      <c r="E53" s="141"/>
      <c r="F53" s="141"/>
      <c r="G53" s="141"/>
      <c r="H53" s="141"/>
      <c r="I53" s="141"/>
      <c r="J53" s="141"/>
      <c r="K53" s="141"/>
      <c r="L53" s="150"/>
      <c r="M53" s="106"/>
      <c r="EX53" s="20"/>
      <c r="EY53" s="29"/>
      <c r="EZ53" s="29"/>
      <c r="FA53" s="29"/>
      <c r="FC53" s="3" t="s">
        <v>28</v>
      </c>
      <c r="FG53" s="29"/>
    </row>
    <row r="54" spans="1:163" customFormat="1" ht="23.25" x14ac:dyDescent="0.25">
      <c r="A54" s="32"/>
      <c r="B54" s="33" t="s">
        <v>29</v>
      </c>
      <c r="C54" s="141" t="s">
        <v>30</v>
      </c>
      <c r="D54" s="141"/>
      <c r="E54" s="141"/>
      <c r="F54" s="141"/>
      <c r="G54" s="141"/>
      <c r="H54" s="141"/>
      <c r="I54" s="141"/>
      <c r="J54" s="141"/>
      <c r="K54" s="141"/>
      <c r="L54" s="150"/>
      <c r="M54" s="106"/>
      <c r="N54" s="118" t="s">
        <v>318</v>
      </c>
      <c r="O54" s="105"/>
      <c r="EX54" s="20"/>
      <c r="EY54" s="29"/>
      <c r="EZ54" s="29"/>
      <c r="FA54" s="29"/>
      <c r="FC54" s="3" t="s">
        <v>30</v>
      </c>
      <c r="FG54" s="29"/>
    </row>
    <row r="55" spans="1:163" customFormat="1" ht="15" x14ac:dyDescent="0.25">
      <c r="A55" s="34"/>
      <c r="B55" s="33" t="s">
        <v>22</v>
      </c>
      <c r="C55" s="146" t="s">
        <v>31</v>
      </c>
      <c r="D55" s="146"/>
      <c r="E55" s="146"/>
      <c r="F55" s="35"/>
      <c r="G55" s="36"/>
      <c r="H55" s="36"/>
      <c r="I55" s="36"/>
      <c r="J55" s="117">
        <f>O55</f>
        <v>30478.0098</v>
      </c>
      <c r="K55" s="38">
        <v>1.3225</v>
      </c>
      <c r="L55" s="42">
        <f>G51*J55*K55</f>
        <v>33858.021086820001</v>
      </c>
      <c r="M55" s="106">
        <v>49.45</v>
      </c>
      <c r="N55" s="112">
        <v>14458.760911250001</v>
      </c>
      <c r="O55" s="113">
        <v>30478.0098</v>
      </c>
      <c r="P55" s="105">
        <f>G59</f>
        <v>23.52</v>
      </c>
      <c r="Q55" s="105">
        <f>O55/P55*8</f>
        <v>10366.67</v>
      </c>
      <c r="R55" s="105">
        <f>Q55*22</f>
        <v>228066.74</v>
      </c>
      <c r="S55" s="105">
        <f>R55*(1-0.43)</f>
        <v>129998.04180000001</v>
      </c>
      <c r="EX55" s="20"/>
      <c r="EY55" s="29"/>
      <c r="EZ55" s="29"/>
      <c r="FA55" s="29"/>
      <c r="FD55" s="3" t="s">
        <v>31</v>
      </c>
      <c r="FG55" s="29"/>
    </row>
    <row r="56" spans="1:163" customFormat="1" ht="15" x14ac:dyDescent="0.25">
      <c r="A56" s="34"/>
      <c r="B56" s="33" t="s">
        <v>32</v>
      </c>
      <c r="C56" s="146" t="s">
        <v>33</v>
      </c>
      <c r="D56" s="146"/>
      <c r="E56" s="146"/>
      <c r="F56" s="35"/>
      <c r="G56" s="36"/>
      <c r="H56" s="36"/>
      <c r="I56" s="36"/>
      <c r="J56" s="117">
        <f>O56</f>
        <v>575</v>
      </c>
      <c r="K56" s="38">
        <v>1.4375</v>
      </c>
      <c r="L56" s="42">
        <f>G51*J56*K56</f>
        <v>694.3125</v>
      </c>
      <c r="M56" s="106">
        <v>14.53</v>
      </c>
      <c r="N56" s="112">
        <v>670.88642499999992</v>
      </c>
      <c r="O56" s="113">
        <v>575</v>
      </c>
      <c r="P56" s="105">
        <f>G60</f>
        <v>0.2</v>
      </c>
      <c r="Q56" s="105">
        <f>O56/P56*8</f>
        <v>23000</v>
      </c>
      <c r="EX56" s="20"/>
      <c r="EY56" s="29"/>
      <c r="EZ56" s="29"/>
      <c r="FA56" s="29"/>
      <c r="FD56" s="3" t="s">
        <v>33</v>
      </c>
      <c r="FG56" s="29"/>
    </row>
    <row r="57" spans="1:163" customFormat="1" ht="15" x14ac:dyDescent="0.25">
      <c r="A57" s="34"/>
      <c r="B57" s="33" t="s">
        <v>34</v>
      </c>
      <c r="C57" s="146" t="s">
        <v>35</v>
      </c>
      <c r="D57" s="146"/>
      <c r="E57" s="146"/>
      <c r="F57" s="35"/>
      <c r="G57" s="36"/>
      <c r="H57" s="36"/>
      <c r="I57" s="36"/>
      <c r="J57" s="39">
        <v>2.5099999999999998</v>
      </c>
      <c r="K57" s="38">
        <v>1.4375</v>
      </c>
      <c r="L57" s="42">
        <f>G51*J57*K57</f>
        <v>3.0308249999999992</v>
      </c>
      <c r="M57" s="106"/>
      <c r="EX57" s="20"/>
      <c r="EY57" s="29"/>
      <c r="EZ57" s="29"/>
      <c r="FA57" s="29"/>
      <c r="FD57" s="3" t="s">
        <v>35</v>
      </c>
      <c r="FG57" s="29"/>
    </row>
    <row r="58" spans="1:163" customFormat="1" ht="15" x14ac:dyDescent="0.25">
      <c r="A58" s="34"/>
      <c r="B58" s="33" t="s">
        <v>36</v>
      </c>
      <c r="C58" s="146" t="s">
        <v>37</v>
      </c>
      <c r="D58" s="146"/>
      <c r="E58" s="146"/>
      <c r="F58" s="35"/>
      <c r="G58" s="36"/>
      <c r="H58" s="36"/>
      <c r="I58" s="36"/>
      <c r="J58" s="39">
        <v>111.92</v>
      </c>
      <c r="K58" s="36"/>
      <c r="L58" s="42">
        <f>G51*J58</f>
        <v>94.012799999999999</v>
      </c>
      <c r="M58" s="106"/>
      <c r="EX58" s="20"/>
      <c r="EY58" s="29"/>
      <c r="EZ58" s="29"/>
      <c r="FA58" s="29"/>
      <c r="FD58" s="3" t="s">
        <v>37</v>
      </c>
      <c r="FG58" s="29"/>
    </row>
    <row r="59" spans="1:163" customFormat="1" ht="15" x14ac:dyDescent="0.25">
      <c r="A59" s="43"/>
      <c r="B59" s="33"/>
      <c r="C59" s="146" t="s">
        <v>38</v>
      </c>
      <c r="D59" s="146"/>
      <c r="E59" s="146"/>
      <c r="F59" s="35" t="s">
        <v>39</v>
      </c>
      <c r="G59" s="40">
        <v>23.52</v>
      </c>
      <c r="H59" s="38">
        <v>1.3225</v>
      </c>
      <c r="I59" s="60">
        <v>26.128367999999998</v>
      </c>
      <c r="J59" s="45"/>
      <c r="K59" s="36"/>
      <c r="L59" s="46"/>
      <c r="M59" s="106"/>
      <c r="EX59" s="20"/>
      <c r="EY59" s="29"/>
      <c r="EZ59" s="29"/>
      <c r="FA59" s="29"/>
      <c r="FE59" s="3" t="s">
        <v>38</v>
      </c>
      <c r="FG59" s="29"/>
    </row>
    <row r="60" spans="1:163" customFormat="1" ht="15" x14ac:dyDescent="0.25">
      <c r="A60" s="43"/>
      <c r="B60" s="33"/>
      <c r="C60" s="146" t="s">
        <v>40</v>
      </c>
      <c r="D60" s="146"/>
      <c r="E60" s="146"/>
      <c r="F60" s="35" t="s">
        <v>39</v>
      </c>
      <c r="G60" s="61">
        <v>0.2</v>
      </c>
      <c r="H60" s="38">
        <v>1.4375</v>
      </c>
      <c r="I60" s="38">
        <v>0.24149999999999999</v>
      </c>
      <c r="J60" s="45"/>
      <c r="K60" s="36"/>
      <c r="L60" s="46"/>
      <c r="M60" s="106"/>
      <c r="EX60" s="20"/>
      <c r="EY60" s="29"/>
      <c r="EZ60" s="29"/>
      <c r="FA60" s="29"/>
      <c r="FE60" s="3" t="s">
        <v>40</v>
      </c>
      <c r="FG60" s="29"/>
    </row>
    <row r="61" spans="1:163" customFormat="1" ht="15" x14ac:dyDescent="0.25">
      <c r="A61" s="30"/>
      <c r="B61" s="33"/>
      <c r="C61" s="151" t="s">
        <v>41</v>
      </c>
      <c r="D61" s="151"/>
      <c r="E61" s="151"/>
      <c r="F61" s="47"/>
      <c r="G61" s="48"/>
      <c r="H61" s="48"/>
      <c r="I61" s="48"/>
      <c r="J61" s="62">
        <v>365.13</v>
      </c>
      <c r="K61" s="48"/>
      <c r="L61" s="66">
        <f>L55+L56+L58</f>
        <v>34646.346386819998</v>
      </c>
      <c r="M61" s="106"/>
      <c r="EX61" s="20"/>
      <c r="EY61" s="29"/>
      <c r="EZ61" s="29"/>
      <c r="FA61" s="29"/>
      <c r="FF61" s="3" t="s">
        <v>41</v>
      </c>
      <c r="FG61" s="29"/>
    </row>
    <row r="62" spans="1:163" customFormat="1" ht="15" x14ac:dyDescent="0.25">
      <c r="A62" s="43"/>
      <c r="B62" s="33"/>
      <c r="C62" s="146" t="s">
        <v>42</v>
      </c>
      <c r="D62" s="146"/>
      <c r="E62" s="146"/>
      <c r="F62" s="35"/>
      <c r="G62" s="36"/>
      <c r="H62" s="36"/>
      <c r="I62" s="36"/>
      <c r="J62" s="45"/>
      <c r="K62" s="36"/>
      <c r="L62" s="42">
        <f>L55+L57</f>
        <v>33861.051911820003</v>
      </c>
      <c r="M62" s="106"/>
      <c r="EX62" s="20"/>
      <c r="EY62" s="29"/>
      <c r="EZ62" s="29"/>
      <c r="FA62" s="29"/>
      <c r="FE62" s="3" t="s">
        <v>42</v>
      </c>
      <c r="FG62" s="29"/>
    </row>
    <row r="63" spans="1:163" customFormat="1" ht="23.25" x14ac:dyDescent="0.25">
      <c r="A63" s="43"/>
      <c r="B63" s="33" t="s">
        <v>72</v>
      </c>
      <c r="C63" s="146" t="s">
        <v>73</v>
      </c>
      <c r="D63" s="146"/>
      <c r="E63" s="146"/>
      <c r="F63" s="35" t="s">
        <v>45</v>
      </c>
      <c r="G63" s="51">
        <v>97</v>
      </c>
      <c r="H63" s="36"/>
      <c r="I63" s="51">
        <v>97</v>
      </c>
      <c r="J63" s="45"/>
      <c r="K63" s="36"/>
      <c r="L63" s="42">
        <f>L62*I63%</f>
        <v>32845.220354465404</v>
      </c>
      <c r="M63" s="106"/>
      <c r="EX63" s="20"/>
      <c r="EY63" s="29"/>
      <c r="EZ63" s="29"/>
      <c r="FA63" s="29"/>
      <c r="FE63" s="3" t="s">
        <v>73</v>
      </c>
      <c r="FG63" s="29"/>
    </row>
    <row r="64" spans="1:163" customFormat="1" ht="23.25" x14ac:dyDescent="0.25">
      <c r="A64" s="43"/>
      <c r="B64" s="33" t="s">
        <v>74</v>
      </c>
      <c r="C64" s="146" t="s">
        <v>75</v>
      </c>
      <c r="D64" s="146"/>
      <c r="E64" s="146"/>
      <c r="F64" s="35" t="s">
        <v>45</v>
      </c>
      <c r="G64" s="51">
        <v>51</v>
      </c>
      <c r="H64" s="36"/>
      <c r="I64" s="51">
        <v>51</v>
      </c>
      <c r="J64" s="45"/>
      <c r="K64" s="36"/>
      <c r="L64" s="42">
        <f>L62*I64%</f>
        <v>17269.136475028201</v>
      </c>
      <c r="M64" s="106"/>
      <c r="EX64" s="20"/>
      <c r="EY64" s="29"/>
      <c r="EZ64" s="29"/>
      <c r="FA64" s="29"/>
      <c r="FE64" s="3" t="s">
        <v>75</v>
      </c>
      <c r="FG64" s="29"/>
    </row>
    <row r="65" spans="1:164" customFormat="1" ht="15" x14ac:dyDescent="0.25">
      <c r="A65" s="52"/>
      <c r="B65" s="53"/>
      <c r="C65" s="148" t="s">
        <v>48</v>
      </c>
      <c r="D65" s="148"/>
      <c r="E65" s="148"/>
      <c r="F65" s="23"/>
      <c r="G65" s="24"/>
      <c r="H65" s="24"/>
      <c r="I65" s="24"/>
      <c r="J65" s="27"/>
      <c r="K65" s="24"/>
      <c r="L65" s="99">
        <f>L61+L63+L64</f>
        <v>84760.703216313617</v>
      </c>
      <c r="M65" s="106"/>
      <c r="EX65" s="20"/>
      <c r="EY65" s="29"/>
      <c r="EZ65" s="29"/>
      <c r="FA65" s="29"/>
      <c r="FG65" s="29" t="s">
        <v>48</v>
      </c>
    </row>
    <row r="66" spans="1:164" customFormat="1" ht="45" x14ac:dyDescent="0.25">
      <c r="A66" s="21" t="s">
        <v>76</v>
      </c>
      <c r="B66" s="22" t="s">
        <v>77</v>
      </c>
      <c r="C66" s="148" t="s">
        <v>78</v>
      </c>
      <c r="D66" s="148"/>
      <c r="E66" s="148"/>
      <c r="F66" s="23" t="s">
        <v>51</v>
      </c>
      <c r="G66" s="24">
        <v>28</v>
      </c>
      <c r="H66" s="25">
        <v>1</v>
      </c>
      <c r="I66" s="25">
        <v>28</v>
      </c>
      <c r="J66" s="87">
        <f>16199/1.2</f>
        <v>13499.166666666668</v>
      </c>
      <c r="K66" s="26">
        <v>1.04236</v>
      </c>
      <c r="L66" s="55">
        <f>G66*J66*K66</f>
        <v>393987.75826666667</v>
      </c>
      <c r="M66" s="106"/>
      <c r="EX66" s="20"/>
      <c r="EY66" s="29" t="s">
        <v>78</v>
      </c>
      <c r="EZ66" s="29" t="s">
        <v>0</v>
      </c>
      <c r="FA66" s="29" t="s">
        <v>0</v>
      </c>
      <c r="FG66" s="29"/>
    </row>
    <row r="67" spans="1:164" customFormat="1" ht="15" x14ac:dyDescent="0.25">
      <c r="A67" s="30"/>
      <c r="B67" s="31"/>
      <c r="C67" s="146" t="s">
        <v>79</v>
      </c>
      <c r="D67" s="146"/>
      <c r="E67" s="146"/>
      <c r="F67" s="146"/>
      <c r="G67" s="146"/>
      <c r="H67" s="146"/>
      <c r="I67" s="146"/>
      <c r="J67" s="146"/>
      <c r="K67" s="146"/>
      <c r="L67" s="149"/>
      <c r="M67" s="106"/>
      <c r="EX67" s="20"/>
      <c r="EY67" s="29"/>
      <c r="EZ67" s="29"/>
      <c r="FA67" s="29"/>
      <c r="FB67" s="3" t="s">
        <v>79</v>
      </c>
      <c r="FG67" s="29"/>
    </row>
    <row r="68" spans="1:164" customFormat="1" ht="15" x14ac:dyDescent="0.25">
      <c r="A68" s="30"/>
      <c r="B68" s="31"/>
      <c r="C68" s="146" t="s">
        <v>80</v>
      </c>
      <c r="D68" s="146"/>
      <c r="E68" s="146"/>
      <c r="F68" s="146"/>
      <c r="G68" s="146"/>
      <c r="H68" s="146"/>
      <c r="I68" s="146"/>
      <c r="J68" s="146"/>
      <c r="K68" s="146"/>
      <c r="L68" s="149"/>
      <c r="M68" s="106"/>
      <c r="EX68" s="20"/>
      <c r="EY68" s="29"/>
      <c r="EZ68" s="29"/>
      <c r="FA68" s="29"/>
      <c r="FG68" s="29"/>
      <c r="FH68" s="3" t="s">
        <v>80</v>
      </c>
    </row>
    <row r="69" spans="1:164" customFormat="1" ht="15" x14ac:dyDescent="0.25">
      <c r="A69" s="32"/>
      <c r="B69" s="33"/>
      <c r="C69" s="141" t="s">
        <v>54</v>
      </c>
      <c r="D69" s="141"/>
      <c r="E69" s="141"/>
      <c r="F69" s="141"/>
      <c r="G69" s="141"/>
      <c r="H69" s="141"/>
      <c r="I69" s="141"/>
      <c r="J69" s="141"/>
      <c r="K69" s="141"/>
      <c r="L69" s="150"/>
      <c r="M69" s="106"/>
      <c r="EX69" s="20"/>
      <c r="EY69" s="29"/>
      <c r="EZ69" s="29"/>
      <c r="FA69" s="29"/>
      <c r="FC69" s="3" t="s">
        <v>54</v>
      </c>
      <c r="FG69" s="29"/>
    </row>
    <row r="70" spans="1:164" customFormat="1" ht="15" x14ac:dyDescent="0.25">
      <c r="A70" s="32"/>
      <c r="B70" s="33"/>
      <c r="C70" s="141" t="s">
        <v>55</v>
      </c>
      <c r="D70" s="141"/>
      <c r="E70" s="141"/>
      <c r="F70" s="141"/>
      <c r="G70" s="141"/>
      <c r="H70" s="141"/>
      <c r="I70" s="141"/>
      <c r="J70" s="141"/>
      <c r="K70" s="141"/>
      <c r="L70" s="150"/>
      <c r="M70" s="106"/>
      <c r="EX70" s="20"/>
      <c r="EY70" s="29"/>
      <c r="EZ70" s="29"/>
      <c r="FA70" s="29"/>
      <c r="FC70" s="3" t="s">
        <v>55</v>
      </c>
      <c r="FG70" s="29"/>
    </row>
    <row r="71" spans="1:164" customFormat="1" ht="15" x14ac:dyDescent="0.25">
      <c r="A71" s="52"/>
      <c r="B71" s="53"/>
      <c r="C71" s="148" t="s">
        <v>48</v>
      </c>
      <c r="D71" s="148"/>
      <c r="E71" s="148"/>
      <c r="F71" s="23"/>
      <c r="G71" s="24"/>
      <c r="H71" s="24"/>
      <c r="I71" s="24"/>
      <c r="J71" s="27"/>
      <c r="K71" s="24"/>
      <c r="L71" s="96">
        <f>L66</f>
        <v>393987.75826666667</v>
      </c>
      <c r="M71" s="106"/>
      <c r="EX71" s="20"/>
      <c r="EY71" s="29"/>
      <c r="EZ71" s="29"/>
      <c r="FA71" s="29"/>
      <c r="FG71" s="29" t="s">
        <v>48</v>
      </c>
    </row>
    <row r="72" spans="1:164" customFormat="1" ht="45" x14ac:dyDescent="0.25">
      <c r="A72" s="21" t="s">
        <v>81</v>
      </c>
      <c r="B72" s="22" t="s">
        <v>82</v>
      </c>
      <c r="C72" s="148" t="s">
        <v>83</v>
      </c>
      <c r="D72" s="148"/>
      <c r="E72" s="148"/>
      <c r="F72" s="23" t="s">
        <v>51</v>
      </c>
      <c r="G72" s="24">
        <v>28</v>
      </c>
      <c r="H72" s="25">
        <v>1</v>
      </c>
      <c r="I72" s="25">
        <v>28</v>
      </c>
      <c r="J72" s="56">
        <f>3755/1.2</f>
        <v>3129.166666666667</v>
      </c>
      <c r="K72" s="26">
        <v>1.04236</v>
      </c>
      <c r="L72" s="55">
        <f>G72*J72*K72</f>
        <v>91328.108666666667</v>
      </c>
      <c r="M72" s="106"/>
      <c r="EX72" s="20"/>
      <c r="EY72" s="29" t="s">
        <v>83</v>
      </c>
      <c r="EZ72" s="29" t="s">
        <v>0</v>
      </c>
      <c r="FA72" s="29" t="s">
        <v>0</v>
      </c>
      <c r="FG72" s="29"/>
    </row>
    <row r="73" spans="1:164" customFormat="1" ht="15" x14ac:dyDescent="0.25">
      <c r="A73" s="30"/>
      <c r="B73" s="31"/>
      <c r="C73" s="146" t="s">
        <v>79</v>
      </c>
      <c r="D73" s="146"/>
      <c r="E73" s="146"/>
      <c r="F73" s="146"/>
      <c r="G73" s="146"/>
      <c r="H73" s="146"/>
      <c r="I73" s="146"/>
      <c r="J73" s="146"/>
      <c r="K73" s="146"/>
      <c r="L73" s="149"/>
      <c r="M73" s="106"/>
      <c r="EX73" s="20"/>
      <c r="EY73" s="29"/>
      <c r="EZ73" s="29"/>
      <c r="FA73" s="29"/>
      <c r="FB73" s="3" t="s">
        <v>79</v>
      </c>
      <c r="FG73" s="29"/>
    </row>
    <row r="74" spans="1:164" customFormat="1" ht="15" x14ac:dyDescent="0.25">
      <c r="A74" s="30"/>
      <c r="B74" s="31"/>
      <c r="C74" s="152" t="s">
        <v>298</v>
      </c>
      <c r="D74" s="146"/>
      <c r="E74" s="146"/>
      <c r="F74" s="146"/>
      <c r="G74" s="146"/>
      <c r="H74" s="146"/>
      <c r="I74" s="146"/>
      <c r="J74" s="146"/>
      <c r="K74" s="146"/>
      <c r="L74" s="149"/>
      <c r="M74" s="106"/>
      <c r="EX74" s="20"/>
      <c r="EY74" s="29"/>
      <c r="EZ74" s="29"/>
      <c r="FA74" s="29"/>
      <c r="FG74" s="29"/>
      <c r="FH74" s="3" t="s">
        <v>84</v>
      </c>
    </row>
    <row r="75" spans="1:164" customFormat="1" ht="15" x14ac:dyDescent="0.25">
      <c r="A75" s="32"/>
      <c r="B75" s="33"/>
      <c r="C75" s="141" t="s">
        <v>54</v>
      </c>
      <c r="D75" s="141"/>
      <c r="E75" s="141"/>
      <c r="F75" s="141"/>
      <c r="G75" s="141"/>
      <c r="H75" s="141"/>
      <c r="I75" s="141"/>
      <c r="J75" s="141"/>
      <c r="K75" s="141"/>
      <c r="L75" s="150"/>
      <c r="M75" s="106"/>
      <c r="EX75" s="20"/>
      <c r="EY75" s="29"/>
      <c r="EZ75" s="29"/>
      <c r="FA75" s="29"/>
      <c r="FC75" s="3" t="s">
        <v>54</v>
      </c>
      <c r="FG75" s="29"/>
    </row>
    <row r="76" spans="1:164" customFormat="1" ht="15" x14ac:dyDescent="0.25">
      <c r="A76" s="32"/>
      <c r="B76" s="33"/>
      <c r="C76" s="141" t="s">
        <v>55</v>
      </c>
      <c r="D76" s="141"/>
      <c r="E76" s="141"/>
      <c r="F76" s="141"/>
      <c r="G76" s="141"/>
      <c r="H76" s="141"/>
      <c r="I76" s="141"/>
      <c r="J76" s="141"/>
      <c r="K76" s="141"/>
      <c r="L76" s="150"/>
      <c r="M76" s="106"/>
      <c r="EX76" s="20"/>
      <c r="EY76" s="29"/>
      <c r="EZ76" s="29"/>
      <c r="FA76" s="29"/>
      <c r="FC76" s="3" t="s">
        <v>55</v>
      </c>
      <c r="FG76" s="29"/>
    </row>
    <row r="77" spans="1:164" customFormat="1" ht="15" x14ac:dyDescent="0.25">
      <c r="A77" s="52"/>
      <c r="B77" s="53"/>
      <c r="C77" s="148" t="s">
        <v>48</v>
      </c>
      <c r="D77" s="148"/>
      <c r="E77" s="148"/>
      <c r="F77" s="23"/>
      <c r="G77" s="24"/>
      <c r="H77" s="24"/>
      <c r="I77" s="24"/>
      <c r="J77" s="27"/>
      <c r="K77" s="24"/>
      <c r="L77" s="96">
        <f>L72</f>
        <v>91328.108666666667</v>
      </c>
      <c r="M77" s="106"/>
      <c r="EX77" s="20"/>
      <c r="EY77" s="29"/>
      <c r="EZ77" s="29"/>
      <c r="FA77" s="29"/>
      <c r="FG77" s="29" t="s">
        <v>48</v>
      </c>
    </row>
    <row r="78" spans="1:164" customFormat="1" ht="57" x14ac:dyDescent="0.25">
      <c r="A78" s="21" t="s">
        <v>85</v>
      </c>
      <c r="B78" s="22" t="s">
        <v>86</v>
      </c>
      <c r="C78" s="148" t="s">
        <v>87</v>
      </c>
      <c r="D78" s="148"/>
      <c r="E78" s="148"/>
      <c r="F78" s="23" t="s">
        <v>51</v>
      </c>
      <c r="G78" s="24">
        <v>3</v>
      </c>
      <c r="H78" s="25">
        <v>1</v>
      </c>
      <c r="I78" s="25">
        <v>3</v>
      </c>
      <c r="J78" s="56">
        <f>3983/1.2</f>
        <v>3319.166666666667</v>
      </c>
      <c r="K78" s="26">
        <v>1.04236</v>
      </c>
      <c r="L78" s="55">
        <f>G78*J78*K78</f>
        <v>10379.2997</v>
      </c>
      <c r="M78" s="106"/>
      <c r="EX78" s="20"/>
      <c r="EY78" s="29" t="s">
        <v>87</v>
      </c>
      <c r="EZ78" s="29" t="s">
        <v>0</v>
      </c>
      <c r="FA78" s="29" t="s">
        <v>0</v>
      </c>
      <c r="FG78" s="29"/>
    </row>
    <row r="79" spans="1:164" customFormat="1" ht="15" x14ac:dyDescent="0.25">
      <c r="A79" s="30"/>
      <c r="B79" s="31"/>
      <c r="C79" s="152" t="s">
        <v>297</v>
      </c>
      <c r="D79" s="146"/>
      <c r="E79" s="146"/>
      <c r="F79" s="146"/>
      <c r="G79" s="146"/>
      <c r="H79" s="146"/>
      <c r="I79" s="146"/>
      <c r="J79" s="146"/>
      <c r="K79" s="146"/>
      <c r="L79" s="149"/>
      <c r="M79" s="106"/>
      <c r="EX79" s="20"/>
      <c r="EY79" s="29"/>
      <c r="EZ79" s="29"/>
      <c r="FA79" s="29"/>
      <c r="FG79" s="29"/>
      <c r="FH79" s="3" t="s">
        <v>88</v>
      </c>
    </row>
    <row r="80" spans="1:164" customFormat="1" ht="15" x14ac:dyDescent="0.25">
      <c r="A80" s="32"/>
      <c r="B80" s="33"/>
      <c r="C80" s="141" t="s">
        <v>54</v>
      </c>
      <c r="D80" s="141"/>
      <c r="E80" s="141"/>
      <c r="F80" s="141"/>
      <c r="G80" s="141"/>
      <c r="H80" s="141"/>
      <c r="I80" s="141"/>
      <c r="J80" s="141"/>
      <c r="K80" s="141"/>
      <c r="L80" s="150"/>
      <c r="M80" s="106"/>
      <c r="EX80" s="20"/>
      <c r="EY80" s="29"/>
      <c r="EZ80" s="29"/>
      <c r="FA80" s="29"/>
      <c r="FC80" s="3" t="s">
        <v>54</v>
      </c>
      <c r="FG80" s="29"/>
    </row>
    <row r="81" spans="1:164" customFormat="1" ht="15" x14ac:dyDescent="0.25">
      <c r="A81" s="32"/>
      <c r="B81" s="33"/>
      <c r="C81" s="141" t="s">
        <v>55</v>
      </c>
      <c r="D81" s="141"/>
      <c r="E81" s="141"/>
      <c r="F81" s="141"/>
      <c r="G81" s="141"/>
      <c r="H81" s="141"/>
      <c r="I81" s="141"/>
      <c r="J81" s="141"/>
      <c r="K81" s="141"/>
      <c r="L81" s="150"/>
      <c r="M81" s="106"/>
      <c r="EX81" s="20"/>
      <c r="EY81" s="29"/>
      <c r="EZ81" s="29"/>
      <c r="FA81" s="29"/>
      <c r="FC81" s="3" t="s">
        <v>55</v>
      </c>
      <c r="FG81" s="29"/>
    </row>
    <row r="82" spans="1:164" customFormat="1" ht="15" x14ac:dyDescent="0.25">
      <c r="A82" s="52"/>
      <c r="B82" s="53"/>
      <c r="C82" s="148" t="s">
        <v>48</v>
      </c>
      <c r="D82" s="148"/>
      <c r="E82" s="148"/>
      <c r="F82" s="23"/>
      <c r="G82" s="24"/>
      <c r="H82" s="24"/>
      <c r="I82" s="24"/>
      <c r="J82" s="27"/>
      <c r="K82" s="24"/>
      <c r="L82" s="96">
        <f>L78</f>
        <v>10379.2997</v>
      </c>
      <c r="M82" s="106"/>
      <c r="EX82" s="20"/>
      <c r="EY82" s="29"/>
      <c r="EZ82" s="29"/>
      <c r="FA82" s="29"/>
      <c r="FG82" s="29" t="s">
        <v>48</v>
      </c>
    </row>
    <row r="83" spans="1:164" customFormat="1" ht="45" x14ac:dyDescent="0.25">
      <c r="A83" s="21" t="s">
        <v>89</v>
      </c>
      <c r="B83" s="22" t="s">
        <v>90</v>
      </c>
      <c r="C83" s="148" t="s">
        <v>91</v>
      </c>
      <c r="D83" s="148"/>
      <c r="E83" s="148"/>
      <c r="F83" s="23" t="s">
        <v>51</v>
      </c>
      <c r="G83" s="24">
        <v>3</v>
      </c>
      <c r="H83" s="25">
        <v>1</v>
      </c>
      <c r="I83" s="25">
        <v>3</v>
      </c>
      <c r="J83" s="56">
        <f>2920/1.2</f>
        <v>2433.3333333333335</v>
      </c>
      <c r="K83" s="26">
        <v>1.04236</v>
      </c>
      <c r="L83" s="59">
        <f>G83*J83*K83</f>
        <v>7609.2280000000001</v>
      </c>
      <c r="M83" s="106"/>
      <c r="EX83" s="20"/>
      <c r="EY83" s="29" t="s">
        <v>91</v>
      </c>
      <c r="EZ83" s="29" t="s">
        <v>0</v>
      </c>
      <c r="FA83" s="29" t="s">
        <v>0</v>
      </c>
      <c r="FG83" s="29"/>
    </row>
    <row r="84" spans="1:164" customFormat="1" ht="15" x14ac:dyDescent="0.25">
      <c r="A84" s="30"/>
      <c r="B84" s="31"/>
      <c r="C84" s="152" t="s">
        <v>299</v>
      </c>
      <c r="D84" s="146"/>
      <c r="E84" s="146"/>
      <c r="F84" s="146"/>
      <c r="G84" s="146"/>
      <c r="H84" s="146"/>
      <c r="I84" s="146"/>
      <c r="J84" s="146"/>
      <c r="K84" s="146"/>
      <c r="L84" s="149"/>
      <c r="M84" s="106"/>
      <c r="EX84" s="20"/>
      <c r="EY84" s="29"/>
      <c r="EZ84" s="29"/>
      <c r="FA84" s="29"/>
      <c r="FG84" s="29"/>
      <c r="FH84" s="3" t="s">
        <v>92</v>
      </c>
    </row>
    <row r="85" spans="1:164" customFormat="1" ht="15" x14ac:dyDescent="0.25">
      <c r="A85" s="32"/>
      <c r="B85" s="33"/>
      <c r="C85" s="141" t="s">
        <v>54</v>
      </c>
      <c r="D85" s="141"/>
      <c r="E85" s="141"/>
      <c r="F85" s="141"/>
      <c r="G85" s="141"/>
      <c r="H85" s="141"/>
      <c r="I85" s="141"/>
      <c r="J85" s="141"/>
      <c r="K85" s="141"/>
      <c r="L85" s="150"/>
      <c r="M85" s="106"/>
      <c r="EX85" s="20"/>
      <c r="EY85" s="29"/>
      <c r="EZ85" s="29"/>
      <c r="FA85" s="29"/>
      <c r="FC85" s="3" t="s">
        <v>54</v>
      </c>
      <c r="FG85" s="29"/>
    </row>
    <row r="86" spans="1:164" customFormat="1" ht="15" x14ac:dyDescent="0.25">
      <c r="A86" s="32"/>
      <c r="B86" s="33"/>
      <c r="C86" s="141" t="s">
        <v>55</v>
      </c>
      <c r="D86" s="141"/>
      <c r="E86" s="141"/>
      <c r="F86" s="141"/>
      <c r="G86" s="141"/>
      <c r="H86" s="141"/>
      <c r="I86" s="141"/>
      <c r="J86" s="141"/>
      <c r="K86" s="141"/>
      <c r="L86" s="150"/>
      <c r="M86" s="106"/>
      <c r="EX86" s="20"/>
      <c r="EY86" s="29"/>
      <c r="EZ86" s="29"/>
      <c r="FA86" s="29"/>
      <c r="FC86" s="3" t="s">
        <v>55</v>
      </c>
      <c r="FG86" s="29"/>
    </row>
    <row r="87" spans="1:164" customFormat="1" ht="15" x14ac:dyDescent="0.25">
      <c r="A87" s="52"/>
      <c r="B87" s="53"/>
      <c r="C87" s="148" t="s">
        <v>48</v>
      </c>
      <c r="D87" s="148"/>
      <c r="E87" s="148"/>
      <c r="F87" s="23"/>
      <c r="G87" s="24"/>
      <c r="H87" s="24"/>
      <c r="I87" s="24"/>
      <c r="J87" s="27"/>
      <c r="K87" s="24"/>
      <c r="L87" s="99">
        <f>L83</f>
        <v>7609.2280000000001</v>
      </c>
      <c r="M87" s="106"/>
      <c r="EX87" s="20"/>
      <c r="EY87" s="29"/>
      <c r="EZ87" s="29"/>
      <c r="FA87" s="29"/>
      <c r="FG87" s="29" t="s">
        <v>48</v>
      </c>
    </row>
    <row r="88" spans="1:164" customFormat="1" ht="57" x14ac:dyDescent="0.25">
      <c r="A88" s="21" t="s">
        <v>93</v>
      </c>
      <c r="B88" s="22" t="s">
        <v>94</v>
      </c>
      <c r="C88" s="148" t="s">
        <v>95</v>
      </c>
      <c r="D88" s="148"/>
      <c r="E88" s="148"/>
      <c r="F88" s="23" t="s">
        <v>51</v>
      </c>
      <c r="G88" s="24">
        <v>3</v>
      </c>
      <c r="H88" s="25">
        <v>1</v>
      </c>
      <c r="I88" s="25">
        <v>3</v>
      </c>
      <c r="J88" s="56">
        <f>4016/1.2</f>
        <v>3346.666666666667</v>
      </c>
      <c r="K88" s="26">
        <v>1.04236</v>
      </c>
      <c r="L88" s="55">
        <f>G88*J88*K88</f>
        <v>10465.294399999999</v>
      </c>
      <c r="M88" s="106"/>
      <c r="EX88" s="20"/>
      <c r="EY88" s="29" t="s">
        <v>95</v>
      </c>
      <c r="EZ88" s="29" t="s">
        <v>0</v>
      </c>
      <c r="FA88" s="29" t="s">
        <v>0</v>
      </c>
      <c r="FG88" s="29"/>
    </row>
    <row r="89" spans="1:164" customFormat="1" ht="15" x14ac:dyDescent="0.25">
      <c r="A89" s="30"/>
      <c r="B89" s="31"/>
      <c r="C89" s="152" t="s">
        <v>300</v>
      </c>
      <c r="D89" s="146"/>
      <c r="E89" s="146"/>
      <c r="F89" s="146"/>
      <c r="G89" s="146"/>
      <c r="H89" s="146"/>
      <c r="I89" s="146"/>
      <c r="J89" s="146"/>
      <c r="K89" s="146"/>
      <c r="L89" s="149"/>
      <c r="M89" s="106"/>
      <c r="EX89" s="20"/>
      <c r="EY89" s="29"/>
      <c r="EZ89" s="29"/>
      <c r="FA89" s="29"/>
      <c r="FG89" s="29"/>
      <c r="FH89" s="3" t="s">
        <v>96</v>
      </c>
    </row>
    <row r="90" spans="1:164" customFormat="1" ht="15" x14ac:dyDescent="0.25">
      <c r="A90" s="32"/>
      <c r="B90" s="33"/>
      <c r="C90" s="141" t="s">
        <v>54</v>
      </c>
      <c r="D90" s="141"/>
      <c r="E90" s="141"/>
      <c r="F90" s="141"/>
      <c r="G90" s="141"/>
      <c r="H90" s="141"/>
      <c r="I90" s="141"/>
      <c r="J90" s="141"/>
      <c r="K90" s="141"/>
      <c r="L90" s="150"/>
      <c r="M90" s="106"/>
      <c r="EX90" s="20"/>
      <c r="EY90" s="29"/>
      <c r="EZ90" s="29"/>
      <c r="FA90" s="29"/>
      <c r="FC90" s="3" t="s">
        <v>54</v>
      </c>
      <c r="FG90" s="29"/>
    </row>
    <row r="91" spans="1:164" customFormat="1" ht="15" x14ac:dyDescent="0.25">
      <c r="A91" s="32"/>
      <c r="B91" s="33"/>
      <c r="C91" s="141" t="s">
        <v>55</v>
      </c>
      <c r="D91" s="141"/>
      <c r="E91" s="141"/>
      <c r="F91" s="141"/>
      <c r="G91" s="141"/>
      <c r="H91" s="141"/>
      <c r="I91" s="141"/>
      <c r="J91" s="141"/>
      <c r="K91" s="141"/>
      <c r="L91" s="150"/>
      <c r="M91" s="106"/>
      <c r="EX91" s="20"/>
      <c r="EY91" s="29"/>
      <c r="EZ91" s="29"/>
      <c r="FA91" s="29"/>
      <c r="FC91" s="3" t="s">
        <v>55</v>
      </c>
      <c r="FG91" s="29"/>
    </row>
    <row r="92" spans="1:164" customFormat="1" ht="15" x14ac:dyDescent="0.25">
      <c r="A92" s="52"/>
      <c r="B92" s="53"/>
      <c r="C92" s="148" t="s">
        <v>48</v>
      </c>
      <c r="D92" s="148"/>
      <c r="E92" s="148"/>
      <c r="F92" s="23"/>
      <c r="G92" s="24"/>
      <c r="H92" s="24"/>
      <c r="I92" s="24"/>
      <c r="J92" s="27"/>
      <c r="K92" s="24"/>
      <c r="L92" s="96">
        <f>L88</f>
        <v>10465.294399999999</v>
      </c>
      <c r="M92" s="106"/>
      <c r="EX92" s="20"/>
      <c r="EY92" s="29"/>
      <c r="EZ92" s="29"/>
      <c r="FA92" s="29"/>
      <c r="FG92" s="29" t="s">
        <v>48</v>
      </c>
    </row>
    <row r="93" spans="1:164" customFormat="1" ht="45" x14ac:dyDescent="0.25">
      <c r="A93" s="21" t="s">
        <v>97</v>
      </c>
      <c r="B93" s="22" t="s">
        <v>98</v>
      </c>
      <c r="C93" s="148" t="s">
        <v>99</v>
      </c>
      <c r="D93" s="148"/>
      <c r="E93" s="148"/>
      <c r="F93" s="23" t="s">
        <v>51</v>
      </c>
      <c r="G93" s="24">
        <v>3</v>
      </c>
      <c r="H93" s="25">
        <v>1</v>
      </c>
      <c r="I93" s="25">
        <v>3</v>
      </c>
      <c r="J93" s="56">
        <f>3332/1.2</f>
        <v>2776.666666666667</v>
      </c>
      <c r="K93" s="26">
        <v>1.04236</v>
      </c>
      <c r="L93" s="59">
        <f>G93*J93*K93</f>
        <v>8682.8588</v>
      </c>
      <c r="M93" s="106"/>
      <c r="EX93" s="20"/>
      <c r="EY93" s="29" t="s">
        <v>99</v>
      </c>
      <c r="EZ93" s="29" t="s">
        <v>0</v>
      </c>
      <c r="FA93" s="29" t="s">
        <v>0</v>
      </c>
      <c r="FG93" s="29"/>
    </row>
    <row r="94" spans="1:164" customFormat="1" ht="15" x14ac:dyDescent="0.25">
      <c r="A94" s="30"/>
      <c r="B94" s="31"/>
      <c r="C94" s="152" t="s">
        <v>301</v>
      </c>
      <c r="D94" s="146"/>
      <c r="E94" s="146"/>
      <c r="F94" s="146"/>
      <c r="G94" s="146"/>
      <c r="H94" s="146"/>
      <c r="I94" s="146"/>
      <c r="J94" s="146"/>
      <c r="K94" s="146"/>
      <c r="L94" s="149"/>
      <c r="M94" s="106"/>
      <c r="EX94" s="20"/>
      <c r="EY94" s="29"/>
      <c r="EZ94" s="29"/>
      <c r="FA94" s="29"/>
      <c r="FG94" s="29"/>
      <c r="FH94" s="3" t="s">
        <v>100</v>
      </c>
    </row>
    <row r="95" spans="1:164" customFormat="1" ht="15" x14ac:dyDescent="0.25">
      <c r="A95" s="32"/>
      <c r="B95" s="33"/>
      <c r="C95" s="141" t="s">
        <v>54</v>
      </c>
      <c r="D95" s="141"/>
      <c r="E95" s="141"/>
      <c r="F95" s="141"/>
      <c r="G95" s="141"/>
      <c r="H95" s="141"/>
      <c r="I95" s="141"/>
      <c r="J95" s="141"/>
      <c r="K95" s="141"/>
      <c r="L95" s="150"/>
      <c r="M95" s="106"/>
      <c r="EX95" s="20"/>
      <c r="EY95" s="29"/>
      <c r="EZ95" s="29"/>
      <c r="FA95" s="29"/>
      <c r="FC95" s="3" t="s">
        <v>54</v>
      </c>
      <c r="FG95" s="29"/>
    </row>
    <row r="96" spans="1:164" customFormat="1" ht="15" x14ac:dyDescent="0.25">
      <c r="A96" s="32"/>
      <c r="B96" s="33"/>
      <c r="C96" s="141" t="s">
        <v>55</v>
      </c>
      <c r="D96" s="141"/>
      <c r="E96" s="141"/>
      <c r="F96" s="141"/>
      <c r="G96" s="141"/>
      <c r="H96" s="141"/>
      <c r="I96" s="141"/>
      <c r="J96" s="141"/>
      <c r="K96" s="141"/>
      <c r="L96" s="150"/>
      <c r="M96" s="106"/>
      <c r="EX96" s="20"/>
      <c r="EY96" s="29"/>
      <c r="EZ96" s="29"/>
      <c r="FA96" s="29"/>
      <c r="FC96" s="3" t="s">
        <v>55</v>
      </c>
      <c r="FG96" s="29"/>
    </row>
    <row r="97" spans="1:163" customFormat="1" ht="15" x14ac:dyDescent="0.25">
      <c r="A97" s="52"/>
      <c r="B97" s="53"/>
      <c r="C97" s="148" t="s">
        <v>48</v>
      </c>
      <c r="D97" s="148"/>
      <c r="E97" s="148"/>
      <c r="F97" s="23"/>
      <c r="G97" s="24"/>
      <c r="H97" s="24"/>
      <c r="I97" s="24"/>
      <c r="J97" s="27"/>
      <c r="K97" s="24"/>
      <c r="L97" s="99">
        <f>L93</f>
        <v>8682.8588</v>
      </c>
      <c r="M97" s="106"/>
      <c r="EX97" s="20"/>
      <c r="EY97" s="29"/>
      <c r="EZ97" s="29"/>
      <c r="FA97" s="29"/>
      <c r="FG97" s="29" t="s">
        <v>48</v>
      </c>
    </row>
    <row r="98" spans="1:163" customFormat="1" ht="34.5" x14ac:dyDescent="0.25">
      <c r="A98" s="21" t="s">
        <v>101</v>
      </c>
      <c r="B98" s="22" t="s">
        <v>102</v>
      </c>
      <c r="C98" s="148" t="s">
        <v>103</v>
      </c>
      <c r="D98" s="148"/>
      <c r="E98" s="148"/>
      <c r="F98" s="23" t="s">
        <v>25</v>
      </c>
      <c r="G98" s="24">
        <v>0.62129999999999996</v>
      </c>
      <c r="H98" s="25">
        <v>1</v>
      </c>
      <c r="I98" s="63">
        <v>0.62129999999999996</v>
      </c>
      <c r="J98" s="27"/>
      <c r="K98" s="24"/>
      <c r="L98" s="28"/>
      <c r="M98" s="106"/>
      <c r="EX98" s="20"/>
      <c r="EY98" s="29" t="s">
        <v>103</v>
      </c>
      <c r="EZ98" s="29" t="s">
        <v>0</v>
      </c>
      <c r="FA98" s="29" t="s">
        <v>0</v>
      </c>
      <c r="FG98" s="29"/>
    </row>
    <row r="99" spans="1:163" customFormat="1" ht="15" x14ac:dyDescent="0.25">
      <c r="A99" s="30"/>
      <c r="B99" s="31"/>
      <c r="C99" s="146" t="s">
        <v>104</v>
      </c>
      <c r="D99" s="146"/>
      <c r="E99" s="146"/>
      <c r="F99" s="146"/>
      <c r="G99" s="146"/>
      <c r="H99" s="146"/>
      <c r="I99" s="146"/>
      <c r="J99" s="146"/>
      <c r="K99" s="146"/>
      <c r="L99" s="149"/>
      <c r="M99" s="106"/>
      <c r="EX99" s="20"/>
      <c r="EY99" s="29"/>
      <c r="EZ99" s="29"/>
      <c r="FA99" s="29"/>
      <c r="FB99" s="3" t="s">
        <v>104</v>
      </c>
      <c r="FG99" s="29"/>
    </row>
    <row r="100" spans="1:163" customFormat="1" ht="68.25" x14ac:dyDescent="0.25">
      <c r="A100" s="32"/>
      <c r="B100" s="33" t="s">
        <v>27</v>
      </c>
      <c r="C100" s="141" t="s">
        <v>28</v>
      </c>
      <c r="D100" s="141"/>
      <c r="E100" s="141"/>
      <c r="F100" s="141"/>
      <c r="G100" s="141"/>
      <c r="H100" s="141"/>
      <c r="I100" s="141"/>
      <c r="J100" s="141"/>
      <c r="K100" s="141"/>
      <c r="L100" s="150"/>
      <c r="M100" s="106"/>
      <c r="EX100" s="20"/>
      <c r="EY100" s="29"/>
      <c r="EZ100" s="29"/>
      <c r="FA100" s="29"/>
      <c r="FC100" s="3" t="s">
        <v>28</v>
      </c>
      <c r="FG100" s="29"/>
    </row>
    <row r="101" spans="1:163" customFormat="1" ht="15" x14ac:dyDescent="0.25">
      <c r="A101" s="32"/>
      <c r="B101" s="33" t="s">
        <v>105</v>
      </c>
      <c r="C101" s="141" t="s">
        <v>106</v>
      </c>
      <c r="D101" s="141"/>
      <c r="E101" s="141"/>
      <c r="F101" s="141"/>
      <c r="G101" s="141"/>
      <c r="H101" s="141"/>
      <c r="I101" s="141"/>
      <c r="J101" s="141"/>
      <c r="K101" s="141"/>
      <c r="L101" s="150"/>
      <c r="M101" s="106"/>
      <c r="EX101" s="20"/>
      <c r="EY101" s="29"/>
      <c r="EZ101" s="29"/>
      <c r="FA101" s="29"/>
      <c r="FC101" s="3" t="s">
        <v>106</v>
      </c>
      <c r="FG101" s="29"/>
    </row>
    <row r="102" spans="1:163" customFormat="1" ht="23.25" x14ac:dyDescent="0.25">
      <c r="A102" s="32"/>
      <c r="B102" s="33" t="s">
        <v>29</v>
      </c>
      <c r="C102" s="141" t="s">
        <v>30</v>
      </c>
      <c r="D102" s="141"/>
      <c r="E102" s="141"/>
      <c r="F102" s="141"/>
      <c r="G102" s="141"/>
      <c r="H102" s="141"/>
      <c r="I102" s="141"/>
      <c r="J102" s="141"/>
      <c r="K102" s="141"/>
      <c r="L102" s="150"/>
      <c r="M102" s="106"/>
      <c r="N102" s="118" t="s">
        <v>317</v>
      </c>
      <c r="EX102" s="20"/>
      <c r="EY102" s="29"/>
      <c r="EZ102" s="29"/>
      <c r="FA102" s="29"/>
      <c r="FC102" s="3" t="s">
        <v>30</v>
      </c>
      <c r="FG102" s="29"/>
    </row>
    <row r="103" spans="1:163" customFormat="1" ht="15" x14ac:dyDescent="0.25">
      <c r="A103" s="34"/>
      <c r="B103" s="33" t="s">
        <v>22</v>
      </c>
      <c r="C103" s="146" t="s">
        <v>31</v>
      </c>
      <c r="D103" s="146"/>
      <c r="E103" s="146"/>
      <c r="F103" s="35"/>
      <c r="G103" s="36"/>
      <c r="H103" s="36"/>
      <c r="I103" s="36"/>
      <c r="J103" s="117">
        <f>O103</f>
        <v>60230.352700000003</v>
      </c>
      <c r="K103" s="64">
        <v>1.45475</v>
      </c>
      <c r="L103" s="42">
        <f>G98*J103*K103</f>
        <v>54438.371603268919</v>
      </c>
      <c r="M103" s="106">
        <v>49.45</v>
      </c>
      <c r="N103" s="112">
        <v>31430.163972625003</v>
      </c>
      <c r="O103" s="113">
        <v>60230.352700000003</v>
      </c>
      <c r="P103" s="105">
        <f>G107</f>
        <v>46.48</v>
      </c>
      <c r="Q103" s="105">
        <f>O103/P103*8</f>
        <v>10366.670000000002</v>
      </c>
      <c r="R103" s="105">
        <f>Q103*22</f>
        <v>228066.74000000005</v>
      </c>
      <c r="S103" s="105">
        <f>R103*(1-0.43)</f>
        <v>129998.04180000004</v>
      </c>
      <c r="EX103" s="20"/>
      <c r="EY103" s="29"/>
      <c r="EZ103" s="29"/>
      <c r="FA103" s="29"/>
      <c r="FD103" s="3" t="s">
        <v>31</v>
      </c>
      <c r="FG103" s="29"/>
    </row>
    <row r="104" spans="1:163" customFormat="1" ht="15" x14ac:dyDescent="0.25">
      <c r="A104" s="34"/>
      <c r="B104" s="33" t="s">
        <v>32</v>
      </c>
      <c r="C104" s="146" t="s">
        <v>33</v>
      </c>
      <c r="D104" s="146"/>
      <c r="E104" s="146"/>
      <c r="F104" s="35"/>
      <c r="G104" s="36"/>
      <c r="H104" s="36"/>
      <c r="I104" s="36"/>
      <c r="J104" s="117">
        <f>O104</f>
        <v>7187.5</v>
      </c>
      <c r="K104" s="38">
        <v>1.4375</v>
      </c>
      <c r="L104" s="42">
        <f>G98*J104*K104</f>
        <v>6419.291015625</v>
      </c>
      <c r="M104" s="106">
        <v>14.53</v>
      </c>
      <c r="N104" s="112">
        <v>6163.299074999999</v>
      </c>
      <c r="O104" s="113">
        <v>7187.5</v>
      </c>
      <c r="P104" s="105">
        <f>G108</f>
        <v>2.5</v>
      </c>
      <c r="Q104" s="105">
        <f>O104/P104*8</f>
        <v>23000</v>
      </c>
      <c r="EX104" s="20"/>
      <c r="EY104" s="29"/>
      <c r="EZ104" s="29"/>
      <c r="FA104" s="29"/>
      <c r="FD104" s="3" t="s">
        <v>33</v>
      </c>
      <c r="FG104" s="29"/>
    </row>
    <row r="105" spans="1:163" customFormat="1" ht="15" x14ac:dyDescent="0.25">
      <c r="A105" s="34"/>
      <c r="B105" s="33" t="s">
        <v>34</v>
      </c>
      <c r="C105" s="146" t="s">
        <v>35</v>
      </c>
      <c r="D105" s="146"/>
      <c r="E105" s="146"/>
      <c r="F105" s="35"/>
      <c r="G105" s="36"/>
      <c r="H105" s="36"/>
      <c r="I105" s="36"/>
      <c r="J105" s="39">
        <v>31.38</v>
      </c>
      <c r="K105" s="38">
        <v>1.4375</v>
      </c>
      <c r="L105" s="42">
        <f>G98*J105*K105</f>
        <v>28.026066374999999</v>
      </c>
      <c r="M105" s="106"/>
      <c r="EX105" s="20"/>
      <c r="EY105" s="29"/>
      <c r="EZ105" s="29"/>
      <c r="FA105" s="29"/>
      <c r="FD105" s="3" t="s">
        <v>35</v>
      </c>
      <c r="FG105" s="29"/>
    </row>
    <row r="106" spans="1:163" customFormat="1" ht="15" x14ac:dyDescent="0.25">
      <c r="A106" s="34"/>
      <c r="B106" s="33" t="s">
        <v>36</v>
      </c>
      <c r="C106" s="146" t="s">
        <v>37</v>
      </c>
      <c r="D106" s="146"/>
      <c r="E106" s="146"/>
      <c r="F106" s="35"/>
      <c r="G106" s="36"/>
      <c r="H106" s="36"/>
      <c r="I106" s="36"/>
      <c r="J106" s="39">
        <v>52.95</v>
      </c>
      <c r="K106" s="36"/>
      <c r="L106" s="42">
        <f>G98*J106</f>
        <v>32.897835000000001</v>
      </c>
      <c r="M106" s="106"/>
      <c r="EX106" s="20"/>
      <c r="EY106" s="29"/>
      <c r="EZ106" s="29"/>
      <c r="FA106" s="29"/>
      <c r="FD106" s="3" t="s">
        <v>37</v>
      </c>
      <c r="FG106" s="29"/>
    </row>
    <row r="107" spans="1:163" customFormat="1" ht="15" x14ac:dyDescent="0.25">
      <c r="A107" s="43"/>
      <c r="B107" s="33"/>
      <c r="C107" s="146" t="s">
        <v>38</v>
      </c>
      <c r="D107" s="146"/>
      <c r="E107" s="146"/>
      <c r="F107" s="35" t="s">
        <v>39</v>
      </c>
      <c r="G107" s="40">
        <v>46.48</v>
      </c>
      <c r="H107" s="64">
        <v>1.45475</v>
      </c>
      <c r="I107" s="44">
        <v>42.0103054</v>
      </c>
      <c r="J107" s="45"/>
      <c r="K107" s="36"/>
      <c r="L107" s="46"/>
      <c r="M107" s="106"/>
      <c r="EX107" s="20"/>
      <c r="EY107" s="29"/>
      <c r="EZ107" s="29"/>
      <c r="FA107" s="29"/>
      <c r="FE107" s="3" t="s">
        <v>38</v>
      </c>
      <c r="FG107" s="29"/>
    </row>
    <row r="108" spans="1:163" customFormat="1" ht="15" x14ac:dyDescent="0.25">
      <c r="A108" s="43"/>
      <c r="B108" s="33"/>
      <c r="C108" s="146" t="s">
        <v>40</v>
      </c>
      <c r="D108" s="146"/>
      <c r="E108" s="146"/>
      <c r="F108" s="35" t="s">
        <v>39</v>
      </c>
      <c r="G108" s="61">
        <v>2.5</v>
      </c>
      <c r="H108" s="38">
        <v>1.4375</v>
      </c>
      <c r="I108" s="44">
        <v>2.2327968999999999</v>
      </c>
      <c r="J108" s="45"/>
      <c r="K108" s="36"/>
      <c r="L108" s="46"/>
      <c r="M108" s="106"/>
      <c r="EX108" s="20"/>
      <c r="EY108" s="29"/>
      <c r="EZ108" s="29"/>
      <c r="FA108" s="29"/>
      <c r="FE108" s="3" t="s">
        <v>40</v>
      </c>
      <c r="FG108" s="29"/>
    </row>
    <row r="109" spans="1:163" customFormat="1" ht="15" x14ac:dyDescent="0.25">
      <c r="A109" s="30"/>
      <c r="B109" s="33"/>
      <c r="C109" s="151" t="s">
        <v>41</v>
      </c>
      <c r="D109" s="151"/>
      <c r="E109" s="151"/>
      <c r="F109" s="47"/>
      <c r="G109" s="48"/>
      <c r="H109" s="48"/>
      <c r="I109" s="48"/>
      <c r="J109" s="62">
        <v>784.94</v>
      </c>
      <c r="K109" s="48"/>
      <c r="L109" s="66">
        <f>L103+L104+L106</f>
        <v>60890.560453893922</v>
      </c>
      <c r="M109" s="106"/>
      <c r="EX109" s="20"/>
      <c r="EY109" s="29"/>
      <c r="EZ109" s="29"/>
      <c r="FA109" s="29"/>
      <c r="FF109" s="3" t="s">
        <v>41</v>
      </c>
      <c r="FG109" s="29"/>
    </row>
    <row r="110" spans="1:163" customFormat="1" ht="15" x14ac:dyDescent="0.25">
      <c r="A110" s="43"/>
      <c r="B110" s="33"/>
      <c r="C110" s="146" t="s">
        <v>42</v>
      </c>
      <c r="D110" s="146"/>
      <c r="E110" s="146"/>
      <c r="F110" s="35"/>
      <c r="G110" s="36"/>
      <c r="H110" s="36"/>
      <c r="I110" s="36"/>
      <c r="J110" s="45"/>
      <c r="K110" s="36"/>
      <c r="L110" s="42">
        <f>L103+L105</f>
        <v>54466.39766964392</v>
      </c>
      <c r="M110" s="106"/>
      <c r="EX110" s="20"/>
      <c r="EY110" s="29"/>
      <c r="EZ110" s="29"/>
      <c r="FA110" s="29"/>
      <c r="FE110" s="3" t="s">
        <v>42</v>
      </c>
      <c r="FG110" s="29"/>
    </row>
    <row r="111" spans="1:163" customFormat="1" ht="23.25" x14ac:dyDescent="0.25">
      <c r="A111" s="43"/>
      <c r="B111" s="33" t="s">
        <v>72</v>
      </c>
      <c r="C111" s="146" t="s">
        <v>73</v>
      </c>
      <c r="D111" s="146"/>
      <c r="E111" s="146"/>
      <c r="F111" s="35" t="s">
        <v>45</v>
      </c>
      <c r="G111" s="51">
        <v>97</v>
      </c>
      <c r="H111" s="36"/>
      <c r="I111" s="51">
        <v>97</v>
      </c>
      <c r="J111" s="45"/>
      <c r="K111" s="36"/>
      <c r="L111" s="42">
        <f>L110*I111%</f>
        <v>52832.405739554604</v>
      </c>
      <c r="M111" s="106"/>
      <c r="EX111" s="20"/>
      <c r="EY111" s="29"/>
      <c r="EZ111" s="29"/>
      <c r="FA111" s="29"/>
      <c r="FE111" s="3" t="s">
        <v>73</v>
      </c>
      <c r="FG111" s="29"/>
    </row>
    <row r="112" spans="1:163" customFormat="1" ht="23.25" x14ac:dyDescent="0.25">
      <c r="A112" s="43"/>
      <c r="B112" s="33" t="s">
        <v>74</v>
      </c>
      <c r="C112" s="146" t="s">
        <v>75</v>
      </c>
      <c r="D112" s="146"/>
      <c r="E112" s="146"/>
      <c r="F112" s="35" t="s">
        <v>45</v>
      </c>
      <c r="G112" s="51">
        <v>51</v>
      </c>
      <c r="H112" s="36"/>
      <c r="I112" s="51">
        <v>51</v>
      </c>
      <c r="J112" s="45"/>
      <c r="K112" s="36"/>
      <c r="L112" s="42">
        <f>L110*I112%</f>
        <v>27777.8628115184</v>
      </c>
      <c r="M112" s="106"/>
      <c r="EX112" s="20"/>
      <c r="EY112" s="29"/>
      <c r="EZ112" s="29"/>
      <c r="FA112" s="29"/>
      <c r="FE112" s="3" t="s">
        <v>75</v>
      </c>
      <c r="FG112" s="29"/>
    </row>
    <row r="113" spans="1:164" customFormat="1" ht="15" x14ac:dyDescent="0.25">
      <c r="A113" s="52"/>
      <c r="B113" s="53"/>
      <c r="C113" s="148" t="s">
        <v>48</v>
      </c>
      <c r="D113" s="148"/>
      <c r="E113" s="148"/>
      <c r="F113" s="23"/>
      <c r="G113" s="24"/>
      <c r="H113" s="24"/>
      <c r="I113" s="24"/>
      <c r="J113" s="27"/>
      <c r="K113" s="24"/>
      <c r="L113" s="96">
        <f>L109+L111+L112</f>
        <v>141500.82900496692</v>
      </c>
      <c r="M113" s="106"/>
      <c r="EX113" s="20"/>
      <c r="EY113" s="29"/>
      <c r="EZ113" s="29"/>
      <c r="FA113" s="29"/>
      <c r="FG113" s="29" t="s">
        <v>48</v>
      </c>
    </row>
    <row r="114" spans="1:164" customFormat="1" ht="45" x14ac:dyDescent="0.25">
      <c r="A114" s="21" t="s">
        <v>107</v>
      </c>
      <c r="B114" s="22" t="s">
        <v>108</v>
      </c>
      <c r="C114" s="148" t="s">
        <v>109</v>
      </c>
      <c r="D114" s="148"/>
      <c r="E114" s="148"/>
      <c r="F114" s="23" t="s">
        <v>51</v>
      </c>
      <c r="G114" s="24">
        <v>65.400000000000006</v>
      </c>
      <c r="H114" s="25">
        <v>1</v>
      </c>
      <c r="I114" s="65">
        <v>65.400000000000006</v>
      </c>
      <c r="J114" s="54">
        <f>27340/1.2</f>
        <v>22783.333333333336</v>
      </c>
      <c r="K114" s="26">
        <v>1.04236</v>
      </c>
      <c r="L114" s="55">
        <f>G114*J114*K114</f>
        <v>1553147.6708000002</v>
      </c>
      <c r="M114" s="106"/>
      <c r="EX114" s="20"/>
      <c r="EY114" s="29" t="s">
        <v>109</v>
      </c>
      <c r="EZ114" s="29" t="s">
        <v>0</v>
      </c>
      <c r="FA114" s="29" t="s">
        <v>0</v>
      </c>
      <c r="FG114" s="29"/>
    </row>
    <row r="115" spans="1:164" customFormat="1" ht="15" x14ac:dyDescent="0.25">
      <c r="A115" s="30"/>
      <c r="B115" s="31"/>
      <c r="C115" s="146" t="s">
        <v>110</v>
      </c>
      <c r="D115" s="146"/>
      <c r="E115" s="146"/>
      <c r="F115" s="146"/>
      <c r="G115" s="146"/>
      <c r="H115" s="146"/>
      <c r="I115" s="146"/>
      <c r="J115" s="146"/>
      <c r="K115" s="146"/>
      <c r="L115" s="149"/>
      <c r="M115" s="106"/>
      <c r="EX115" s="20"/>
      <c r="EY115" s="29"/>
      <c r="EZ115" s="29"/>
      <c r="FA115" s="29"/>
      <c r="FB115" s="3" t="s">
        <v>110</v>
      </c>
      <c r="FG115" s="29"/>
    </row>
    <row r="116" spans="1:164" customFormat="1" ht="15" x14ac:dyDescent="0.25">
      <c r="A116" s="30"/>
      <c r="B116" s="31"/>
      <c r="C116" s="152" t="s">
        <v>302</v>
      </c>
      <c r="D116" s="146"/>
      <c r="E116" s="146"/>
      <c r="F116" s="146"/>
      <c r="G116" s="146"/>
      <c r="H116" s="146"/>
      <c r="I116" s="146"/>
      <c r="J116" s="146"/>
      <c r="K116" s="146"/>
      <c r="L116" s="149"/>
      <c r="M116" s="106"/>
      <c r="EX116" s="20"/>
      <c r="EY116" s="29"/>
      <c r="EZ116" s="29"/>
      <c r="FA116" s="29"/>
      <c r="FG116" s="29"/>
      <c r="FH116" s="3" t="s">
        <v>111</v>
      </c>
    </row>
    <row r="117" spans="1:164" customFormat="1" ht="15" x14ac:dyDescent="0.25">
      <c r="A117" s="32"/>
      <c r="B117" s="33"/>
      <c r="C117" s="141" t="s">
        <v>54</v>
      </c>
      <c r="D117" s="141"/>
      <c r="E117" s="141"/>
      <c r="F117" s="141"/>
      <c r="G117" s="141"/>
      <c r="H117" s="141"/>
      <c r="I117" s="141"/>
      <c r="J117" s="141"/>
      <c r="K117" s="141"/>
      <c r="L117" s="150"/>
      <c r="M117" s="106"/>
      <c r="EX117" s="20"/>
      <c r="EY117" s="29"/>
      <c r="EZ117" s="29"/>
      <c r="FA117" s="29"/>
      <c r="FC117" s="3" t="s">
        <v>54</v>
      </c>
      <c r="FG117" s="29"/>
    </row>
    <row r="118" spans="1:164" customFormat="1" ht="15" x14ac:dyDescent="0.25">
      <c r="A118" s="32"/>
      <c r="B118" s="33"/>
      <c r="C118" s="141" t="s">
        <v>55</v>
      </c>
      <c r="D118" s="141"/>
      <c r="E118" s="141"/>
      <c r="F118" s="141"/>
      <c r="G118" s="141"/>
      <c r="H118" s="141"/>
      <c r="I118" s="141"/>
      <c r="J118" s="141"/>
      <c r="K118" s="141"/>
      <c r="L118" s="150"/>
      <c r="M118" s="106"/>
      <c r="EX118" s="20"/>
      <c r="EY118" s="29"/>
      <c r="EZ118" s="29"/>
      <c r="FA118" s="29"/>
      <c r="FC118" s="3" t="s">
        <v>55</v>
      </c>
      <c r="FG118" s="29"/>
    </row>
    <row r="119" spans="1:164" customFormat="1" ht="15" x14ac:dyDescent="0.25">
      <c r="A119" s="52"/>
      <c r="B119" s="53"/>
      <c r="C119" s="148" t="s">
        <v>48</v>
      </c>
      <c r="D119" s="148"/>
      <c r="E119" s="148"/>
      <c r="F119" s="23"/>
      <c r="G119" s="24"/>
      <c r="H119" s="24"/>
      <c r="I119" s="24"/>
      <c r="J119" s="27"/>
      <c r="K119" s="24"/>
      <c r="L119" s="96">
        <f>L114</f>
        <v>1553147.6708000002</v>
      </c>
      <c r="M119" s="106"/>
      <c r="EX119" s="20"/>
      <c r="EY119" s="29"/>
      <c r="EZ119" s="29"/>
      <c r="FA119" s="29"/>
      <c r="FG119" s="29" t="s">
        <v>48</v>
      </c>
    </row>
    <row r="120" spans="1:164" customFormat="1" ht="34.5" x14ac:dyDescent="0.25">
      <c r="A120" s="21" t="s">
        <v>112</v>
      </c>
      <c r="B120" s="22" t="s">
        <v>113</v>
      </c>
      <c r="C120" s="148" t="s">
        <v>114</v>
      </c>
      <c r="D120" s="148"/>
      <c r="E120" s="148"/>
      <c r="F120" s="23" t="s">
        <v>25</v>
      </c>
      <c r="G120" s="24">
        <v>0.24840000000000001</v>
      </c>
      <c r="H120" s="25">
        <v>1</v>
      </c>
      <c r="I120" s="63">
        <v>0.24840000000000001</v>
      </c>
      <c r="J120" s="27"/>
      <c r="K120" s="24"/>
      <c r="L120" s="28"/>
      <c r="M120" s="106"/>
      <c r="EX120" s="20"/>
      <c r="EY120" s="29" t="s">
        <v>114</v>
      </c>
      <c r="EZ120" s="29" t="s">
        <v>0</v>
      </c>
      <c r="FA120" s="29" t="s">
        <v>0</v>
      </c>
      <c r="FG120" s="29"/>
    </row>
    <row r="121" spans="1:164" customFormat="1" ht="15" x14ac:dyDescent="0.25">
      <c r="A121" s="30"/>
      <c r="B121" s="31"/>
      <c r="C121" s="146" t="s">
        <v>115</v>
      </c>
      <c r="D121" s="146"/>
      <c r="E121" s="146"/>
      <c r="F121" s="146"/>
      <c r="G121" s="146"/>
      <c r="H121" s="146"/>
      <c r="I121" s="146"/>
      <c r="J121" s="146"/>
      <c r="K121" s="146"/>
      <c r="L121" s="149"/>
      <c r="M121" s="106"/>
      <c r="EX121" s="20"/>
      <c r="EY121" s="29"/>
      <c r="EZ121" s="29"/>
      <c r="FA121" s="29"/>
      <c r="FB121" s="3" t="s">
        <v>115</v>
      </c>
      <c r="FG121" s="29"/>
    </row>
    <row r="122" spans="1:164" customFormat="1" ht="68.25" x14ac:dyDescent="0.25">
      <c r="A122" s="32"/>
      <c r="B122" s="33" t="s">
        <v>27</v>
      </c>
      <c r="C122" s="141" t="s">
        <v>28</v>
      </c>
      <c r="D122" s="141"/>
      <c r="E122" s="141"/>
      <c r="F122" s="141"/>
      <c r="G122" s="141"/>
      <c r="H122" s="141"/>
      <c r="I122" s="141"/>
      <c r="J122" s="141"/>
      <c r="K122" s="141"/>
      <c r="L122" s="150"/>
      <c r="M122" s="106"/>
      <c r="EX122" s="20"/>
      <c r="EY122" s="29"/>
      <c r="EZ122" s="29"/>
      <c r="FA122" s="29"/>
      <c r="FC122" s="3" t="s">
        <v>28</v>
      </c>
      <c r="FG122" s="29"/>
    </row>
    <row r="123" spans="1:164" customFormat="1" ht="23.25" x14ac:dyDescent="0.25">
      <c r="A123" s="32"/>
      <c r="B123" s="33" t="s">
        <v>29</v>
      </c>
      <c r="C123" s="141" t="s">
        <v>30</v>
      </c>
      <c r="D123" s="141"/>
      <c r="E123" s="141"/>
      <c r="F123" s="141"/>
      <c r="G123" s="141"/>
      <c r="H123" s="141"/>
      <c r="I123" s="141"/>
      <c r="J123" s="141"/>
      <c r="K123" s="141"/>
      <c r="L123" s="150"/>
      <c r="M123" s="106"/>
      <c r="N123" s="118" t="s">
        <v>317</v>
      </c>
      <c r="EX123" s="20"/>
      <c r="EY123" s="29"/>
      <c r="EZ123" s="29"/>
      <c r="FA123" s="29"/>
      <c r="FC123" s="3" t="s">
        <v>30</v>
      </c>
      <c r="FG123" s="29"/>
    </row>
    <row r="124" spans="1:164" customFormat="1" ht="15" x14ac:dyDescent="0.25">
      <c r="A124" s="34"/>
      <c r="B124" s="33" t="s">
        <v>22</v>
      </c>
      <c r="C124" s="146" t="s">
        <v>31</v>
      </c>
      <c r="D124" s="146"/>
      <c r="E124" s="146"/>
      <c r="F124" s="35"/>
      <c r="G124" s="36"/>
      <c r="H124" s="36"/>
      <c r="I124" s="36"/>
      <c r="J124" s="117">
        <f>O124</f>
        <v>69975.022500000006</v>
      </c>
      <c r="K124" s="38">
        <v>1.3225</v>
      </c>
      <c r="L124" s="42">
        <f>G120*J124*K124</f>
        <v>22987.424666452502</v>
      </c>
      <c r="M124" s="106">
        <v>49.45</v>
      </c>
      <c r="N124" s="112">
        <v>33195.834450000002</v>
      </c>
      <c r="O124" s="113">
        <v>69975.022500000006</v>
      </c>
      <c r="P124" s="105">
        <f>G128</f>
        <v>54</v>
      </c>
      <c r="Q124" s="105">
        <f>O124/P124*8</f>
        <v>10366.67</v>
      </c>
      <c r="R124" s="105">
        <f>Q124*22</f>
        <v>228066.74</v>
      </c>
      <c r="S124" s="105">
        <f>R124*(1-0.43)</f>
        <v>129998.04180000001</v>
      </c>
      <c r="EX124" s="20"/>
      <c r="EY124" s="29"/>
      <c r="EZ124" s="29"/>
      <c r="FA124" s="29"/>
      <c r="FD124" s="3" t="s">
        <v>31</v>
      </c>
      <c r="FG124" s="29"/>
    </row>
    <row r="125" spans="1:164" customFormat="1" ht="15" x14ac:dyDescent="0.25">
      <c r="A125" s="34"/>
      <c r="B125" s="33" t="s">
        <v>32</v>
      </c>
      <c r="C125" s="146" t="s">
        <v>33</v>
      </c>
      <c r="D125" s="146"/>
      <c r="E125" s="146"/>
      <c r="F125" s="35"/>
      <c r="G125" s="36"/>
      <c r="H125" s="36"/>
      <c r="I125" s="36"/>
      <c r="J125" s="117">
        <f>O125</f>
        <v>7187.5</v>
      </c>
      <c r="K125" s="38">
        <v>1.4375</v>
      </c>
      <c r="L125" s="42">
        <f>G120*J125*K125</f>
        <v>2566.4765625</v>
      </c>
      <c r="M125" s="106">
        <v>14.53</v>
      </c>
      <c r="N125" s="112">
        <v>6501.6664499999988</v>
      </c>
      <c r="O125" s="113">
        <v>7187.5</v>
      </c>
      <c r="P125" s="105">
        <f>G129</f>
        <v>2.5</v>
      </c>
      <c r="Q125" s="105">
        <f>O125/P125*8</f>
        <v>23000</v>
      </c>
      <c r="EX125" s="20"/>
      <c r="EY125" s="29"/>
      <c r="EZ125" s="29"/>
      <c r="FA125" s="29"/>
      <c r="FD125" s="3" t="s">
        <v>33</v>
      </c>
      <c r="FG125" s="29"/>
    </row>
    <row r="126" spans="1:164" customFormat="1" ht="15" x14ac:dyDescent="0.25">
      <c r="A126" s="34"/>
      <c r="B126" s="33" t="s">
        <v>34</v>
      </c>
      <c r="C126" s="146" t="s">
        <v>35</v>
      </c>
      <c r="D126" s="146"/>
      <c r="E126" s="146"/>
      <c r="F126" s="35"/>
      <c r="G126" s="36"/>
      <c r="H126" s="36"/>
      <c r="I126" s="36"/>
      <c r="J126" s="39">
        <v>31.38</v>
      </c>
      <c r="K126" s="38">
        <v>1.4375</v>
      </c>
      <c r="L126" s="42">
        <f>G120*J126*K126</f>
        <v>11.2050135</v>
      </c>
      <c r="M126" s="106"/>
      <c r="EX126" s="20"/>
      <c r="EY126" s="29"/>
      <c r="EZ126" s="29"/>
      <c r="FA126" s="29"/>
      <c r="FD126" s="3" t="s">
        <v>35</v>
      </c>
      <c r="FG126" s="29"/>
    </row>
    <row r="127" spans="1:164" customFormat="1" ht="15" x14ac:dyDescent="0.25">
      <c r="A127" s="34"/>
      <c r="B127" s="33" t="s">
        <v>36</v>
      </c>
      <c r="C127" s="146" t="s">
        <v>37</v>
      </c>
      <c r="D127" s="146"/>
      <c r="E127" s="146"/>
      <c r="F127" s="35"/>
      <c r="G127" s="36"/>
      <c r="H127" s="36"/>
      <c r="I127" s="36"/>
      <c r="J127" s="39">
        <v>68.63</v>
      </c>
      <c r="K127" s="36"/>
      <c r="L127" s="42">
        <f>G120*J127</f>
        <v>17.047691999999998</v>
      </c>
      <c r="M127" s="106"/>
      <c r="EX127" s="20"/>
      <c r="EY127" s="29"/>
      <c r="EZ127" s="29"/>
      <c r="FA127" s="29"/>
      <c r="FD127" s="3" t="s">
        <v>37</v>
      </c>
      <c r="FG127" s="29"/>
    </row>
    <row r="128" spans="1:164" customFormat="1" ht="15" x14ac:dyDescent="0.25">
      <c r="A128" s="43"/>
      <c r="B128" s="33"/>
      <c r="C128" s="146" t="s">
        <v>38</v>
      </c>
      <c r="D128" s="146"/>
      <c r="E128" s="146"/>
      <c r="F128" s="35" t="s">
        <v>39</v>
      </c>
      <c r="G128" s="51">
        <v>54</v>
      </c>
      <c r="H128" s="38">
        <v>1.3225</v>
      </c>
      <c r="I128" s="60">
        <v>17.739485999999999</v>
      </c>
      <c r="J128" s="45"/>
      <c r="K128" s="36"/>
      <c r="L128" s="46"/>
      <c r="M128" s="106"/>
      <c r="EX128" s="20"/>
      <c r="EY128" s="29"/>
      <c r="EZ128" s="29"/>
      <c r="FA128" s="29"/>
      <c r="FE128" s="3" t="s">
        <v>38</v>
      </c>
      <c r="FG128" s="29"/>
    </row>
    <row r="129" spans="1:164" customFormat="1" ht="15" x14ac:dyDescent="0.25">
      <c r="A129" s="43"/>
      <c r="B129" s="33"/>
      <c r="C129" s="146" t="s">
        <v>40</v>
      </c>
      <c r="D129" s="146"/>
      <c r="E129" s="146"/>
      <c r="F129" s="35" t="s">
        <v>39</v>
      </c>
      <c r="G129" s="61">
        <v>2.5</v>
      </c>
      <c r="H129" s="38">
        <v>1.4375</v>
      </c>
      <c r="I129" s="44">
        <v>0.89268749999999997</v>
      </c>
      <c r="J129" s="45"/>
      <c r="K129" s="36"/>
      <c r="L129" s="46"/>
      <c r="M129" s="106"/>
      <c r="EX129" s="20"/>
      <c r="EY129" s="29"/>
      <c r="EZ129" s="29"/>
      <c r="FA129" s="29"/>
      <c r="FE129" s="3" t="s">
        <v>40</v>
      </c>
      <c r="FG129" s="29"/>
    </row>
    <row r="130" spans="1:164" customFormat="1" ht="15" x14ac:dyDescent="0.25">
      <c r="A130" s="30"/>
      <c r="B130" s="33"/>
      <c r="C130" s="151" t="s">
        <v>41</v>
      </c>
      <c r="D130" s="151"/>
      <c r="E130" s="151"/>
      <c r="F130" s="47"/>
      <c r="G130" s="48"/>
      <c r="H130" s="48"/>
      <c r="I130" s="48"/>
      <c r="J130" s="62">
        <v>887.51</v>
      </c>
      <c r="K130" s="48"/>
      <c r="L130" s="66">
        <f>L124+L125+L127</f>
        <v>25570.948920952502</v>
      </c>
      <c r="M130" s="106"/>
      <c r="EX130" s="20"/>
      <c r="EY130" s="29"/>
      <c r="EZ130" s="29"/>
      <c r="FA130" s="29"/>
      <c r="FF130" s="3" t="s">
        <v>41</v>
      </c>
      <c r="FG130" s="29"/>
    </row>
    <row r="131" spans="1:164" customFormat="1" ht="15" x14ac:dyDescent="0.25">
      <c r="A131" s="43"/>
      <c r="B131" s="33"/>
      <c r="C131" s="146" t="s">
        <v>42</v>
      </c>
      <c r="D131" s="146"/>
      <c r="E131" s="146"/>
      <c r="F131" s="35"/>
      <c r="G131" s="36"/>
      <c r="H131" s="36"/>
      <c r="I131" s="36"/>
      <c r="J131" s="45"/>
      <c r="K131" s="36"/>
      <c r="L131" s="42">
        <f>L124+L126</f>
        <v>22998.629679952501</v>
      </c>
      <c r="M131" s="106"/>
      <c r="EX131" s="20"/>
      <c r="EY131" s="29"/>
      <c r="EZ131" s="29"/>
      <c r="FA131" s="29"/>
      <c r="FE131" s="3" t="s">
        <v>42</v>
      </c>
      <c r="FG131" s="29"/>
    </row>
    <row r="132" spans="1:164" customFormat="1" ht="23.25" x14ac:dyDescent="0.25">
      <c r="A132" s="43"/>
      <c r="B132" s="33" t="s">
        <v>72</v>
      </c>
      <c r="C132" s="146" t="s">
        <v>73</v>
      </c>
      <c r="D132" s="146"/>
      <c r="E132" s="146"/>
      <c r="F132" s="35" t="s">
        <v>45</v>
      </c>
      <c r="G132" s="51">
        <v>97</v>
      </c>
      <c r="H132" s="36"/>
      <c r="I132" s="51">
        <v>97</v>
      </c>
      <c r="J132" s="45"/>
      <c r="K132" s="36"/>
      <c r="L132" s="42">
        <f>L131*I132%</f>
        <v>22308.670789553926</v>
      </c>
      <c r="M132" s="106"/>
      <c r="EX132" s="20"/>
      <c r="EY132" s="29"/>
      <c r="EZ132" s="29"/>
      <c r="FA132" s="29"/>
      <c r="FE132" s="3" t="s">
        <v>73</v>
      </c>
      <c r="FG132" s="29"/>
    </row>
    <row r="133" spans="1:164" customFormat="1" ht="23.25" x14ac:dyDescent="0.25">
      <c r="A133" s="43"/>
      <c r="B133" s="33" t="s">
        <v>74</v>
      </c>
      <c r="C133" s="146" t="s">
        <v>75</v>
      </c>
      <c r="D133" s="146"/>
      <c r="E133" s="146"/>
      <c r="F133" s="35" t="s">
        <v>45</v>
      </c>
      <c r="G133" s="51">
        <v>51</v>
      </c>
      <c r="H133" s="36"/>
      <c r="I133" s="51">
        <v>51</v>
      </c>
      <c r="J133" s="45"/>
      <c r="K133" s="36"/>
      <c r="L133" s="42">
        <f>L131*I133%</f>
        <v>11729.301136775775</v>
      </c>
      <c r="M133" s="106"/>
      <c r="EX133" s="20"/>
      <c r="EY133" s="29"/>
      <c r="EZ133" s="29"/>
      <c r="FA133" s="29"/>
      <c r="FE133" s="3" t="s">
        <v>75</v>
      </c>
      <c r="FG133" s="29"/>
    </row>
    <row r="134" spans="1:164" customFormat="1" ht="15" x14ac:dyDescent="0.25">
      <c r="A134" s="52"/>
      <c r="B134" s="53"/>
      <c r="C134" s="148" t="s">
        <v>48</v>
      </c>
      <c r="D134" s="148"/>
      <c r="E134" s="148"/>
      <c r="F134" s="23"/>
      <c r="G134" s="24"/>
      <c r="H134" s="24"/>
      <c r="I134" s="24"/>
      <c r="J134" s="27"/>
      <c r="K134" s="24"/>
      <c r="L134" s="99">
        <f>L130+L132+L133</f>
        <v>59608.920847282207</v>
      </c>
      <c r="M134" s="106"/>
      <c r="EX134" s="20"/>
      <c r="EY134" s="29"/>
      <c r="EZ134" s="29"/>
      <c r="FA134" s="29"/>
      <c r="FG134" s="29" t="s">
        <v>48</v>
      </c>
    </row>
    <row r="135" spans="1:164" customFormat="1" ht="45" x14ac:dyDescent="0.25">
      <c r="A135" s="21" t="s">
        <v>116</v>
      </c>
      <c r="B135" s="22" t="s">
        <v>117</v>
      </c>
      <c r="C135" s="148" t="s">
        <v>118</v>
      </c>
      <c r="D135" s="148"/>
      <c r="E135" s="148"/>
      <c r="F135" s="23" t="s">
        <v>51</v>
      </c>
      <c r="G135" s="24">
        <v>30</v>
      </c>
      <c r="H135" s="25">
        <v>1</v>
      </c>
      <c r="I135" s="25">
        <v>30</v>
      </c>
      <c r="J135" s="56">
        <f>5070/1.2</f>
        <v>4225</v>
      </c>
      <c r="K135" s="26">
        <v>1.04236</v>
      </c>
      <c r="L135" s="55">
        <f>G135*J135*K135</f>
        <v>132119.13</v>
      </c>
      <c r="M135" s="106"/>
      <c r="EX135" s="20"/>
      <c r="EY135" s="29" t="s">
        <v>118</v>
      </c>
      <c r="EZ135" s="29" t="s">
        <v>0</v>
      </c>
      <c r="FA135" s="29" t="s">
        <v>0</v>
      </c>
      <c r="FG135" s="29"/>
    </row>
    <row r="136" spans="1:164" customFormat="1" ht="15" x14ac:dyDescent="0.25">
      <c r="A136" s="30"/>
      <c r="B136" s="31"/>
      <c r="C136" s="146" t="s">
        <v>119</v>
      </c>
      <c r="D136" s="146"/>
      <c r="E136" s="146"/>
      <c r="F136" s="146"/>
      <c r="G136" s="146"/>
      <c r="H136" s="146"/>
      <c r="I136" s="146"/>
      <c r="J136" s="146"/>
      <c r="K136" s="146"/>
      <c r="L136" s="149"/>
      <c r="M136" s="106"/>
      <c r="EX136" s="20"/>
      <c r="EY136" s="29"/>
      <c r="EZ136" s="29"/>
      <c r="FA136" s="29"/>
      <c r="FB136" s="3" t="s">
        <v>119</v>
      </c>
      <c r="FG136" s="29"/>
    </row>
    <row r="137" spans="1:164" customFormat="1" ht="15" x14ac:dyDescent="0.25">
      <c r="A137" s="30"/>
      <c r="B137" s="31"/>
      <c r="C137" s="152" t="s">
        <v>303</v>
      </c>
      <c r="D137" s="146"/>
      <c r="E137" s="146"/>
      <c r="F137" s="146"/>
      <c r="G137" s="146"/>
      <c r="H137" s="146"/>
      <c r="I137" s="146"/>
      <c r="J137" s="146"/>
      <c r="K137" s="146"/>
      <c r="L137" s="149"/>
      <c r="M137" s="106"/>
      <c r="EX137" s="20"/>
      <c r="EY137" s="29"/>
      <c r="EZ137" s="29"/>
      <c r="FA137" s="29"/>
      <c r="FG137" s="29"/>
      <c r="FH137" s="3" t="s">
        <v>120</v>
      </c>
    </row>
    <row r="138" spans="1:164" customFormat="1" ht="15" x14ac:dyDescent="0.25">
      <c r="A138" s="32"/>
      <c r="B138" s="33"/>
      <c r="C138" s="141" t="s">
        <v>54</v>
      </c>
      <c r="D138" s="141"/>
      <c r="E138" s="141"/>
      <c r="F138" s="141"/>
      <c r="G138" s="141"/>
      <c r="H138" s="141"/>
      <c r="I138" s="141"/>
      <c r="J138" s="141"/>
      <c r="K138" s="141"/>
      <c r="L138" s="150"/>
      <c r="M138" s="106"/>
      <c r="EX138" s="20"/>
      <c r="EY138" s="29"/>
      <c r="EZ138" s="29"/>
      <c r="FA138" s="29"/>
      <c r="FC138" s="3" t="s">
        <v>54</v>
      </c>
      <c r="FG138" s="29"/>
    </row>
    <row r="139" spans="1:164" customFormat="1" ht="15" x14ac:dyDescent="0.25">
      <c r="A139" s="32"/>
      <c r="B139" s="33"/>
      <c r="C139" s="141" t="s">
        <v>55</v>
      </c>
      <c r="D139" s="141"/>
      <c r="E139" s="141"/>
      <c r="F139" s="141"/>
      <c r="G139" s="141"/>
      <c r="H139" s="141"/>
      <c r="I139" s="141"/>
      <c r="J139" s="141"/>
      <c r="K139" s="141"/>
      <c r="L139" s="150"/>
      <c r="M139" s="106"/>
      <c r="EX139" s="20"/>
      <c r="EY139" s="29"/>
      <c r="EZ139" s="29"/>
      <c r="FA139" s="29"/>
      <c r="FC139" s="3" t="s">
        <v>55</v>
      </c>
      <c r="FG139" s="29"/>
    </row>
    <row r="140" spans="1:164" customFormat="1" ht="15" x14ac:dyDescent="0.25">
      <c r="A140" s="52"/>
      <c r="B140" s="53"/>
      <c r="C140" s="148" t="s">
        <v>48</v>
      </c>
      <c r="D140" s="148"/>
      <c r="E140" s="148"/>
      <c r="F140" s="23"/>
      <c r="G140" s="24"/>
      <c r="H140" s="24"/>
      <c r="I140" s="24"/>
      <c r="J140" s="27"/>
      <c r="K140" s="24"/>
      <c r="L140" s="96">
        <f>L135</f>
        <v>132119.13</v>
      </c>
      <c r="M140" s="106"/>
      <c r="EX140" s="20"/>
      <c r="EY140" s="29"/>
      <c r="EZ140" s="29"/>
      <c r="FA140" s="29"/>
      <c r="FG140" s="29" t="s">
        <v>48</v>
      </c>
    </row>
    <row r="141" spans="1:164" customFormat="1" ht="23.25" x14ac:dyDescent="0.25">
      <c r="A141" s="21" t="s">
        <v>121</v>
      </c>
      <c r="B141" s="22" t="s">
        <v>68</v>
      </c>
      <c r="C141" s="148" t="s">
        <v>69</v>
      </c>
      <c r="D141" s="148"/>
      <c r="E141" s="148"/>
      <c r="F141" s="23" t="s">
        <v>70</v>
      </c>
      <c r="G141" s="24">
        <v>1.08</v>
      </c>
      <c r="H141" s="25">
        <v>1</v>
      </c>
      <c r="I141" s="57">
        <v>1.08</v>
      </c>
      <c r="J141" s="27"/>
      <c r="K141" s="24"/>
      <c r="L141" s="28"/>
      <c r="M141" s="106"/>
      <c r="EX141" s="20"/>
      <c r="EY141" s="29" t="s">
        <v>69</v>
      </c>
      <c r="EZ141" s="29" t="s">
        <v>0</v>
      </c>
      <c r="FA141" s="29" t="s">
        <v>0</v>
      </c>
      <c r="FG141" s="29"/>
    </row>
    <row r="142" spans="1:164" customFormat="1" ht="15" x14ac:dyDescent="0.25">
      <c r="A142" s="30"/>
      <c r="B142" s="31"/>
      <c r="C142" s="146" t="s">
        <v>122</v>
      </c>
      <c r="D142" s="146"/>
      <c r="E142" s="146"/>
      <c r="F142" s="146"/>
      <c r="G142" s="146"/>
      <c r="H142" s="146"/>
      <c r="I142" s="146"/>
      <c r="J142" s="146"/>
      <c r="K142" s="146"/>
      <c r="L142" s="149"/>
      <c r="M142" s="106"/>
      <c r="EX142" s="20"/>
      <c r="EY142" s="29"/>
      <c r="EZ142" s="29"/>
      <c r="FA142" s="29"/>
      <c r="FB142" s="3" t="s">
        <v>122</v>
      </c>
      <c r="FG142" s="29"/>
    </row>
    <row r="143" spans="1:164" customFormat="1" ht="68.25" x14ac:dyDescent="0.25">
      <c r="A143" s="32"/>
      <c r="B143" s="33" t="s">
        <v>27</v>
      </c>
      <c r="C143" s="141" t="s">
        <v>28</v>
      </c>
      <c r="D143" s="141"/>
      <c r="E143" s="141"/>
      <c r="F143" s="141"/>
      <c r="G143" s="141"/>
      <c r="H143" s="141"/>
      <c r="I143" s="141"/>
      <c r="J143" s="141"/>
      <c r="K143" s="141"/>
      <c r="L143" s="150"/>
      <c r="M143" s="106"/>
      <c r="EX143" s="20"/>
      <c r="EY143" s="29"/>
      <c r="EZ143" s="29"/>
      <c r="FA143" s="29"/>
      <c r="FC143" s="3" t="s">
        <v>28</v>
      </c>
      <c r="FG143" s="29"/>
    </row>
    <row r="144" spans="1:164" customFormat="1" ht="23.25" x14ac:dyDescent="0.25">
      <c r="A144" s="32"/>
      <c r="B144" s="33" t="s">
        <v>29</v>
      </c>
      <c r="C144" s="141" t="s">
        <v>30</v>
      </c>
      <c r="D144" s="141"/>
      <c r="E144" s="141"/>
      <c r="F144" s="141"/>
      <c r="G144" s="141"/>
      <c r="H144" s="141"/>
      <c r="I144" s="141"/>
      <c r="J144" s="141"/>
      <c r="K144" s="141"/>
      <c r="L144" s="150"/>
      <c r="M144" s="106"/>
      <c r="N144" s="118" t="s">
        <v>318</v>
      </c>
      <c r="EX144" s="20"/>
      <c r="EY144" s="29"/>
      <c r="EZ144" s="29"/>
      <c r="FA144" s="29"/>
      <c r="FC144" s="3" t="s">
        <v>30</v>
      </c>
      <c r="FG144" s="29"/>
    </row>
    <row r="145" spans="1:164" customFormat="1" ht="15" x14ac:dyDescent="0.25">
      <c r="A145" s="34"/>
      <c r="B145" s="33" t="s">
        <v>22</v>
      </c>
      <c r="C145" s="146" t="s">
        <v>31</v>
      </c>
      <c r="D145" s="146"/>
      <c r="E145" s="146"/>
      <c r="F145" s="35"/>
      <c r="G145" s="36"/>
      <c r="H145" s="36"/>
      <c r="I145" s="36"/>
      <c r="J145" s="117">
        <f>O145</f>
        <v>30478.0098</v>
      </c>
      <c r="K145" s="38">
        <v>1.3225</v>
      </c>
      <c r="L145" s="42">
        <f>G141*J145*K145</f>
        <v>43531.741397340003</v>
      </c>
      <c r="M145" s="106">
        <v>49.45</v>
      </c>
      <c r="N145" s="112">
        <v>14458.760911250001</v>
      </c>
      <c r="O145" s="113">
        <v>30478.0098</v>
      </c>
      <c r="P145" s="105">
        <f>G149</f>
        <v>23.52</v>
      </c>
      <c r="Q145" s="105">
        <f>O145/P145*8</f>
        <v>10366.67</v>
      </c>
      <c r="R145" s="105">
        <f>Q145*22</f>
        <v>228066.74</v>
      </c>
      <c r="S145" s="105">
        <f>R145*(1-0.43)</f>
        <v>129998.04180000001</v>
      </c>
      <c r="EX145" s="20"/>
      <c r="EY145" s="29"/>
      <c r="EZ145" s="29"/>
      <c r="FA145" s="29"/>
      <c r="FD145" s="3" t="s">
        <v>31</v>
      </c>
      <c r="FG145" s="29"/>
    </row>
    <row r="146" spans="1:164" customFormat="1" ht="15" x14ac:dyDescent="0.25">
      <c r="A146" s="34"/>
      <c r="B146" s="33" t="s">
        <v>32</v>
      </c>
      <c r="C146" s="146" t="s">
        <v>33</v>
      </c>
      <c r="D146" s="146"/>
      <c r="E146" s="146"/>
      <c r="F146" s="35"/>
      <c r="G146" s="36"/>
      <c r="H146" s="36"/>
      <c r="I146" s="36"/>
      <c r="J146" s="117">
        <f>O146</f>
        <v>575</v>
      </c>
      <c r="K146" s="38">
        <v>1.4375</v>
      </c>
      <c r="L146" s="42">
        <f>G141*J146*K146</f>
        <v>892.6875</v>
      </c>
      <c r="M146" s="106">
        <v>14.53</v>
      </c>
      <c r="N146" s="112">
        <v>670.88642499999992</v>
      </c>
      <c r="O146" s="113">
        <v>575</v>
      </c>
      <c r="P146" s="105">
        <f>G150</f>
        <v>0.2</v>
      </c>
      <c r="Q146" s="105">
        <f>O146/P146*8</f>
        <v>23000</v>
      </c>
      <c r="EX146" s="20"/>
      <c r="EY146" s="29"/>
      <c r="EZ146" s="29"/>
      <c r="FA146" s="29"/>
      <c r="FD146" s="3" t="s">
        <v>33</v>
      </c>
      <c r="FG146" s="29"/>
    </row>
    <row r="147" spans="1:164" customFormat="1" ht="15" x14ac:dyDescent="0.25">
      <c r="A147" s="34"/>
      <c r="B147" s="33" t="s">
        <v>34</v>
      </c>
      <c r="C147" s="146" t="s">
        <v>35</v>
      </c>
      <c r="D147" s="146"/>
      <c r="E147" s="146"/>
      <c r="F147" s="35"/>
      <c r="G147" s="36"/>
      <c r="H147" s="36"/>
      <c r="I147" s="36"/>
      <c r="J147" s="39">
        <v>2.5099999999999998</v>
      </c>
      <c r="K147" s="38">
        <v>1.4375</v>
      </c>
      <c r="L147" s="42">
        <f>G141*J147*K147</f>
        <v>3.8967749999999999</v>
      </c>
      <c r="M147" s="106"/>
      <c r="EX147" s="20"/>
      <c r="EY147" s="29"/>
      <c r="EZ147" s="29"/>
      <c r="FA147" s="29"/>
      <c r="FD147" s="3" t="s">
        <v>35</v>
      </c>
      <c r="FG147" s="29"/>
    </row>
    <row r="148" spans="1:164" customFormat="1" ht="15" x14ac:dyDescent="0.25">
      <c r="A148" s="34"/>
      <c r="B148" s="33" t="s">
        <v>36</v>
      </c>
      <c r="C148" s="146" t="s">
        <v>37</v>
      </c>
      <c r="D148" s="146"/>
      <c r="E148" s="146"/>
      <c r="F148" s="35"/>
      <c r="G148" s="36"/>
      <c r="H148" s="36"/>
      <c r="I148" s="36"/>
      <c r="J148" s="39">
        <v>111.92</v>
      </c>
      <c r="K148" s="36"/>
      <c r="L148" s="42">
        <f>G141*J148</f>
        <v>120.87360000000001</v>
      </c>
      <c r="M148" s="106"/>
      <c r="EX148" s="20"/>
      <c r="EY148" s="29"/>
      <c r="EZ148" s="29"/>
      <c r="FA148" s="29"/>
      <c r="FD148" s="3" t="s">
        <v>37</v>
      </c>
      <c r="FG148" s="29"/>
    </row>
    <row r="149" spans="1:164" customFormat="1" ht="15" x14ac:dyDescent="0.25">
      <c r="A149" s="43"/>
      <c r="B149" s="33"/>
      <c r="C149" s="146" t="s">
        <v>38</v>
      </c>
      <c r="D149" s="146"/>
      <c r="E149" s="146"/>
      <c r="F149" s="35" t="s">
        <v>39</v>
      </c>
      <c r="G149" s="40">
        <v>23.52</v>
      </c>
      <c r="H149" s="38">
        <v>1.3225</v>
      </c>
      <c r="I149" s="60">
        <v>33.593615999999997</v>
      </c>
      <c r="J149" s="45"/>
      <c r="K149" s="36"/>
      <c r="L149" s="46"/>
      <c r="M149" s="106">
        <v>25.36</v>
      </c>
      <c r="EX149" s="20"/>
      <c r="EY149" s="29"/>
      <c r="EZ149" s="29"/>
      <c r="FA149" s="29"/>
      <c r="FE149" s="3" t="s">
        <v>38</v>
      </c>
      <c r="FG149" s="29"/>
    </row>
    <row r="150" spans="1:164" customFormat="1" ht="15" x14ac:dyDescent="0.25">
      <c r="A150" s="43"/>
      <c r="B150" s="33"/>
      <c r="C150" s="146" t="s">
        <v>40</v>
      </c>
      <c r="D150" s="146"/>
      <c r="E150" s="146"/>
      <c r="F150" s="35" t="s">
        <v>39</v>
      </c>
      <c r="G150" s="61">
        <v>0.2</v>
      </c>
      <c r="H150" s="38">
        <v>1.4375</v>
      </c>
      <c r="I150" s="38">
        <v>0.3105</v>
      </c>
      <c r="J150" s="45"/>
      <c r="K150" s="36"/>
      <c r="L150" s="46"/>
      <c r="M150" s="106">
        <v>7.04</v>
      </c>
      <c r="EX150" s="20"/>
      <c r="EY150" s="29"/>
      <c r="EZ150" s="29"/>
      <c r="FA150" s="29"/>
      <c r="FE150" s="3" t="s">
        <v>40</v>
      </c>
      <c r="FG150" s="29"/>
    </row>
    <row r="151" spans="1:164" customFormat="1" ht="15" x14ac:dyDescent="0.25">
      <c r="A151" s="30"/>
      <c r="B151" s="33"/>
      <c r="C151" s="151" t="s">
        <v>41</v>
      </c>
      <c r="D151" s="151"/>
      <c r="E151" s="151"/>
      <c r="F151" s="47"/>
      <c r="G151" s="48"/>
      <c r="H151" s="48"/>
      <c r="I151" s="48"/>
      <c r="J151" s="62">
        <v>365.13</v>
      </c>
      <c r="K151" s="48"/>
      <c r="L151" s="66">
        <f>L145+L146+L148</f>
        <v>44545.302497340002</v>
      </c>
      <c r="M151" s="106"/>
      <c r="EX151" s="20"/>
      <c r="EY151" s="29"/>
      <c r="EZ151" s="29"/>
      <c r="FA151" s="29"/>
      <c r="FF151" s="3" t="s">
        <v>41</v>
      </c>
      <c r="FG151" s="29"/>
    </row>
    <row r="152" spans="1:164" customFormat="1" ht="15" x14ac:dyDescent="0.25">
      <c r="A152" s="43"/>
      <c r="B152" s="33"/>
      <c r="C152" s="146" t="s">
        <v>42</v>
      </c>
      <c r="D152" s="146"/>
      <c r="E152" s="146"/>
      <c r="F152" s="35"/>
      <c r="G152" s="36"/>
      <c r="H152" s="36"/>
      <c r="I152" s="36"/>
      <c r="J152" s="45"/>
      <c r="K152" s="36"/>
      <c r="L152" s="42">
        <f>L145+L147</f>
        <v>43535.638172340005</v>
      </c>
      <c r="M152" s="106"/>
      <c r="EX152" s="20"/>
      <c r="EY152" s="29"/>
      <c r="EZ152" s="29"/>
      <c r="FA152" s="29"/>
      <c r="FE152" s="3" t="s">
        <v>42</v>
      </c>
      <c r="FG152" s="29"/>
    </row>
    <row r="153" spans="1:164" customFormat="1" ht="23.25" x14ac:dyDescent="0.25">
      <c r="A153" s="43"/>
      <c r="B153" s="33" t="s">
        <v>72</v>
      </c>
      <c r="C153" s="146" t="s">
        <v>73</v>
      </c>
      <c r="D153" s="146"/>
      <c r="E153" s="146"/>
      <c r="F153" s="35" t="s">
        <v>45</v>
      </c>
      <c r="G153" s="51">
        <v>97</v>
      </c>
      <c r="H153" s="36"/>
      <c r="I153" s="51">
        <v>97</v>
      </c>
      <c r="J153" s="45"/>
      <c r="K153" s="36"/>
      <c r="L153" s="42">
        <f>L152*I153%</f>
        <v>42229.569027169804</v>
      </c>
      <c r="M153" s="106"/>
      <c r="EX153" s="20"/>
      <c r="EY153" s="29"/>
      <c r="EZ153" s="29"/>
      <c r="FA153" s="29"/>
      <c r="FE153" s="3" t="s">
        <v>73</v>
      </c>
      <c r="FG153" s="29"/>
    </row>
    <row r="154" spans="1:164" customFormat="1" ht="23.25" x14ac:dyDescent="0.25">
      <c r="A154" s="43"/>
      <c r="B154" s="33" t="s">
        <v>74</v>
      </c>
      <c r="C154" s="146" t="s">
        <v>75</v>
      </c>
      <c r="D154" s="146"/>
      <c r="E154" s="146"/>
      <c r="F154" s="35" t="s">
        <v>45</v>
      </c>
      <c r="G154" s="51">
        <v>51</v>
      </c>
      <c r="H154" s="36"/>
      <c r="I154" s="51">
        <v>51</v>
      </c>
      <c r="J154" s="45"/>
      <c r="K154" s="36"/>
      <c r="L154" s="42">
        <f>L152*I154%</f>
        <v>22203.175467893401</v>
      </c>
      <c r="M154" s="106"/>
      <c r="EX154" s="20"/>
      <c r="EY154" s="29"/>
      <c r="EZ154" s="29"/>
      <c r="FA154" s="29"/>
      <c r="FE154" s="3" t="s">
        <v>75</v>
      </c>
      <c r="FG154" s="29"/>
    </row>
    <row r="155" spans="1:164" customFormat="1" ht="15" x14ac:dyDescent="0.25">
      <c r="A155" s="52"/>
      <c r="B155" s="53"/>
      <c r="C155" s="148" t="s">
        <v>48</v>
      </c>
      <c r="D155" s="148"/>
      <c r="E155" s="148"/>
      <c r="F155" s="23"/>
      <c r="G155" s="24"/>
      <c r="H155" s="24"/>
      <c r="I155" s="24"/>
      <c r="J155" s="27"/>
      <c r="K155" s="24"/>
      <c r="L155" s="99">
        <f>L151+L153+L154</f>
        <v>108978.04699240319</v>
      </c>
      <c r="M155" s="106"/>
      <c r="EX155" s="20"/>
      <c r="EY155" s="29"/>
      <c r="EZ155" s="29"/>
      <c r="FA155" s="29"/>
      <c r="FG155" s="29" t="s">
        <v>48</v>
      </c>
    </row>
    <row r="156" spans="1:164" customFormat="1" ht="45" x14ac:dyDescent="0.25">
      <c r="A156" s="21" t="s">
        <v>123</v>
      </c>
      <c r="B156" s="22" t="s">
        <v>124</v>
      </c>
      <c r="C156" s="148" t="s">
        <v>125</v>
      </c>
      <c r="D156" s="148"/>
      <c r="E156" s="148"/>
      <c r="F156" s="23" t="s">
        <v>51</v>
      </c>
      <c r="G156" s="24">
        <v>36</v>
      </c>
      <c r="H156" s="25">
        <v>1</v>
      </c>
      <c r="I156" s="25">
        <v>36</v>
      </c>
      <c r="J156" s="56">
        <f>9632/1.2</f>
        <v>8026.666666666667</v>
      </c>
      <c r="K156" s="26">
        <v>1.04236</v>
      </c>
      <c r="L156" s="55">
        <f>G156*J156*K156</f>
        <v>301200.3456</v>
      </c>
      <c r="M156" s="106"/>
      <c r="EX156" s="20"/>
      <c r="EY156" s="29" t="s">
        <v>125</v>
      </c>
      <c r="EZ156" s="29" t="s">
        <v>0</v>
      </c>
      <c r="FA156" s="29" t="s">
        <v>0</v>
      </c>
      <c r="FG156" s="29"/>
    </row>
    <row r="157" spans="1:164" customFormat="1" ht="15" x14ac:dyDescent="0.25">
      <c r="A157" s="30"/>
      <c r="B157" s="31"/>
      <c r="C157" s="152" t="s">
        <v>304</v>
      </c>
      <c r="D157" s="146"/>
      <c r="E157" s="146"/>
      <c r="F157" s="146"/>
      <c r="G157" s="146"/>
      <c r="H157" s="146"/>
      <c r="I157" s="146"/>
      <c r="J157" s="146"/>
      <c r="K157" s="146"/>
      <c r="L157" s="149"/>
      <c r="M157" s="106"/>
      <c r="EX157" s="20"/>
      <c r="EY157" s="29"/>
      <c r="EZ157" s="29"/>
      <c r="FA157" s="29"/>
      <c r="FG157" s="29"/>
      <c r="FH157" s="3" t="s">
        <v>126</v>
      </c>
    </row>
    <row r="158" spans="1:164" customFormat="1" ht="15" x14ac:dyDescent="0.25">
      <c r="A158" s="32"/>
      <c r="B158" s="33"/>
      <c r="C158" s="141" t="s">
        <v>54</v>
      </c>
      <c r="D158" s="141"/>
      <c r="E158" s="141"/>
      <c r="F158" s="141"/>
      <c r="G158" s="141"/>
      <c r="H158" s="141"/>
      <c r="I158" s="141"/>
      <c r="J158" s="141"/>
      <c r="K158" s="141"/>
      <c r="L158" s="150"/>
      <c r="M158" s="106"/>
      <c r="EX158" s="20"/>
      <c r="EY158" s="29"/>
      <c r="EZ158" s="29"/>
      <c r="FA158" s="29"/>
      <c r="FC158" s="3" t="s">
        <v>54</v>
      </c>
      <c r="FG158" s="29"/>
    </row>
    <row r="159" spans="1:164" customFormat="1" ht="15" x14ac:dyDescent="0.25">
      <c r="A159" s="32"/>
      <c r="B159" s="33"/>
      <c r="C159" s="141" t="s">
        <v>55</v>
      </c>
      <c r="D159" s="141"/>
      <c r="E159" s="141"/>
      <c r="F159" s="141"/>
      <c r="G159" s="141"/>
      <c r="H159" s="141"/>
      <c r="I159" s="141"/>
      <c r="J159" s="141"/>
      <c r="K159" s="141"/>
      <c r="L159" s="150"/>
      <c r="M159" s="106"/>
      <c r="EX159" s="20"/>
      <c r="EY159" s="29"/>
      <c r="EZ159" s="29"/>
      <c r="FA159" s="29"/>
      <c r="FC159" s="3" t="s">
        <v>55</v>
      </c>
      <c r="FG159" s="29"/>
    </row>
    <row r="160" spans="1:164" customFormat="1" ht="15" x14ac:dyDescent="0.25">
      <c r="A160" s="52"/>
      <c r="B160" s="53"/>
      <c r="C160" s="148" t="s">
        <v>48</v>
      </c>
      <c r="D160" s="148"/>
      <c r="E160" s="148"/>
      <c r="F160" s="23"/>
      <c r="G160" s="24"/>
      <c r="H160" s="24"/>
      <c r="I160" s="24"/>
      <c r="J160" s="27"/>
      <c r="K160" s="24"/>
      <c r="L160" s="96">
        <f>L156</f>
        <v>301200.3456</v>
      </c>
      <c r="M160" s="106"/>
      <c r="EX160" s="20"/>
      <c r="EY160" s="29"/>
      <c r="EZ160" s="29"/>
      <c r="FA160" s="29"/>
      <c r="FG160" s="29" t="s">
        <v>48</v>
      </c>
    </row>
    <row r="161" spans="1:164" customFormat="1" ht="45" x14ac:dyDescent="0.25">
      <c r="A161" s="21" t="s">
        <v>127</v>
      </c>
      <c r="B161" s="22" t="s">
        <v>128</v>
      </c>
      <c r="C161" s="148" t="s">
        <v>129</v>
      </c>
      <c r="D161" s="148"/>
      <c r="E161" s="148"/>
      <c r="F161" s="23" t="s">
        <v>51</v>
      </c>
      <c r="G161" s="24">
        <v>36</v>
      </c>
      <c r="H161" s="25">
        <v>1</v>
      </c>
      <c r="I161" s="25">
        <v>36</v>
      </c>
      <c r="J161" s="56">
        <f>6452/1.2</f>
        <v>5376.666666666667</v>
      </c>
      <c r="K161" s="26">
        <v>1.04236</v>
      </c>
      <c r="L161" s="55">
        <f>G161*J161*K161</f>
        <v>201759.2016</v>
      </c>
      <c r="M161" s="106"/>
      <c r="EX161" s="20"/>
      <c r="EY161" s="29" t="s">
        <v>129</v>
      </c>
      <c r="EZ161" s="29" t="s">
        <v>0</v>
      </c>
      <c r="FA161" s="29" t="s">
        <v>0</v>
      </c>
      <c r="FG161" s="29"/>
    </row>
    <row r="162" spans="1:164" customFormat="1" ht="15" x14ac:dyDescent="0.25">
      <c r="A162" s="30"/>
      <c r="B162" s="31"/>
      <c r="C162" s="152" t="s">
        <v>305</v>
      </c>
      <c r="D162" s="146"/>
      <c r="E162" s="146"/>
      <c r="F162" s="146"/>
      <c r="G162" s="146"/>
      <c r="H162" s="146"/>
      <c r="I162" s="146"/>
      <c r="J162" s="146"/>
      <c r="K162" s="146"/>
      <c r="L162" s="149"/>
      <c r="M162" s="106"/>
      <c r="EX162" s="20"/>
      <c r="EY162" s="29"/>
      <c r="EZ162" s="29"/>
      <c r="FA162" s="29"/>
      <c r="FG162" s="29"/>
      <c r="FH162" s="3" t="s">
        <v>130</v>
      </c>
    </row>
    <row r="163" spans="1:164" customFormat="1" ht="15" x14ac:dyDescent="0.25">
      <c r="A163" s="32"/>
      <c r="B163" s="33"/>
      <c r="C163" s="141" t="s">
        <v>54</v>
      </c>
      <c r="D163" s="141"/>
      <c r="E163" s="141"/>
      <c r="F163" s="141"/>
      <c r="G163" s="141"/>
      <c r="H163" s="141"/>
      <c r="I163" s="141"/>
      <c r="J163" s="141"/>
      <c r="K163" s="141"/>
      <c r="L163" s="150"/>
      <c r="M163" s="106"/>
      <c r="EX163" s="20"/>
      <c r="EY163" s="29"/>
      <c r="EZ163" s="29"/>
      <c r="FA163" s="29"/>
      <c r="FC163" s="3" t="s">
        <v>54</v>
      </c>
      <c r="FG163" s="29"/>
    </row>
    <row r="164" spans="1:164" customFormat="1" ht="15" x14ac:dyDescent="0.25">
      <c r="A164" s="32"/>
      <c r="B164" s="33"/>
      <c r="C164" s="141" t="s">
        <v>55</v>
      </c>
      <c r="D164" s="141"/>
      <c r="E164" s="141"/>
      <c r="F164" s="141"/>
      <c r="G164" s="141"/>
      <c r="H164" s="141"/>
      <c r="I164" s="141"/>
      <c r="J164" s="141"/>
      <c r="K164" s="141"/>
      <c r="L164" s="150"/>
      <c r="M164" s="106"/>
      <c r="EX164" s="20"/>
      <c r="EY164" s="29"/>
      <c r="EZ164" s="29"/>
      <c r="FA164" s="29"/>
      <c r="FC164" s="3" t="s">
        <v>55</v>
      </c>
      <c r="FG164" s="29"/>
    </row>
    <row r="165" spans="1:164" customFormat="1" ht="15" x14ac:dyDescent="0.25">
      <c r="A165" s="52"/>
      <c r="B165" s="53"/>
      <c r="C165" s="148" t="s">
        <v>48</v>
      </c>
      <c r="D165" s="148"/>
      <c r="E165" s="148"/>
      <c r="F165" s="23"/>
      <c r="G165" s="24"/>
      <c r="H165" s="24"/>
      <c r="I165" s="24"/>
      <c r="J165" s="27"/>
      <c r="K165" s="24"/>
      <c r="L165" s="96">
        <f>L161</f>
        <v>201759.2016</v>
      </c>
      <c r="M165" s="106"/>
      <c r="EX165" s="20"/>
      <c r="EY165" s="29"/>
      <c r="EZ165" s="29"/>
      <c r="FA165" s="29"/>
      <c r="FG165" s="29" t="s">
        <v>48</v>
      </c>
    </row>
    <row r="166" spans="1:164" customFormat="1" ht="34.5" x14ac:dyDescent="0.25">
      <c r="A166" s="21" t="s">
        <v>131</v>
      </c>
      <c r="B166" s="22" t="s">
        <v>132</v>
      </c>
      <c r="C166" s="148" t="s">
        <v>133</v>
      </c>
      <c r="D166" s="148"/>
      <c r="E166" s="148"/>
      <c r="F166" s="23" t="s">
        <v>134</v>
      </c>
      <c r="G166" s="24">
        <v>1.59</v>
      </c>
      <c r="H166" s="25">
        <v>1</v>
      </c>
      <c r="I166" s="57">
        <v>1.59</v>
      </c>
      <c r="J166" s="27"/>
      <c r="K166" s="24"/>
      <c r="L166" s="28"/>
      <c r="M166" s="106"/>
      <c r="EX166" s="20"/>
      <c r="EY166" s="29" t="s">
        <v>133</v>
      </c>
      <c r="EZ166" s="29" t="s">
        <v>0</v>
      </c>
      <c r="FA166" s="29" t="s">
        <v>0</v>
      </c>
      <c r="FG166" s="29"/>
    </row>
    <row r="167" spans="1:164" customFormat="1" ht="15" x14ac:dyDescent="0.25">
      <c r="A167" s="30"/>
      <c r="B167" s="31"/>
      <c r="C167" s="146" t="s">
        <v>135</v>
      </c>
      <c r="D167" s="146"/>
      <c r="E167" s="146"/>
      <c r="F167" s="146"/>
      <c r="G167" s="146"/>
      <c r="H167" s="146"/>
      <c r="I167" s="146"/>
      <c r="J167" s="146"/>
      <c r="K167" s="146"/>
      <c r="L167" s="149"/>
      <c r="M167" s="106"/>
      <c r="EX167" s="20"/>
      <c r="EY167" s="29"/>
      <c r="EZ167" s="29"/>
      <c r="FA167" s="29"/>
      <c r="FB167" s="3" t="s">
        <v>135</v>
      </c>
      <c r="FG167" s="29"/>
    </row>
    <row r="168" spans="1:164" customFormat="1" ht="68.25" x14ac:dyDescent="0.25">
      <c r="A168" s="32"/>
      <c r="B168" s="33" t="s">
        <v>27</v>
      </c>
      <c r="C168" s="141" t="s">
        <v>28</v>
      </c>
      <c r="D168" s="141"/>
      <c r="E168" s="141"/>
      <c r="F168" s="141"/>
      <c r="G168" s="141"/>
      <c r="H168" s="141"/>
      <c r="I168" s="141"/>
      <c r="J168" s="141"/>
      <c r="K168" s="141"/>
      <c r="L168" s="150"/>
      <c r="M168" s="106"/>
      <c r="EX168" s="20"/>
      <c r="EY168" s="29"/>
      <c r="EZ168" s="29"/>
      <c r="FA168" s="29"/>
      <c r="FC168" s="3" t="s">
        <v>28</v>
      </c>
      <c r="FG168" s="29"/>
    </row>
    <row r="169" spans="1:164" customFormat="1" ht="22.5" x14ac:dyDescent="0.25">
      <c r="A169" s="32"/>
      <c r="B169" s="33" t="s">
        <v>136</v>
      </c>
      <c r="C169" s="141" t="s">
        <v>137</v>
      </c>
      <c r="D169" s="141"/>
      <c r="E169" s="141"/>
      <c r="F169" s="141"/>
      <c r="G169" s="141"/>
      <c r="H169" s="141"/>
      <c r="I169" s="141"/>
      <c r="J169" s="141"/>
      <c r="K169" s="141"/>
      <c r="L169" s="150"/>
      <c r="M169" s="106"/>
      <c r="EX169" s="20"/>
      <c r="EY169" s="29"/>
      <c r="EZ169" s="29"/>
      <c r="FA169" s="29"/>
      <c r="FC169" s="3" t="s">
        <v>137</v>
      </c>
      <c r="FG169" s="29"/>
    </row>
    <row r="170" spans="1:164" customFormat="1" ht="23.25" x14ac:dyDescent="0.25">
      <c r="A170" s="32"/>
      <c r="B170" s="33" t="s">
        <v>29</v>
      </c>
      <c r="C170" s="141" t="s">
        <v>30</v>
      </c>
      <c r="D170" s="141"/>
      <c r="E170" s="141"/>
      <c r="F170" s="141"/>
      <c r="G170" s="141"/>
      <c r="H170" s="141"/>
      <c r="I170" s="141"/>
      <c r="J170" s="141"/>
      <c r="K170" s="141"/>
      <c r="L170" s="150"/>
      <c r="M170" s="106"/>
      <c r="N170" s="118" t="s">
        <v>317</v>
      </c>
      <c r="EX170" s="20"/>
      <c r="EY170" s="29"/>
      <c r="EZ170" s="29"/>
      <c r="FA170" s="29"/>
      <c r="FC170" s="3" t="s">
        <v>30</v>
      </c>
      <c r="FG170" s="29"/>
    </row>
    <row r="171" spans="1:164" customFormat="1" ht="15" x14ac:dyDescent="0.25">
      <c r="A171" s="34"/>
      <c r="B171" s="33" t="s">
        <v>22</v>
      </c>
      <c r="C171" s="146" t="s">
        <v>31</v>
      </c>
      <c r="D171" s="146"/>
      <c r="E171" s="146"/>
      <c r="F171" s="35"/>
      <c r="G171" s="36"/>
      <c r="H171" s="36"/>
      <c r="I171" s="36"/>
      <c r="J171" s="117">
        <f>O171</f>
        <v>121808.3725</v>
      </c>
      <c r="K171" s="64">
        <v>0.92574999999999996</v>
      </c>
      <c r="L171" s="41">
        <f>G166*J171*K171</f>
        <v>179294.92033858126</v>
      </c>
      <c r="M171" s="106">
        <v>49.45</v>
      </c>
      <c r="N171" s="112">
        <v>39029.69498575</v>
      </c>
      <c r="O171" s="113">
        <v>121808.3725</v>
      </c>
      <c r="P171" s="105">
        <f>G175</f>
        <v>94</v>
      </c>
      <c r="Q171" s="105">
        <f>O171/P171*8</f>
        <v>10366.67</v>
      </c>
      <c r="R171" s="105">
        <f>Q171*22</f>
        <v>228066.74</v>
      </c>
      <c r="S171" s="105">
        <f>R171*(1-0.43)</f>
        <v>129998.04180000001</v>
      </c>
      <c r="EX171" s="20"/>
      <c r="EY171" s="29"/>
      <c r="EZ171" s="29"/>
      <c r="FA171" s="29"/>
      <c r="FD171" s="3" t="s">
        <v>31</v>
      </c>
      <c r="FG171" s="29"/>
    </row>
    <row r="172" spans="1:164" customFormat="1" ht="15" x14ac:dyDescent="0.25">
      <c r="A172" s="34"/>
      <c r="B172" s="33" t="s">
        <v>32</v>
      </c>
      <c r="C172" s="146" t="s">
        <v>33</v>
      </c>
      <c r="D172" s="146"/>
      <c r="E172" s="146"/>
      <c r="F172" s="35"/>
      <c r="G172" s="36"/>
      <c r="H172" s="36"/>
      <c r="I172" s="36"/>
      <c r="J172" s="116">
        <f>O172</f>
        <v>48587.5</v>
      </c>
      <c r="K172" s="64">
        <v>1.0062500000000001</v>
      </c>
      <c r="L172" s="41">
        <f>G166*J172*K172</f>
        <v>77736.963281250006</v>
      </c>
      <c r="M172" s="106">
        <v>14.53</v>
      </c>
      <c r="N172" s="112">
        <v>34952.368154375006</v>
      </c>
      <c r="O172" s="113">
        <v>48587.5</v>
      </c>
      <c r="P172" s="105">
        <f>G176</f>
        <v>16.899999999999999</v>
      </c>
      <c r="Q172" s="105">
        <f>O172/P172*8</f>
        <v>23000.000000000004</v>
      </c>
      <c r="EX172" s="20"/>
      <c r="EY172" s="29"/>
      <c r="EZ172" s="29"/>
      <c r="FA172" s="29"/>
      <c r="FD172" s="3" t="s">
        <v>33</v>
      </c>
      <c r="FG172" s="29"/>
    </row>
    <row r="173" spans="1:164" customFormat="1" ht="15" x14ac:dyDescent="0.25">
      <c r="A173" s="34"/>
      <c r="B173" s="33" t="s">
        <v>34</v>
      </c>
      <c r="C173" s="146" t="s">
        <v>35</v>
      </c>
      <c r="D173" s="146"/>
      <c r="E173" s="146"/>
      <c r="F173" s="35"/>
      <c r="G173" s="36"/>
      <c r="H173" s="36"/>
      <c r="I173" s="36"/>
      <c r="J173" s="39">
        <v>229.05</v>
      </c>
      <c r="K173" s="64">
        <v>1.0062500000000001</v>
      </c>
      <c r="L173" s="42">
        <f>G166*J173*K173</f>
        <v>366.46568437500002</v>
      </c>
      <c r="M173" s="106"/>
      <c r="EX173" s="20"/>
      <c r="EY173" s="29"/>
      <c r="EZ173" s="29"/>
      <c r="FA173" s="29"/>
      <c r="FD173" s="3" t="s">
        <v>35</v>
      </c>
      <c r="FG173" s="29"/>
    </row>
    <row r="174" spans="1:164" customFormat="1" ht="15" x14ac:dyDescent="0.25">
      <c r="A174" s="34"/>
      <c r="B174" s="33" t="s">
        <v>36</v>
      </c>
      <c r="C174" s="146" t="s">
        <v>37</v>
      </c>
      <c r="D174" s="146"/>
      <c r="E174" s="146"/>
      <c r="F174" s="35"/>
      <c r="G174" s="36"/>
      <c r="H174" s="36"/>
      <c r="I174" s="36"/>
      <c r="J174" s="39">
        <v>0</v>
      </c>
      <c r="K174" s="51">
        <v>0</v>
      </c>
      <c r="L174" s="42">
        <f>G166*J174</f>
        <v>0</v>
      </c>
      <c r="M174" s="106"/>
      <c r="EX174" s="20"/>
      <c r="EY174" s="29"/>
      <c r="EZ174" s="29"/>
      <c r="FA174" s="29"/>
      <c r="FD174" s="3" t="s">
        <v>37</v>
      </c>
      <c r="FG174" s="29"/>
    </row>
    <row r="175" spans="1:164" customFormat="1" ht="15" x14ac:dyDescent="0.25">
      <c r="A175" s="43"/>
      <c r="B175" s="33"/>
      <c r="C175" s="146" t="s">
        <v>38</v>
      </c>
      <c r="D175" s="146"/>
      <c r="E175" s="146"/>
      <c r="F175" s="35" t="s">
        <v>39</v>
      </c>
      <c r="G175" s="51">
        <v>94</v>
      </c>
      <c r="H175" s="64">
        <v>0.92574999999999996</v>
      </c>
      <c r="I175" s="60">
        <v>138.362595</v>
      </c>
      <c r="J175" s="45"/>
      <c r="K175" s="36"/>
      <c r="L175" s="46"/>
      <c r="M175" s="106"/>
      <c r="EX175" s="20"/>
      <c r="EY175" s="29"/>
      <c r="EZ175" s="29"/>
      <c r="FA175" s="29"/>
      <c r="FE175" s="3" t="s">
        <v>38</v>
      </c>
      <c r="FG175" s="29"/>
    </row>
    <row r="176" spans="1:164" customFormat="1" ht="15" x14ac:dyDescent="0.25">
      <c r="A176" s="43"/>
      <c r="B176" s="33"/>
      <c r="C176" s="146" t="s">
        <v>40</v>
      </c>
      <c r="D176" s="146"/>
      <c r="E176" s="146"/>
      <c r="F176" s="35" t="s">
        <v>39</v>
      </c>
      <c r="G176" s="61">
        <v>16.899999999999999</v>
      </c>
      <c r="H176" s="64">
        <v>1.0062500000000001</v>
      </c>
      <c r="I176" s="44">
        <v>27.038943799999998</v>
      </c>
      <c r="J176" s="45"/>
      <c r="K176" s="36"/>
      <c r="L176" s="46"/>
      <c r="M176" s="106"/>
      <c r="EX176" s="20"/>
      <c r="EY176" s="29"/>
      <c r="EZ176" s="29"/>
      <c r="FA176" s="29"/>
      <c r="FE176" s="3" t="s">
        <v>40</v>
      </c>
      <c r="FG176" s="29"/>
    </row>
    <row r="177" spans="1:163" customFormat="1" ht="15" x14ac:dyDescent="0.25">
      <c r="A177" s="30"/>
      <c r="B177" s="33"/>
      <c r="C177" s="151" t="s">
        <v>41</v>
      </c>
      <c r="D177" s="151"/>
      <c r="E177" s="151"/>
      <c r="F177" s="47"/>
      <c r="G177" s="48"/>
      <c r="H177" s="48"/>
      <c r="I177" s="48"/>
      <c r="J177" s="49">
        <v>3544.01</v>
      </c>
      <c r="K177" s="48"/>
      <c r="L177" s="50">
        <f>L171+L172+L174</f>
        <v>257031.88361983126</v>
      </c>
      <c r="M177" s="106"/>
      <c r="EX177" s="20"/>
      <c r="EY177" s="29"/>
      <c r="EZ177" s="29"/>
      <c r="FA177" s="29"/>
      <c r="FF177" s="3" t="s">
        <v>41</v>
      </c>
      <c r="FG177" s="29"/>
    </row>
    <row r="178" spans="1:163" customFormat="1" ht="15" x14ac:dyDescent="0.25">
      <c r="A178" s="43"/>
      <c r="B178" s="33"/>
      <c r="C178" s="146" t="s">
        <v>42</v>
      </c>
      <c r="D178" s="146"/>
      <c r="E178" s="146"/>
      <c r="F178" s="35"/>
      <c r="G178" s="36"/>
      <c r="H178" s="36"/>
      <c r="I178" s="36"/>
      <c r="J178" s="45"/>
      <c r="K178" s="36"/>
      <c r="L178" s="41">
        <f>L171+L173</f>
        <v>179661.38602295626</v>
      </c>
      <c r="M178" s="106"/>
      <c r="EX178" s="20"/>
      <c r="EY178" s="29"/>
      <c r="EZ178" s="29"/>
      <c r="FA178" s="29"/>
      <c r="FE178" s="3" t="s">
        <v>42</v>
      </c>
      <c r="FG178" s="29"/>
    </row>
    <row r="179" spans="1:163" customFormat="1" ht="23.25" x14ac:dyDescent="0.25">
      <c r="A179" s="43"/>
      <c r="B179" s="33" t="s">
        <v>138</v>
      </c>
      <c r="C179" s="146" t="s">
        <v>139</v>
      </c>
      <c r="D179" s="146"/>
      <c r="E179" s="146"/>
      <c r="F179" s="35" t="s">
        <v>45</v>
      </c>
      <c r="G179" s="51">
        <v>93</v>
      </c>
      <c r="H179" s="36"/>
      <c r="I179" s="51">
        <v>93</v>
      </c>
      <c r="J179" s="45"/>
      <c r="K179" s="36"/>
      <c r="L179" s="41">
        <f>L178*I179%</f>
        <v>167085.08900134932</v>
      </c>
      <c r="M179" s="106"/>
      <c r="EX179" s="20"/>
      <c r="EY179" s="29"/>
      <c r="EZ179" s="29"/>
      <c r="FA179" s="29"/>
      <c r="FE179" s="3" t="s">
        <v>139</v>
      </c>
      <c r="FG179" s="29"/>
    </row>
    <row r="180" spans="1:163" customFormat="1" ht="45" x14ac:dyDescent="0.25">
      <c r="A180" s="43"/>
      <c r="B180" s="33" t="s">
        <v>140</v>
      </c>
      <c r="C180" s="146" t="s">
        <v>141</v>
      </c>
      <c r="D180" s="146"/>
      <c r="E180" s="146"/>
      <c r="F180" s="35" t="s">
        <v>45</v>
      </c>
      <c r="G180" s="51">
        <v>62</v>
      </c>
      <c r="H180" s="40">
        <v>0.85</v>
      </c>
      <c r="I180" s="61">
        <v>52.7</v>
      </c>
      <c r="J180" s="45"/>
      <c r="K180" s="36"/>
      <c r="L180" s="42">
        <f>L178*I180%</f>
        <v>94681.550434097953</v>
      </c>
      <c r="M180" s="106"/>
      <c r="EX180" s="20"/>
      <c r="EY180" s="29"/>
      <c r="EZ180" s="29"/>
      <c r="FA180" s="29"/>
      <c r="FE180" s="3" t="s">
        <v>141</v>
      </c>
      <c r="FG180" s="29"/>
    </row>
    <row r="181" spans="1:163" customFormat="1" ht="15" x14ac:dyDescent="0.25">
      <c r="A181" s="52"/>
      <c r="B181" s="53"/>
      <c r="C181" s="148" t="s">
        <v>48</v>
      </c>
      <c r="D181" s="148"/>
      <c r="E181" s="148"/>
      <c r="F181" s="23"/>
      <c r="G181" s="24"/>
      <c r="H181" s="24"/>
      <c r="I181" s="24"/>
      <c r="J181" s="27"/>
      <c r="K181" s="24"/>
      <c r="L181" s="96">
        <f>L177+L179+L180</f>
        <v>518798.52305527852</v>
      </c>
      <c r="M181" s="106"/>
      <c r="EX181" s="20"/>
      <c r="EY181" s="29"/>
      <c r="EZ181" s="29"/>
      <c r="FA181" s="29"/>
      <c r="FG181" s="29" t="s">
        <v>48</v>
      </c>
    </row>
    <row r="182" spans="1:163" customFormat="1" ht="45.75" x14ac:dyDescent="0.25">
      <c r="A182" s="21" t="s">
        <v>142</v>
      </c>
      <c r="B182" s="22" t="s">
        <v>132</v>
      </c>
      <c r="C182" s="148" t="s">
        <v>143</v>
      </c>
      <c r="D182" s="148"/>
      <c r="E182" s="148"/>
      <c r="F182" s="23" t="s">
        <v>134</v>
      </c>
      <c r="G182" s="24">
        <v>1.59</v>
      </c>
      <c r="H182" s="25">
        <v>1</v>
      </c>
      <c r="I182" s="57">
        <v>1.59</v>
      </c>
      <c r="J182" s="27"/>
      <c r="K182" s="24"/>
      <c r="L182" s="28"/>
      <c r="M182" s="106"/>
      <c r="EX182" s="20"/>
      <c r="EY182" s="29" t="s">
        <v>143</v>
      </c>
      <c r="EZ182" s="29" t="s">
        <v>0</v>
      </c>
      <c r="FA182" s="29" t="s">
        <v>0</v>
      </c>
      <c r="FG182" s="29"/>
    </row>
    <row r="183" spans="1:163" customFormat="1" ht="15" x14ac:dyDescent="0.25">
      <c r="A183" s="30"/>
      <c r="B183" s="31"/>
      <c r="C183" s="146" t="s">
        <v>135</v>
      </c>
      <c r="D183" s="146"/>
      <c r="E183" s="146"/>
      <c r="F183" s="146"/>
      <c r="G183" s="146"/>
      <c r="H183" s="146"/>
      <c r="I183" s="146"/>
      <c r="J183" s="146"/>
      <c r="K183" s="146"/>
      <c r="L183" s="149"/>
      <c r="M183" s="106"/>
      <c r="EX183" s="20"/>
      <c r="EY183" s="29"/>
      <c r="EZ183" s="29"/>
      <c r="FA183" s="29"/>
      <c r="FB183" s="3" t="s">
        <v>135</v>
      </c>
      <c r="FG183" s="29"/>
    </row>
    <row r="184" spans="1:163" customFormat="1" ht="68.25" x14ac:dyDescent="0.25">
      <c r="A184" s="32"/>
      <c r="B184" s="33" t="s">
        <v>27</v>
      </c>
      <c r="C184" s="141" t="s">
        <v>28</v>
      </c>
      <c r="D184" s="141"/>
      <c r="E184" s="141"/>
      <c r="F184" s="141"/>
      <c r="G184" s="141"/>
      <c r="H184" s="141"/>
      <c r="I184" s="141"/>
      <c r="J184" s="141"/>
      <c r="K184" s="141"/>
      <c r="L184" s="150"/>
      <c r="M184" s="106"/>
      <c r="EX184" s="20"/>
      <c r="EY184" s="29"/>
      <c r="EZ184" s="29"/>
      <c r="FA184" s="29"/>
      <c r="FC184" s="3" t="s">
        <v>28</v>
      </c>
      <c r="FG184" s="29"/>
    </row>
    <row r="185" spans="1:163" customFormat="1" ht="23.25" x14ac:dyDescent="0.25">
      <c r="A185" s="32"/>
      <c r="B185" s="33" t="s">
        <v>29</v>
      </c>
      <c r="C185" s="141" t="s">
        <v>30</v>
      </c>
      <c r="D185" s="141"/>
      <c r="E185" s="141"/>
      <c r="F185" s="141"/>
      <c r="G185" s="141"/>
      <c r="H185" s="141"/>
      <c r="I185" s="141"/>
      <c r="J185" s="141"/>
      <c r="K185" s="141"/>
      <c r="L185" s="150"/>
      <c r="M185" s="106"/>
      <c r="N185" s="118" t="s">
        <v>322</v>
      </c>
      <c r="EX185" s="20"/>
      <c r="EY185" s="29"/>
      <c r="EZ185" s="29"/>
      <c r="FA185" s="29"/>
      <c r="FC185" s="3" t="s">
        <v>30</v>
      </c>
      <c r="FG185" s="29"/>
    </row>
    <row r="186" spans="1:163" customFormat="1" ht="15" x14ac:dyDescent="0.25">
      <c r="A186" s="34"/>
      <c r="B186" s="33" t="s">
        <v>22</v>
      </c>
      <c r="C186" s="146" t="s">
        <v>31</v>
      </c>
      <c r="D186" s="146"/>
      <c r="E186" s="146"/>
      <c r="F186" s="35"/>
      <c r="G186" s="36"/>
      <c r="H186" s="36"/>
      <c r="I186" s="36"/>
      <c r="J186" s="117">
        <f>O186</f>
        <v>121808.3725</v>
      </c>
      <c r="K186" s="38">
        <v>1.3225</v>
      </c>
      <c r="L186" s="41">
        <f>G182*J186*K186</f>
        <v>256135.60048368751</v>
      </c>
      <c r="M186" s="106">
        <v>49.45</v>
      </c>
      <c r="N186" s="112">
        <v>55756.707122500011</v>
      </c>
      <c r="O186" s="113">
        <v>121808.3725</v>
      </c>
      <c r="P186" s="105">
        <f>G190</f>
        <v>94</v>
      </c>
      <c r="Q186" s="105">
        <f>O186/P186*8</f>
        <v>10366.67</v>
      </c>
      <c r="R186" s="105">
        <f>Q186*22</f>
        <v>228066.74</v>
      </c>
      <c r="S186" s="105">
        <f>R186*(1-0.43)</f>
        <v>129998.04180000001</v>
      </c>
      <c r="EX186" s="20"/>
      <c r="EY186" s="29"/>
      <c r="EZ186" s="29"/>
      <c r="FA186" s="29"/>
      <c r="FD186" s="3" t="s">
        <v>31</v>
      </c>
      <c r="FG186" s="29"/>
    </row>
    <row r="187" spans="1:163" customFormat="1" ht="15" x14ac:dyDescent="0.25">
      <c r="A187" s="34"/>
      <c r="B187" s="33" t="s">
        <v>32</v>
      </c>
      <c r="C187" s="146" t="s">
        <v>33</v>
      </c>
      <c r="D187" s="146"/>
      <c r="E187" s="146"/>
      <c r="F187" s="35"/>
      <c r="G187" s="36"/>
      <c r="H187" s="36"/>
      <c r="I187" s="36"/>
      <c r="J187" s="116">
        <f>O187</f>
        <v>48587.499999999993</v>
      </c>
      <c r="K187" s="38">
        <v>1.4375</v>
      </c>
      <c r="L187" s="41">
        <f>G182*J187*K187</f>
        <v>111052.80468749999</v>
      </c>
      <c r="M187" s="106">
        <v>14.53</v>
      </c>
      <c r="N187" s="112">
        <v>49931.954506250004</v>
      </c>
      <c r="O187" s="113">
        <v>48587.499999999993</v>
      </c>
      <c r="P187" s="105">
        <f>G191</f>
        <v>16.899999999999999</v>
      </c>
      <c r="Q187" s="105">
        <f>O187/P187*8</f>
        <v>23000</v>
      </c>
      <c r="EX187" s="20"/>
      <c r="EY187" s="29"/>
      <c r="EZ187" s="29"/>
      <c r="FA187" s="29"/>
      <c r="FD187" s="3" t="s">
        <v>33</v>
      </c>
      <c r="FG187" s="29"/>
    </row>
    <row r="188" spans="1:163" customFormat="1" ht="15" x14ac:dyDescent="0.25">
      <c r="A188" s="34"/>
      <c r="B188" s="33" t="s">
        <v>34</v>
      </c>
      <c r="C188" s="146" t="s">
        <v>35</v>
      </c>
      <c r="D188" s="146"/>
      <c r="E188" s="146"/>
      <c r="F188" s="35"/>
      <c r="G188" s="36"/>
      <c r="H188" s="36"/>
      <c r="I188" s="36"/>
      <c r="J188" s="39">
        <v>229.05</v>
      </c>
      <c r="K188" s="38">
        <v>1.4375</v>
      </c>
      <c r="L188" s="42">
        <f>G182*J188*K188</f>
        <v>523.52240625000002</v>
      </c>
      <c r="M188" s="106"/>
      <c r="EX188" s="20"/>
      <c r="EY188" s="29"/>
      <c r="EZ188" s="29"/>
      <c r="FA188" s="29"/>
      <c r="FD188" s="3" t="s">
        <v>35</v>
      </c>
      <c r="FG188" s="29"/>
    </row>
    <row r="189" spans="1:163" customFormat="1" ht="15" x14ac:dyDescent="0.25">
      <c r="A189" s="34"/>
      <c r="B189" s="33" t="s">
        <v>36</v>
      </c>
      <c r="C189" s="146" t="s">
        <v>37</v>
      </c>
      <c r="D189" s="146"/>
      <c r="E189" s="146"/>
      <c r="F189" s="35"/>
      <c r="G189" s="36"/>
      <c r="H189" s="36"/>
      <c r="I189" s="36"/>
      <c r="J189" s="39">
        <v>0</v>
      </c>
      <c r="K189" s="36"/>
      <c r="L189" s="42">
        <f>G182*J189</f>
        <v>0</v>
      </c>
      <c r="M189" s="106"/>
      <c r="EX189" s="20"/>
      <c r="EY189" s="29"/>
      <c r="EZ189" s="29"/>
      <c r="FA189" s="29"/>
      <c r="FD189" s="3" t="s">
        <v>37</v>
      </c>
      <c r="FG189" s="29"/>
    </row>
    <row r="190" spans="1:163" customFormat="1" ht="15" x14ac:dyDescent="0.25">
      <c r="A190" s="43"/>
      <c r="B190" s="33"/>
      <c r="C190" s="146" t="s">
        <v>38</v>
      </c>
      <c r="D190" s="146"/>
      <c r="E190" s="146"/>
      <c r="F190" s="35" t="s">
        <v>39</v>
      </c>
      <c r="G190" s="51">
        <v>94</v>
      </c>
      <c r="H190" s="38">
        <v>1.3225</v>
      </c>
      <c r="I190" s="64">
        <v>197.66085000000001</v>
      </c>
      <c r="J190" s="45"/>
      <c r="K190" s="36"/>
      <c r="L190" s="46"/>
      <c r="M190" s="106"/>
      <c r="EX190" s="20"/>
      <c r="EY190" s="29"/>
      <c r="EZ190" s="29"/>
      <c r="FA190" s="29"/>
      <c r="FE190" s="3" t="s">
        <v>38</v>
      </c>
      <c r="FG190" s="29"/>
    </row>
    <row r="191" spans="1:163" customFormat="1" ht="15" x14ac:dyDescent="0.25">
      <c r="A191" s="43"/>
      <c r="B191" s="33"/>
      <c r="C191" s="146" t="s">
        <v>40</v>
      </c>
      <c r="D191" s="146"/>
      <c r="E191" s="146"/>
      <c r="F191" s="35" t="s">
        <v>39</v>
      </c>
      <c r="G191" s="61">
        <v>16.899999999999999</v>
      </c>
      <c r="H191" s="38">
        <v>1.4375</v>
      </c>
      <c r="I191" s="44">
        <v>38.627062500000001</v>
      </c>
      <c r="J191" s="45"/>
      <c r="K191" s="36"/>
      <c r="L191" s="46"/>
      <c r="M191" s="106"/>
      <c r="EX191" s="20"/>
      <c r="EY191" s="29"/>
      <c r="EZ191" s="29"/>
      <c r="FA191" s="29"/>
      <c r="FE191" s="3" t="s">
        <v>40</v>
      </c>
      <c r="FG191" s="29"/>
    </row>
    <row r="192" spans="1:163" customFormat="1" ht="15" x14ac:dyDescent="0.25">
      <c r="A192" s="30"/>
      <c r="B192" s="33"/>
      <c r="C192" s="151" t="s">
        <v>41</v>
      </c>
      <c r="D192" s="151"/>
      <c r="E192" s="151"/>
      <c r="F192" s="47"/>
      <c r="G192" s="48"/>
      <c r="H192" s="48"/>
      <c r="I192" s="48"/>
      <c r="J192" s="49">
        <v>3544.01</v>
      </c>
      <c r="K192" s="48"/>
      <c r="L192" s="50">
        <f>L186+L187+L189</f>
        <v>367188.40517118748</v>
      </c>
      <c r="M192" s="106"/>
      <c r="EX192" s="20"/>
      <c r="EY192" s="29"/>
      <c r="EZ192" s="29"/>
      <c r="FA192" s="29"/>
      <c r="FF192" s="3" t="s">
        <v>41</v>
      </c>
      <c r="FG192" s="29"/>
    </row>
    <row r="193" spans="1:163" customFormat="1" ht="15" x14ac:dyDescent="0.25">
      <c r="A193" s="43"/>
      <c r="B193" s="33"/>
      <c r="C193" s="146" t="s">
        <v>42</v>
      </c>
      <c r="D193" s="146"/>
      <c r="E193" s="146"/>
      <c r="F193" s="35"/>
      <c r="G193" s="36"/>
      <c r="H193" s="36"/>
      <c r="I193" s="36"/>
      <c r="J193" s="45"/>
      <c r="K193" s="36"/>
      <c r="L193" s="41">
        <f>L186+L188</f>
        <v>256659.12288993751</v>
      </c>
      <c r="M193" s="106"/>
      <c r="EX193" s="20"/>
      <c r="EY193" s="29"/>
      <c r="EZ193" s="29"/>
      <c r="FA193" s="29"/>
      <c r="FE193" s="3" t="s">
        <v>42</v>
      </c>
      <c r="FG193" s="29"/>
    </row>
    <row r="194" spans="1:163" customFormat="1" ht="23.25" x14ac:dyDescent="0.25">
      <c r="A194" s="43"/>
      <c r="B194" s="33" t="s">
        <v>138</v>
      </c>
      <c r="C194" s="146" t="s">
        <v>139</v>
      </c>
      <c r="D194" s="146"/>
      <c r="E194" s="146"/>
      <c r="F194" s="35" t="s">
        <v>45</v>
      </c>
      <c r="G194" s="51">
        <v>93</v>
      </c>
      <c r="H194" s="36"/>
      <c r="I194" s="51">
        <v>93</v>
      </c>
      <c r="J194" s="45"/>
      <c r="K194" s="36"/>
      <c r="L194" s="41">
        <f>L193*I194%</f>
        <v>238692.98428764191</v>
      </c>
      <c r="M194" s="106"/>
      <c r="EX194" s="20"/>
      <c r="EY194" s="29"/>
      <c r="EZ194" s="29"/>
      <c r="FA194" s="29"/>
      <c r="FE194" s="3" t="s">
        <v>139</v>
      </c>
      <c r="FG194" s="29"/>
    </row>
    <row r="195" spans="1:163" customFormat="1" ht="45" x14ac:dyDescent="0.25">
      <c r="A195" s="43"/>
      <c r="B195" s="33" t="s">
        <v>140</v>
      </c>
      <c r="C195" s="146" t="s">
        <v>141</v>
      </c>
      <c r="D195" s="146"/>
      <c r="E195" s="146"/>
      <c r="F195" s="35" t="s">
        <v>45</v>
      </c>
      <c r="G195" s="51">
        <v>62</v>
      </c>
      <c r="H195" s="40">
        <v>0.85</v>
      </c>
      <c r="I195" s="61">
        <v>52.7</v>
      </c>
      <c r="J195" s="45"/>
      <c r="K195" s="36"/>
      <c r="L195" s="41">
        <f>L193*I195%</f>
        <v>135259.35776299707</v>
      </c>
      <c r="M195" s="106"/>
      <c r="EX195" s="20"/>
      <c r="EY195" s="29"/>
      <c r="EZ195" s="29"/>
      <c r="FA195" s="29"/>
      <c r="FE195" s="3" t="s">
        <v>141</v>
      </c>
      <c r="FG195" s="29"/>
    </row>
    <row r="196" spans="1:163" customFormat="1" ht="15" x14ac:dyDescent="0.25">
      <c r="A196" s="52"/>
      <c r="B196" s="53"/>
      <c r="C196" s="148" t="s">
        <v>48</v>
      </c>
      <c r="D196" s="148"/>
      <c r="E196" s="148"/>
      <c r="F196" s="23"/>
      <c r="G196" s="24"/>
      <c r="H196" s="24"/>
      <c r="I196" s="24"/>
      <c r="J196" s="27"/>
      <c r="K196" s="24"/>
      <c r="L196" s="96">
        <f>L192+L194+L195</f>
        <v>741140.74722182646</v>
      </c>
      <c r="M196" s="106"/>
      <c r="EX196" s="20"/>
      <c r="EY196" s="29"/>
      <c r="EZ196" s="29"/>
      <c r="FA196" s="29"/>
      <c r="FG196" s="29" t="s">
        <v>48</v>
      </c>
    </row>
    <row r="197" spans="1:163" customFormat="1" ht="45.75" x14ac:dyDescent="0.25">
      <c r="A197" s="21" t="s">
        <v>144</v>
      </c>
      <c r="B197" s="22" t="s">
        <v>145</v>
      </c>
      <c r="C197" s="148" t="s">
        <v>146</v>
      </c>
      <c r="D197" s="148"/>
      <c r="E197" s="148"/>
      <c r="F197" s="23" t="s">
        <v>147</v>
      </c>
      <c r="G197" s="24">
        <v>0.04</v>
      </c>
      <c r="H197" s="25">
        <v>1</v>
      </c>
      <c r="I197" s="57">
        <v>0.04</v>
      </c>
      <c r="J197" s="27"/>
      <c r="K197" s="24"/>
      <c r="L197" s="28"/>
      <c r="M197" s="106"/>
      <c r="EX197" s="20"/>
      <c r="EY197" s="29" t="s">
        <v>146</v>
      </c>
      <c r="EZ197" s="29" t="s">
        <v>0</v>
      </c>
      <c r="FA197" s="29" t="s">
        <v>0</v>
      </c>
      <c r="FG197" s="29"/>
    </row>
    <row r="198" spans="1:163" customFormat="1" ht="15" x14ac:dyDescent="0.25">
      <c r="A198" s="30"/>
      <c r="B198" s="31"/>
      <c r="C198" s="146" t="s">
        <v>148</v>
      </c>
      <c r="D198" s="146"/>
      <c r="E198" s="146"/>
      <c r="F198" s="146"/>
      <c r="G198" s="146"/>
      <c r="H198" s="146"/>
      <c r="I198" s="146"/>
      <c r="J198" s="146"/>
      <c r="K198" s="146"/>
      <c r="L198" s="149"/>
      <c r="M198" s="106"/>
      <c r="EX198" s="20"/>
      <c r="EY198" s="29"/>
      <c r="EZ198" s="29"/>
      <c r="FA198" s="29"/>
      <c r="FB198" s="3" t="s">
        <v>148</v>
      </c>
      <c r="FG198" s="29"/>
    </row>
    <row r="199" spans="1:163" customFormat="1" ht="68.25" x14ac:dyDescent="0.25">
      <c r="A199" s="32"/>
      <c r="B199" s="33" t="s">
        <v>27</v>
      </c>
      <c r="C199" s="141" t="s">
        <v>28</v>
      </c>
      <c r="D199" s="141"/>
      <c r="E199" s="141"/>
      <c r="F199" s="141"/>
      <c r="G199" s="141"/>
      <c r="H199" s="141"/>
      <c r="I199" s="141"/>
      <c r="J199" s="141"/>
      <c r="K199" s="141"/>
      <c r="L199" s="150"/>
      <c r="M199" s="106"/>
      <c r="N199" s="118" t="s">
        <v>323</v>
      </c>
      <c r="EX199" s="20"/>
      <c r="EY199" s="29"/>
      <c r="EZ199" s="29"/>
      <c r="FA199" s="29"/>
      <c r="FC199" s="3" t="s">
        <v>28</v>
      </c>
      <c r="FG199" s="29"/>
    </row>
    <row r="200" spans="1:163" customFormat="1" ht="15" x14ac:dyDescent="0.25">
      <c r="A200" s="34"/>
      <c r="B200" s="33" t="s">
        <v>22</v>
      </c>
      <c r="C200" s="146" t="s">
        <v>31</v>
      </c>
      <c r="D200" s="146"/>
      <c r="E200" s="146"/>
      <c r="F200" s="35"/>
      <c r="G200" s="36"/>
      <c r="H200" s="36"/>
      <c r="I200" s="36"/>
      <c r="J200" s="117">
        <f>O200</f>
        <v>133470.87625</v>
      </c>
      <c r="K200" s="40">
        <v>1.1499999999999999</v>
      </c>
      <c r="L200" s="42">
        <f>G197*J200*K200</f>
        <v>6139.6603075000003</v>
      </c>
      <c r="M200" s="106">
        <v>49.45</v>
      </c>
      <c r="N200" s="112">
        <v>12587.621124999998</v>
      </c>
      <c r="O200" s="113">
        <v>133470.87625</v>
      </c>
      <c r="P200" s="105">
        <f>G204</f>
        <v>103</v>
      </c>
      <c r="Q200" s="105">
        <f>O200/P200*8</f>
        <v>10366.67</v>
      </c>
      <c r="R200" s="105">
        <f>Q200*22</f>
        <v>228066.74</v>
      </c>
      <c r="S200" s="105">
        <f>R200*(1-0.43)</f>
        <v>129998.04180000001</v>
      </c>
      <c r="EX200" s="20"/>
      <c r="EY200" s="29"/>
      <c r="EZ200" s="29"/>
      <c r="FA200" s="29"/>
      <c r="FD200" s="3" t="s">
        <v>31</v>
      </c>
      <c r="FG200" s="29"/>
    </row>
    <row r="201" spans="1:163" customFormat="1" ht="15" x14ac:dyDescent="0.25">
      <c r="A201" s="43"/>
      <c r="B201" s="33"/>
      <c r="C201" s="146" t="s">
        <v>38</v>
      </c>
      <c r="D201" s="146"/>
      <c r="E201" s="146"/>
      <c r="F201" s="35" t="s">
        <v>39</v>
      </c>
      <c r="G201" s="40">
        <v>25.95</v>
      </c>
      <c r="H201" s="40">
        <v>1.1499999999999999</v>
      </c>
      <c r="I201" s="38">
        <v>1.1937</v>
      </c>
      <c r="J201" s="45"/>
      <c r="K201" s="36"/>
      <c r="L201" s="46"/>
      <c r="M201" s="106"/>
      <c r="N201" s="112"/>
      <c r="O201" s="113"/>
      <c r="P201" s="105"/>
      <c r="Q201" s="105"/>
      <c r="EX201" s="20"/>
      <c r="EY201" s="29"/>
      <c r="EZ201" s="29"/>
      <c r="FA201" s="29"/>
      <c r="FE201" s="3" t="s">
        <v>38</v>
      </c>
      <c r="FG201" s="29"/>
    </row>
    <row r="202" spans="1:163" customFormat="1" ht="15" x14ac:dyDescent="0.25">
      <c r="A202" s="30"/>
      <c r="B202" s="33"/>
      <c r="C202" s="151" t="s">
        <v>41</v>
      </c>
      <c r="D202" s="151"/>
      <c r="E202" s="151"/>
      <c r="F202" s="47"/>
      <c r="G202" s="48"/>
      <c r="H202" s="48"/>
      <c r="I202" s="48"/>
      <c r="J202" s="62">
        <v>221.35</v>
      </c>
      <c r="K202" s="48"/>
      <c r="L202" s="66">
        <f>L200</f>
        <v>6139.6603075000003</v>
      </c>
      <c r="M202" s="106"/>
      <c r="EX202" s="20"/>
      <c r="EY202" s="29"/>
      <c r="EZ202" s="29"/>
      <c r="FA202" s="29"/>
      <c r="FF202" s="3" t="s">
        <v>41</v>
      </c>
      <c r="FG202" s="29"/>
    </row>
    <row r="203" spans="1:163" customFormat="1" ht="15" x14ac:dyDescent="0.25">
      <c r="A203" s="43"/>
      <c r="B203" s="33"/>
      <c r="C203" s="146" t="s">
        <v>42</v>
      </c>
      <c r="D203" s="146"/>
      <c r="E203" s="146"/>
      <c r="F203" s="35"/>
      <c r="G203" s="36"/>
      <c r="H203" s="36"/>
      <c r="I203" s="36"/>
      <c r="J203" s="45"/>
      <c r="K203" s="36"/>
      <c r="L203" s="42">
        <f>L200</f>
        <v>6139.6603075000003</v>
      </c>
      <c r="M203" s="106"/>
      <c r="EX203" s="20"/>
      <c r="EY203" s="29"/>
      <c r="EZ203" s="29"/>
      <c r="FA203" s="29"/>
      <c r="FE203" s="3" t="s">
        <v>42</v>
      </c>
      <c r="FG203" s="29"/>
    </row>
    <row r="204" spans="1:163" customFormat="1" ht="45.75" x14ac:dyDescent="0.25">
      <c r="A204" s="43"/>
      <c r="B204" s="33" t="s">
        <v>149</v>
      </c>
      <c r="C204" s="146" t="s">
        <v>150</v>
      </c>
      <c r="D204" s="146"/>
      <c r="E204" s="146"/>
      <c r="F204" s="35" t="s">
        <v>45</v>
      </c>
      <c r="G204" s="51">
        <v>103</v>
      </c>
      <c r="H204" s="36"/>
      <c r="I204" s="51">
        <v>103</v>
      </c>
      <c r="J204" s="45"/>
      <c r="K204" s="36"/>
      <c r="L204" s="42">
        <f>L203*I204%</f>
        <v>6323.8501167250006</v>
      </c>
      <c r="M204" s="106"/>
      <c r="EX204" s="20"/>
      <c r="EY204" s="29"/>
      <c r="EZ204" s="29"/>
      <c r="FA204" s="29"/>
      <c r="FE204" s="3" t="s">
        <v>150</v>
      </c>
      <c r="FG204" s="29"/>
    </row>
    <row r="205" spans="1:163" customFormat="1" ht="45.75" x14ac:dyDescent="0.25">
      <c r="A205" s="43"/>
      <c r="B205" s="33" t="s">
        <v>151</v>
      </c>
      <c r="C205" s="146" t="s">
        <v>152</v>
      </c>
      <c r="D205" s="146"/>
      <c r="E205" s="146"/>
      <c r="F205" s="35" t="s">
        <v>45</v>
      </c>
      <c r="G205" s="51">
        <v>59</v>
      </c>
      <c r="H205" s="36"/>
      <c r="I205" s="51">
        <v>59</v>
      </c>
      <c r="J205" s="45"/>
      <c r="K205" s="36"/>
      <c r="L205" s="42">
        <f>L203*I205%</f>
        <v>3622.3995814250002</v>
      </c>
      <c r="M205" s="106"/>
      <c r="EX205" s="20"/>
      <c r="EY205" s="29"/>
      <c r="EZ205" s="29"/>
      <c r="FA205" s="29"/>
      <c r="FE205" s="3" t="s">
        <v>152</v>
      </c>
      <c r="FG205" s="29"/>
    </row>
    <row r="206" spans="1:163" customFormat="1" ht="15" x14ac:dyDescent="0.25">
      <c r="A206" s="52"/>
      <c r="B206" s="53"/>
      <c r="C206" s="148" t="s">
        <v>48</v>
      </c>
      <c r="D206" s="148"/>
      <c r="E206" s="148"/>
      <c r="F206" s="23"/>
      <c r="G206" s="24"/>
      <c r="H206" s="24"/>
      <c r="I206" s="24"/>
      <c r="J206" s="27"/>
      <c r="K206" s="24"/>
      <c r="L206" s="99">
        <f>L202+L204+L205</f>
        <v>16085.910005650003</v>
      </c>
      <c r="M206" s="106"/>
      <c r="EX206" s="20"/>
      <c r="EY206" s="29"/>
      <c r="EZ206" s="29"/>
      <c r="FA206" s="29"/>
      <c r="FG206" s="29" t="s">
        <v>48</v>
      </c>
    </row>
    <row r="207" spans="1:163" customFormat="1" ht="45.75" x14ac:dyDescent="0.25">
      <c r="A207" s="21" t="s">
        <v>153</v>
      </c>
      <c r="B207" s="22" t="s">
        <v>154</v>
      </c>
      <c r="C207" s="148" t="s">
        <v>155</v>
      </c>
      <c r="D207" s="148"/>
      <c r="E207" s="148"/>
      <c r="F207" s="23" t="s">
        <v>147</v>
      </c>
      <c r="G207" s="24">
        <v>0.04</v>
      </c>
      <c r="H207" s="25">
        <v>1</v>
      </c>
      <c r="I207" s="57">
        <v>0.04</v>
      </c>
      <c r="J207" s="27"/>
      <c r="K207" s="24"/>
      <c r="L207" s="28"/>
      <c r="M207" s="106"/>
      <c r="EX207" s="20"/>
      <c r="EY207" s="29" t="s">
        <v>155</v>
      </c>
      <c r="EZ207" s="29" t="s">
        <v>0</v>
      </c>
      <c r="FA207" s="29" t="s">
        <v>0</v>
      </c>
      <c r="FG207" s="29"/>
    </row>
    <row r="208" spans="1:163" customFormat="1" ht="15" x14ac:dyDescent="0.25">
      <c r="A208" s="30"/>
      <c r="B208" s="31"/>
      <c r="C208" s="146" t="s">
        <v>148</v>
      </c>
      <c r="D208" s="146"/>
      <c r="E208" s="146"/>
      <c r="F208" s="146"/>
      <c r="G208" s="146"/>
      <c r="H208" s="146"/>
      <c r="I208" s="146"/>
      <c r="J208" s="146"/>
      <c r="K208" s="146"/>
      <c r="L208" s="149"/>
      <c r="M208" s="106"/>
      <c r="EX208" s="20"/>
      <c r="EY208" s="29"/>
      <c r="EZ208" s="29"/>
      <c r="FA208" s="29"/>
      <c r="FB208" s="3" t="s">
        <v>148</v>
      </c>
      <c r="FG208" s="29"/>
    </row>
    <row r="209" spans="1:163" customFormat="1" ht="68.25" x14ac:dyDescent="0.25">
      <c r="A209" s="32"/>
      <c r="B209" s="33" t="s">
        <v>27</v>
      </c>
      <c r="C209" s="141" t="s">
        <v>28</v>
      </c>
      <c r="D209" s="141"/>
      <c r="E209" s="141"/>
      <c r="F209" s="141"/>
      <c r="G209" s="141"/>
      <c r="H209" s="141"/>
      <c r="I209" s="141"/>
      <c r="J209" s="141"/>
      <c r="K209" s="141"/>
      <c r="L209" s="150"/>
      <c r="M209" s="106"/>
      <c r="EX209" s="20"/>
      <c r="EY209" s="29"/>
      <c r="EZ209" s="29"/>
      <c r="FA209" s="29"/>
      <c r="FC209" s="3" t="s">
        <v>28</v>
      </c>
      <c r="FG209" s="29"/>
    </row>
    <row r="210" spans="1:163" customFormat="1" ht="15" x14ac:dyDescent="0.25">
      <c r="A210" s="32"/>
      <c r="B210" s="33"/>
      <c r="C210" s="141" t="s">
        <v>156</v>
      </c>
      <c r="D210" s="141"/>
      <c r="E210" s="141"/>
      <c r="F210" s="141"/>
      <c r="G210" s="141"/>
      <c r="H210" s="141"/>
      <c r="I210" s="141"/>
      <c r="J210" s="141"/>
      <c r="K210" s="141"/>
      <c r="L210" s="150"/>
      <c r="M210" s="106"/>
      <c r="N210" s="118" t="s">
        <v>323</v>
      </c>
      <c r="EX210" s="20"/>
      <c r="EY210" s="29"/>
      <c r="EZ210" s="29"/>
      <c r="FA210" s="29"/>
      <c r="FC210" s="3" t="s">
        <v>156</v>
      </c>
      <c r="FG210" s="29"/>
    </row>
    <row r="211" spans="1:163" customFormat="1" ht="15" x14ac:dyDescent="0.25">
      <c r="A211" s="34"/>
      <c r="B211" s="33" t="s">
        <v>22</v>
      </c>
      <c r="C211" s="146" t="s">
        <v>31</v>
      </c>
      <c r="D211" s="146"/>
      <c r="E211" s="146"/>
      <c r="F211" s="35"/>
      <c r="G211" s="36"/>
      <c r="H211" s="36"/>
      <c r="I211" s="36"/>
      <c r="J211" s="117">
        <f>O211</f>
        <v>133470.87625</v>
      </c>
      <c r="K211" s="51">
        <v>23</v>
      </c>
      <c r="L211" s="42">
        <f>G207*J211*K211</f>
        <v>122793.20615000001</v>
      </c>
      <c r="M211" s="106">
        <v>49.45</v>
      </c>
      <c r="N211" s="112">
        <v>11453.114500000001</v>
      </c>
      <c r="O211" s="113">
        <v>133470.87625</v>
      </c>
      <c r="P211" s="105">
        <f>G215</f>
        <v>103</v>
      </c>
      <c r="Q211" s="105">
        <f>O211/P211*8</f>
        <v>10366.67</v>
      </c>
      <c r="R211" s="105">
        <f>Q211*22</f>
        <v>228066.74</v>
      </c>
      <c r="S211" s="105">
        <f>R211*(1-0.43)</f>
        <v>129998.04180000001</v>
      </c>
      <c r="EX211" s="20"/>
      <c r="EY211" s="29"/>
      <c r="EZ211" s="29"/>
      <c r="FA211" s="29"/>
      <c r="FD211" s="3" t="s">
        <v>31</v>
      </c>
      <c r="FG211" s="29"/>
    </row>
    <row r="212" spans="1:163" customFormat="1" ht="15" x14ac:dyDescent="0.25">
      <c r="A212" s="43"/>
      <c r="B212" s="33"/>
      <c r="C212" s="146" t="s">
        <v>38</v>
      </c>
      <c r="D212" s="146"/>
      <c r="E212" s="146"/>
      <c r="F212" s="35" t="s">
        <v>39</v>
      </c>
      <c r="G212" s="40">
        <v>1.18</v>
      </c>
      <c r="H212" s="51">
        <v>23</v>
      </c>
      <c r="I212" s="38">
        <v>1.0855999999999999</v>
      </c>
      <c r="J212" s="45"/>
      <c r="K212" s="36"/>
      <c r="L212" s="46"/>
      <c r="M212" s="106"/>
      <c r="N212" s="112"/>
      <c r="O212" s="113"/>
      <c r="P212" s="105"/>
      <c r="Q212" s="105"/>
      <c r="EX212" s="20"/>
      <c r="EY212" s="29"/>
      <c r="EZ212" s="29"/>
      <c r="FA212" s="29"/>
      <c r="FE212" s="3" t="s">
        <v>38</v>
      </c>
      <c r="FG212" s="29"/>
    </row>
    <row r="213" spans="1:163" customFormat="1" ht="15" x14ac:dyDescent="0.25">
      <c r="A213" s="30"/>
      <c r="B213" s="33"/>
      <c r="C213" s="151" t="s">
        <v>41</v>
      </c>
      <c r="D213" s="151"/>
      <c r="E213" s="151"/>
      <c r="F213" s="47"/>
      <c r="G213" s="48"/>
      <c r="H213" s="48"/>
      <c r="I213" s="48"/>
      <c r="J213" s="62">
        <v>10.07</v>
      </c>
      <c r="K213" s="48"/>
      <c r="L213" s="66">
        <f>L211</f>
        <v>122793.20615000001</v>
      </c>
      <c r="M213" s="106"/>
      <c r="EX213" s="20"/>
      <c r="EY213" s="29"/>
      <c r="EZ213" s="29"/>
      <c r="FA213" s="29"/>
      <c r="FF213" s="3" t="s">
        <v>41</v>
      </c>
      <c r="FG213" s="29"/>
    </row>
    <row r="214" spans="1:163" customFormat="1" ht="15" x14ac:dyDescent="0.25">
      <c r="A214" s="43"/>
      <c r="B214" s="33"/>
      <c r="C214" s="146" t="s">
        <v>42</v>
      </c>
      <c r="D214" s="146"/>
      <c r="E214" s="146"/>
      <c r="F214" s="35"/>
      <c r="G214" s="36"/>
      <c r="H214" s="36"/>
      <c r="I214" s="36"/>
      <c r="J214" s="45"/>
      <c r="K214" s="36"/>
      <c r="L214" s="42">
        <f>L211</f>
        <v>122793.20615000001</v>
      </c>
      <c r="M214" s="106"/>
      <c r="EX214" s="20"/>
      <c r="EY214" s="29"/>
      <c r="EZ214" s="29"/>
      <c r="FA214" s="29"/>
      <c r="FE214" s="3" t="s">
        <v>42</v>
      </c>
      <c r="FG214" s="29"/>
    </row>
    <row r="215" spans="1:163" customFormat="1" ht="45.75" x14ac:dyDescent="0.25">
      <c r="A215" s="43"/>
      <c r="B215" s="33" t="s">
        <v>149</v>
      </c>
      <c r="C215" s="146" t="s">
        <v>150</v>
      </c>
      <c r="D215" s="146"/>
      <c r="E215" s="146"/>
      <c r="F215" s="35" t="s">
        <v>45</v>
      </c>
      <c r="G215" s="51">
        <v>103</v>
      </c>
      <c r="H215" s="36"/>
      <c r="I215" s="51">
        <v>103</v>
      </c>
      <c r="J215" s="45"/>
      <c r="K215" s="36"/>
      <c r="L215" s="42">
        <f>L214*I215%</f>
        <v>126477.00233450002</v>
      </c>
      <c r="M215" s="106"/>
      <c r="EX215" s="20"/>
      <c r="EY215" s="29"/>
      <c r="EZ215" s="29"/>
      <c r="FA215" s="29"/>
      <c r="FE215" s="3" t="s">
        <v>150</v>
      </c>
      <c r="FG215" s="29"/>
    </row>
    <row r="216" spans="1:163" customFormat="1" ht="45.75" x14ac:dyDescent="0.25">
      <c r="A216" s="43"/>
      <c r="B216" s="33" t="s">
        <v>151</v>
      </c>
      <c r="C216" s="146" t="s">
        <v>152</v>
      </c>
      <c r="D216" s="146"/>
      <c r="E216" s="146"/>
      <c r="F216" s="35" t="s">
        <v>45</v>
      </c>
      <c r="G216" s="51">
        <v>59</v>
      </c>
      <c r="H216" s="36"/>
      <c r="I216" s="51">
        <v>59</v>
      </c>
      <c r="J216" s="45"/>
      <c r="K216" s="36"/>
      <c r="L216" s="42">
        <f>L214*I216%</f>
        <v>72447.991628500007</v>
      </c>
      <c r="M216" s="106"/>
      <c r="EX216" s="20"/>
      <c r="EY216" s="29"/>
      <c r="EZ216" s="29"/>
      <c r="FA216" s="29"/>
      <c r="FE216" s="3" t="s">
        <v>152</v>
      </c>
      <c r="FG216" s="29"/>
    </row>
    <row r="217" spans="1:163" customFormat="1" ht="15" x14ac:dyDescent="0.25">
      <c r="A217" s="52"/>
      <c r="B217" s="53"/>
      <c r="C217" s="148" t="s">
        <v>48</v>
      </c>
      <c r="D217" s="148"/>
      <c r="E217" s="148"/>
      <c r="F217" s="23"/>
      <c r="G217" s="24"/>
      <c r="H217" s="24"/>
      <c r="I217" s="24"/>
      <c r="J217" s="27"/>
      <c r="K217" s="24"/>
      <c r="L217" s="99">
        <f>L213+L215+L216</f>
        <v>321718.20011300006</v>
      </c>
      <c r="M217" s="106"/>
      <c r="EX217" s="20"/>
      <c r="EY217" s="29"/>
      <c r="EZ217" s="29"/>
      <c r="FA217" s="29"/>
      <c r="FG217" s="29" t="s">
        <v>48</v>
      </c>
    </row>
    <row r="218" spans="1:163" customFormat="1" ht="23.25" x14ac:dyDescent="0.25">
      <c r="A218" s="21" t="s">
        <v>157</v>
      </c>
      <c r="B218" s="22" t="s">
        <v>158</v>
      </c>
      <c r="C218" s="148" t="s">
        <v>159</v>
      </c>
      <c r="D218" s="148"/>
      <c r="E218" s="148"/>
      <c r="F218" s="23" t="s">
        <v>51</v>
      </c>
      <c r="G218" s="24">
        <v>2</v>
      </c>
      <c r="H218" s="25">
        <v>1</v>
      </c>
      <c r="I218" s="25">
        <v>2</v>
      </c>
      <c r="J218" s="54">
        <v>24011</v>
      </c>
      <c r="K218" s="24"/>
      <c r="L218" s="55">
        <f>G218*J218</f>
        <v>48022</v>
      </c>
      <c r="M218" s="106"/>
      <c r="EX218" s="20"/>
      <c r="EY218" s="29" t="s">
        <v>159</v>
      </c>
      <c r="EZ218" s="29" t="s">
        <v>0</v>
      </c>
      <c r="FA218" s="29" t="s">
        <v>0</v>
      </c>
      <c r="FG218" s="29"/>
    </row>
    <row r="219" spans="1:163" customFormat="1" ht="15" x14ac:dyDescent="0.25">
      <c r="A219" s="30"/>
      <c r="B219" s="31"/>
      <c r="C219" s="146" t="s">
        <v>160</v>
      </c>
      <c r="D219" s="146"/>
      <c r="E219" s="146"/>
      <c r="F219" s="146"/>
      <c r="G219" s="146"/>
      <c r="H219" s="146"/>
      <c r="I219" s="146"/>
      <c r="J219" s="146"/>
      <c r="K219" s="146"/>
      <c r="L219" s="149"/>
      <c r="M219" s="106"/>
      <c r="EX219" s="20"/>
      <c r="EY219" s="29"/>
      <c r="EZ219" s="29"/>
      <c r="FA219" s="29"/>
      <c r="FB219" s="3" t="s">
        <v>160</v>
      </c>
      <c r="FG219" s="29"/>
    </row>
    <row r="220" spans="1:163" customFormat="1" ht="15" x14ac:dyDescent="0.25">
      <c r="A220" s="52"/>
      <c r="B220" s="53"/>
      <c r="C220" s="148" t="s">
        <v>48</v>
      </c>
      <c r="D220" s="148"/>
      <c r="E220" s="148"/>
      <c r="F220" s="23"/>
      <c r="G220" s="24"/>
      <c r="H220" s="24"/>
      <c r="I220" s="24"/>
      <c r="J220" s="27"/>
      <c r="K220" s="24"/>
      <c r="L220" s="96">
        <f>L218</f>
        <v>48022</v>
      </c>
      <c r="M220" s="106"/>
      <c r="EX220" s="20"/>
      <c r="EY220" s="29"/>
      <c r="EZ220" s="29"/>
      <c r="FA220" s="29"/>
      <c r="FG220" s="29" t="s">
        <v>48</v>
      </c>
    </row>
    <row r="221" spans="1:163" customFormat="1" ht="68.25" x14ac:dyDescent="0.25">
      <c r="A221" s="21" t="s">
        <v>161</v>
      </c>
      <c r="B221" s="22" t="s">
        <v>162</v>
      </c>
      <c r="C221" s="148" t="s">
        <v>163</v>
      </c>
      <c r="D221" s="148"/>
      <c r="E221" s="148"/>
      <c r="F221" s="23" t="s">
        <v>70</v>
      </c>
      <c r="G221" s="24">
        <v>1.6E-2</v>
      </c>
      <c r="H221" s="25">
        <v>1</v>
      </c>
      <c r="I221" s="58">
        <v>1.6E-2</v>
      </c>
      <c r="J221" s="27"/>
      <c r="K221" s="24"/>
      <c r="L221" s="28"/>
      <c r="M221" s="106"/>
      <c r="EX221" s="20"/>
      <c r="EY221" s="29" t="s">
        <v>163</v>
      </c>
      <c r="EZ221" s="29" t="s">
        <v>0</v>
      </c>
      <c r="FA221" s="29" t="s">
        <v>0</v>
      </c>
      <c r="FG221" s="29"/>
    </row>
    <row r="222" spans="1:163" customFormat="1" ht="15" x14ac:dyDescent="0.25">
      <c r="A222" s="30"/>
      <c r="B222" s="31"/>
      <c r="C222" s="146" t="s">
        <v>164</v>
      </c>
      <c r="D222" s="146"/>
      <c r="E222" s="146"/>
      <c r="F222" s="146"/>
      <c r="G222" s="146"/>
      <c r="H222" s="146"/>
      <c r="I222" s="146"/>
      <c r="J222" s="146"/>
      <c r="K222" s="146"/>
      <c r="L222" s="149"/>
      <c r="M222" s="106"/>
      <c r="EX222" s="20"/>
      <c r="EY222" s="29"/>
      <c r="EZ222" s="29"/>
      <c r="FA222" s="29"/>
      <c r="FB222" s="3" t="s">
        <v>164</v>
      </c>
      <c r="FG222" s="29"/>
    </row>
    <row r="223" spans="1:163" customFormat="1" ht="68.25" x14ac:dyDescent="0.25">
      <c r="A223" s="32"/>
      <c r="B223" s="33" t="s">
        <v>27</v>
      </c>
      <c r="C223" s="141" t="s">
        <v>28</v>
      </c>
      <c r="D223" s="141"/>
      <c r="E223" s="141"/>
      <c r="F223" s="141"/>
      <c r="G223" s="141"/>
      <c r="H223" s="141"/>
      <c r="I223" s="141"/>
      <c r="J223" s="141"/>
      <c r="K223" s="141"/>
      <c r="L223" s="150"/>
      <c r="M223" s="106"/>
      <c r="EX223" s="20"/>
      <c r="EY223" s="29"/>
      <c r="EZ223" s="29"/>
      <c r="FA223" s="29"/>
      <c r="FC223" s="3" t="s">
        <v>28</v>
      </c>
      <c r="FG223" s="29"/>
    </row>
    <row r="224" spans="1:163" customFormat="1" ht="23.25" x14ac:dyDescent="0.25">
      <c r="A224" s="32"/>
      <c r="B224" s="33" t="s">
        <v>29</v>
      </c>
      <c r="C224" s="141" t="s">
        <v>30</v>
      </c>
      <c r="D224" s="141"/>
      <c r="E224" s="141"/>
      <c r="F224" s="141"/>
      <c r="G224" s="141"/>
      <c r="H224" s="141"/>
      <c r="I224" s="141"/>
      <c r="J224" s="141"/>
      <c r="K224" s="141"/>
      <c r="L224" s="150"/>
      <c r="M224" s="106"/>
      <c r="N224" s="118" t="s">
        <v>318</v>
      </c>
      <c r="EX224" s="20"/>
      <c r="EY224" s="29"/>
      <c r="EZ224" s="29"/>
      <c r="FA224" s="29"/>
      <c r="FC224" s="3" t="s">
        <v>30</v>
      </c>
      <c r="FG224" s="29"/>
    </row>
    <row r="225" spans="1:163" customFormat="1" ht="15" x14ac:dyDescent="0.25">
      <c r="A225" s="34"/>
      <c r="B225" s="33" t="s">
        <v>22</v>
      </c>
      <c r="C225" s="146" t="s">
        <v>31</v>
      </c>
      <c r="D225" s="146"/>
      <c r="E225" s="146"/>
      <c r="F225" s="35"/>
      <c r="G225" s="36"/>
      <c r="H225" s="36"/>
      <c r="I225" s="36"/>
      <c r="J225" s="117">
        <f>O225</f>
        <v>72566.69</v>
      </c>
      <c r="K225" s="38">
        <v>1.3225</v>
      </c>
      <c r="L225" s="42">
        <f>G221*J225*K225</f>
        <v>1535.5111604000001</v>
      </c>
      <c r="M225" s="106">
        <v>49.45</v>
      </c>
      <c r="N225" s="112">
        <v>36329.68864</v>
      </c>
      <c r="O225" s="113">
        <v>72566.69</v>
      </c>
      <c r="P225" s="105">
        <f>G229</f>
        <v>56</v>
      </c>
      <c r="Q225" s="105">
        <f>O225/P225*8</f>
        <v>10366.67</v>
      </c>
      <c r="R225" s="105">
        <f>Q225*22</f>
        <v>228066.74</v>
      </c>
      <c r="S225" s="105">
        <f>R225*(1-0.43)</f>
        <v>129998.04180000001</v>
      </c>
      <c r="EX225" s="20"/>
      <c r="EY225" s="29"/>
      <c r="EZ225" s="29"/>
      <c r="FA225" s="29"/>
      <c r="FD225" s="3" t="s">
        <v>31</v>
      </c>
      <c r="FG225" s="29"/>
    </row>
    <row r="226" spans="1:163" customFormat="1" ht="15" x14ac:dyDescent="0.25">
      <c r="A226" s="34"/>
      <c r="B226" s="33" t="s">
        <v>32</v>
      </c>
      <c r="C226" s="146" t="s">
        <v>33</v>
      </c>
      <c r="D226" s="146"/>
      <c r="E226" s="146"/>
      <c r="F226" s="35"/>
      <c r="G226" s="36"/>
      <c r="H226" s="36"/>
      <c r="I226" s="36"/>
      <c r="J226" s="117">
        <f>O226</f>
        <v>201.25</v>
      </c>
      <c r="K226" s="38">
        <v>1.4375</v>
      </c>
      <c r="L226" s="42">
        <f>G221*J226*K226</f>
        <v>4.6287500000000001</v>
      </c>
      <c r="M226" s="106">
        <v>14.53</v>
      </c>
      <c r="N226" s="112">
        <v>129.70749375</v>
      </c>
      <c r="O226" s="113">
        <v>201.25</v>
      </c>
      <c r="P226" s="105">
        <f>G230</f>
        <v>7.0000000000000007E-2</v>
      </c>
      <c r="Q226" s="105">
        <f>O226/P226*8</f>
        <v>22999.999999999996</v>
      </c>
      <c r="EX226" s="20"/>
      <c r="EY226" s="29"/>
      <c r="EZ226" s="29"/>
      <c r="FA226" s="29"/>
      <c r="FD226" s="3" t="s">
        <v>33</v>
      </c>
      <c r="FG226" s="29"/>
    </row>
    <row r="227" spans="1:163" customFormat="1" ht="15" x14ac:dyDescent="0.25">
      <c r="A227" s="34"/>
      <c r="B227" s="33" t="s">
        <v>34</v>
      </c>
      <c r="C227" s="146" t="s">
        <v>35</v>
      </c>
      <c r="D227" s="146"/>
      <c r="E227" s="146"/>
      <c r="F227" s="35"/>
      <c r="G227" s="36"/>
      <c r="H227" s="36"/>
      <c r="I227" s="36"/>
      <c r="J227" s="39">
        <v>0.91</v>
      </c>
      <c r="K227" s="38">
        <v>1.4375</v>
      </c>
      <c r="L227" s="42">
        <f>G221*J227*K227</f>
        <v>2.0930000000000001E-2</v>
      </c>
      <c r="M227" s="106"/>
      <c r="EX227" s="20"/>
      <c r="EY227" s="29"/>
      <c r="EZ227" s="29"/>
      <c r="FA227" s="29"/>
      <c r="FD227" s="3" t="s">
        <v>35</v>
      </c>
      <c r="FG227" s="29"/>
    </row>
    <row r="228" spans="1:163" customFormat="1" ht="15" x14ac:dyDescent="0.25">
      <c r="A228" s="34"/>
      <c r="B228" s="33" t="s">
        <v>36</v>
      </c>
      <c r="C228" s="146" t="s">
        <v>37</v>
      </c>
      <c r="D228" s="146"/>
      <c r="E228" s="146"/>
      <c r="F228" s="35"/>
      <c r="G228" s="36"/>
      <c r="H228" s="36"/>
      <c r="I228" s="36"/>
      <c r="J228" s="39">
        <v>140.91999999999999</v>
      </c>
      <c r="K228" s="36"/>
      <c r="L228" s="42">
        <f>G221*J228</f>
        <v>2.2547199999999998</v>
      </c>
      <c r="M228" s="106"/>
      <c r="EX228" s="20"/>
      <c r="EY228" s="29"/>
      <c r="EZ228" s="29"/>
      <c r="FA228" s="29"/>
      <c r="FD228" s="3" t="s">
        <v>37</v>
      </c>
      <c r="FG228" s="29"/>
    </row>
    <row r="229" spans="1:163" customFormat="1" ht="15" x14ac:dyDescent="0.25">
      <c r="A229" s="43"/>
      <c r="B229" s="33"/>
      <c r="C229" s="146" t="s">
        <v>38</v>
      </c>
      <c r="D229" s="146"/>
      <c r="E229" s="146"/>
      <c r="F229" s="35" t="s">
        <v>39</v>
      </c>
      <c r="G229" s="51">
        <v>56</v>
      </c>
      <c r="H229" s="38">
        <v>1.3225</v>
      </c>
      <c r="I229" s="64">
        <v>1.18496</v>
      </c>
      <c r="J229" s="45"/>
      <c r="K229" s="36"/>
      <c r="L229" s="46"/>
      <c r="M229" s="106"/>
      <c r="EX229" s="20"/>
      <c r="EY229" s="29"/>
      <c r="EZ229" s="29"/>
      <c r="FA229" s="29"/>
      <c r="FE229" s="3" t="s">
        <v>38</v>
      </c>
      <c r="FG229" s="29"/>
    </row>
    <row r="230" spans="1:163" customFormat="1" ht="15" x14ac:dyDescent="0.25">
      <c r="A230" s="43"/>
      <c r="B230" s="33"/>
      <c r="C230" s="146" t="s">
        <v>40</v>
      </c>
      <c r="D230" s="146"/>
      <c r="E230" s="146"/>
      <c r="F230" s="35" t="s">
        <v>39</v>
      </c>
      <c r="G230" s="40">
        <v>7.0000000000000007E-2</v>
      </c>
      <c r="H230" s="38">
        <v>1.4375</v>
      </c>
      <c r="I230" s="64">
        <v>1.6100000000000001E-3</v>
      </c>
      <c r="J230" s="45"/>
      <c r="K230" s="36"/>
      <c r="L230" s="46"/>
      <c r="M230" s="106"/>
      <c r="EX230" s="20"/>
      <c r="EY230" s="29"/>
      <c r="EZ230" s="29"/>
      <c r="FA230" s="29"/>
      <c r="FE230" s="3" t="s">
        <v>40</v>
      </c>
      <c r="FG230" s="29"/>
    </row>
    <row r="231" spans="1:163" customFormat="1" ht="15" x14ac:dyDescent="0.25">
      <c r="A231" s="30"/>
      <c r="B231" s="33"/>
      <c r="C231" s="151" t="s">
        <v>41</v>
      </c>
      <c r="D231" s="151"/>
      <c r="E231" s="151"/>
      <c r="F231" s="47"/>
      <c r="G231" s="48"/>
      <c r="H231" s="48"/>
      <c r="I231" s="48"/>
      <c r="J231" s="62">
        <v>702.65</v>
      </c>
      <c r="K231" s="48"/>
      <c r="L231" s="66">
        <f>L225+L226+L228</f>
        <v>1542.3946304000001</v>
      </c>
      <c r="M231" s="106"/>
      <c r="EX231" s="20"/>
      <c r="EY231" s="29"/>
      <c r="EZ231" s="29"/>
      <c r="FA231" s="29"/>
      <c r="FF231" s="3" t="s">
        <v>41</v>
      </c>
      <c r="FG231" s="29"/>
    </row>
    <row r="232" spans="1:163" customFormat="1" ht="15" x14ac:dyDescent="0.25">
      <c r="A232" s="43"/>
      <c r="B232" s="33"/>
      <c r="C232" s="146" t="s">
        <v>42</v>
      </c>
      <c r="D232" s="146"/>
      <c r="E232" s="146"/>
      <c r="F232" s="35"/>
      <c r="G232" s="36"/>
      <c r="H232" s="36"/>
      <c r="I232" s="36"/>
      <c r="J232" s="45"/>
      <c r="K232" s="36"/>
      <c r="L232" s="42">
        <f>L225+L227</f>
        <v>1535.5320904</v>
      </c>
      <c r="M232" s="106"/>
      <c r="EX232" s="20"/>
      <c r="EY232" s="29"/>
      <c r="EZ232" s="29"/>
      <c r="FA232" s="29"/>
      <c r="FE232" s="3" t="s">
        <v>42</v>
      </c>
      <c r="FG232" s="29"/>
    </row>
    <row r="233" spans="1:163" customFormat="1" ht="45.75" x14ac:dyDescent="0.25">
      <c r="A233" s="43"/>
      <c r="B233" s="33" t="s">
        <v>165</v>
      </c>
      <c r="C233" s="146" t="s">
        <v>166</v>
      </c>
      <c r="D233" s="146"/>
      <c r="E233" s="146"/>
      <c r="F233" s="35" t="s">
        <v>45</v>
      </c>
      <c r="G233" s="51">
        <v>121</v>
      </c>
      <c r="H233" s="36"/>
      <c r="I233" s="51">
        <v>121</v>
      </c>
      <c r="J233" s="45"/>
      <c r="K233" s="36"/>
      <c r="L233" s="42">
        <f>L232*I233%</f>
        <v>1857.993829384</v>
      </c>
      <c r="M233" s="106"/>
      <c r="EX233" s="20"/>
      <c r="EY233" s="29"/>
      <c r="EZ233" s="29"/>
      <c r="FA233" s="29"/>
      <c r="FE233" s="3" t="s">
        <v>166</v>
      </c>
      <c r="FG233" s="29"/>
    </row>
    <row r="234" spans="1:163" customFormat="1" ht="45.75" x14ac:dyDescent="0.25">
      <c r="A234" s="43"/>
      <c r="B234" s="33" t="s">
        <v>167</v>
      </c>
      <c r="C234" s="146" t="s">
        <v>168</v>
      </c>
      <c r="D234" s="146"/>
      <c r="E234" s="146"/>
      <c r="F234" s="35" t="s">
        <v>45</v>
      </c>
      <c r="G234" s="51">
        <v>72</v>
      </c>
      <c r="H234" s="40">
        <v>0.85</v>
      </c>
      <c r="I234" s="61">
        <v>61.2</v>
      </c>
      <c r="J234" s="45"/>
      <c r="K234" s="36"/>
      <c r="L234" s="42">
        <f>L232*I234%</f>
        <v>939.74563932479998</v>
      </c>
      <c r="M234" s="106"/>
      <c r="EX234" s="20"/>
      <c r="EY234" s="29"/>
      <c r="EZ234" s="29"/>
      <c r="FA234" s="29"/>
      <c r="FE234" s="3" t="s">
        <v>168</v>
      </c>
      <c r="FG234" s="29"/>
    </row>
    <row r="235" spans="1:163" customFormat="1" ht="15" x14ac:dyDescent="0.25">
      <c r="A235" s="52"/>
      <c r="B235" s="53"/>
      <c r="C235" s="148" t="s">
        <v>48</v>
      </c>
      <c r="D235" s="148"/>
      <c r="E235" s="148"/>
      <c r="F235" s="23"/>
      <c r="G235" s="24"/>
      <c r="H235" s="24"/>
      <c r="I235" s="24"/>
      <c r="J235" s="27"/>
      <c r="K235" s="24"/>
      <c r="L235" s="99">
        <f>L231+L233+L234</f>
        <v>4340.1340991088</v>
      </c>
      <c r="M235" s="106"/>
      <c r="EX235" s="20"/>
      <c r="EY235" s="29"/>
      <c r="EZ235" s="29"/>
      <c r="FA235" s="29"/>
      <c r="FG235" s="29" t="s">
        <v>48</v>
      </c>
    </row>
    <row r="236" spans="1:163" customFormat="1" ht="23.25" x14ac:dyDescent="0.25">
      <c r="A236" s="21" t="s">
        <v>169</v>
      </c>
      <c r="B236" s="22" t="s">
        <v>170</v>
      </c>
      <c r="C236" s="148" t="s">
        <v>171</v>
      </c>
      <c r="D236" s="148"/>
      <c r="E236" s="148"/>
      <c r="F236" s="23" t="s">
        <v>172</v>
      </c>
      <c r="G236" s="24">
        <v>1.6</v>
      </c>
      <c r="H236" s="25">
        <v>1</v>
      </c>
      <c r="I236" s="65">
        <v>1.6</v>
      </c>
      <c r="J236" s="56">
        <v>1664.4</v>
      </c>
      <c r="K236" s="24"/>
      <c r="L236" s="59">
        <f>G236*J236</f>
        <v>2663.0400000000004</v>
      </c>
      <c r="M236" s="106"/>
      <c r="EX236" s="20"/>
      <c r="EY236" s="29" t="s">
        <v>171</v>
      </c>
      <c r="EZ236" s="29" t="s">
        <v>0</v>
      </c>
      <c r="FA236" s="29" t="s">
        <v>0</v>
      </c>
      <c r="FG236" s="29"/>
    </row>
    <row r="237" spans="1:163" customFormat="1" ht="15" x14ac:dyDescent="0.25">
      <c r="A237" s="52"/>
      <c r="B237" s="53"/>
      <c r="C237" s="148" t="s">
        <v>48</v>
      </c>
      <c r="D237" s="148"/>
      <c r="E237" s="148"/>
      <c r="F237" s="23"/>
      <c r="G237" s="24"/>
      <c r="H237" s="24"/>
      <c r="I237" s="24"/>
      <c r="J237" s="27"/>
      <c r="K237" s="24"/>
      <c r="L237" s="99">
        <f>L236</f>
        <v>2663.0400000000004</v>
      </c>
      <c r="M237" s="106"/>
      <c r="EX237" s="20"/>
      <c r="EY237" s="29"/>
      <c r="EZ237" s="29"/>
      <c r="FA237" s="29"/>
      <c r="FG237" s="29" t="s">
        <v>48</v>
      </c>
    </row>
    <row r="238" spans="1:163" customFormat="1" ht="34.5" x14ac:dyDescent="0.25">
      <c r="A238" s="21" t="s">
        <v>173</v>
      </c>
      <c r="B238" s="22" t="s">
        <v>23</v>
      </c>
      <c r="C238" s="148" t="s">
        <v>24</v>
      </c>
      <c r="D238" s="148"/>
      <c r="E238" s="148"/>
      <c r="F238" s="23" t="s">
        <v>25</v>
      </c>
      <c r="G238" s="24">
        <v>0.03</v>
      </c>
      <c r="H238" s="25">
        <v>1</v>
      </c>
      <c r="I238" s="57">
        <v>0.03</v>
      </c>
      <c r="J238" s="27"/>
      <c r="K238" s="24"/>
      <c r="L238" s="28"/>
      <c r="M238" s="106"/>
      <c r="EX238" s="20"/>
      <c r="EY238" s="29" t="s">
        <v>24</v>
      </c>
      <c r="EZ238" s="29" t="s">
        <v>0</v>
      </c>
      <c r="FA238" s="29" t="s">
        <v>0</v>
      </c>
      <c r="FG238" s="29"/>
    </row>
    <row r="239" spans="1:163" customFormat="1" ht="15" x14ac:dyDescent="0.25">
      <c r="A239" s="30"/>
      <c r="B239" s="31"/>
      <c r="C239" s="146" t="s">
        <v>174</v>
      </c>
      <c r="D239" s="146"/>
      <c r="E239" s="146"/>
      <c r="F239" s="146"/>
      <c r="G239" s="146"/>
      <c r="H239" s="146"/>
      <c r="I239" s="146"/>
      <c r="J239" s="146"/>
      <c r="K239" s="146"/>
      <c r="L239" s="149"/>
      <c r="M239" s="106"/>
      <c r="EX239" s="20"/>
      <c r="EY239" s="29"/>
      <c r="EZ239" s="29"/>
      <c r="FA239" s="29"/>
      <c r="FB239" s="3" t="s">
        <v>174</v>
      </c>
      <c r="FG239" s="29"/>
    </row>
    <row r="240" spans="1:163" customFormat="1" ht="68.25" x14ac:dyDescent="0.25">
      <c r="A240" s="32"/>
      <c r="B240" s="33" t="s">
        <v>27</v>
      </c>
      <c r="C240" s="141" t="s">
        <v>28</v>
      </c>
      <c r="D240" s="141"/>
      <c r="E240" s="141"/>
      <c r="F240" s="141"/>
      <c r="G240" s="141"/>
      <c r="H240" s="141"/>
      <c r="I240" s="141"/>
      <c r="J240" s="141"/>
      <c r="K240" s="141"/>
      <c r="L240" s="150"/>
      <c r="M240" s="106"/>
      <c r="EX240" s="20"/>
      <c r="EY240" s="29"/>
      <c r="EZ240" s="29"/>
      <c r="FA240" s="29"/>
      <c r="FC240" s="3" t="s">
        <v>28</v>
      </c>
      <c r="FG240" s="29"/>
    </row>
    <row r="241" spans="1:163" customFormat="1" ht="23.25" x14ac:dyDescent="0.25">
      <c r="A241" s="32"/>
      <c r="B241" s="33" t="s">
        <v>29</v>
      </c>
      <c r="C241" s="141" t="s">
        <v>30</v>
      </c>
      <c r="D241" s="141"/>
      <c r="E241" s="141"/>
      <c r="F241" s="141"/>
      <c r="G241" s="141"/>
      <c r="H241" s="141"/>
      <c r="I241" s="141"/>
      <c r="J241" s="141"/>
      <c r="K241" s="141"/>
      <c r="L241" s="150"/>
      <c r="M241" s="106"/>
      <c r="N241" s="118" t="s">
        <v>317</v>
      </c>
      <c r="EX241" s="20"/>
      <c r="EY241" s="29"/>
      <c r="EZ241" s="29"/>
      <c r="FA241" s="29"/>
      <c r="FC241" s="3" t="s">
        <v>30</v>
      </c>
      <c r="FG241" s="29"/>
    </row>
    <row r="242" spans="1:163" customFormat="1" ht="15" x14ac:dyDescent="0.25">
      <c r="A242" s="34"/>
      <c r="B242" s="33" t="s">
        <v>22</v>
      </c>
      <c r="C242" s="146" t="s">
        <v>31</v>
      </c>
      <c r="D242" s="146"/>
      <c r="E242" s="146"/>
      <c r="F242" s="35"/>
      <c r="G242" s="36"/>
      <c r="H242" s="36"/>
      <c r="I242" s="36"/>
      <c r="J242" s="116">
        <f>O242</f>
        <v>284668.75820000004</v>
      </c>
      <c r="K242" s="38">
        <v>1.3225</v>
      </c>
      <c r="L242" s="42">
        <f>G238*J242*K242</f>
        <v>11294.232981585003</v>
      </c>
      <c r="M242" s="106">
        <v>49.45</v>
      </c>
      <c r="N242" s="112">
        <v>136626.10224499999</v>
      </c>
      <c r="O242" s="113">
        <v>284668.75820000004</v>
      </c>
      <c r="P242" s="105">
        <f>G246</f>
        <v>219.68</v>
      </c>
      <c r="Q242" s="105">
        <f>O242/P242*8</f>
        <v>10366.670000000002</v>
      </c>
      <c r="R242" s="105">
        <f>Q242*22</f>
        <v>228066.74000000005</v>
      </c>
      <c r="S242" s="105">
        <f>R242*(1-0.43)</f>
        <v>129998.04180000004</v>
      </c>
      <c r="EX242" s="20"/>
      <c r="EY242" s="29"/>
      <c r="EZ242" s="29"/>
      <c r="FA242" s="29"/>
      <c r="FD242" s="3" t="s">
        <v>31</v>
      </c>
      <c r="FG242" s="29"/>
    </row>
    <row r="243" spans="1:163" customFormat="1" ht="15" x14ac:dyDescent="0.25">
      <c r="A243" s="34"/>
      <c r="B243" s="33" t="s">
        <v>32</v>
      </c>
      <c r="C243" s="146" t="s">
        <v>33</v>
      </c>
      <c r="D243" s="146"/>
      <c r="E243" s="146"/>
      <c r="F243" s="35"/>
      <c r="G243" s="36"/>
      <c r="H243" s="36"/>
      <c r="I243" s="36"/>
      <c r="J243" s="117">
        <f>O243</f>
        <v>2041.25</v>
      </c>
      <c r="K243" s="38">
        <v>1.4375</v>
      </c>
      <c r="L243" s="42">
        <f>G238*J243*K243</f>
        <v>88.028906249999991</v>
      </c>
      <c r="M243" s="106">
        <v>14.53</v>
      </c>
      <c r="N243" s="112">
        <v>4947.4740812499995</v>
      </c>
      <c r="O243" s="113">
        <v>2041.25</v>
      </c>
      <c r="P243" s="105">
        <f>G247</f>
        <v>0.71</v>
      </c>
      <c r="Q243" s="105">
        <f>O243/P243*8</f>
        <v>23000</v>
      </c>
      <c r="EX243" s="20"/>
      <c r="EY243" s="29"/>
      <c r="EZ243" s="29"/>
      <c r="FA243" s="29"/>
      <c r="FD243" s="3" t="s">
        <v>33</v>
      </c>
      <c r="FG243" s="29"/>
    </row>
    <row r="244" spans="1:163" customFormat="1" ht="15" x14ac:dyDescent="0.25">
      <c r="A244" s="34"/>
      <c r="B244" s="33" t="s">
        <v>34</v>
      </c>
      <c r="C244" s="146" t="s">
        <v>35</v>
      </c>
      <c r="D244" s="146"/>
      <c r="E244" s="146"/>
      <c r="F244" s="35"/>
      <c r="G244" s="36"/>
      <c r="H244" s="36"/>
      <c r="I244" s="36"/>
      <c r="J244" s="39">
        <v>9</v>
      </c>
      <c r="K244" s="38">
        <v>1.4375</v>
      </c>
      <c r="L244" s="42">
        <f>G238*J244*K244</f>
        <v>0.38812500000000005</v>
      </c>
      <c r="M244" s="106"/>
      <c r="EX244" s="20"/>
      <c r="EY244" s="29"/>
      <c r="EZ244" s="29"/>
      <c r="FA244" s="29"/>
      <c r="FD244" s="3" t="s">
        <v>35</v>
      </c>
      <c r="FG244" s="29"/>
    </row>
    <row r="245" spans="1:163" customFormat="1" ht="15" x14ac:dyDescent="0.25">
      <c r="A245" s="34"/>
      <c r="B245" s="33" t="s">
        <v>36</v>
      </c>
      <c r="C245" s="146" t="s">
        <v>37</v>
      </c>
      <c r="D245" s="146"/>
      <c r="E245" s="146"/>
      <c r="F245" s="35"/>
      <c r="G245" s="36"/>
      <c r="H245" s="36"/>
      <c r="I245" s="36"/>
      <c r="J245" s="37">
        <v>2732.35</v>
      </c>
      <c r="K245" s="36"/>
      <c r="L245" s="42">
        <f>G238*J245</f>
        <v>81.970500000000001</v>
      </c>
      <c r="M245" s="106"/>
      <c r="EX245" s="20"/>
      <c r="EY245" s="29"/>
      <c r="EZ245" s="29"/>
      <c r="FA245" s="29"/>
      <c r="FD245" s="3" t="s">
        <v>37</v>
      </c>
      <c r="FG245" s="29"/>
    </row>
    <row r="246" spans="1:163" customFormat="1" ht="15" x14ac:dyDescent="0.25">
      <c r="A246" s="43"/>
      <c r="B246" s="33"/>
      <c r="C246" s="146" t="s">
        <v>38</v>
      </c>
      <c r="D246" s="146"/>
      <c r="E246" s="146"/>
      <c r="F246" s="35" t="s">
        <v>39</v>
      </c>
      <c r="G246" s="40">
        <v>219.68</v>
      </c>
      <c r="H246" s="38">
        <v>1.3225</v>
      </c>
      <c r="I246" s="60">
        <v>8.7158040000000003</v>
      </c>
      <c r="J246" s="45"/>
      <c r="K246" s="36"/>
      <c r="L246" s="46"/>
      <c r="M246" s="106"/>
      <c r="EX246" s="20"/>
      <c r="EY246" s="29"/>
      <c r="EZ246" s="29"/>
      <c r="FA246" s="29"/>
      <c r="FE246" s="3" t="s">
        <v>38</v>
      </c>
      <c r="FG246" s="29"/>
    </row>
    <row r="247" spans="1:163" customFormat="1" ht="15" x14ac:dyDescent="0.25">
      <c r="A247" s="43"/>
      <c r="B247" s="33"/>
      <c r="C247" s="146" t="s">
        <v>40</v>
      </c>
      <c r="D247" s="146"/>
      <c r="E247" s="146"/>
      <c r="F247" s="35" t="s">
        <v>39</v>
      </c>
      <c r="G247" s="40">
        <v>0.71</v>
      </c>
      <c r="H247" s="38">
        <v>1.4375</v>
      </c>
      <c r="I247" s="44">
        <v>3.0618800000000002E-2</v>
      </c>
      <c r="J247" s="45"/>
      <c r="K247" s="36"/>
      <c r="L247" s="46"/>
      <c r="M247" s="106"/>
      <c r="EX247" s="20"/>
      <c r="EY247" s="29"/>
      <c r="EZ247" s="29"/>
      <c r="FA247" s="29"/>
      <c r="FE247" s="3" t="s">
        <v>40</v>
      </c>
      <c r="FG247" s="29"/>
    </row>
    <row r="248" spans="1:163" customFormat="1" ht="15" x14ac:dyDescent="0.25">
      <c r="A248" s="30"/>
      <c r="B248" s="33"/>
      <c r="C248" s="151" t="s">
        <v>41</v>
      </c>
      <c r="D248" s="151"/>
      <c r="E248" s="151"/>
      <c r="F248" s="47"/>
      <c r="G248" s="48"/>
      <c r="H248" s="48"/>
      <c r="I248" s="48"/>
      <c r="J248" s="49">
        <v>5058.38</v>
      </c>
      <c r="K248" s="48"/>
      <c r="L248" s="66">
        <f>L242+L243+L245</f>
        <v>11464.232387835002</v>
      </c>
      <c r="M248" s="106"/>
      <c r="EX248" s="20"/>
      <c r="EY248" s="29"/>
      <c r="EZ248" s="29"/>
      <c r="FA248" s="29"/>
      <c r="FF248" s="3" t="s">
        <v>41</v>
      </c>
      <c r="FG248" s="29"/>
    </row>
    <row r="249" spans="1:163" customFormat="1" ht="15" x14ac:dyDescent="0.25">
      <c r="A249" s="43"/>
      <c r="B249" s="33"/>
      <c r="C249" s="146" t="s">
        <v>42</v>
      </c>
      <c r="D249" s="146"/>
      <c r="E249" s="146"/>
      <c r="F249" s="35"/>
      <c r="G249" s="36"/>
      <c r="H249" s="36"/>
      <c r="I249" s="36"/>
      <c r="J249" s="45"/>
      <c r="K249" s="36"/>
      <c r="L249" s="42">
        <f>L242+L244</f>
        <v>11294.621106585002</v>
      </c>
      <c r="M249" s="106"/>
      <c r="EX249" s="20"/>
      <c r="EY249" s="29"/>
      <c r="EZ249" s="29"/>
      <c r="FA249" s="29"/>
      <c r="FE249" s="3" t="s">
        <v>42</v>
      </c>
      <c r="FG249" s="29"/>
    </row>
    <row r="250" spans="1:163" customFormat="1" ht="23.25" x14ac:dyDescent="0.25">
      <c r="A250" s="43"/>
      <c r="B250" s="33" t="s">
        <v>43</v>
      </c>
      <c r="C250" s="146" t="s">
        <v>44</v>
      </c>
      <c r="D250" s="146"/>
      <c r="E250" s="146"/>
      <c r="F250" s="35" t="s">
        <v>45</v>
      </c>
      <c r="G250" s="51">
        <v>126</v>
      </c>
      <c r="H250" s="36"/>
      <c r="I250" s="51">
        <v>126</v>
      </c>
      <c r="J250" s="45"/>
      <c r="K250" s="36"/>
      <c r="L250" s="42">
        <f>L249*I250%</f>
        <v>14231.222594297104</v>
      </c>
      <c r="M250" s="106"/>
      <c r="EX250" s="20"/>
      <c r="EY250" s="29"/>
      <c r="EZ250" s="29"/>
      <c r="FA250" s="29"/>
      <c r="FE250" s="3" t="s">
        <v>44</v>
      </c>
      <c r="FG250" s="29"/>
    </row>
    <row r="251" spans="1:163" customFormat="1" ht="23.25" x14ac:dyDescent="0.25">
      <c r="A251" s="43"/>
      <c r="B251" s="33" t="s">
        <v>46</v>
      </c>
      <c r="C251" s="146" t="s">
        <v>47</v>
      </c>
      <c r="D251" s="146"/>
      <c r="E251" s="146"/>
      <c r="F251" s="35" t="s">
        <v>45</v>
      </c>
      <c r="G251" s="51">
        <v>68</v>
      </c>
      <c r="H251" s="36"/>
      <c r="I251" s="51">
        <v>68</v>
      </c>
      <c r="J251" s="45"/>
      <c r="K251" s="36"/>
      <c r="L251" s="42">
        <f>L249*I251%</f>
        <v>7680.3423524778018</v>
      </c>
      <c r="M251" s="106"/>
      <c r="EX251" s="20"/>
      <c r="EY251" s="29"/>
      <c r="EZ251" s="29"/>
      <c r="FA251" s="29"/>
      <c r="FE251" s="3" t="s">
        <v>47</v>
      </c>
      <c r="FG251" s="29"/>
    </row>
    <row r="252" spans="1:163" customFormat="1" ht="15" x14ac:dyDescent="0.25">
      <c r="A252" s="52"/>
      <c r="B252" s="53"/>
      <c r="C252" s="148" t="s">
        <v>48</v>
      </c>
      <c r="D252" s="148"/>
      <c r="E252" s="148"/>
      <c r="F252" s="23"/>
      <c r="G252" s="24"/>
      <c r="H252" s="24"/>
      <c r="I252" s="24"/>
      <c r="J252" s="27"/>
      <c r="K252" s="24"/>
      <c r="L252" s="99">
        <f>L248+L250+L251</f>
        <v>33375.79733460991</v>
      </c>
      <c r="M252" s="106"/>
      <c r="EX252" s="20"/>
      <c r="EY252" s="29"/>
      <c r="EZ252" s="29"/>
      <c r="FA252" s="29"/>
      <c r="FG252" s="29" t="s">
        <v>48</v>
      </c>
    </row>
    <row r="253" spans="1:163" customFormat="1" ht="34.5" x14ac:dyDescent="0.25">
      <c r="A253" s="21" t="s">
        <v>175</v>
      </c>
      <c r="B253" s="22" t="s">
        <v>176</v>
      </c>
      <c r="C253" s="148" t="s">
        <v>177</v>
      </c>
      <c r="D253" s="148"/>
      <c r="E253" s="148"/>
      <c r="F253" s="23" t="s">
        <v>172</v>
      </c>
      <c r="G253" s="24">
        <v>53.96</v>
      </c>
      <c r="H253" s="25">
        <v>1</v>
      </c>
      <c r="I253" s="57">
        <v>53.96</v>
      </c>
      <c r="J253" s="56">
        <v>421.07</v>
      </c>
      <c r="K253" s="24"/>
      <c r="L253" s="55">
        <f>G253*J253</f>
        <v>22720.9372</v>
      </c>
      <c r="M253" s="106"/>
      <c r="EX253" s="20"/>
      <c r="EY253" s="29" t="s">
        <v>177</v>
      </c>
      <c r="EZ253" s="29" t="s">
        <v>0</v>
      </c>
      <c r="FA253" s="29" t="s">
        <v>0</v>
      </c>
      <c r="FG253" s="29"/>
    </row>
    <row r="254" spans="1:163" customFormat="1" ht="15" x14ac:dyDescent="0.25">
      <c r="A254" s="30"/>
      <c r="B254" s="31"/>
      <c r="C254" s="146" t="s">
        <v>178</v>
      </c>
      <c r="D254" s="146"/>
      <c r="E254" s="146"/>
      <c r="F254" s="146"/>
      <c r="G254" s="146"/>
      <c r="H254" s="146"/>
      <c r="I254" s="146"/>
      <c r="J254" s="146"/>
      <c r="K254" s="146"/>
      <c r="L254" s="149"/>
      <c r="M254" s="106"/>
      <c r="EX254" s="20"/>
      <c r="EY254" s="29"/>
      <c r="EZ254" s="29"/>
      <c r="FA254" s="29"/>
      <c r="FB254" s="3" t="s">
        <v>178</v>
      </c>
      <c r="FG254" s="29"/>
    </row>
    <row r="255" spans="1:163" customFormat="1" ht="15" x14ac:dyDescent="0.25">
      <c r="A255" s="52"/>
      <c r="B255" s="53"/>
      <c r="C255" s="148" t="s">
        <v>48</v>
      </c>
      <c r="D255" s="148"/>
      <c r="E255" s="148"/>
      <c r="F255" s="23"/>
      <c r="G255" s="24"/>
      <c r="H255" s="24"/>
      <c r="I255" s="24"/>
      <c r="J255" s="27"/>
      <c r="K255" s="24"/>
      <c r="L255" s="96">
        <f>L253</f>
        <v>22720.9372</v>
      </c>
      <c r="M255" s="106"/>
      <c r="EX255" s="20"/>
      <c r="EY255" s="29"/>
      <c r="EZ255" s="29"/>
      <c r="FA255" s="29"/>
      <c r="FG255" s="29" t="s">
        <v>48</v>
      </c>
    </row>
    <row r="256" spans="1:163" customFormat="1" ht="34.5" x14ac:dyDescent="0.25">
      <c r="A256" s="21" t="s">
        <v>179</v>
      </c>
      <c r="B256" s="22" t="s">
        <v>180</v>
      </c>
      <c r="C256" s="148" t="s">
        <v>181</v>
      </c>
      <c r="D256" s="148"/>
      <c r="E256" s="148"/>
      <c r="F256" s="23" t="s">
        <v>182</v>
      </c>
      <c r="G256" s="24">
        <v>0.16</v>
      </c>
      <c r="H256" s="25">
        <v>1</v>
      </c>
      <c r="I256" s="57">
        <v>0.16</v>
      </c>
      <c r="J256" s="27"/>
      <c r="K256" s="24"/>
      <c r="L256" s="28"/>
      <c r="M256" s="106"/>
      <c r="EX256" s="20"/>
      <c r="EY256" s="29" t="s">
        <v>181</v>
      </c>
      <c r="EZ256" s="29" t="s">
        <v>0</v>
      </c>
      <c r="FA256" s="29" t="s">
        <v>0</v>
      </c>
      <c r="FG256" s="29"/>
    </row>
    <row r="257" spans="1:164" customFormat="1" ht="15" x14ac:dyDescent="0.25">
      <c r="A257" s="30"/>
      <c r="B257" s="31"/>
      <c r="C257" s="146" t="s">
        <v>183</v>
      </c>
      <c r="D257" s="146"/>
      <c r="E257" s="146"/>
      <c r="F257" s="146"/>
      <c r="G257" s="146"/>
      <c r="H257" s="146"/>
      <c r="I257" s="146"/>
      <c r="J257" s="146"/>
      <c r="K257" s="146"/>
      <c r="L257" s="149"/>
      <c r="M257" s="106"/>
      <c r="EX257" s="20"/>
      <c r="EY257" s="29"/>
      <c r="EZ257" s="29"/>
      <c r="FA257" s="29"/>
      <c r="FB257" s="3" t="s">
        <v>183</v>
      </c>
      <c r="FG257" s="29"/>
    </row>
    <row r="258" spans="1:164" customFormat="1" ht="68.25" x14ac:dyDescent="0.25">
      <c r="A258" s="32"/>
      <c r="B258" s="33" t="s">
        <v>27</v>
      </c>
      <c r="C258" s="141" t="s">
        <v>28</v>
      </c>
      <c r="D258" s="141"/>
      <c r="E258" s="141"/>
      <c r="F258" s="141"/>
      <c r="G258" s="141"/>
      <c r="H258" s="141"/>
      <c r="I258" s="141"/>
      <c r="J258" s="141"/>
      <c r="K258" s="141"/>
      <c r="L258" s="150"/>
      <c r="M258" s="106"/>
      <c r="EX258" s="20"/>
      <c r="EY258" s="29"/>
      <c r="EZ258" s="29"/>
      <c r="FA258" s="29"/>
      <c r="FC258" s="3" t="s">
        <v>28</v>
      </c>
      <c r="FG258" s="29"/>
    </row>
    <row r="259" spans="1:164" customFormat="1" ht="23.25" x14ac:dyDescent="0.25">
      <c r="A259" s="32"/>
      <c r="B259" s="33" t="s">
        <v>29</v>
      </c>
      <c r="C259" s="141" t="s">
        <v>30</v>
      </c>
      <c r="D259" s="141"/>
      <c r="E259" s="141"/>
      <c r="F259" s="141"/>
      <c r="G259" s="141"/>
      <c r="H259" s="141"/>
      <c r="I259" s="141"/>
      <c r="J259" s="141"/>
      <c r="K259" s="141"/>
      <c r="L259" s="150"/>
      <c r="M259" s="106"/>
      <c r="N259" s="118" t="s">
        <v>324</v>
      </c>
      <c r="EX259" s="20"/>
      <c r="EY259" s="29"/>
      <c r="EZ259" s="29"/>
      <c r="FA259" s="29"/>
      <c r="FC259" s="3" t="s">
        <v>30</v>
      </c>
      <c r="FG259" s="29"/>
    </row>
    <row r="260" spans="1:164" customFormat="1" ht="15" x14ac:dyDescent="0.25">
      <c r="A260" s="34"/>
      <c r="B260" s="33" t="s">
        <v>22</v>
      </c>
      <c r="C260" s="146" t="s">
        <v>31</v>
      </c>
      <c r="D260" s="146"/>
      <c r="E260" s="146"/>
      <c r="F260" s="35"/>
      <c r="G260" s="36"/>
      <c r="H260" s="36"/>
      <c r="I260" s="36"/>
      <c r="J260" s="117">
        <f>O260</f>
        <v>29441.342799999999</v>
      </c>
      <c r="K260" s="38">
        <v>1.3225</v>
      </c>
      <c r="L260" s="42">
        <f>G256*J260*K260</f>
        <v>6229.7881364800005</v>
      </c>
      <c r="M260" s="106">
        <v>49.45</v>
      </c>
      <c r="N260" s="112">
        <v>13966.97077125</v>
      </c>
      <c r="O260" s="113">
        <v>29441.342799999999</v>
      </c>
      <c r="P260" s="105">
        <f>G264</f>
        <v>22.72</v>
      </c>
      <c r="Q260" s="105">
        <f>O260/P260*8</f>
        <v>10366.67</v>
      </c>
      <c r="R260" s="105">
        <f>Q260*22</f>
        <v>228066.74</v>
      </c>
      <c r="S260" s="105">
        <f>R260*(1-0.43)</f>
        <v>129998.04180000001</v>
      </c>
      <c r="EX260" s="20"/>
      <c r="EY260" s="29"/>
      <c r="EZ260" s="29"/>
      <c r="FA260" s="29"/>
      <c r="FD260" s="3" t="s">
        <v>31</v>
      </c>
      <c r="FG260" s="29"/>
    </row>
    <row r="261" spans="1:164" customFormat="1" ht="15" x14ac:dyDescent="0.25">
      <c r="A261" s="34"/>
      <c r="B261" s="33" t="s">
        <v>32</v>
      </c>
      <c r="C261" s="146" t="s">
        <v>33</v>
      </c>
      <c r="D261" s="146"/>
      <c r="E261" s="146"/>
      <c r="F261" s="35"/>
      <c r="G261" s="36"/>
      <c r="H261" s="36"/>
      <c r="I261" s="36"/>
      <c r="J261" s="117">
        <f>O261</f>
        <v>57.5</v>
      </c>
      <c r="K261" s="38">
        <v>1.4375</v>
      </c>
      <c r="L261" s="42">
        <f>G256*J261*K261</f>
        <v>13.225000000000001</v>
      </c>
      <c r="M261" s="106">
        <v>14.53</v>
      </c>
      <c r="N261" s="112">
        <v>3015.4381437500001</v>
      </c>
      <c r="O261" s="113">
        <v>57.5</v>
      </c>
      <c r="P261" s="105">
        <f>G265</f>
        <v>0.02</v>
      </c>
      <c r="Q261" s="105">
        <f>O261/P261*8</f>
        <v>23000</v>
      </c>
      <c r="EX261" s="20"/>
      <c r="EY261" s="29"/>
      <c r="EZ261" s="29"/>
      <c r="FA261" s="29"/>
      <c r="FD261" s="3" t="s">
        <v>33</v>
      </c>
      <c r="FG261" s="29"/>
    </row>
    <row r="262" spans="1:164" customFormat="1" ht="15" x14ac:dyDescent="0.25">
      <c r="A262" s="34"/>
      <c r="B262" s="33" t="s">
        <v>34</v>
      </c>
      <c r="C262" s="146" t="s">
        <v>35</v>
      </c>
      <c r="D262" s="146"/>
      <c r="E262" s="146"/>
      <c r="F262" s="35"/>
      <c r="G262" s="36"/>
      <c r="H262" s="36"/>
      <c r="I262" s="36"/>
      <c r="J262" s="39">
        <v>0.26</v>
      </c>
      <c r="K262" s="38">
        <v>1.4375</v>
      </c>
      <c r="L262" s="42">
        <f>G256*J262*K262</f>
        <v>5.9800000000000006E-2</v>
      </c>
      <c r="M262" s="106"/>
      <c r="EX262" s="20"/>
      <c r="EY262" s="29"/>
      <c r="EZ262" s="29"/>
      <c r="FA262" s="29"/>
      <c r="FD262" s="3" t="s">
        <v>35</v>
      </c>
      <c r="FG262" s="29"/>
    </row>
    <row r="263" spans="1:164" customFormat="1" ht="15" x14ac:dyDescent="0.25">
      <c r="A263" s="34"/>
      <c r="B263" s="33" t="s">
        <v>36</v>
      </c>
      <c r="C263" s="146" t="s">
        <v>37</v>
      </c>
      <c r="D263" s="146"/>
      <c r="E263" s="146"/>
      <c r="F263" s="35"/>
      <c r="G263" s="36"/>
      <c r="H263" s="36"/>
      <c r="I263" s="36"/>
      <c r="J263" s="39">
        <v>50.53</v>
      </c>
      <c r="K263" s="36"/>
      <c r="L263" s="42">
        <f>G256*J263</f>
        <v>8.0847999999999995</v>
      </c>
      <c r="M263" s="106"/>
      <c r="EX263" s="20"/>
      <c r="EY263" s="29"/>
      <c r="EZ263" s="29"/>
      <c r="FA263" s="29"/>
      <c r="FD263" s="3" t="s">
        <v>37</v>
      </c>
      <c r="FG263" s="29"/>
    </row>
    <row r="264" spans="1:164" customFormat="1" ht="15" x14ac:dyDescent="0.25">
      <c r="A264" s="43"/>
      <c r="B264" s="33"/>
      <c r="C264" s="146" t="s">
        <v>38</v>
      </c>
      <c r="D264" s="146"/>
      <c r="E264" s="146"/>
      <c r="F264" s="35" t="s">
        <v>39</v>
      </c>
      <c r="G264" s="40">
        <v>22.72</v>
      </c>
      <c r="H264" s="38">
        <v>1.3225</v>
      </c>
      <c r="I264" s="60">
        <v>4.8075520000000003</v>
      </c>
      <c r="J264" s="45"/>
      <c r="K264" s="36"/>
      <c r="L264" s="46"/>
      <c r="M264" s="106"/>
      <c r="EX264" s="20"/>
      <c r="EY264" s="29"/>
      <c r="EZ264" s="29"/>
      <c r="FA264" s="29"/>
      <c r="FE264" s="3" t="s">
        <v>38</v>
      </c>
      <c r="FG264" s="29"/>
    </row>
    <row r="265" spans="1:164" customFormat="1" ht="15" x14ac:dyDescent="0.25">
      <c r="A265" s="43"/>
      <c r="B265" s="33"/>
      <c r="C265" s="146" t="s">
        <v>40</v>
      </c>
      <c r="D265" s="146"/>
      <c r="E265" s="146"/>
      <c r="F265" s="35" t="s">
        <v>39</v>
      </c>
      <c r="G265" s="40">
        <v>0.02</v>
      </c>
      <c r="H265" s="38">
        <v>1.4375</v>
      </c>
      <c r="I265" s="38">
        <v>4.5999999999999999E-3</v>
      </c>
      <c r="J265" s="45"/>
      <c r="K265" s="36"/>
      <c r="L265" s="46"/>
      <c r="M265" s="106"/>
      <c r="EX265" s="20"/>
      <c r="EY265" s="29"/>
      <c r="EZ265" s="29"/>
      <c r="FA265" s="29"/>
      <c r="FE265" s="3" t="s">
        <v>40</v>
      </c>
      <c r="FG265" s="29"/>
    </row>
    <row r="266" spans="1:164" customFormat="1" ht="15" x14ac:dyDescent="0.25">
      <c r="A266" s="30"/>
      <c r="B266" s="33"/>
      <c r="C266" s="151" t="s">
        <v>41</v>
      </c>
      <c r="D266" s="151"/>
      <c r="E266" s="151"/>
      <c r="F266" s="47"/>
      <c r="G266" s="48"/>
      <c r="H266" s="48"/>
      <c r="I266" s="48"/>
      <c r="J266" s="62">
        <v>408.47</v>
      </c>
      <c r="K266" s="48"/>
      <c r="L266" s="66">
        <f>L260+L261+L263</f>
        <v>6251.0979364800005</v>
      </c>
      <c r="M266" s="106"/>
      <c r="EX266" s="20"/>
      <c r="EY266" s="29"/>
      <c r="EZ266" s="29"/>
      <c r="FA266" s="29"/>
      <c r="FF266" s="3" t="s">
        <v>41</v>
      </c>
      <c r="FG266" s="29"/>
    </row>
    <row r="267" spans="1:164" customFormat="1" ht="15" x14ac:dyDescent="0.25">
      <c r="A267" s="43"/>
      <c r="B267" s="33"/>
      <c r="C267" s="146" t="s">
        <v>42</v>
      </c>
      <c r="D267" s="146"/>
      <c r="E267" s="146"/>
      <c r="F267" s="35"/>
      <c r="G267" s="36"/>
      <c r="H267" s="36"/>
      <c r="I267" s="36"/>
      <c r="J267" s="45"/>
      <c r="K267" s="36"/>
      <c r="L267" s="42">
        <f>L260+L262</f>
        <v>6229.8479364800005</v>
      </c>
      <c r="M267" s="106"/>
      <c r="EX267" s="20"/>
      <c r="EY267" s="29"/>
      <c r="EZ267" s="29"/>
      <c r="FA267" s="29"/>
      <c r="FE267" s="3" t="s">
        <v>42</v>
      </c>
      <c r="FG267" s="29"/>
    </row>
    <row r="268" spans="1:164" customFormat="1" ht="23.25" x14ac:dyDescent="0.25">
      <c r="A268" s="43"/>
      <c r="B268" s="33" t="s">
        <v>72</v>
      </c>
      <c r="C268" s="146" t="s">
        <v>73</v>
      </c>
      <c r="D268" s="146"/>
      <c r="E268" s="146"/>
      <c r="F268" s="35" t="s">
        <v>45</v>
      </c>
      <c r="G268" s="51">
        <v>97</v>
      </c>
      <c r="H268" s="36"/>
      <c r="I268" s="51">
        <v>97</v>
      </c>
      <c r="J268" s="45"/>
      <c r="K268" s="36"/>
      <c r="L268" s="42">
        <f>L267*I268%</f>
        <v>6042.9524983855999</v>
      </c>
      <c r="M268" s="106"/>
      <c r="EX268" s="20"/>
      <c r="EY268" s="29"/>
      <c r="EZ268" s="29"/>
      <c r="FA268" s="29"/>
      <c r="FE268" s="3" t="s">
        <v>73</v>
      </c>
      <c r="FG268" s="29"/>
    </row>
    <row r="269" spans="1:164" customFormat="1" ht="23.25" x14ac:dyDescent="0.25">
      <c r="A269" s="43"/>
      <c r="B269" s="33" t="s">
        <v>74</v>
      </c>
      <c r="C269" s="146" t="s">
        <v>75</v>
      </c>
      <c r="D269" s="146"/>
      <c r="E269" s="146"/>
      <c r="F269" s="35" t="s">
        <v>45</v>
      </c>
      <c r="G269" s="51">
        <v>51</v>
      </c>
      <c r="H269" s="36"/>
      <c r="I269" s="51">
        <v>51</v>
      </c>
      <c r="J269" s="45"/>
      <c r="K269" s="36"/>
      <c r="L269" s="42">
        <f>L267*I269%</f>
        <v>3177.2224476048004</v>
      </c>
      <c r="M269" s="106"/>
      <c r="EX269" s="20"/>
      <c r="EY269" s="29"/>
      <c r="EZ269" s="29"/>
      <c r="FA269" s="29"/>
      <c r="FE269" s="3" t="s">
        <v>75</v>
      </c>
      <c r="FG269" s="29"/>
    </row>
    <row r="270" spans="1:164" customFormat="1" ht="15" x14ac:dyDescent="0.25">
      <c r="A270" s="52"/>
      <c r="B270" s="53"/>
      <c r="C270" s="148" t="s">
        <v>48</v>
      </c>
      <c r="D270" s="148"/>
      <c r="E270" s="148"/>
      <c r="F270" s="23"/>
      <c r="G270" s="24"/>
      <c r="H270" s="24"/>
      <c r="I270" s="24"/>
      <c r="J270" s="27"/>
      <c r="K270" s="24"/>
      <c r="L270" s="99">
        <f>L266+L268+L269</f>
        <v>15471.272882470399</v>
      </c>
      <c r="M270" s="106"/>
      <c r="EX270" s="20"/>
      <c r="EY270" s="29"/>
      <c r="EZ270" s="29"/>
      <c r="FA270" s="29"/>
      <c r="FG270" s="29" t="s">
        <v>48</v>
      </c>
    </row>
    <row r="271" spans="1:164" customFormat="1" ht="45" x14ac:dyDescent="0.25">
      <c r="A271" s="21" t="s">
        <v>184</v>
      </c>
      <c r="B271" s="22" t="s">
        <v>185</v>
      </c>
      <c r="C271" s="148" t="s">
        <v>186</v>
      </c>
      <c r="D271" s="148"/>
      <c r="E271" s="148"/>
      <c r="F271" s="23" t="s">
        <v>51</v>
      </c>
      <c r="G271" s="24">
        <v>16</v>
      </c>
      <c r="H271" s="25">
        <v>1</v>
      </c>
      <c r="I271" s="25">
        <v>16</v>
      </c>
      <c r="J271" s="56">
        <f>5100/1.2</f>
        <v>4250</v>
      </c>
      <c r="K271" s="26">
        <v>1.04236</v>
      </c>
      <c r="L271" s="55">
        <f>G271*J271*K271</f>
        <v>70880.479999999996</v>
      </c>
      <c r="M271" s="106"/>
      <c r="EX271" s="20"/>
      <c r="EY271" s="29" t="s">
        <v>186</v>
      </c>
      <c r="EZ271" s="29" t="s">
        <v>0</v>
      </c>
      <c r="FA271" s="29" t="s">
        <v>0</v>
      </c>
      <c r="FG271" s="29"/>
    </row>
    <row r="272" spans="1:164" customFormat="1" ht="15" x14ac:dyDescent="0.25">
      <c r="A272" s="30"/>
      <c r="B272" s="31"/>
      <c r="C272" s="152" t="s">
        <v>306</v>
      </c>
      <c r="D272" s="146"/>
      <c r="E272" s="146"/>
      <c r="F272" s="146"/>
      <c r="G272" s="146"/>
      <c r="H272" s="146"/>
      <c r="I272" s="146"/>
      <c r="J272" s="146"/>
      <c r="K272" s="146"/>
      <c r="L272" s="149"/>
      <c r="M272" s="106"/>
      <c r="EX272" s="20"/>
      <c r="EY272" s="29"/>
      <c r="EZ272" s="29"/>
      <c r="FA272" s="29"/>
      <c r="FG272" s="29"/>
      <c r="FH272" s="3" t="s">
        <v>187</v>
      </c>
    </row>
    <row r="273" spans="1:163" customFormat="1" ht="15" x14ac:dyDescent="0.25">
      <c r="A273" s="32"/>
      <c r="B273" s="33"/>
      <c r="C273" s="141" t="s">
        <v>54</v>
      </c>
      <c r="D273" s="141"/>
      <c r="E273" s="141"/>
      <c r="F273" s="141"/>
      <c r="G273" s="141"/>
      <c r="H273" s="141"/>
      <c r="I273" s="141"/>
      <c r="J273" s="141"/>
      <c r="K273" s="141"/>
      <c r="L273" s="150"/>
      <c r="M273" s="106"/>
      <c r="EX273" s="20"/>
      <c r="EY273" s="29"/>
      <c r="EZ273" s="29"/>
      <c r="FA273" s="29"/>
      <c r="FC273" s="3" t="s">
        <v>54</v>
      </c>
      <c r="FG273" s="29"/>
    </row>
    <row r="274" spans="1:163" customFormat="1" ht="15" x14ac:dyDescent="0.25">
      <c r="A274" s="32"/>
      <c r="B274" s="33"/>
      <c r="C274" s="141" t="s">
        <v>55</v>
      </c>
      <c r="D274" s="141"/>
      <c r="E274" s="141"/>
      <c r="F274" s="141"/>
      <c r="G274" s="141"/>
      <c r="H274" s="141"/>
      <c r="I274" s="141"/>
      <c r="J274" s="141"/>
      <c r="K274" s="141"/>
      <c r="L274" s="150"/>
      <c r="M274" s="106"/>
      <c r="EX274" s="20"/>
      <c r="EY274" s="29"/>
      <c r="EZ274" s="29"/>
      <c r="FA274" s="29"/>
      <c r="FC274" s="3" t="s">
        <v>55</v>
      </c>
      <c r="FG274" s="29"/>
    </row>
    <row r="275" spans="1:163" customFormat="1" ht="15" x14ac:dyDescent="0.25">
      <c r="A275" s="52"/>
      <c r="B275" s="53"/>
      <c r="C275" s="148" t="s">
        <v>48</v>
      </c>
      <c r="D275" s="148"/>
      <c r="E275" s="148"/>
      <c r="F275" s="23"/>
      <c r="G275" s="24"/>
      <c r="H275" s="24"/>
      <c r="I275" s="24"/>
      <c r="J275" s="27"/>
      <c r="K275" s="24"/>
      <c r="L275" s="96">
        <f>L271</f>
        <v>70880.479999999996</v>
      </c>
      <c r="M275" s="106"/>
      <c r="EX275" s="20"/>
      <c r="EY275" s="29"/>
      <c r="EZ275" s="29"/>
      <c r="FA275" s="29"/>
      <c r="FG275" s="29" t="s">
        <v>48</v>
      </c>
    </row>
    <row r="276" spans="1:163" customFormat="1" ht="45.75" x14ac:dyDescent="0.25">
      <c r="A276" s="21" t="s">
        <v>188</v>
      </c>
      <c r="B276" s="22" t="s">
        <v>189</v>
      </c>
      <c r="C276" s="148" t="s">
        <v>190</v>
      </c>
      <c r="D276" s="148"/>
      <c r="E276" s="148"/>
      <c r="F276" s="23" t="s">
        <v>182</v>
      </c>
      <c r="G276" s="24">
        <v>6</v>
      </c>
      <c r="H276" s="25">
        <v>1</v>
      </c>
      <c r="I276" s="25">
        <v>6</v>
      </c>
      <c r="J276" s="27"/>
      <c r="K276" s="24"/>
      <c r="L276" s="28"/>
      <c r="M276" s="106"/>
      <c r="EX276" s="20"/>
      <c r="EY276" s="29" t="s">
        <v>190</v>
      </c>
      <c r="EZ276" s="29" t="s">
        <v>0</v>
      </c>
      <c r="FA276" s="29" t="s">
        <v>0</v>
      </c>
      <c r="FG276" s="29"/>
    </row>
    <row r="277" spans="1:163" customFormat="1" ht="15" x14ac:dyDescent="0.25">
      <c r="A277" s="30"/>
      <c r="B277" s="31"/>
      <c r="C277" s="146" t="s">
        <v>191</v>
      </c>
      <c r="D277" s="146"/>
      <c r="E277" s="146"/>
      <c r="F277" s="146"/>
      <c r="G277" s="146"/>
      <c r="H277" s="146"/>
      <c r="I277" s="146"/>
      <c r="J277" s="146"/>
      <c r="K277" s="146"/>
      <c r="L277" s="149"/>
      <c r="M277" s="106"/>
      <c r="EX277" s="20"/>
      <c r="EY277" s="29"/>
      <c r="EZ277" s="29"/>
      <c r="FA277" s="29"/>
      <c r="FB277" s="3" t="s">
        <v>191</v>
      </c>
      <c r="FG277" s="29"/>
    </row>
    <row r="278" spans="1:163" customFormat="1" ht="68.25" x14ac:dyDescent="0.25">
      <c r="A278" s="32"/>
      <c r="B278" s="33" t="s">
        <v>27</v>
      </c>
      <c r="C278" s="141" t="s">
        <v>28</v>
      </c>
      <c r="D278" s="141"/>
      <c r="E278" s="141"/>
      <c r="F278" s="141"/>
      <c r="G278" s="141"/>
      <c r="H278" s="141"/>
      <c r="I278" s="141"/>
      <c r="J278" s="141"/>
      <c r="K278" s="141"/>
      <c r="L278" s="150"/>
      <c r="M278" s="106"/>
      <c r="N278" s="118" t="s">
        <v>324</v>
      </c>
      <c r="EX278" s="20"/>
      <c r="EY278" s="29"/>
      <c r="EZ278" s="29"/>
      <c r="FA278" s="29"/>
      <c r="FC278" s="3" t="s">
        <v>28</v>
      </c>
      <c r="FG278" s="29"/>
    </row>
    <row r="279" spans="1:163" customFormat="1" ht="15" x14ac:dyDescent="0.25">
      <c r="A279" s="34"/>
      <c r="B279" s="33" t="s">
        <v>22</v>
      </c>
      <c r="C279" s="146" t="s">
        <v>31</v>
      </c>
      <c r="D279" s="146"/>
      <c r="E279" s="146"/>
      <c r="F279" s="35"/>
      <c r="G279" s="36"/>
      <c r="H279" s="36"/>
      <c r="I279" s="36"/>
      <c r="J279" s="117">
        <f>O279</f>
        <v>9770.5864750000001</v>
      </c>
      <c r="K279" s="40">
        <v>1.1499999999999999</v>
      </c>
      <c r="L279" s="42">
        <f>G276*J279*K279</f>
        <v>67417.046677499995</v>
      </c>
      <c r="M279" s="106">
        <v>49.45</v>
      </c>
      <c r="N279" s="112">
        <v>3657.7175999999995</v>
      </c>
      <c r="O279" s="113">
        <v>9770.5864750000001</v>
      </c>
      <c r="P279" s="105">
        <f>G281</f>
        <v>7.54</v>
      </c>
      <c r="Q279" s="105">
        <f>O279/P279*8</f>
        <v>10366.67</v>
      </c>
      <c r="R279" s="105">
        <f>Q279*22</f>
        <v>228066.74</v>
      </c>
      <c r="S279" s="105">
        <f>R279*(1-0.43)</f>
        <v>129998.04180000001</v>
      </c>
      <c r="EX279" s="20"/>
      <c r="EY279" s="29"/>
      <c r="EZ279" s="29"/>
      <c r="FA279" s="29"/>
      <c r="FD279" s="3" t="s">
        <v>31</v>
      </c>
      <c r="FG279" s="29"/>
    </row>
    <row r="280" spans="1:163" customFormat="1" ht="15" x14ac:dyDescent="0.25">
      <c r="A280" s="34"/>
      <c r="B280" s="33" t="s">
        <v>32</v>
      </c>
      <c r="C280" s="146" t="s">
        <v>33</v>
      </c>
      <c r="D280" s="146"/>
      <c r="E280" s="146"/>
      <c r="F280" s="35"/>
      <c r="G280" s="36"/>
      <c r="H280" s="36"/>
      <c r="I280" s="36"/>
      <c r="J280" s="117">
        <v>0</v>
      </c>
      <c r="K280" s="40">
        <v>1.1499999999999999</v>
      </c>
      <c r="L280" s="42">
        <f>G276*J280*K280</f>
        <v>0</v>
      </c>
      <c r="M280" s="106"/>
      <c r="N280" s="112"/>
      <c r="O280" s="113"/>
      <c r="P280" s="105"/>
      <c r="Q280" s="105"/>
      <c r="EX280" s="20"/>
      <c r="EY280" s="29"/>
      <c r="EZ280" s="29"/>
      <c r="FA280" s="29"/>
      <c r="FD280" s="3" t="s">
        <v>33</v>
      </c>
      <c r="FG280" s="29"/>
    </row>
    <row r="281" spans="1:163" customFormat="1" ht="15" x14ac:dyDescent="0.25">
      <c r="A281" s="43"/>
      <c r="B281" s="33"/>
      <c r="C281" s="146" t="s">
        <v>38</v>
      </c>
      <c r="D281" s="146"/>
      <c r="E281" s="146"/>
      <c r="F281" s="35" t="s">
        <v>39</v>
      </c>
      <c r="G281" s="40">
        <v>7.54</v>
      </c>
      <c r="H281" s="40">
        <v>1.1499999999999999</v>
      </c>
      <c r="I281" s="67">
        <v>52.026000000000003</v>
      </c>
      <c r="J281" s="45"/>
      <c r="K281" s="36"/>
      <c r="L281" s="46"/>
      <c r="M281" s="106"/>
      <c r="EX281" s="20"/>
      <c r="EY281" s="29"/>
      <c r="EZ281" s="29"/>
      <c r="FA281" s="29"/>
      <c r="FE281" s="3" t="s">
        <v>38</v>
      </c>
      <c r="FG281" s="29"/>
    </row>
    <row r="282" spans="1:163" customFormat="1" ht="15" x14ac:dyDescent="0.25">
      <c r="A282" s="30"/>
      <c r="B282" s="33"/>
      <c r="C282" s="151" t="s">
        <v>41</v>
      </c>
      <c r="D282" s="151"/>
      <c r="E282" s="151"/>
      <c r="F282" s="47"/>
      <c r="G282" s="48"/>
      <c r="H282" s="48"/>
      <c r="I282" s="48"/>
      <c r="J282" s="62">
        <v>72.12</v>
      </c>
      <c r="K282" s="48"/>
      <c r="L282" s="66">
        <f>L279+L280</f>
        <v>67417.046677499995</v>
      </c>
      <c r="M282" s="106"/>
      <c r="EX282" s="20"/>
      <c r="EY282" s="29"/>
      <c r="EZ282" s="29"/>
      <c r="FA282" s="29"/>
      <c r="FF282" s="3" t="s">
        <v>41</v>
      </c>
      <c r="FG282" s="29"/>
    </row>
    <row r="283" spans="1:163" customFormat="1" ht="15" x14ac:dyDescent="0.25">
      <c r="A283" s="43"/>
      <c r="B283" s="33"/>
      <c r="C283" s="146" t="s">
        <v>42</v>
      </c>
      <c r="D283" s="146"/>
      <c r="E283" s="146"/>
      <c r="F283" s="35"/>
      <c r="G283" s="36"/>
      <c r="H283" s="36"/>
      <c r="I283" s="36"/>
      <c r="J283" s="45"/>
      <c r="K283" s="36"/>
      <c r="L283" s="42">
        <f>L279</f>
        <v>67417.046677499995</v>
      </c>
      <c r="M283" s="106"/>
      <c r="EX283" s="20"/>
      <c r="EY283" s="29"/>
      <c r="EZ283" s="29"/>
      <c r="FA283" s="29"/>
      <c r="FE283" s="3" t="s">
        <v>42</v>
      </c>
      <c r="FG283" s="29"/>
    </row>
    <row r="284" spans="1:163" customFormat="1" ht="45.75" x14ac:dyDescent="0.25">
      <c r="A284" s="43"/>
      <c r="B284" s="33" t="s">
        <v>149</v>
      </c>
      <c r="C284" s="146" t="s">
        <v>150</v>
      </c>
      <c r="D284" s="146"/>
      <c r="E284" s="146"/>
      <c r="F284" s="35" t="s">
        <v>45</v>
      </c>
      <c r="G284" s="51">
        <v>103</v>
      </c>
      <c r="H284" s="36"/>
      <c r="I284" s="51">
        <v>103</v>
      </c>
      <c r="J284" s="45"/>
      <c r="K284" s="36"/>
      <c r="L284" s="42">
        <f>L283*I284%</f>
        <v>69439.558077825001</v>
      </c>
      <c r="M284" s="106"/>
      <c r="EX284" s="20"/>
      <c r="EY284" s="29"/>
      <c r="EZ284" s="29"/>
      <c r="FA284" s="29"/>
      <c r="FE284" s="3" t="s">
        <v>150</v>
      </c>
      <c r="FG284" s="29"/>
    </row>
    <row r="285" spans="1:163" customFormat="1" ht="45.75" x14ac:dyDescent="0.25">
      <c r="A285" s="43"/>
      <c r="B285" s="33" t="s">
        <v>151</v>
      </c>
      <c r="C285" s="146" t="s">
        <v>152</v>
      </c>
      <c r="D285" s="146"/>
      <c r="E285" s="146"/>
      <c r="F285" s="35" t="s">
        <v>45</v>
      </c>
      <c r="G285" s="51">
        <v>59</v>
      </c>
      <c r="H285" s="36"/>
      <c r="I285" s="51">
        <v>59</v>
      </c>
      <c r="J285" s="45"/>
      <c r="K285" s="36"/>
      <c r="L285" s="42">
        <f>L283*I285%</f>
        <v>39776.057539724992</v>
      </c>
      <c r="M285" s="106"/>
      <c r="EX285" s="20"/>
      <c r="EY285" s="29"/>
      <c r="EZ285" s="29"/>
      <c r="FA285" s="29"/>
      <c r="FE285" s="3" t="s">
        <v>152</v>
      </c>
      <c r="FG285" s="29"/>
    </row>
    <row r="286" spans="1:163" customFormat="1" ht="15" x14ac:dyDescent="0.25">
      <c r="A286" s="52"/>
      <c r="B286" s="53"/>
      <c r="C286" s="148" t="s">
        <v>48</v>
      </c>
      <c r="D286" s="148"/>
      <c r="E286" s="148"/>
      <c r="F286" s="23"/>
      <c r="G286" s="24"/>
      <c r="H286" s="24"/>
      <c r="I286" s="24"/>
      <c r="J286" s="27"/>
      <c r="K286" s="24"/>
      <c r="L286" s="96">
        <f>L282+L284+L285</f>
        <v>176632.66229504999</v>
      </c>
      <c r="M286" s="106"/>
      <c r="EX286" s="20"/>
      <c r="EY286" s="29"/>
      <c r="EZ286" s="29"/>
      <c r="FA286" s="29"/>
      <c r="FG286" s="29" t="s">
        <v>48</v>
      </c>
    </row>
    <row r="287" spans="1:163" customFormat="1" ht="34.5" x14ac:dyDescent="0.25">
      <c r="A287" s="21" t="s">
        <v>192</v>
      </c>
      <c r="B287" s="22" t="s">
        <v>193</v>
      </c>
      <c r="C287" s="148" t="s">
        <v>194</v>
      </c>
      <c r="D287" s="148"/>
      <c r="E287" s="148"/>
      <c r="F287" s="23" t="s">
        <v>182</v>
      </c>
      <c r="G287" s="24">
        <v>6</v>
      </c>
      <c r="H287" s="25">
        <v>1</v>
      </c>
      <c r="I287" s="25">
        <v>6</v>
      </c>
      <c r="J287" s="27"/>
      <c r="K287" s="24"/>
      <c r="L287" s="28"/>
      <c r="M287" s="106"/>
      <c r="EX287" s="20"/>
      <c r="EY287" s="29" t="s">
        <v>194</v>
      </c>
      <c r="EZ287" s="29" t="s">
        <v>0</v>
      </c>
      <c r="FA287" s="29" t="s">
        <v>0</v>
      </c>
      <c r="FG287" s="29"/>
    </row>
    <row r="288" spans="1:163" customFormat="1" ht="15" x14ac:dyDescent="0.25">
      <c r="A288" s="30"/>
      <c r="B288" s="31"/>
      <c r="C288" s="146" t="s">
        <v>191</v>
      </c>
      <c r="D288" s="146"/>
      <c r="E288" s="146"/>
      <c r="F288" s="146"/>
      <c r="G288" s="146"/>
      <c r="H288" s="146"/>
      <c r="I288" s="146"/>
      <c r="J288" s="146"/>
      <c r="K288" s="146"/>
      <c r="L288" s="149"/>
      <c r="M288" s="106"/>
      <c r="EX288" s="20"/>
      <c r="EY288" s="29"/>
      <c r="EZ288" s="29"/>
      <c r="FA288" s="29"/>
      <c r="FB288" s="3" t="s">
        <v>191</v>
      </c>
      <c r="FG288" s="29"/>
    </row>
    <row r="289" spans="1:164" customFormat="1" ht="68.25" x14ac:dyDescent="0.25">
      <c r="A289" s="32"/>
      <c r="B289" s="33" t="s">
        <v>27</v>
      </c>
      <c r="C289" s="141" t="s">
        <v>28</v>
      </c>
      <c r="D289" s="141"/>
      <c r="E289" s="141"/>
      <c r="F289" s="141"/>
      <c r="G289" s="141"/>
      <c r="H289" s="141"/>
      <c r="I289" s="141"/>
      <c r="J289" s="141"/>
      <c r="K289" s="141"/>
      <c r="L289" s="150"/>
      <c r="M289" s="106"/>
      <c r="N289" s="118" t="s">
        <v>324</v>
      </c>
      <c r="EX289" s="20"/>
      <c r="EY289" s="29"/>
      <c r="EZ289" s="29"/>
      <c r="FA289" s="29"/>
      <c r="FC289" s="3" t="s">
        <v>28</v>
      </c>
      <c r="FG289" s="29"/>
    </row>
    <row r="290" spans="1:164" customFormat="1" ht="15" x14ac:dyDescent="0.25">
      <c r="A290" s="34"/>
      <c r="B290" s="33" t="s">
        <v>22</v>
      </c>
      <c r="C290" s="146" t="s">
        <v>31</v>
      </c>
      <c r="D290" s="146"/>
      <c r="E290" s="146"/>
      <c r="F290" s="35"/>
      <c r="G290" s="36"/>
      <c r="H290" s="36"/>
      <c r="I290" s="36"/>
      <c r="J290" s="117">
        <v>6.06</v>
      </c>
      <c r="K290" s="40">
        <v>1.1499999999999999</v>
      </c>
      <c r="L290" s="42">
        <f>G287*J290*K290</f>
        <v>41.813999999999993</v>
      </c>
      <c r="M290" s="106">
        <v>49.45</v>
      </c>
      <c r="N290" s="112">
        <v>344.61704999999995</v>
      </c>
      <c r="O290" s="113">
        <v>920.04196250000018</v>
      </c>
      <c r="P290" s="105">
        <f>G292</f>
        <v>0.71</v>
      </c>
      <c r="Q290" s="105">
        <f>O290/P290*8</f>
        <v>10366.670000000002</v>
      </c>
      <c r="R290" s="105">
        <f>Q290*22</f>
        <v>228066.74000000005</v>
      </c>
      <c r="S290" s="105">
        <f>R290*(1-0.43)</f>
        <v>129998.04180000004</v>
      </c>
      <c r="EX290" s="20"/>
      <c r="EY290" s="29"/>
      <c r="EZ290" s="29"/>
      <c r="FA290" s="29"/>
      <c r="FD290" s="3" t="s">
        <v>31</v>
      </c>
      <c r="FG290" s="29"/>
    </row>
    <row r="291" spans="1:164" customFormat="1" ht="15" x14ac:dyDescent="0.25">
      <c r="A291" s="34"/>
      <c r="B291" s="33" t="s">
        <v>32</v>
      </c>
      <c r="C291" s="146" t="s">
        <v>33</v>
      </c>
      <c r="D291" s="146"/>
      <c r="E291" s="146"/>
      <c r="F291" s="35"/>
      <c r="G291" s="36"/>
      <c r="H291" s="36"/>
      <c r="I291" s="36"/>
      <c r="J291" s="117">
        <v>0</v>
      </c>
      <c r="K291" s="40">
        <v>1.1499999999999999</v>
      </c>
      <c r="L291" s="42">
        <f>G287*J291*K291</f>
        <v>0</v>
      </c>
      <c r="M291" s="106"/>
      <c r="EX291" s="20"/>
      <c r="EY291" s="29"/>
      <c r="EZ291" s="29"/>
      <c r="FA291" s="29"/>
      <c r="FD291" s="3" t="s">
        <v>33</v>
      </c>
      <c r="FG291" s="29"/>
    </row>
    <row r="292" spans="1:164" customFormat="1" ht="15" x14ac:dyDescent="0.25">
      <c r="A292" s="43"/>
      <c r="B292" s="33"/>
      <c r="C292" s="146" t="s">
        <v>38</v>
      </c>
      <c r="D292" s="146"/>
      <c r="E292" s="146"/>
      <c r="F292" s="35" t="s">
        <v>39</v>
      </c>
      <c r="G292" s="40">
        <v>0.71</v>
      </c>
      <c r="H292" s="40">
        <v>1.1499999999999999</v>
      </c>
      <c r="I292" s="67">
        <v>4.899</v>
      </c>
      <c r="J292" s="45"/>
      <c r="K292" s="36"/>
      <c r="L292" s="46"/>
      <c r="M292" s="106"/>
      <c r="EX292" s="20"/>
      <c r="EY292" s="29"/>
      <c r="EZ292" s="29"/>
      <c r="FA292" s="29"/>
      <c r="FE292" s="3" t="s">
        <v>38</v>
      </c>
      <c r="FG292" s="29"/>
    </row>
    <row r="293" spans="1:164" customFormat="1" ht="15" x14ac:dyDescent="0.25">
      <c r="A293" s="30"/>
      <c r="B293" s="33"/>
      <c r="C293" s="151" t="s">
        <v>41</v>
      </c>
      <c r="D293" s="151"/>
      <c r="E293" s="151"/>
      <c r="F293" s="47"/>
      <c r="G293" s="48"/>
      <c r="H293" s="48"/>
      <c r="I293" s="48"/>
      <c r="J293" s="62">
        <v>6.71</v>
      </c>
      <c r="K293" s="48"/>
      <c r="L293" s="66">
        <f>L290+L291</f>
        <v>41.813999999999993</v>
      </c>
      <c r="M293" s="106"/>
      <c r="EX293" s="20"/>
      <c r="EY293" s="29"/>
      <c r="EZ293" s="29"/>
      <c r="FA293" s="29"/>
      <c r="FF293" s="3" t="s">
        <v>41</v>
      </c>
      <c r="FG293" s="29"/>
    </row>
    <row r="294" spans="1:164" customFormat="1" ht="15" x14ac:dyDescent="0.25">
      <c r="A294" s="43"/>
      <c r="B294" s="33"/>
      <c r="C294" s="146" t="s">
        <v>42</v>
      </c>
      <c r="D294" s="146"/>
      <c r="E294" s="146"/>
      <c r="F294" s="35"/>
      <c r="G294" s="36"/>
      <c r="H294" s="36"/>
      <c r="I294" s="36"/>
      <c r="J294" s="45"/>
      <c r="K294" s="36"/>
      <c r="L294" s="42">
        <f>L290</f>
        <v>41.813999999999993</v>
      </c>
      <c r="M294" s="106"/>
      <c r="EX294" s="20"/>
      <c r="EY294" s="29"/>
      <c r="EZ294" s="29"/>
      <c r="FA294" s="29"/>
      <c r="FE294" s="3" t="s">
        <v>42</v>
      </c>
      <c r="FG294" s="29"/>
    </row>
    <row r="295" spans="1:164" customFormat="1" ht="45.75" x14ac:dyDescent="0.25">
      <c r="A295" s="43"/>
      <c r="B295" s="33" t="s">
        <v>149</v>
      </c>
      <c r="C295" s="146" t="s">
        <v>150</v>
      </c>
      <c r="D295" s="146"/>
      <c r="E295" s="146"/>
      <c r="F295" s="35" t="s">
        <v>45</v>
      </c>
      <c r="G295" s="51">
        <v>103</v>
      </c>
      <c r="H295" s="36"/>
      <c r="I295" s="51">
        <v>103</v>
      </c>
      <c r="J295" s="45"/>
      <c r="K295" s="36"/>
      <c r="L295" s="42">
        <f>L294*I295%</f>
        <v>43.068419999999996</v>
      </c>
      <c r="M295" s="106"/>
      <c r="EX295" s="20"/>
      <c r="EY295" s="29"/>
      <c r="EZ295" s="29"/>
      <c r="FA295" s="29"/>
      <c r="FE295" s="3" t="s">
        <v>150</v>
      </c>
      <c r="FG295" s="29"/>
    </row>
    <row r="296" spans="1:164" customFormat="1" ht="45.75" x14ac:dyDescent="0.25">
      <c r="A296" s="43"/>
      <c r="B296" s="33" t="s">
        <v>151</v>
      </c>
      <c r="C296" s="146" t="s">
        <v>152</v>
      </c>
      <c r="D296" s="146"/>
      <c r="E296" s="146"/>
      <c r="F296" s="35" t="s">
        <v>45</v>
      </c>
      <c r="G296" s="51">
        <v>59</v>
      </c>
      <c r="H296" s="36"/>
      <c r="I296" s="51">
        <v>59</v>
      </c>
      <c r="J296" s="45"/>
      <c r="K296" s="36"/>
      <c r="L296" s="42">
        <f>L294*I296%</f>
        <v>24.670259999999995</v>
      </c>
      <c r="M296" s="106"/>
      <c r="EX296" s="20"/>
      <c r="EY296" s="29"/>
      <c r="EZ296" s="29"/>
      <c r="FA296" s="29"/>
      <c r="FE296" s="3" t="s">
        <v>152</v>
      </c>
      <c r="FG296" s="29"/>
    </row>
    <row r="297" spans="1:164" customFormat="1" ht="15" x14ac:dyDescent="0.25">
      <c r="A297" s="52"/>
      <c r="B297" s="53"/>
      <c r="C297" s="148" t="s">
        <v>48</v>
      </c>
      <c r="D297" s="148"/>
      <c r="E297" s="148"/>
      <c r="F297" s="23"/>
      <c r="G297" s="24"/>
      <c r="H297" s="24"/>
      <c r="I297" s="24"/>
      <c r="J297" s="27"/>
      <c r="K297" s="24"/>
      <c r="L297" s="99">
        <f>L293+L295+L296</f>
        <v>109.55268</v>
      </c>
      <c r="M297" s="106"/>
      <c r="EX297" s="20"/>
      <c r="EY297" s="29"/>
      <c r="EZ297" s="29"/>
      <c r="FA297" s="29"/>
      <c r="FG297" s="29" t="s">
        <v>48</v>
      </c>
    </row>
    <row r="298" spans="1:164" customFormat="1" ht="23.25" x14ac:dyDescent="0.25">
      <c r="A298" s="21" t="s">
        <v>195</v>
      </c>
      <c r="B298" s="22" t="s">
        <v>196</v>
      </c>
      <c r="C298" s="148" t="s">
        <v>197</v>
      </c>
      <c r="D298" s="148"/>
      <c r="E298" s="148"/>
      <c r="F298" s="23" t="s">
        <v>182</v>
      </c>
      <c r="G298" s="24">
        <v>6</v>
      </c>
      <c r="H298" s="25">
        <v>1</v>
      </c>
      <c r="I298" s="25">
        <v>6</v>
      </c>
      <c r="J298" s="56">
        <v>2480.64</v>
      </c>
      <c r="K298" s="24"/>
      <c r="L298" s="55">
        <f>G298*J298</f>
        <v>14883.84</v>
      </c>
      <c r="M298" s="106"/>
      <c r="EX298" s="20"/>
      <c r="EY298" s="29" t="s">
        <v>197</v>
      </c>
      <c r="EZ298" s="29" t="s">
        <v>0</v>
      </c>
      <c r="FA298" s="29" t="s">
        <v>0</v>
      </c>
      <c r="FG298" s="29"/>
    </row>
    <row r="299" spans="1:164" customFormat="1" ht="15" x14ac:dyDescent="0.25">
      <c r="A299" s="30"/>
      <c r="B299" s="31"/>
      <c r="C299" s="146" t="s">
        <v>191</v>
      </c>
      <c r="D299" s="146"/>
      <c r="E299" s="146"/>
      <c r="F299" s="146"/>
      <c r="G299" s="146"/>
      <c r="H299" s="146"/>
      <c r="I299" s="146"/>
      <c r="J299" s="146"/>
      <c r="K299" s="146"/>
      <c r="L299" s="149"/>
      <c r="M299" s="106"/>
      <c r="EX299" s="20"/>
      <c r="EY299" s="29"/>
      <c r="EZ299" s="29"/>
      <c r="FA299" s="29"/>
      <c r="FB299" s="3" t="s">
        <v>191</v>
      </c>
      <c r="FG299" s="29"/>
    </row>
    <row r="300" spans="1:164" customFormat="1" ht="15" x14ac:dyDescent="0.25">
      <c r="A300" s="52"/>
      <c r="B300" s="53"/>
      <c r="C300" s="148" t="s">
        <v>48</v>
      </c>
      <c r="D300" s="148"/>
      <c r="E300" s="148"/>
      <c r="F300" s="23"/>
      <c r="G300" s="24"/>
      <c r="H300" s="24"/>
      <c r="I300" s="24"/>
      <c r="J300" s="27"/>
      <c r="K300" s="24"/>
      <c r="L300" s="96">
        <f>L298</f>
        <v>14883.84</v>
      </c>
      <c r="M300" s="106"/>
      <c r="EX300" s="20"/>
      <c r="EY300" s="29"/>
      <c r="EZ300" s="29"/>
      <c r="FA300" s="29"/>
      <c r="FG300" s="29" t="s">
        <v>48</v>
      </c>
    </row>
    <row r="301" spans="1:164" customFormat="1" ht="33.75" x14ac:dyDescent="0.25">
      <c r="A301" s="21" t="s">
        <v>198</v>
      </c>
      <c r="B301" s="22" t="s">
        <v>199</v>
      </c>
      <c r="C301" s="148" t="s">
        <v>200</v>
      </c>
      <c r="D301" s="148"/>
      <c r="E301" s="148"/>
      <c r="F301" s="23" t="s">
        <v>51</v>
      </c>
      <c r="G301" s="24">
        <v>5</v>
      </c>
      <c r="H301" s="25">
        <v>1</v>
      </c>
      <c r="I301" s="25">
        <v>5</v>
      </c>
      <c r="J301" s="56">
        <f>1192/1.2</f>
        <v>993.33333333333337</v>
      </c>
      <c r="K301" s="26">
        <v>1.04236</v>
      </c>
      <c r="L301" s="59">
        <f>G301*J301*K301</f>
        <v>5177.0546666666669</v>
      </c>
      <c r="M301" s="106"/>
      <c r="EX301" s="20"/>
      <c r="EY301" s="29" t="s">
        <v>200</v>
      </c>
      <c r="EZ301" s="29" t="s">
        <v>0</v>
      </c>
      <c r="FA301" s="29" t="s">
        <v>0</v>
      </c>
      <c r="FG301" s="29"/>
    </row>
    <row r="302" spans="1:164" customFormat="1" ht="15" x14ac:dyDescent="0.25">
      <c r="A302" s="30"/>
      <c r="B302" s="31"/>
      <c r="C302" s="152" t="s">
        <v>307</v>
      </c>
      <c r="D302" s="146"/>
      <c r="E302" s="146"/>
      <c r="F302" s="146"/>
      <c r="G302" s="146"/>
      <c r="H302" s="146"/>
      <c r="I302" s="146"/>
      <c r="J302" s="146"/>
      <c r="K302" s="146"/>
      <c r="L302" s="149"/>
      <c r="M302" s="106"/>
      <c r="EX302" s="20"/>
      <c r="EY302" s="29"/>
      <c r="EZ302" s="29"/>
      <c r="FA302" s="29"/>
      <c r="FG302" s="29"/>
      <c r="FH302" s="3" t="s">
        <v>201</v>
      </c>
    </row>
    <row r="303" spans="1:164" customFormat="1" ht="15" x14ac:dyDescent="0.25">
      <c r="A303" s="32"/>
      <c r="B303" s="33"/>
      <c r="C303" s="141" t="s">
        <v>54</v>
      </c>
      <c r="D303" s="141"/>
      <c r="E303" s="141"/>
      <c r="F303" s="141"/>
      <c r="G303" s="141"/>
      <c r="H303" s="141"/>
      <c r="I303" s="141"/>
      <c r="J303" s="141"/>
      <c r="K303" s="141"/>
      <c r="L303" s="150"/>
      <c r="M303" s="106"/>
      <c r="EX303" s="20"/>
      <c r="EY303" s="29"/>
      <c r="EZ303" s="29"/>
      <c r="FA303" s="29"/>
      <c r="FC303" s="3" t="s">
        <v>54</v>
      </c>
      <c r="FG303" s="29"/>
    </row>
    <row r="304" spans="1:164" customFormat="1" ht="15" x14ac:dyDescent="0.25">
      <c r="A304" s="32"/>
      <c r="B304" s="33"/>
      <c r="C304" s="141" t="s">
        <v>55</v>
      </c>
      <c r="D304" s="141"/>
      <c r="E304" s="141"/>
      <c r="F304" s="141"/>
      <c r="G304" s="141"/>
      <c r="H304" s="141"/>
      <c r="I304" s="141"/>
      <c r="J304" s="141"/>
      <c r="K304" s="141"/>
      <c r="L304" s="150"/>
      <c r="M304" s="106"/>
      <c r="EX304" s="20"/>
      <c r="EY304" s="29"/>
      <c r="EZ304" s="29"/>
      <c r="FA304" s="29"/>
      <c r="FC304" s="3" t="s">
        <v>55</v>
      </c>
      <c r="FG304" s="29"/>
    </row>
    <row r="305" spans="1:166" customFormat="1" ht="15" x14ac:dyDescent="0.25">
      <c r="A305" s="52"/>
      <c r="B305" s="53"/>
      <c r="C305" s="148" t="s">
        <v>48</v>
      </c>
      <c r="D305" s="148"/>
      <c r="E305" s="148"/>
      <c r="F305" s="23"/>
      <c r="G305" s="24"/>
      <c r="H305" s="24"/>
      <c r="I305" s="24"/>
      <c r="J305" s="27"/>
      <c r="K305" s="24"/>
      <c r="L305" s="99">
        <f>L301</f>
        <v>5177.0546666666669</v>
      </c>
      <c r="M305" s="106"/>
      <c r="EX305" s="20"/>
      <c r="EY305" s="29"/>
      <c r="EZ305" s="29"/>
      <c r="FA305" s="29"/>
      <c r="FG305" s="29" t="s">
        <v>48</v>
      </c>
    </row>
    <row r="306" spans="1:166" customFormat="1" ht="15" x14ac:dyDescent="0.25">
      <c r="A306" s="71"/>
      <c r="B306" s="72"/>
      <c r="C306" s="148" t="s">
        <v>202</v>
      </c>
      <c r="D306" s="148"/>
      <c r="E306" s="148"/>
      <c r="F306" s="148"/>
      <c r="G306" s="148"/>
      <c r="H306" s="148"/>
      <c r="I306" s="148"/>
      <c r="J306" s="148"/>
      <c r="K306" s="148"/>
      <c r="L306" s="100">
        <f>L32+L38+L44+L47+L50+L65+L71+L77+L82+L87+L92+L97+L113+L119+L134+L140+L155+L160+L165+L181+L196+L206+L217+L220+L235+L237+L252+L255+L270+L275+L286+L297+L300+L305</f>
        <v>5790643.3613005532</v>
      </c>
      <c r="M306" s="106"/>
      <c r="EX306" s="20"/>
      <c r="EY306" s="29"/>
      <c r="EZ306" s="29"/>
      <c r="FA306" s="29"/>
      <c r="FG306" s="29"/>
      <c r="FI306" s="29"/>
      <c r="FJ306" s="29" t="s">
        <v>202</v>
      </c>
    </row>
    <row r="307" spans="1:166" customFormat="1" ht="15" customHeight="1" x14ac:dyDescent="0.25">
      <c r="A307" s="90" t="s">
        <v>203</v>
      </c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2"/>
      <c r="M307" s="106"/>
      <c r="EX307" s="20" t="s">
        <v>203</v>
      </c>
      <c r="EY307" s="29"/>
      <c r="EZ307" s="29"/>
      <c r="FA307" s="29"/>
      <c r="FG307" s="29"/>
      <c r="FI307" s="29"/>
      <c r="FJ307" s="29"/>
    </row>
    <row r="308" spans="1:166" customFormat="1" ht="34.5" x14ac:dyDescent="0.25">
      <c r="A308" s="21" t="s">
        <v>204</v>
      </c>
      <c r="B308" s="22" t="s">
        <v>205</v>
      </c>
      <c r="C308" s="148" t="s">
        <v>206</v>
      </c>
      <c r="D308" s="148"/>
      <c r="E308" s="148"/>
      <c r="F308" s="23" t="s">
        <v>70</v>
      </c>
      <c r="G308" s="24">
        <v>24.02</v>
      </c>
      <c r="H308" s="25">
        <v>1</v>
      </c>
      <c r="I308" s="57">
        <v>24.02</v>
      </c>
      <c r="J308" s="27"/>
      <c r="K308" s="24"/>
      <c r="L308" s="28"/>
      <c r="M308" s="106"/>
      <c r="EX308" s="20"/>
      <c r="EY308" s="29" t="s">
        <v>206</v>
      </c>
      <c r="EZ308" s="29" t="s">
        <v>0</v>
      </c>
      <c r="FA308" s="29" t="s">
        <v>0</v>
      </c>
      <c r="FG308" s="29"/>
      <c r="FI308" s="29"/>
      <c r="FJ308" s="29"/>
    </row>
    <row r="309" spans="1:166" customFormat="1" ht="15" x14ac:dyDescent="0.25">
      <c r="A309" s="30"/>
      <c r="B309" s="31"/>
      <c r="C309" s="146" t="s">
        <v>207</v>
      </c>
      <c r="D309" s="146"/>
      <c r="E309" s="146"/>
      <c r="F309" s="146"/>
      <c r="G309" s="146"/>
      <c r="H309" s="146"/>
      <c r="I309" s="146"/>
      <c r="J309" s="146"/>
      <c r="K309" s="146"/>
      <c r="L309" s="149"/>
      <c r="M309" s="106"/>
      <c r="EX309" s="20"/>
      <c r="EY309" s="29"/>
      <c r="EZ309" s="29"/>
      <c r="FA309" s="29"/>
      <c r="FB309" s="3" t="s">
        <v>207</v>
      </c>
      <c r="FG309" s="29"/>
      <c r="FI309" s="29"/>
      <c r="FJ309" s="29"/>
    </row>
    <row r="310" spans="1:166" customFormat="1" ht="68.25" x14ac:dyDescent="0.25">
      <c r="A310" s="32"/>
      <c r="B310" s="33" t="s">
        <v>27</v>
      </c>
      <c r="C310" s="141" t="s">
        <v>28</v>
      </c>
      <c r="D310" s="141"/>
      <c r="E310" s="141"/>
      <c r="F310" s="141"/>
      <c r="G310" s="141"/>
      <c r="H310" s="141"/>
      <c r="I310" s="141"/>
      <c r="J310" s="141"/>
      <c r="K310" s="141"/>
      <c r="L310" s="150"/>
      <c r="M310" s="106"/>
      <c r="EX310" s="20"/>
      <c r="EY310" s="29"/>
      <c r="EZ310" s="29"/>
      <c r="FA310" s="29"/>
      <c r="FC310" s="3" t="s">
        <v>28</v>
      </c>
      <c r="FG310" s="29"/>
      <c r="FI310" s="29"/>
      <c r="FJ310" s="29"/>
    </row>
    <row r="311" spans="1:166" customFormat="1" ht="23.25" x14ac:dyDescent="0.25">
      <c r="A311" s="32"/>
      <c r="B311" s="33" t="s">
        <v>29</v>
      </c>
      <c r="C311" s="141" t="s">
        <v>30</v>
      </c>
      <c r="D311" s="141"/>
      <c r="E311" s="141"/>
      <c r="F311" s="141"/>
      <c r="G311" s="141"/>
      <c r="H311" s="141"/>
      <c r="I311" s="141"/>
      <c r="J311" s="141"/>
      <c r="K311" s="141"/>
      <c r="L311" s="150"/>
      <c r="M311" s="106"/>
      <c r="N311" s="118" t="s">
        <v>318</v>
      </c>
      <c r="EX311" s="20"/>
      <c r="EY311" s="29"/>
      <c r="EZ311" s="29"/>
      <c r="FA311" s="29"/>
      <c r="FC311" s="3" t="s">
        <v>30</v>
      </c>
      <c r="FG311" s="29"/>
      <c r="FI311" s="29"/>
      <c r="FJ311" s="29"/>
    </row>
    <row r="312" spans="1:166" customFormat="1" ht="15" x14ac:dyDescent="0.25">
      <c r="A312" s="34"/>
      <c r="B312" s="33" t="s">
        <v>22</v>
      </c>
      <c r="C312" s="146" t="s">
        <v>31</v>
      </c>
      <c r="D312" s="146"/>
      <c r="E312" s="146"/>
      <c r="F312" s="35"/>
      <c r="G312" s="36"/>
      <c r="H312" s="36"/>
      <c r="I312" s="36"/>
      <c r="J312" s="117">
        <f>O312</f>
        <v>38460.345699999998</v>
      </c>
      <c r="K312" s="38">
        <v>1.3225</v>
      </c>
      <c r="L312" s="41">
        <f>G308*J312*K312</f>
        <v>1221748.648661765</v>
      </c>
      <c r="M312" s="106">
        <v>49.45</v>
      </c>
      <c r="N312" s="112">
        <v>18245.283398750002</v>
      </c>
      <c r="O312" s="113">
        <v>38460.345699999998</v>
      </c>
      <c r="P312" s="105">
        <f>G316</f>
        <v>29.68</v>
      </c>
      <c r="Q312" s="105">
        <f>O312/P312*8</f>
        <v>10366.67</v>
      </c>
      <c r="R312" s="105">
        <f>Q312*22</f>
        <v>228066.74</v>
      </c>
      <c r="S312" s="105">
        <f>R312*(1-0.43)</f>
        <v>129998.04180000001</v>
      </c>
      <c r="EX312" s="20"/>
      <c r="EY312" s="29"/>
      <c r="EZ312" s="29"/>
      <c r="FA312" s="29"/>
      <c r="FD312" s="3" t="s">
        <v>31</v>
      </c>
      <c r="FG312" s="29"/>
      <c r="FI312" s="29"/>
      <c r="FJ312" s="29"/>
    </row>
    <row r="313" spans="1:166" customFormat="1" ht="15" x14ac:dyDescent="0.25">
      <c r="A313" s="34"/>
      <c r="B313" s="33" t="s">
        <v>32</v>
      </c>
      <c r="C313" s="146" t="s">
        <v>33</v>
      </c>
      <c r="D313" s="146"/>
      <c r="E313" s="146"/>
      <c r="F313" s="35"/>
      <c r="G313" s="36"/>
      <c r="H313" s="36"/>
      <c r="I313" s="36"/>
      <c r="J313" s="117">
        <f>O313</f>
        <v>1150</v>
      </c>
      <c r="K313" s="38">
        <v>1.4375</v>
      </c>
      <c r="L313" s="41">
        <f>G308*J313*K313</f>
        <v>39708.0625</v>
      </c>
      <c r="M313" s="106">
        <v>14.53</v>
      </c>
      <c r="N313" s="112">
        <v>1880.6542250000002</v>
      </c>
      <c r="O313" s="113">
        <v>1150</v>
      </c>
      <c r="P313" s="105">
        <f>G317</f>
        <v>0.4</v>
      </c>
      <c r="Q313" s="105">
        <f>O313/P313*8</f>
        <v>23000</v>
      </c>
      <c r="EX313" s="20"/>
      <c r="EY313" s="29"/>
      <c r="EZ313" s="29"/>
      <c r="FA313" s="29"/>
      <c r="FD313" s="3" t="s">
        <v>33</v>
      </c>
      <c r="FG313" s="29"/>
      <c r="FI313" s="29"/>
      <c r="FJ313" s="29"/>
    </row>
    <row r="314" spans="1:166" customFormat="1" ht="15" x14ac:dyDescent="0.25">
      <c r="A314" s="34"/>
      <c r="B314" s="33" t="s">
        <v>34</v>
      </c>
      <c r="C314" s="146" t="s">
        <v>35</v>
      </c>
      <c r="D314" s="146"/>
      <c r="E314" s="146"/>
      <c r="F314" s="35"/>
      <c r="G314" s="36"/>
      <c r="H314" s="36"/>
      <c r="I314" s="36"/>
      <c r="J314" s="39">
        <v>5.0199999999999996</v>
      </c>
      <c r="K314" s="38">
        <v>1.4375</v>
      </c>
      <c r="L314" s="42">
        <f>G308*J314*K314</f>
        <v>173.33432499999998</v>
      </c>
      <c r="M314" s="106"/>
      <c r="EX314" s="20"/>
      <c r="EY314" s="29"/>
      <c r="EZ314" s="29"/>
      <c r="FA314" s="29"/>
      <c r="FD314" s="3" t="s">
        <v>35</v>
      </c>
      <c r="FG314" s="29"/>
      <c r="FI314" s="29"/>
      <c r="FJ314" s="29"/>
    </row>
    <row r="315" spans="1:166" customFormat="1" ht="15" x14ac:dyDescent="0.25">
      <c r="A315" s="34"/>
      <c r="B315" s="33" t="s">
        <v>36</v>
      </c>
      <c r="C315" s="146" t="s">
        <v>37</v>
      </c>
      <c r="D315" s="146"/>
      <c r="E315" s="146"/>
      <c r="F315" s="35"/>
      <c r="G315" s="36"/>
      <c r="H315" s="36"/>
      <c r="I315" s="36"/>
      <c r="J315" s="39">
        <v>37.630000000000003</v>
      </c>
      <c r="K315" s="36"/>
      <c r="L315" s="42">
        <f>G308*J315</f>
        <v>903.87260000000003</v>
      </c>
      <c r="M315" s="106"/>
      <c r="EX315" s="20"/>
      <c r="EY315" s="29"/>
      <c r="EZ315" s="29"/>
      <c r="FA315" s="29"/>
      <c r="FD315" s="3" t="s">
        <v>37</v>
      </c>
      <c r="FG315" s="29"/>
      <c r="FI315" s="29"/>
      <c r="FJ315" s="29"/>
    </row>
    <row r="316" spans="1:166" customFormat="1" ht="15" x14ac:dyDescent="0.25">
      <c r="A316" s="43"/>
      <c r="B316" s="33"/>
      <c r="C316" s="146" t="s">
        <v>38</v>
      </c>
      <c r="D316" s="146"/>
      <c r="E316" s="146"/>
      <c r="F316" s="35" t="s">
        <v>39</v>
      </c>
      <c r="G316" s="40">
        <v>29.68</v>
      </c>
      <c r="H316" s="38">
        <v>1.3225</v>
      </c>
      <c r="I316" s="60">
        <v>942.82823599999995</v>
      </c>
      <c r="J316" s="45"/>
      <c r="K316" s="36"/>
      <c r="L316" s="46"/>
      <c r="M316" s="106"/>
      <c r="EX316" s="20"/>
      <c r="EY316" s="29"/>
      <c r="EZ316" s="29"/>
      <c r="FA316" s="29"/>
      <c r="FE316" s="3" t="s">
        <v>38</v>
      </c>
      <c r="FG316" s="29"/>
      <c r="FI316" s="29"/>
      <c r="FJ316" s="29"/>
    </row>
    <row r="317" spans="1:166" customFormat="1" ht="15" x14ac:dyDescent="0.25">
      <c r="A317" s="43"/>
      <c r="B317" s="33"/>
      <c r="C317" s="146" t="s">
        <v>40</v>
      </c>
      <c r="D317" s="146"/>
      <c r="E317" s="146"/>
      <c r="F317" s="35" t="s">
        <v>39</v>
      </c>
      <c r="G317" s="61">
        <v>0.4</v>
      </c>
      <c r="H317" s="38">
        <v>1.4375</v>
      </c>
      <c r="I317" s="38">
        <v>13.811500000000001</v>
      </c>
      <c r="J317" s="45"/>
      <c r="K317" s="36"/>
      <c r="L317" s="46"/>
      <c r="M317" s="106"/>
      <c r="EX317" s="20"/>
      <c r="EY317" s="29"/>
      <c r="EZ317" s="29"/>
      <c r="FA317" s="29"/>
      <c r="FE317" s="3" t="s">
        <v>40</v>
      </c>
      <c r="FG317" s="29"/>
      <c r="FI317" s="29"/>
      <c r="FJ317" s="29"/>
    </row>
    <row r="318" spans="1:166" customFormat="1" ht="15" x14ac:dyDescent="0.25">
      <c r="A318" s="30"/>
      <c r="B318" s="33"/>
      <c r="C318" s="151" t="s">
        <v>41</v>
      </c>
      <c r="D318" s="151"/>
      <c r="E318" s="151"/>
      <c r="F318" s="47"/>
      <c r="G318" s="48"/>
      <c r="H318" s="48"/>
      <c r="I318" s="48"/>
      <c r="J318" s="62">
        <v>406.66</v>
      </c>
      <c r="K318" s="48"/>
      <c r="L318" s="50">
        <f>L312+L313+L315</f>
        <v>1262360.5837617649</v>
      </c>
      <c r="M318" s="106"/>
      <c r="EX318" s="20"/>
      <c r="EY318" s="29"/>
      <c r="EZ318" s="29"/>
      <c r="FA318" s="29"/>
      <c r="FF318" s="3" t="s">
        <v>41</v>
      </c>
      <c r="FG318" s="29"/>
      <c r="FI318" s="29"/>
      <c r="FJ318" s="29"/>
    </row>
    <row r="319" spans="1:166" customFormat="1" ht="15" x14ac:dyDescent="0.25">
      <c r="A319" s="43"/>
      <c r="B319" s="33"/>
      <c r="C319" s="146" t="s">
        <v>42</v>
      </c>
      <c r="D319" s="146"/>
      <c r="E319" s="146"/>
      <c r="F319" s="35"/>
      <c r="G319" s="36"/>
      <c r="H319" s="36"/>
      <c r="I319" s="36"/>
      <c r="J319" s="45"/>
      <c r="K319" s="36"/>
      <c r="L319" s="41">
        <f>L312+L314</f>
        <v>1221921.982986765</v>
      </c>
      <c r="M319" s="106"/>
      <c r="EX319" s="20"/>
      <c r="EY319" s="29"/>
      <c r="EZ319" s="29"/>
      <c r="FA319" s="29"/>
      <c r="FE319" s="3" t="s">
        <v>42</v>
      </c>
      <c r="FG319" s="29"/>
      <c r="FI319" s="29"/>
      <c r="FJ319" s="29"/>
    </row>
    <row r="320" spans="1:166" customFormat="1" ht="23.25" x14ac:dyDescent="0.25">
      <c r="A320" s="43"/>
      <c r="B320" s="33" t="s">
        <v>72</v>
      </c>
      <c r="C320" s="146" t="s">
        <v>73</v>
      </c>
      <c r="D320" s="146"/>
      <c r="E320" s="146"/>
      <c r="F320" s="35" t="s">
        <v>45</v>
      </c>
      <c r="G320" s="51">
        <v>97</v>
      </c>
      <c r="H320" s="36"/>
      <c r="I320" s="51">
        <v>97</v>
      </c>
      <c r="J320" s="45"/>
      <c r="K320" s="36"/>
      <c r="L320" s="41">
        <f>L319*I320%</f>
        <v>1185264.323497162</v>
      </c>
      <c r="M320" s="106"/>
      <c r="EX320" s="20"/>
      <c r="EY320" s="29"/>
      <c r="EZ320" s="29"/>
      <c r="FA320" s="29"/>
      <c r="FE320" s="3" t="s">
        <v>73</v>
      </c>
      <c r="FG320" s="29"/>
      <c r="FI320" s="29"/>
      <c r="FJ320" s="29"/>
    </row>
    <row r="321" spans="1:166" customFormat="1" ht="23.25" x14ac:dyDescent="0.25">
      <c r="A321" s="43"/>
      <c r="B321" s="33" t="s">
        <v>74</v>
      </c>
      <c r="C321" s="146" t="s">
        <v>75</v>
      </c>
      <c r="D321" s="146"/>
      <c r="E321" s="146"/>
      <c r="F321" s="35" t="s">
        <v>45</v>
      </c>
      <c r="G321" s="51">
        <v>51</v>
      </c>
      <c r="H321" s="36"/>
      <c r="I321" s="51">
        <v>51</v>
      </c>
      <c r="J321" s="45"/>
      <c r="K321" s="36"/>
      <c r="L321" s="41">
        <f>L319*I321%</f>
        <v>623180.2113232502</v>
      </c>
      <c r="M321" s="106"/>
      <c r="EX321" s="20"/>
      <c r="EY321" s="29"/>
      <c r="EZ321" s="29"/>
      <c r="FA321" s="29"/>
      <c r="FE321" s="3" t="s">
        <v>75</v>
      </c>
      <c r="FG321" s="29"/>
      <c r="FI321" s="29"/>
      <c r="FJ321" s="29"/>
    </row>
    <row r="322" spans="1:166" customFormat="1" ht="15" x14ac:dyDescent="0.25">
      <c r="A322" s="52"/>
      <c r="B322" s="53"/>
      <c r="C322" s="148" t="s">
        <v>48</v>
      </c>
      <c r="D322" s="148"/>
      <c r="E322" s="148"/>
      <c r="F322" s="23"/>
      <c r="G322" s="24"/>
      <c r="H322" s="24"/>
      <c r="I322" s="24"/>
      <c r="J322" s="27"/>
      <c r="K322" s="24"/>
      <c r="L322" s="96">
        <f>L318+L320+L321</f>
        <v>3070805.118582177</v>
      </c>
      <c r="M322" s="106"/>
      <c r="EX322" s="20"/>
      <c r="EY322" s="29"/>
      <c r="EZ322" s="29"/>
      <c r="FA322" s="29"/>
      <c r="FG322" s="29" t="s">
        <v>48</v>
      </c>
      <c r="FI322" s="29"/>
      <c r="FJ322" s="29"/>
    </row>
    <row r="323" spans="1:166" customFormat="1" ht="45" x14ac:dyDescent="0.25">
      <c r="A323" s="21" t="s">
        <v>208</v>
      </c>
      <c r="B323" s="22" t="s">
        <v>209</v>
      </c>
      <c r="C323" s="148" t="s">
        <v>210</v>
      </c>
      <c r="D323" s="148"/>
      <c r="E323" s="148"/>
      <c r="F323" s="23" t="s">
        <v>172</v>
      </c>
      <c r="G323" s="24">
        <v>2450.04</v>
      </c>
      <c r="H323" s="25">
        <v>1</v>
      </c>
      <c r="I323" s="57">
        <v>2450.04</v>
      </c>
      <c r="J323" s="56">
        <f>1856.4/1.2</f>
        <v>1547.0000000000002</v>
      </c>
      <c r="K323" s="26">
        <v>1.04236</v>
      </c>
      <c r="L323" s="55">
        <f>G323*J323*K323</f>
        <v>3950765.2552368003</v>
      </c>
      <c r="M323" s="106"/>
      <c r="EX323" s="20"/>
      <c r="EY323" s="29" t="s">
        <v>210</v>
      </c>
      <c r="EZ323" s="29" t="s">
        <v>0</v>
      </c>
      <c r="FA323" s="29" t="s">
        <v>0</v>
      </c>
      <c r="FG323" s="29"/>
      <c r="FI323" s="29"/>
      <c r="FJ323" s="29"/>
    </row>
    <row r="324" spans="1:166" customFormat="1" ht="15" x14ac:dyDescent="0.25">
      <c r="A324" s="30"/>
      <c r="B324" s="31"/>
      <c r="C324" s="146" t="s">
        <v>211</v>
      </c>
      <c r="D324" s="146"/>
      <c r="E324" s="146"/>
      <c r="F324" s="146"/>
      <c r="G324" s="146"/>
      <c r="H324" s="146"/>
      <c r="I324" s="146"/>
      <c r="J324" s="146"/>
      <c r="K324" s="146"/>
      <c r="L324" s="149"/>
      <c r="M324" s="106"/>
      <c r="EX324" s="20"/>
      <c r="EY324" s="29"/>
      <c r="EZ324" s="29"/>
      <c r="FA324" s="29"/>
      <c r="FB324" s="3" t="s">
        <v>211</v>
      </c>
      <c r="FG324" s="29"/>
      <c r="FI324" s="29"/>
      <c r="FJ324" s="29"/>
    </row>
    <row r="325" spans="1:166" customFormat="1" ht="15" x14ac:dyDescent="0.25">
      <c r="A325" s="30"/>
      <c r="B325" s="31"/>
      <c r="C325" s="152" t="s">
        <v>308</v>
      </c>
      <c r="D325" s="146"/>
      <c r="E325" s="146"/>
      <c r="F325" s="146"/>
      <c r="G325" s="146"/>
      <c r="H325" s="146"/>
      <c r="I325" s="146"/>
      <c r="J325" s="146"/>
      <c r="K325" s="146"/>
      <c r="L325" s="149"/>
      <c r="M325" s="106"/>
      <c r="EX325" s="20"/>
      <c r="EY325" s="29"/>
      <c r="EZ325" s="29"/>
      <c r="FA325" s="29"/>
      <c r="FG325" s="29"/>
      <c r="FH325" s="3" t="s">
        <v>212</v>
      </c>
      <c r="FI325" s="29"/>
      <c r="FJ325" s="29"/>
    </row>
    <row r="326" spans="1:166" customFormat="1" ht="15" x14ac:dyDescent="0.25">
      <c r="A326" s="32"/>
      <c r="B326" s="33"/>
      <c r="C326" s="141" t="s">
        <v>54</v>
      </c>
      <c r="D326" s="141"/>
      <c r="E326" s="141"/>
      <c r="F326" s="141"/>
      <c r="G326" s="141"/>
      <c r="H326" s="141"/>
      <c r="I326" s="141"/>
      <c r="J326" s="141"/>
      <c r="K326" s="141"/>
      <c r="L326" s="150"/>
      <c r="M326" s="106"/>
      <c r="EX326" s="20"/>
      <c r="EY326" s="29"/>
      <c r="EZ326" s="29"/>
      <c r="FA326" s="29"/>
      <c r="FC326" s="3" t="s">
        <v>54</v>
      </c>
      <c r="FG326" s="29"/>
      <c r="FI326" s="29"/>
      <c r="FJ326" s="29"/>
    </row>
    <row r="327" spans="1:166" customFormat="1" ht="15" x14ac:dyDescent="0.25">
      <c r="A327" s="32"/>
      <c r="B327" s="33"/>
      <c r="C327" s="141" t="s">
        <v>55</v>
      </c>
      <c r="D327" s="141"/>
      <c r="E327" s="141"/>
      <c r="F327" s="141"/>
      <c r="G327" s="141"/>
      <c r="H327" s="141"/>
      <c r="I327" s="141"/>
      <c r="J327" s="141"/>
      <c r="K327" s="141"/>
      <c r="L327" s="150"/>
      <c r="M327" s="106"/>
      <c r="EX327" s="20"/>
      <c r="EY327" s="29"/>
      <c r="EZ327" s="29"/>
      <c r="FA327" s="29"/>
      <c r="FC327" s="3" t="s">
        <v>55</v>
      </c>
      <c r="FG327" s="29"/>
      <c r="FI327" s="29"/>
      <c r="FJ327" s="29"/>
    </row>
    <row r="328" spans="1:166" customFormat="1" ht="15" x14ac:dyDescent="0.25">
      <c r="A328" s="52"/>
      <c r="B328" s="53"/>
      <c r="C328" s="148" t="s">
        <v>48</v>
      </c>
      <c r="D328" s="148"/>
      <c r="E328" s="148"/>
      <c r="F328" s="23"/>
      <c r="G328" s="24"/>
      <c r="H328" s="24"/>
      <c r="I328" s="24"/>
      <c r="J328" s="27"/>
      <c r="K328" s="24"/>
      <c r="L328" s="96">
        <f>L323</f>
        <v>3950765.2552368003</v>
      </c>
      <c r="M328" s="106"/>
      <c r="EX328" s="20"/>
      <c r="EY328" s="29"/>
      <c r="EZ328" s="29"/>
      <c r="FA328" s="29"/>
      <c r="FG328" s="29" t="s">
        <v>48</v>
      </c>
      <c r="FI328" s="29"/>
      <c r="FJ328" s="29"/>
    </row>
    <row r="329" spans="1:166" customFormat="1" ht="34.5" x14ac:dyDescent="0.25">
      <c r="A329" s="21" t="s">
        <v>213</v>
      </c>
      <c r="B329" s="22" t="s">
        <v>214</v>
      </c>
      <c r="C329" s="148" t="s">
        <v>215</v>
      </c>
      <c r="D329" s="148"/>
      <c r="E329" s="148"/>
      <c r="F329" s="23" t="s">
        <v>70</v>
      </c>
      <c r="G329" s="24">
        <v>9.1</v>
      </c>
      <c r="H329" s="25">
        <v>1</v>
      </c>
      <c r="I329" s="65">
        <v>9.1</v>
      </c>
      <c r="J329" s="27"/>
      <c r="K329" s="24"/>
      <c r="L329" s="28"/>
      <c r="M329" s="106"/>
      <c r="EX329" s="20"/>
      <c r="EY329" s="29" t="s">
        <v>215</v>
      </c>
      <c r="EZ329" s="29" t="s">
        <v>0</v>
      </c>
      <c r="FA329" s="29" t="s">
        <v>0</v>
      </c>
      <c r="FG329" s="29"/>
      <c r="FI329" s="29"/>
      <c r="FJ329" s="29"/>
    </row>
    <row r="330" spans="1:166" customFormat="1" ht="15" x14ac:dyDescent="0.25">
      <c r="A330" s="30"/>
      <c r="B330" s="31"/>
      <c r="C330" s="146" t="s">
        <v>216</v>
      </c>
      <c r="D330" s="146"/>
      <c r="E330" s="146"/>
      <c r="F330" s="146"/>
      <c r="G330" s="146"/>
      <c r="H330" s="146"/>
      <c r="I330" s="146"/>
      <c r="J330" s="146"/>
      <c r="K330" s="146"/>
      <c r="L330" s="149"/>
      <c r="M330" s="106"/>
      <c r="EX330" s="20"/>
      <c r="EY330" s="29"/>
      <c r="EZ330" s="29"/>
      <c r="FA330" s="29"/>
      <c r="FB330" s="3" t="s">
        <v>216</v>
      </c>
      <c r="FG330" s="29"/>
      <c r="FI330" s="29"/>
      <c r="FJ330" s="29"/>
    </row>
    <row r="331" spans="1:166" customFormat="1" ht="68.25" x14ac:dyDescent="0.25">
      <c r="A331" s="32"/>
      <c r="B331" s="33" t="s">
        <v>27</v>
      </c>
      <c r="C331" s="141" t="s">
        <v>28</v>
      </c>
      <c r="D331" s="141"/>
      <c r="E331" s="141"/>
      <c r="F331" s="141"/>
      <c r="G331" s="141"/>
      <c r="H331" s="141"/>
      <c r="I331" s="141"/>
      <c r="J331" s="141"/>
      <c r="K331" s="141"/>
      <c r="L331" s="150"/>
      <c r="M331" s="106"/>
      <c r="EX331" s="20"/>
      <c r="EY331" s="29"/>
      <c r="EZ331" s="29"/>
      <c r="FA331" s="29"/>
      <c r="FC331" s="3" t="s">
        <v>28</v>
      </c>
      <c r="FG331" s="29"/>
      <c r="FI331" s="29"/>
      <c r="FJ331" s="29"/>
    </row>
    <row r="332" spans="1:166" customFormat="1" ht="15" x14ac:dyDescent="0.25">
      <c r="A332" s="32"/>
      <c r="B332" s="33" t="s">
        <v>105</v>
      </c>
      <c r="C332" s="141" t="s">
        <v>106</v>
      </c>
      <c r="D332" s="141"/>
      <c r="E332" s="141"/>
      <c r="F332" s="141"/>
      <c r="G332" s="141"/>
      <c r="H332" s="141"/>
      <c r="I332" s="141"/>
      <c r="J332" s="141"/>
      <c r="K332" s="141"/>
      <c r="L332" s="150"/>
      <c r="M332" s="106"/>
      <c r="EX332" s="20"/>
      <c r="EY332" s="29"/>
      <c r="EZ332" s="29"/>
      <c r="FA332" s="29"/>
      <c r="FC332" s="3" t="s">
        <v>106</v>
      </c>
      <c r="FG332" s="29"/>
      <c r="FI332" s="29"/>
      <c r="FJ332" s="29"/>
    </row>
    <row r="333" spans="1:166" customFormat="1" ht="23.25" x14ac:dyDescent="0.25">
      <c r="A333" s="32"/>
      <c r="B333" s="33" t="s">
        <v>29</v>
      </c>
      <c r="C333" s="141" t="s">
        <v>30</v>
      </c>
      <c r="D333" s="141"/>
      <c r="E333" s="141"/>
      <c r="F333" s="141"/>
      <c r="G333" s="141"/>
      <c r="H333" s="141"/>
      <c r="I333" s="141"/>
      <c r="J333" s="141"/>
      <c r="K333" s="141"/>
      <c r="L333" s="150"/>
      <c r="M333" s="106"/>
      <c r="N333" s="118" t="s">
        <v>318</v>
      </c>
      <c r="EX333" s="20"/>
      <c r="EY333" s="29"/>
      <c r="EZ333" s="29"/>
      <c r="FA333" s="29"/>
      <c r="FC333" s="3" t="s">
        <v>30</v>
      </c>
      <c r="FG333" s="29"/>
      <c r="FI333" s="29"/>
      <c r="FJ333" s="29"/>
    </row>
    <row r="334" spans="1:166" customFormat="1" ht="15" x14ac:dyDescent="0.25">
      <c r="A334" s="34"/>
      <c r="B334" s="33" t="s">
        <v>22</v>
      </c>
      <c r="C334" s="146" t="s">
        <v>31</v>
      </c>
      <c r="D334" s="146"/>
      <c r="E334" s="146"/>
      <c r="F334" s="35"/>
      <c r="G334" s="36"/>
      <c r="H334" s="36"/>
      <c r="I334" s="36"/>
      <c r="J334" s="117">
        <f>O334</f>
        <v>31722.010200000001</v>
      </c>
      <c r="K334" s="64">
        <v>1.45475</v>
      </c>
      <c r="L334" s="41">
        <f>G329*J334*K334</f>
        <v>419943.10847989493</v>
      </c>
      <c r="M334" s="106">
        <v>49.45</v>
      </c>
      <c r="N334" s="112">
        <v>16553.512237625004</v>
      </c>
      <c r="O334" s="113">
        <v>31722.010200000001</v>
      </c>
      <c r="P334" s="105">
        <f>G338</f>
        <v>24.48</v>
      </c>
      <c r="Q334" s="105">
        <f>O334/P334*8</f>
        <v>10366.67</v>
      </c>
      <c r="R334" s="105">
        <f>Q334*22</f>
        <v>228066.74</v>
      </c>
      <c r="S334" s="105">
        <f>R334*(1-0.43)</f>
        <v>129998.04180000001</v>
      </c>
      <c r="EX334" s="20"/>
      <c r="EY334" s="29"/>
      <c r="EZ334" s="29"/>
      <c r="FA334" s="29"/>
      <c r="FD334" s="3" t="s">
        <v>31</v>
      </c>
      <c r="FG334" s="29"/>
      <c r="FI334" s="29"/>
      <c r="FJ334" s="29"/>
    </row>
    <row r="335" spans="1:166" customFormat="1" ht="15" x14ac:dyDescent="0.25">
      <c r="A335" s="34"/>
      <c r="B335" s="33" t="s">
        <v>32</v>
      </c>
      <c r="C335" s="146" t="s">
        <v>33</v>
      </c>
      <c r="D335" s="146"/>
      <c r="E335" s="146"/>
      <c r="F335" s="35"/>
      <c r="G335" s="36"/>
      <c r="H335" s="36"/>
      <c r="I335" s="36"/>
      <c r="J335" s="117">
        <f>O335</f>
        <v>57385</v>
      </c>
      <c r="K335" s="38">
        <v>1.4375</v>
      </c>
      <c r="L335" s="41">
        <f>G329*J335*K335</f>
        <v>750667.53125</v>
      </c>
      <c r="M335" s="106">
        <v>14.53</v>
      </c>
      <c r="N335" s="112">
        <v>17599.48974375</v>
      </c>
      <c r="O335" s="113">
        <v>57385</v>
      </c>
      <c r="P335" s="105">
        <f>G339</f>
        <v>19.96</v>
      </c>
      <c r="Q335" s="105">
        <f>O335/P335*8</f>
        <v>23000</v>
      </c>
      <c r="EX335" s="20"/>
      <c r="EY335" s="29"/>
      <c r="EZ335" s="29"/>
      <c r="FA335" s="29"/>
      <c r="FD335" s="3" t="s">
        <v>33</v>
      </c>
      <c r="FG335" s="29"/>
      <c r="FI335" s="29"/>
      <c r="FJ335" s="29"/>
    </row>
    <row r="336" spans="1:166" customFormat="1" ht="15" x14ac:dyDescent="0.25">
      <c r="A336" s="34"/>
      <c r="B336" s="33" t="s">
        <v>34</v>
      </c>
      <c r="C336" s="146" t="s">
        <v>35</v>
      </c>
      <c r="D336" s="146"/>
      <c r="E336" s="146"/>
      <c r="F336" s="35"/>
      <c r="G336" s="36"/>
      <c r="H336" s="36"/>
      <c r="I336" s="36"/>
      <c r="J336" s="39">
        <v>216.58</v>
      </c>
      <c r="K336" s="38">
        <v>1.4375</v>
      </c>
      <c r="L336" s="41">
        <f>G329*J336*K336</f>
        <v>2833.1371249999997</v>
      </c>
      <c r="M336" s="106"/>
      <c r="EX336" s="20"/>
      <c r="EY336" s="29"/>
      <c r="EZ336" s="29"/>
      <c r="FA336" s="29"/>
      <c r="FD336" s="3" t="s">
        <v>35</v>
      </c>
      <c r="FG336" s="29"/>
      <c r="FI336" s="29"/>
      <c r="FJ336" s="29"/>
    </row>
    <row r="337" spans="1:166" customFormat="1" ht="15" x14ac:dyDescent="0.25">
      <c r="A337" s="34"/>
      <c r="B337" s="33" t="s">
        <v>36</v>
      </c>
      <c r="C337" s="146" t="s">
        <v>37</v>
      </c>
      <c r="D337" s="146"/>
      <c r="E337" s="146"/>
      <c r="F337" s="35"/>
      <c r="G337" s="36"/>
      <c r="H337" s="36"/>
      <c r="I337" s="36"/>
      <c r="J337" s="39">
        <v>42.16</v>
      </c>
      <c r="K337" s="36"/>
      <c r="L337" s="42">
        <f>G329*J337</f>
        <v>383.65599999999995</v>
      </c>
      <c r="M337" s="106"/>
      <c r="EX337" s="20"/>
      <c r="EY337" s="29"/>
      <c r="EZ337" s="29"/>
      <c r="FA337" s="29"/>
      <c r="FD337" s="3" t="s">
        <v>37</v>
      </c>
      <c r="FG337" s="29"/>
      <c r="FI337" s="29"/>
      <c r="FJ337" s="29"/>
    </row>
    <row r="338" spans="1:166" customFormat="1" ht="15" x14ac:dyDescent="0.25">
      <c r="A338" s="43"/>
      <c r="B338" s="33"/>
      <c r="C338" s="146" t="s">
        <v>38</v>
      </c>
      <c r="D338" s="146"/>
      <c r="E338" s="146"/>
      <c r="F338" s="35" t="s">
        <v>39</v>
      </c>
      <c r="G338" s="40">
        <v>24.48</v>
      </c>
      <c r="H338" s="64">
        <v>1.45475</v>
      </c>
      <c r="I338" s="60">
        <v>324.07174800000001</v>
      </c>
      <c r="J338" s="45"/>
      <c r="K338" s="36"/>
      <c r="L338" s="46"/>
      <c r="M338" s="106"/>
      <c r="EX338" s="20"/>
      <c r="EY338" s="29"/>
      <c r="EZ338" s="29"/>
      <c r="FA338" s="29"/>
      <c r="FE338" s="3" t="s">
        <v>38</v>
      </c>
      <c r="FG338" s="29"/>
      <c r="FI338" s="29"/>
      <c r="FJ338" s="29"/>
    </row>
    <row r="339" spans="1:166" customFormat="1" ht="15" x14ac:dyDescent="0.25">
      <c r="A339" s="43"/>
      <c r="B339" s="33"/>
      <c r="C339" s="146" t="s">
        <v>40</v>
      </c>
      <c r="D339" s="146"/>
      <c r="E339" s="146"/>
      <c r="F339" s="35" t="s">
        <v>39</v>
      </c>
      <c r="G339" s="40">
        <v>19.96</v>
      </c>
      <c r="H339" s="38">
        <v>1.4375</v>
      </c>
      <c r="I339" s="64">
        <v>261.10174999999998</v>
      </c>
      <c r="J339" s="45"/>
      <c r="K339" s="36"/>
      <c r="L339" s="46"/>
      <c r="M339" s="106"/>
      <c r="EX339" s="20"/>
      <c r="EY339" s="29"/>
      <c r="EZ339" s="29"/>
      <c r="FA339" s="29"/>
      <c r="FE339" s="3" t="s">
        <v>40</v>
      </c>
      <c r="FG339" s="29"/>
      <c r="FI339" s="29"/>
      <c r="FJ339" s="29"/>
    </row>
    <row r="340" spans="1:166" customFormat="1" ht="15" x14ac:dyDescent="0.25">
      <c r="A340" s="30"/>
      <c r="B340" s="33"/>
      <c r="C340" s="151" t="s">
        <v>41</v>
      </c>
      <c r="D340" s="151"/>
      <c r="E340" s="151"/>
      <c r="F340" s="47"/>
      <c r="G340" s="48"/>
      <c r="H340" s="48"/>
      <c r="I340" s="48"/>
      <c r="J340" s="49">
        <v>1114.8800000000001</v>
      </c>
      <c r="K340" s="48"/>
      <c r="L340" s="50">
        <f>L334+L335+L337</f>
        <v>1170994.2957298949</v>
      </c>
      <c r="M340" s="106"/>
      <c r="EX340" s="20"/>
      <c r="EY340" s="29"/>
      <c r="EZ340" s="29"/>
      <c r="FA340" s="29"/>
      <c r="FF340" s="3" t="s">
        <v>41</v>
      </c>
      <c r="FG340" s="29"/>
      <c r="FI340" s="29"/>
      <c r="FJ340" s="29"/>
    </row>
    <row r="341" spans="1:166" customFormat="1" ht="15" x14ac:dyDescent="0.25">
      <c r="A341" s="43"/>
      <c r="B341" s="33"/>
      <c r="C341" s="146" t="s">
        <v>42</v>
      </c>
      <c r="D341" s="146"/>
      <c r="E341" s="146"/>
      <c r="F341" s="35"/>
      <c r="G341" s="36"/>
      <c r="H341" s="36"/>
      <c r="I341" s="36"/>
      <c r="J341" s="45"/>
      <c r="K341" s="36"/>
      <c r="L341" s="41">
        <f>L334+L336</f>
        <v>422776.24560489494</v>
      </c>
      <c r="M341" s="106"/>
      <c r="EX341" s="20"/>
      <c r="EY341" s="29"/>
      <c r="EZ341" s="29"/>
      <c r="FA341" s="29"/>
      <c r="FE341" s="3" t="s">
        <v>42</v>
      </c>
      <c r="FG341" s="29"/>
      <c r="FI341" s="29"/>
      <c r="FJ341" s="29"/>
    </row>
    <row r="342" spans="1:166" customFormat="1" ht="23.25" x14ac:dyDescent="0.25">
      <c r="A342" s="43"/>
      <c r="B342" s="33" t="s">
        <v>72</v>
      </c>
      <c r="C342" s="146" t="s">
        <v>73</v>
      </c>
      <c r="D342" s="146"/>
      <c r="E342" s="146"/>
      <c r="F342" s="35" t="s">
        <v>45</v>
      </c>
      <c r="G342" s="51">
        <v>97</v>
      </c>
      <c r="H342" s="36"/>
      <c r="I342" s="51">
        <v>97</v>
      </c>
      <c r="J342" s="45"/>
      <c r="K342" s="36"/>
      <c r="L342" s="41">
        <f>L341*I342%</f>
        <v>410092.95823674806</v>
      </c>
      <c r="M342" s="106"/>
      <c r="EX342" s="20"/>
      <c r="EY342" s="29"/>
      <c r="EZ342" s="29"/>
      <c r="FA342" s="29"/>
      <c r="FE342" s="3" t="s">
        <v>73</v>
      </c>
      <c r="FG342" s="29"/>
      <c r="FI342" s="29"/>
      <c r="FJ342" s="29"/>
    </row>
    <row r="343" spans="1:166" customFormat="1" ht="23.25" x14ac:dyDescent="0.25">
      <c r="A343" s="43"/>
      <c r="B343" s="33" t="s">
        <v>74</v>
      </c>
      <c r="C343" s="146" t="s">
        <v>75</v>
      </c>
      <c r="D343" s="146"/>
      <c r="E343" s="146"/>
      <c r="F343" s="35" t="s">
        <v>45</v>
      </c>
      <c r="G343" s="51">
        <v>51</v>
      </c>
      <c r="H343" s="36"/>
      <c r="I343" s="51">
        <v>51</v>
      </c>
      <c r="J343" s="45"/>
      <c r="K343" s="36"/>
      <c r="L343" s="41">
        <f>L341*I343%</f>
        <v>215615.88525849642</v>
      </c>
      <c r="M343" s="106"/>
      <c r="EX343" s="20"/>
      <c r="EY343" s="29"/>
      <c r="EZ343" s="29"/>
      <c r="FA343" s="29"/>
      <c r="FE343" s="3" t="s">
        <v>75</v>
      </c>
      <c r="FG343" s="29"/>
      <c r="FI343" s="29"/>
      <c r="FJ343" s="29"/>
    </row>
    <row r="344" spans="1:166" customFormat="1" ht="15" x14ac:dyDescent="0.25">
      <c r="A344" s="52"/>
      <c r="B344" s="53"/>
      <c r="C344" s="148" t="s">
        <v>48</v>
      </c>
      <c r="D344" s="148"/>
      <c r="E344" s="148"/>
      <c r="F344" s="23"/>
      <c r="G344" s="24"/>
      <c r="H344" s="24"/>
      <c r="I344" s="24"/>
      <c r="J344" s="27"/>
      <c r="K344" s="24"/>
      <c r="L344" s="96">
        <f>L340+L342+L343</f>
        <v>1796703.1392251395</v>
      </c>
      <c r="M344" s="106"/>
      <c r="EX344" s="20"/>
      <c r="EY344" s="29"/>
      <c r="EZ344" s="29"/>
      <c r="FA344" s="29"/>
      <c r="FG344" s="29" t="s">
        <v>48</v>
      </c>
      <c r="FI344" s="29"/>
      <c r="FJ344" s="29"/>
    </row>
    <row r="345" spans="1:166" customFormat="1" ht="45" x14ac:dyDescent="0.25">
      <c r="A345" s="21" t="s">
        <v>217</v>
      </c>
      <c r="B345" s="22" t="s">
        <v>209</v>
      </c>
      <c r="C345" s="148" t="s">
        <v>210</v>
      </c>
      <c r="D345" s="148"/>
      <c r="E345" s="148"/>
      <c r="F345" s="23" t="s">
        <v>172</v>
      </c>
      <c r="G345" s="24">
        <v>928.2</v>
      </c>
      <c r="H345" s="25">
        <v>1</v>
      </c>
      <c r="I345" s="65">
        <v>2450.04</v>
      </c>
      <c r="J345" s="56">
        <f>1856.4/1.2</f>
        <v>1547.0000000000002</v>
      </c>
      <c r="K345" s="26">
        <v>1.04236</v>
      </c>
      <c r="L345" s="55">
        <f>G345*J345*K345</f>
        <v>1496751.1999440002</v>
      </c>
      <c r="M345" s="106"/>
      <c r="EX345" s="20"/>
      <c r="EY345" s="29" t="s">
        <v>210</v>
      </c>
      <c r="EZ345" s="29" t="s">
        <v>0</v>
      </c>
      <c r="FA345" s="29" t="s">
        <v>0</v>
      </c>
      <c r="FG345" s="29"/>
      <c r="FI345" s="29"/>
      <c r="FJ345" s="29"/>
    </row>
    <row r="346" spans="1:166" customFormat="1" ht="15" x14ac:dyDescent="0.25">
      <c r="A346" s="30"/>
      <c r="B346" s="31"/>
      <c r="C346" s="146" t="s">
        <v>218</v>
      </c>
      <c r="D346" s="146"/>
      <c r="E346" s="146"/>
      <c r="F346" s="146"/>
      <c r="G346" s="146"/>
      <c r="H346" s="146"/>
      <c r="I346" s="146"/>
      <c r="J346" s="146"/>
      <c r="K346" s="146"/>
      <c r="L346" s="149"/>
      <c r="M346" s="106"/>
      <c r="EX346" s="20"/>
      <c r="EY346" s="29"/>
      <c r="EZ346" s="29"/>
      <c r="FA346" s="29"/>
      <c r="FB346" s="3" t="s">
        <v>218</v>
      </c>
      <c r="FG346" s="29"/>
      <c r="FI346" s="29"/>
      <c r="FJ346" s="29"/>
    </row>
    <row r="347" spans="1:166" customFormat="1" ht="15" x14ac:dyDescent="0.25">
      <c r="A347" s="30"/>
      <c r="B347" s="31"/>
      <c r="C347" s="152" t="s">
        <v>308</v>
      </c>
      <c r="D347" s="146"/>
      <c r="E347" s="146"/>
      <c r="F347" s="146"/>
      <c r="G347" s="146"/>
      <c r="H347" s="146"/>
      <c r="I347" s="146"/>
      <c r="J347" s="146"/>
      <c r="K347" s="146"/>
      <c r="L347" s="149"/>
      <c r="M347" s="106"/>
      <c r="EX347" s="20"/>
      <c r="EY347" s="29"/>
      <c r="EZ347" s="29"/>
      <c r="FA347" s="29"/>
      <c r="FG347" s="29"/>
      <c r="FH347" s="3" t="s">
        <v>212</v>
      </c>
      <c r="FI347" s="29"/>
      <c r="FJ347" s="29"/>
    </row>
    <row r="348" spans="1:166" customFormat="1" ht="15" x14ac:dyDescent="0.25">
      <c r="A348" s="32"/>
      <c r="B348" s="33"/>
      <c r="C348" s="141" t="s">
        <v>54</v>
      </c>
      <c r="D348" s="141"/>
      <c r="E348" s="141"/>
      <c r="F348" s="141"/>
      <c r="G348" s="141"/>
      <c r="H348" s="141"/>
      <c r="I348" s="141"/>
      <c r="J348" s="141"/>
      <c r="K348" s="141"/>
      <c r="L348" s="150"/>
      <c r="M348" s="106"/>
      <c r="EX348" s="20"/>
      <c r="EY348" s="29"/>
      <c r="EZ348" s="29"/>
      <c r="FA348" s="29"/>
      <c r="FC348" s="3" t="s">
        <v>54</v>
      </c>
      <c r="FG348" s="29"/>
      <c r="FI348" s="29"/>
      <c r="FJ348" s="29"/>
    </row>
    <row r="349" spans="1:166" customFormat="1" ht="15" x14ac:dyDescent="0.25">
      <c r="A349" s="32"/>
      <c r="B349" s="33"/>
      <c r="C349" s="141" t="s">
        <v>55</v>
      </c>
      <c r="D349" s="141"/>
      <c r="E349" s="141"/>
      <c r="F349" s="141"/>
      <c r="G349" s="141"/>
      <c r="H349" s="141"/>
      <c r="I349" s="141"/>
      <c r="J349" s="141"/>
      <c r="K349" s="141"/>
      <c r="L349" s="150"/>
      <c r="M349" s="106"/>
      <c r="EX349" s="20"/>
      <c r="EY349" s="29"/>
      <c r="EZ349" s="29"/>
      <c r="FA349" s="29"/>
      <c r="FC349" s="3" t="s">
        <v>55</v>
      </c>
      <c r="FG349" s="29"/>
      <c r="FI349" s="29"/>
      <c r="FJ349" s="29"/>
    </row>
    <row r="350" spans="1:166" customFormat="1" ht="15" x14ac:dyDescent="0.25">
      <c r="A350" s="52"/>
      <c r="B350" s="53"/>
      <c r="C350" s="148" t="s">
        <v>48</v>
      </c>
      <c r="D350" s="148"/>
      <c r="E350" s="148"/>
      <c r="F350" s="23"/>
      <c r="G350" s="24"/>
      <c r="H350" s="24"/>
      <c r="I350" s="24"/>
      <c r="J350" s="27"/>
      <c r="K350" s="24"/>
      <c r="L350" s="96">
        <f>L345</f>
        <v>1496751.1999440002</v>
      </c>
      <c r="M350" s="106"/>
      <c r="EX350" s="20"/>
      <c r="EY350" s="29"/>
      <c r="EZ350" s="29"/>
      <c r="FA350" s="29"/>
      <c r="FG350" s="29" t="s">
        <v>48</v>
      </c>
      <c r="FI350" s="29"/>
      <c r="FJ350" s="29"/>
    </row>
    <row r="351" spans="1:166" customFormat="1" ht="23.25" x14ac:dyDescent="0.25">
      <c r="A351" s="21" t="s">
        <v>219</v>
      </c>
      <c r="B351" s="22" t="s">
        <v>220</v>
      </c>
      <c r="C351" s="148" t="s">
        <v>221</v>
      </c>
      <c r="D351" s="148"/>
      <c r="E351" s="148"/>
      <c r="F351" s="23" t="s">
        <v>134</v>
      </c>
      <c r="G351" s="24">
        <v>0.95799999999999996</v>
      </c>
      <c r="H351" s="25">
        <v>1</v>
      </c>
      <c r="I351" s="58">
        <v>0.95799999999999996</v>
      </c>
      <c r="J351" s="27"/>
      <c r="K351" s="24"/>
      <c r="L351" s="28"/>
      <c r="M351" s="106"/>
      <c r="EX351" s="20"/>
      <c r="EY351" s="29" t="s">
        <v>221</v>
      </c>
      <c r="EZ351" s="29" t="s">
        <v>0</v>
      </c>
      <c r="FA351" s="29" t="s">
        <v>0</v>
      </c>
      <c r="FG351" s="29"/>
      <c r="FI351" s="29"/>
      <c r="FJ351" s="29"/>
    </row>
    <row r="352" spans="1:166" customFormat="1" ht="15" x14ac:dyDescent="0.25">
      <c r="A352" s="30"/>
      <c r="B352" s="31"/>
      <c r="C352" s="146" t="s">
        <v>222</v>
      </c>
      <c r="D352" s="146"/>
      <c r="E352" s="146"/>
      <c r="F352" s="146"/>
      <c r="G352" s="146"/>
      <c r="H352" s="146"/>
      <c r="I352" s="146"/>
      <c r="J352" s="146"/>
      <c r="K352" s="146"/>
      <c r="L352" s="149"/>
      <c r="M352" s="106"/>
      <c r="EX352" s="20"/>
      <c r="EY352" s="29"/>
      <c r="EZ352" s="29"/>
      <c r="FA352" s="29"/>
      <c r="FB352" s="3" t="s">
        <v>222</v>
      </c>
      <c r="FG352" s="29"/>
      <c r="FI352" s="29"/>
      <c r="FJ352" s="29"/>
    </row>
    <row r="353" spans="1:166" customFormat="1" ht="68.25" x14ac:dyDescent="0.25">
      <c r="A353" s="32"/>
      <c r="B353" s="33" t="s">
        <v>27</v>
      </c>
      <c r="C353" s="141" t="s">
        <v>28</v>
      </c>
      <c r="D353" s="141"/>
      <c r="E353" s="141"/>
      <c r="F353" s="141"/>
      <c r="G353" s="141"/>
      <c r="H353" s="141"/>
      <c r="I353" s="141"/>
      <c r="J353" s="141"/>
      <c r="K353" s="141"/>
      <c r="L353" s="150"/>
      <c r="M353" s="106"/>
      <c r="EX353" s="20"/>
      <c r="EY353" s="29"/>
      <c r="EZ353" s="29"/>
      <c r="FA353" s="29"/>
      <c r="FC353" s="3" t="s">
        <v>28</v>
      </c>
      <c r="FG353" s="29"/>
      <c r="FI353" s="29"/>
      <c r="FJ353" s="29"/>
    </row>
    <row r="354" spans="1:166" customFormat="1" ht="23.25" x14ac:dyDescent="0.25">
      <c r="A354" s="32"/>
      <c r="B354" s="33" t="s">
        <v>29</v>
      </c>
      <c r="C354" s="141" t="s">
        <v>30</v>
      </c>
      <c r="D354" s="141"/>
      <c r="E354" s="141"/>
      <c r="F354" s="141"/>
      <c r="G354" s="141"/>
      <c r="H354" s="141"/>
      <c r="I354" s="141"/>
      <c r="J354" s="141"/>
      <c r="K354" s="141"/>
      <c r="L354" s="150"/>
      <c r="M354" s="106"/>
      <c r="N354" s="118" t="s">
        <v>322</v>
      </c>
      <c r="EX354" s="20"/>
      <c r="EY354" s="29"/>
      <c r="EZ354" s="29"/>
      <c r="FA354" s="29"/>
      <c r="FC354" s="3" t="s">
        <v>30</v>
      </c>
      <c r="FG354" s="29"/>
      <c r="FI354" s="29"/>
      <c r="FJ354" s="29"/>
    </row>
    <row r="355" spans="1:166" customFormat="1" ht="15" x14ac:dyDescent="0.25">
      <c r="A355" s="34"/>
      <c r="B355" s="33" t="s">
        <v>22</v>
      </c>
      <c r="C355" s="146" t="s">
        <v>31</v>
      </c>
      <c r="D355" s="146"/>
      <c r="E355" s="146"/>
      <c r="F355" s="35"/>
      <c r="G355" s="36"/>
      <c r="H355" s="36"/>
      <c r="I355" s="36"/>
      <c r="J355" s="117">
        <f>O355</f>
        <v>80872.984337500005</v>
      </c>
      <c r="K355" s="38">
        <v>1.3225</v>
      </c>
      <c r="L355" s="42">
        <f>G351*J355*K355</f>
        <v>102462.43187131731</v>
      </c>
      <c r="M355" s="106">
        <v>49.45</v>
      </c>
      <c r="N355" s="112">
        <v>37018.979607499998</v>
      </c>
      <c r="O355" s="113">
        <v>80872.984337500005</v>
      </c>
      <c r="P355" s="105">
        <f>G359</f>
        <v>62.41</v>
      </c>
      <c r="Q355" s="105">
        <f>O355/P355*8</f>
        <v>10366.670000000002</v>
      </c>
      <c r="R355" s="105">
        <f>Q355*22</f>
        <v>228066.74000000005</v>
      </c>
      <c r="S355" s="105">
        <f>R355*(1-0.43)</f>
        <v>129998.04180000004</v>
      </c>
      <c r="EX355" s="20"/>
      <c r="EY355" s="29"/>
      <c r="EZ355" s="29"/>
      <c r="FA355" s="29"/>
      <c r="FD355" s="3" t="s">
        <v>31</v>
      </c>
      <c r="FG355" s="29"/>
      <c r="FI355" s="29"/>
      <c r="FJ355" s="29"/>
    </row>
    <row r="356" spans="1:166" customFormat="1" ht="15" x14ac:dyDescent="0.25">
      <c r="A356" s="34"/>
      <c r="B356" s="33" t="s">
        <v>32</v>
      </c>
      <c r="C356" s="146" t="s">
        <v>33</v>
      </c>
      <c r="D356" s="146"/>
      <c r="E356" s="146"/>
      <c r="F356" s="35"/>
      <c r="G356" s="36"/>
      <c r="H356" s="36"/>
      <c r="I356" s="36"/>
      <c r="J356" s="117">
        <f>O356</f>
        <v>747.5</v>
      </c>
      <c r="K356" s="38">
        <v>1.4375</v>
      </c>
      <c r="L356" s="42">
        <f>G351*J356*K356</f>
        <v>1029.4009375000001</v>
      </c>
      <c r="M356" s="106">
        <v>14.53</v>
      </c>
      <c r="N356" s="112">
        <v>3946.3661624999995</v>
      </c>
      <c r="O356" s="113">
        <v>747.5</v>
      </c>
      <c r="P356" s="105">
        <f>G360</f>
        <v>0.26</v>
      </c>
      <c r="Q356" s="105">
        <f>O356/P356*8</f>
        <v>23000</v>
      </c>
      <c r="EX356" s="20"/>
      <c r="EY356" s="29"/>
      <c r="EZ356" s="29"/>
      <c r="FA356" s="29"/>
      <c r="FD356" s="3" t="s">
        <v>33</v>
      </c>
      <c r="FG356" s="29"/>
      <c r="FI356" s="29"/>
      <c r="FJ356" s="29"/>
    </row>
    <row r="357" spans="1:166" customFormat="1" ht="15" x14ac:dyDescent="0.25">
      <c r="A357" s="34"/>
      <c r="B357" s="33" t="s">
        <v>34</v>
      </c>
      <c r="C357" s="146" t="s">
        <v>35</v>
      </c>
      <c r="D357" s="146"/>
      <c r="E357" s="146"/>
      <c r="F357" s="35"/>
      <c r="G357" s="36"/>
      <c r="H357" s="36"/>
      <c r="I357" s="36"/>
      <c r="J357" s="39">
        <v>3.02</v>
      </c>
      <c r="K357" s="38">
        <v>1.4375</v>
      </c>
      <c r="L357" s="42">
        <f>G351*J357*K357</f>
        <v>4.1589175000000003</v>
      </c>
      <c r="M357" s="106"/>
      <c r="EX357" s="20"/>
      <c r="EY357" s="29"/>
      <c r="EZ357" s="29"/>
      <c r="FA357" s="29"/>
      <c r="FD357" s="3" t="s">
        <v>35</v>
      </c>
      <c r="FG357" s="29"/>
      <c r="FI357" s="29"/>
      <c r="FJ357" s="29"/>
    </row>
    <row r="358" spans="1:166" customFormat="1" ht="15" x14ac:dyDescent="0.25">
      <c r="A358" s="34"/>
      <c r="B358" s="33" t="s">
        <v>36</v>
      </c>
      <c r="C358" s="146" t="s">
        <v>37</v>
      </c>
      <c r="D358" s="146"/>
      <c r="E358" s="146"/>
      <c r="F358" s="35"/>
      <c r="G358" s="36"/>
      <c r="H358" s="36"/>
      <c r="I358" s="36"/>
      <c r="J358" s="39">
        <v>63.71</v>
      </c>
      <c r="K358" s="36"/>
      <c r="L358" s="42">
        <f>G351*J358</f>
        <v>61.034179999999999</v>
      </c>
      <c r="M358" s="106"/>
      <c r="EX358" s="20"/>
      <c r="EY358" s="29"/>
      <c r="EZ358" s="29"/>
      <c r="FA358" s="29"/>
      <c r="FD358" s="3" t="s">
        <v>37</v>
      </c>
      <c r="FG358" s="29"/>
      <c r="FI358" s="29"/>
      <c r="FJ358" s="29"/>
    </row>
    <row r="359" spans="1:166" customFormat="1" ht="15" x14ac:dyDescent="0.25">
      <c r="A359" s="43"/>
      <c r="B359" s="33"/>
      <c r="C359" s="146" t="s">
        <v>38</v>
      </c>
      <c r="D359" s="146"/>
      <c r="E359" s="146"/>
      <c r="F359" s="35" t="s">
        <v>39</v>
      </c>
      <c r="G359" s="40">
        <v>62.41</v>
      </c>
      <c r="H359" s="38">
        <v>1.3225</v>
      </c>
      <c r="I359" s="44">
        <v>79.070661599999994</v>
      </c>
      <c r="J359" s="45"/>
      <c r="K359" s="36"/>
      <c r="L359" s="46"/>
      <c r="M359" s="106"/>
      <c r="EX359" s="20"/>
      <c r="EY359" s="29"/>
      <c r="EZ359" s="29"/>
      <c r="FA359" s="29"/>
      <c r="FE359" s="3" t="s">
        <v>38</v>
      </c>
      <c r="FG359" s="29"/>
      <c r="FI359" s="29"/>
      <c r="FJ359" s="29"/>
    </row>
    <row r="360" spans="1:166" customFormat="1" ht="15" x14ac:dyDescent="0.25">
      <c r="A360" s="43"/>
      <c r="B360" s="33"/>
      <c r="C360" s="146" t="s">
        <v>40</v>
      </c>
      <c r="D360" s="146"/>
      <c r="E360" s="146"/>
      <c r="F360" s="35" t="s">
        <v>39</v>
      </c>
      <c r="G360" s="40">
        <v>0.26</v>
      </c>
      <c r="H360" s="38">
        <v>1.4375</v>
      </c>
      <c r="I360" s="44">
        <v>0.3580525</v>
      </c>
      <c r="J360" s="45"/>
      <c r="K360" s="36"/>
      <c r="L360" s="46"/>
      <c r="M360" s="106"/>
      <c r="EX360" s="20"/>
      <c r="EY360" s="29"/>
      <c r="EZ360" s="29"/>
      <c r="FA360" s="29"/>
      <c r="FE360" s="3" t="s">
        <v>40</v>
      </c>
      <c r="FG360" s="29"/>
      <c r="FI360" s="29"/>
      <c r="FJ360" s="29"/>
    </row>
    <row r="361" spans="1:166" customFormat="1" ht="15" x14ac:dyDescent="0.25">
      <c r="A361" s="30"/>
      <c r="B361" s="33"/>
      <c r="C361" s="151" t="s">
        <v>41</v>
      </c>
      <c r="D361" s="151"/>
      <c r="E361" s="151"/>
      <c r="F361" s="47"/>
      <c r="G361" s="48"/>
      <c r="H361" s="48"/>
      <c r="I361" s="48"/>
      <c r="J361" s="62">
        <v>818.71</v>
      </c>
      <c r="K361" s="48"/>
      <c r="L361" s="50">
        <f>L355+L356+L358</f>
        <v>103552.86698881732</v>
      </c>
      <c r="M361" s="106"/>
      <c r="EX361" s="20"/>
      <c r="EY361" s="29"/>
      <c r="EZ361" s="29"/>
      <c r="FA361" s="29"/>
      <c r="FF361" s="3" t="s">
        <v>41</v>
      </c>
      <c r="FG361" s="29"/>
      <c r="FI361" s="29"/>
      <c r="FJ361" s="29"/>
    </row>
    <row r="362" spans="1:166" customFormat="1" ht="15" x14ac:dyDescent="0.25">
      <c r="A362" s="43"/>
      <c r="B362" s="33"/>
      <c r="C362" s="146" t="s">
        <v>42</v>
      </c>
      <c r="D362" s="146"/>
      <c r="E362" s="146"/>
      <c r="F362" s="35"/>
      <c r="G362" s="36"/>
      <c r="H362" s="36"/>
      <c r="I362" s="36"/>
      <c r="J362" s="45"/>
      <c r="K362" s="36"/>
      <c r="L362" s="42">
        <f>L355+L357</f>
        <v>102466.59078881731</v>
      </c>
      <c r="M362" s="106"/>
      <c r="EX362" s="20"/>
      <c r="EY362" s="29"/>
      <c r="EZ362" s="29"/>
      <c r="FA362" s="29"/>
      <c r="FE362" s="3" t="s">
        <v>42</v>
      </c>
      <c r="FG362" s="29"/>
      <c r="FI362" s="29"/>
      <c r="FJ362" s="29"/>
    </row>
    <row r="363" spans="1:166" customFormat="1" ht="15" x14ac:dyDescent="0.25">
      <c r="A363" s="43"/>
      <c r="B363" s="33" t="s">
        <v>223</v>
      </c>
      <c r="C363" s="146" t="s">
        <v>224</v>
      </c>
      <c r="D363" s="146"/>
      <c r="E363" s="146"/>
      <c r="F363" s="35" t="s">
        <v>45</v>
      </c>
      <c r="G363" s="51">
        <v>97</v>
      </c>
      <c r="H363" s="36"/>
      <c r="I363" s="51">
        <v>97</v>
      </c>
      <c r="J363" s="45"/>
      <c r="K363" s="36"/>
      <c r="L363" s="42">
        <f>L362*I363%</f>
        <v>99392.593065152789</v>
      </c>
      <c r="M363" s="106"/>
      <c r="EX363" s="20"/>
      <c r="EY363" s="29"/>
      <c r="EZ363" s="29"/>
      <c r="FA363" s="29"/>
      <c r="FE363" s="3" t="s">
        <v>224</v>
      </c>
      <c r="FG363" s="29"/>
      <c r="FI363" s="29"/>
      <c r="FJ363" s="29"/>
    </row>
    <row r="364" spans="1:166" customFormat="1" ht="22.5" x14ac:dyDescent="0.25">
      <c r="A364" s="43"/>
      <c r="B364" s="33" t="s">
        <v>225</v>
      </c>
      <c r="C364" s="146" t="s">
        <v>226</v>
      </c>
      <c r="D364" s="146"/>
      <c r="E364" s="146"/>
      <c r="F364" s="35" t="s">
        <v>45</v>
      </c>
      <c r="G364" s="51">
        <v>55</v>
      </c>
      <c r="H364" s="40">
        <v>0.85</v>
      </c>
      <c r="I364" s="40">
        <v>46.75</v>
      </c>
      <c r="J364" s="45"/>
      <c r="K364" s="36"/>
      <c r="L364" s="42">
        <f>L362*I364%</f>
        <v>47903.131193772097</v>
      </c>
      <c r="M364" s="106"/>
      <c r="EX364" s="20"/>
      <c r="EY364" s="29"/>
      <c r="EZ364" s="29"/>
      <c r="FA364" s="29"/>
      <c r="FE364" s="3" t="s">
        <v>226</v>
      </c>
      <c r="FG364" s="29"/>
      <c r="FI364" s="29"/>
      <c r="FJ364" s="29"/>
    </row>
    <row r="365" spans="1:166" customFormat="1" ht="15" x14ac:dyDescent="0.25">
      <c r="A365" s="52"/>
      <c r="B365" s="53"/>
      <c r="C365" s="148" t="s">
        <v>48</v>
      </c>
      <c r="D365" s="148"/>
      <c r="E365" s="148"/>
      <c r="F365" s="23"/>
      <c r="G365" s="24"/>
      <c r="H365" s="24"/>
      <c r="I365" s="24"/>
      <c r="J365" s="27"/>
      <c r="K365" s="24"/>
      <c r="L365" s="96">
        <f>L361+L363+L364</f>
        <v>250848.59124774221</v>
      </c>
      <c r="M365" s="106"/>
      <c r="EX365" s="20"/>
      <c r="EY365" s="29"/>
      <c r="EZ365" s="29"/>
      <c r="FA365" s="29"/>
      <c r="FG365" s="29" t="s">
        <v>48</v>
      </c>
      <c r="FI365" s="29"/>
      <c r="FJ365" s="29"/>
    </row>
    <row r="366" spans="1:166" customFormat="1" ht="33.75" x14ac:dyDescent="0.25">
      <c r="A366" s="21" t="s">
        <v>227</v>
      </c>
      <c r="B366" s="22" t="s">
        <v>228</v>
      </c>
      <c r="C366" s="148" t="s">
        <v>229</v>
      </c>
      <c r="D366" s="148"/>
      <c r="E366" s="148"/>
      <c r="F366" s="23" t="s">
        <v>230</v>
      </c>
      <c r="G366" s="24">
        <v>143.69999999999999</v>
      </c>
      <c r="H366" s="25">
        <v>1</v>
      </c>
      <c r="I366" s="65">
        <v>143.69999999999999</v>
      </c>
      <c r="J366" s="56">
        <f>1915/1.2</f>
        <v>1595.8333333333335</v>
      </c>
      <c r="K366" s="26">
        <v>1.04236</v>
      </c>
      <c r="L366" s="55">
        <f>G366*J366*K366</f>
        <v>239035.29814999999</v>
      </c>
      <c r="M366" s="106"/>
      <c r="EX366" s="20"/>
      <c r="EY366" s="29" t="s">
        <v>229</v>
      </c>
      <c r="EZ366" s="29" t="s">
        <v>0</v>
      </c>
      <c r="FA366" s="29" t="s">
        <v>0</v>
      </c>
      <c r="FG366" s="29"/>
      <c r="FI366" s="29"/>
      <c r="FJ366" s="29"/>
    </row>
    <row r="367" spans="1:166" customFormat="1" ht="15" x14ac:dyDescent="0.25">
      <c r="A367" s="30"/>
      <c r="B367" s="31"/>
      <c r="C367" s="146" t="s">
        <v>231</v>
      </c>
      <c r="D367" s="146"/>
      <c r="E367" s="146"/>
      <c r="F367" s="146"/>
      <c r="G367" s="146"/>
      <c r="H367" s="146"/>
      <c r="I367" s="146"/>
      <c r="J367" s="146"/>
      <c r="K367" s="146"/>
      <c r="L367" s="149"/>
      <c r="M367" s="106"/>
      <c r="EX367" s="20"/>
      <c r="EY367" s="29"/>
      <c r="EZ367" s="29"/>
      <c r="FA367" s="29"/>
      <c r="FB367" s="3" t="s">
        <v>231</v>
      </c>
      <c r="FG367" s="29"/>
      <c r="FI367" s="29"/>
      <c r="FJ367" s="29"/>
    </row>
    <row r="368" spans="1:166" customFormat="1" ht="15" x14ac:dyDescent="0.25">
      <c r="A368" s="30"/>
      <c r="B368" s="31"/>
      <c r="C368" s="152" t="s">
        <v>309</v>
      </c>
      <c r="D368" s="146"/>
      <c r="E368" s="146"/>
      <c r="F368" s="146"/>
      <c r="G368" s="146"/>
      <c r="H368" s="146"/>
      <c r="I368" s="146"/>
      <c r="J368" s="146"/>
      <c r="K368" s="146"/>
      <c r="L368" s="149"/>
      <c r="M368" s="106"/>
      <c r="EX368" s="20"/>
      <c r="EY368" s="29"/>
      <c r="EZ368" s="29"/>
      <c r="FA368" s="29"/>
      <c r="FG368" s="29"/>
      <c r="FH368" s="3" t="s">
        <v>232</v>
      </c>
      <c r="FI368" s="29"/>
      <c r="FJ368" s="29"/>
    </row>
    <row r="369" spans="1:166" customFormat="1" ht="15" x14ac:dyDescent="0.25">
      <c r="A369" s="32"/>
      <c r="B369" s="33"/>
      <c r="C369" s="141" t="s">
        <v>54</v>
      </c>
      <c r="D369" s="141"/>
      <c r="E369" s="141"/>
      <c r="F369" s="141"/>
      <c r="G369" s="141"/>
      <c r="H369" s="141"/>
      <c r="I369" s="141"/>
      <c r="J369" s="141"/>
      <c r="K369" s="141"/>
      <c r="L369" s="150"/>
      <c r="M369" s="106"/>
      <c r="EX369" s="20"/>
      <c r="EY369" s="29"/>
      <c r="EZ369" s="29"/>
      <c r="FA369" s="29"/>
      <c r="FC369" s="3" t="s">
        <v>54</v>
      </c>
      <c r="FG369" s="29"/>
      <c r="FI369" s="29"/>
      <c r="FJ369" s="29"/>
    </row>
    <row r="370" spans="1:166" customFormat="1" ht="15" x14ac:dyDescent="0.25">
      <c r="A370" s="32"/>
      <c r="B370" s="33"/>
      <c r="C370" s="141" t="s">
        <v>55</v>
      </c>
      <c r="D370" s="141"/>
      <c r="E370" s="141"/>
      <c r="F370" s="141"/>
      <c r="G370" s="141"/>
      <c r="H370" s="141"/>
      <c r="I370" s="141"/>
      <c r="J370" s="141"/>
      <c r="K370" s="141"/>
      <c r="L370" s="150"/>
      <c r="M370" s="106"/>
      <c r="EX370" s="20"/>
      <c r="EY370" s="29"/>
      <c r="EZ370" s="29"/>
      <c r="FA370" s="29"/>
      <c r="FC370" s="3" t="s">
        <v>55</v>
      </c>
      <c r="FG370" s="29"/>
      <c r="FI370" s="29"/>
      <c r="FJ370" s="29"/>
    </row>
    <row r="371" spans="1:166" customFormat="1" ht="15" x14ac:dyDescent="0.25">
      <c r="A371" s="52"/>
      <c r="B371" s="53"/>
      <c r="C371" s="148" t="s">
        <v>48</v>
      </c>
      <c r="D371" s="148"/>
      <c r="E371" s="148"/>
      <c r="F371" s="23"/>
      <c r="G371" s="24"/>
      <c r="H371" s="24"/>
      <c r="I371" s="24"/>
      <c r="J371" s="27"/>
      <c r="K371" s="24"/>
      <c r="L371" s="96">
        <f>L366</f>
        <v>239035.29814999999</v>
      </c>
      <c r="M371" s="106"/>
      <c r="EX371" s="20"/>
      <c r="EY371" s="29"/>
      <c r="EZ371" s="29"/>
      <c r="FA371" s="29"/>
      <c r="FG371" s="29" t="s">
        <v>48</v>
      </c>
      <c r="FI371" s="29"/>
      <c r="FJ371" s="29"/>
    </row>
    <row r="372" spans="1:166" customFormat="1" ht="68.25" x14ac:dyDescent="0.25">
      <c r="A372" s="21" t="s">
        <v>233</v>
      </c>
      <c r="B372" s="22" t="s">
        <v>234</v>
      </c>
      <c r="C372" s="148" t="s">
        <v>235</v>
      </c>
      <c r="D372" s="148"/>
      <c r="E372" s="148"/>
      <c r="F372" s="23" t="s">
        <v>51</v>
      </c>
      <c r="G372" s="24">
        <v>16</v>
      </c>
      <c r="H372" s="25">
        <v>1</v>
      </c>
      <c r="I372" s="25">
        <v>16</v>
      </c>
      <c r="J372" s="27"/>
      <c r="K372" s="24"/>
      <c r="L372" s="28"/>
      <c r="M372" s="106"/>
      <c r="EX372" s="20"/>
      <c r="EY372" s="29" t="s">
        <v>235</v>
      </c>
      <c r="EZ372" s="29" t="s">
        <v>0</v>
      </c>
      <c r="FA372" s="29" t="s">
        <v>0</v>
      </c>
      <c r="FG372" s="29"/>
      <c r="FI372" s="29"/>
      <c r="FJ372" s="29"/>
    </row>
    <row r="373" spans="1:166" customFormat="1" ht="15" x14ac:dyDescent="0.25">
      <c r="A373" s="30"/>
      <c r="B373" s="31"/>
      <c r="C373" s="146" t="s">
        <v>236</v>
      </c>
      <c r="D373" s="146"/>
      <c r="E373" s="146"/>
      <c r="F373" s="146"/>
      <c r="G373" s="146"/>
      <c r="H373" s="146"/>
      <c r="I373" s="146"/>
      <c r="J373" s="146"/>
      <c r="K373" s="146"/>
      <c r="L373" s="149"/>
      <c r="M373" s="106"/>
      <c r="EX373" s="20"/>
      <c r="EY373" s="29"/>
      <c r="EZ373" s="29"/>
      <c r="FA373" s="29"/>
      <c r="FB373" s="3" t="s">
        <v>236</v>
      </c>
      <c r="FG373" s="29"/>
      <c r="FI373" s="29"/>
      <c r="FJ373" s="29"/>
    </row>
    <row r="374" spans="1:166" customFormat="1" ht="68.25" x14ac:dyDescent="0.25">
      <c r="A374" s="32"/>
      <c r="B374" s="33" t="s">
        <v>27</v>
      </c>
      <c r="C374" s="141" t="s">
        <v>28</v>
      </c>
      <c r="D374" s="141"/>
      <c r="E374" s="141"/>
      <c r="F374" s="141"/>
      <c r="G374" s="141"/>
      <c r="H374" s="141"/>
      <c r="I374" s="141"/>
      <c r="J374" s="141"/>
      <c r="K374" s="141"/>
      <c r="L374" s="150"/>
      <c r="M374" s="106"/>
      <c r="EX374" s="20"/>
      <c r="EY374" s="29"/>
      <c r="EZ374" s="29"/>
      <c r="FA374" s="29"/>
      <c r="FC374" s="3" t="s">
        <v>28</v>
      </c>
      <c r="FG374" s="29"/>
      <c r="FI374" s="29"/>
      <c r="FJ374" s="29"/>
    </row>
    <row r="375" spans="1:166" customFormat="1" ht="23.25" x14ac:dyDescent="0.25">
      <c r="A375" s="32"/>
      <c r="B375" s="33" t="s">
        <v>29</v>
      </c>
      <c r="C375" s="141" t="s">
        <v>30</v>
      </c>
      <c r="D375" s="141"/>
      <c r="E375" s="141"/>
      <c r="F375" s="141"/>
      <c r="G375" s="141"/>
      <c r="H375" s="141"/>
      <c r="I375" s="141"/>
      <c r="J375" s="141"/>
      <c r="K375" s="141"/>
      <c r="L375" s="150"/>
      <c r="M375" s="106"/>
      <c r="N375" s="118" t="s">
        <v>325</v>
      </c>
      <c r="EX375" s="20"/>
      <c r="EY375" s="29"/>
      <c r="EZ375" s="29"/>
      <c r="FA375" s="29"/>
      <c r="FC375" s="3" t="s">
        <v>30</v>
      </c>
      <c r="FG375" s="29"/>
      <c r="FI375" s="29"/>
      <c r="FJ375" s="29"/>
    </row>
    <row r="376" spans="1:166" customFormat="1" ht="15" x14ac:dyDescent="0.25">
      <c r="A376" s="34"/>
      <c r="B376" s="33" t="s">
        <v>22</v>
      </c>
      <c r="C376" s="146" t="s">
        <v>31</v>
      </c>
      <c r="D376" s="146"/>
      <c r="E376" s="146"/>
      <c r="F376" s="35"/>
      <c r="G376" s="36"/>
      <c r="H376" s="36"/>
      <c r="I376" s="36"/>
      <c r="J376" s="117">
        <f>O376</f>
        <v>1788.250575</v>
      </c>
      <c r="K376" s="38">
        <v>1.3225</v>
      </c>
      <c r="L376" s="42">
        <f>G372*J376*K376</f>
        <v>37839.382167000003</v>
      </c>
      <c r="M376" s="106">
        <v>49.45</v>
      </c>
      <c r="N376" s="112">
        <v>848.20719625000015</v>
      </c>
      <c r="O376" s="113">
        <v>1788.250575</v>
      </c>
      <c r="P376" s="105">
        <f>G378</f>
        <v>1.38</v>
      </c>
      <c r="Q376" s="105">
        <f>O376/P376*8</f>
        <v>10366.67</v>
      </c>
      <c r="R376" s="105">
        <f>Q376*22</f>
        <v>228066.74</v>
      </c>
      <c r="S376" s="105">
        <f>R376*(1-0.43)</f>
        <v>129998.04180000001</v>
      </c>
      <c r="EX376" s="20"/>
      <c r="EY376" s="29"/>
      <c r="EZ376" s="29"/>
      <c r="FA376" s="29"/>
      <c r="FD376" s="3" t="s">
        <v>31</v>
      </c>
      <c r="FG376" s="29"/>
      <c r="FI376" s="29"/>
      <c r="FJ376" s="29"/>
    </row>
    <row r="377" spans="1:166" customFormat="1" ht="15" x14ac:dyDescent="0.25">
      <c r="A377" s="34"/>
      <c r="B377" s="33" t="s">
        <v>36</v>
      </c>
      <c r="C377" s="146" t="s">
        <v>37</v>
      </c>
      <c r="D377" s="146"/>
      <c r="E377" s="146"/>
      <c r="F377" s="35"/>
      <c r="G377" s="36"/>
      <c r="H377" s="36"/>
      <c r="I377" s="36"/>
      <c r="J377" s="39">
        <v>4.0999999999999996</v>
      </c>
      <c r="K377" s="36"/>
      <c r="L377" s="42">
        <f>G372*J377</f>
        <v>65.599999999999994</v>
      </c>
      <c r="M377" s="106"/>
      <c r="N377" s="112"/>
      <c r="O377" s="113"/>
      <c r="P377" s="105"/>
      <c r="Q377" s="105"/>
      <c r="EX377" s="20"/>
      <c r="EY377" s="29"/>
      <c r="EZ377" s="29"/>
      <c r="FA377" s="29"/>
      <c r="FD377" s="3" t="s">
        <v>37</v>
      </c>
      <c r="FG377" s="29"/>
      <c r="FI377" s="29"/>
      <c r="FJ377" s="29"/>
    </row>
    <row r="378" spans="1:166" customFormat="1" ht="15" x14ac:dyDescent="0.25">
      <c r="A378" s="43"/>
      <c r="B378" s="33"/>
      <c r="C378" s="146" t="s">
        <v>38</v>
      </c>
      <c r="D378" s="146"/>
      <c r="E378" s="146"/>
      <c r="F378" s="35" t="s">
        <v>39</v>
      </c>
      <c r="G378" s="40">
        <v>1.38</v>
      </c>
      <c r="H378" s="38">
        <v>1.3225</v>
      </c>
      <c r="I378" s="38">
        <v>29.200800000000001</v>
      </c>
      <c r="J378" s="45"/>
      <c r="K378" s="36"/>
      <c r="L378" s="46"/>
      <c r="M378" s="106"/>
      <c r="EX378" s="20"/>
      <c r="EY378" s="29"/>
      <c r="EZ378" s="29"/>
      <c r="FA378" s="29"/>
      <c r="FE378" s="3" t="s">
        <v>38</v>
      </c>
      <c r="FG378" s="29"/>
      <c r="FI378" s="29"/>
      <c r="FJ378" s="29"/>
    </row>
    <row r="379" spans="1:166" customFormat="1" ht="15" x14ac:dyDescent="0.25">
      <c r="A379" s="30"/>
      <c r="B379" s="33"/>
      <c r="C379" s="151" t="s">
        <v>41</v>
      </c>
      <c r="D379" s="151"/>
      <c r="E379" s="151"/>
      <c r="F379" s="47"/>
      <c r="G379" s="48"/>
      <c r="H379" s="48"/>
      <c r="I379" s="48"/>
      <c r="J379" s="62">
        <v>17.07</v>
      </c>
      <c r="K379" s="48"/>
      <c r="L379" s="66">
        <f>L376+L377</f>
        <v>37904.982167000002</v>
      </c>
      <c r="M379" s="106"/>
      <c r="EX379" s="20"/>
      <c r="EY379" s="29"/>
      <c r="EZ379" s="29"/>
      <c r="FA379" s="29"/>
      <c r="FF379" s="3" t="s">
        <v>41</v>
      </c>
      <c r="FG379" s="29"/>
      <c r="FI379" s="29"/>
      <c r="FJ379" s="29"/>
    </row>
    <row r="380" spans="1:166" customFormat="1" ht="15" x14ac:dyDescent="0.25">
      <c r="A380" s="43"/>
      <c r="B380" s="33"/>
      <c r="C380" s="146" t="s">
        <v>42</v>
      </c>
      <c r="D380" s="146"/>
      <c r="E380" s="146"/>
      <c r="F380" s="35"/>
      <c r="G380" s="36"/>
      <c r="H380" s="36"/>
      <c r="I380" s="36"/>
      <c r="J380" s="45"/>
      <c r="K380" s="36"/>
      <c r="L380" s="42">
        <f>L376</f>
        <v>37839.382167000003</v>
      </c>
      <c r="M380" s="106"/>
      <c r="EX380" s="20"/>
      <c r="EY380" s="29"/>
      <c r="EZ380" s="29"/>
      <c r="FA380" s="29"/>
      <c r="FE380" s="3" t="s">
        <v>42</v>
      </c>
      <c r="FG380" s="29"/>
      <c r="FI380" s="29"/>
      <c r="FJ380" s="29"/>
    </row>
    <row r="381" spans="1:166" customFormat="1" ht="23.25" x14ac:dyDescent="0.25">
      <c r="A381" s="43"/>
      <c r="B381" s="33" t="s">
        <v>72</v>
      </c>
      <c r="C381" s="146" t="s">
        <v>73</v>
      </c>
      <c r="D381" s="146"/>
      <c r="E381" s="146"/>
      <c r="F381" s="35" t="s">
        <v>45</v>
      </c>
      <c r="G381" s="51">
        <v>97</v>
      </c>
      <c r="H381" s="36"/>
      <c r="I381" s="51">
        <v>97</v>
      </c>
      <c r="J381" s="45"/>
      <c r="K381" s="36"/>
      <c r="L381" s="42">
        <f>L380*I381%</f>
        <v>36704.200701990005</v>
      </c>
      <c r="M381" s="106"/>
      <c r="EX381" s="20"/>
      <c r="EY381" s="29"/>
      <c r="EZ381" s="29"/>
      <c r="FA381" s="29"/>
      <c r="FE381" s="3" t="s">
        <v>73</v>
      </c>
      <c r="FG381" s="29"/>
      <c r="FI381" s="29"/>
      <c r="FJ381" s="29"/>
    </row>
    <row r="382" spans="1:166" customFormat="1" ht="23.25" x14ac:dyDescent="0.25">
      <c r="A382" s="43"/>
      <c r="B382" s="33" t="s">
        <v>74</v>
      </c>
      <c r="C382" s="146" t="s">
        <v>75</v>
      </c>
      <c r="D382" s="146"/>
      <c r="E382" s="146"/>
      <c r="F382" s="35" t="s">
        <v>45</v>
      </c>
      <c r="G382" s="51">
        <v>51</v>
      </c>
      <c r="H382" s="36"/>
      <c r="I382" s="51">
        <v>51</v>
      </c>
      <c r="J382" s="45"/>
      <c r="K382" s="36"/>
      <c r="L382" s="42">
        <f>L380*I382%</f>
        <v>19298.084905170002</v>
      </c>
      <c r="M382" s="106"/>
      <c r="EX382" s="20"/>
      <c r="EY382" s="29"/>
      <c r="EZ382" s="29"/>
      <c r="FA382" s="29"/>
      <c r="FE382" s="3" t="s">
        <v>75</v>
      </c>
      <c r="FG382" s="29"/>
      <c r="FI382" s="29"/>
      <c r="FJ382" s="29"/>
    </row>
    <row r="383" spans="1:166" customFormat="1" ht="15" x14ac:dyDescent="0.25">
      <c r="A383" s="52"/>
      <c r="B383" s="53"/>
      <c r="C383" s="148" t="s">
        <v>48</v>
      </c>
      <c r="D383" s="148"/>
      <c r="E383" s="148"/>
      <c r="F383" s="23"/>
      <c r="G383" s="24"/>
      <c r="H383" s="24"/>
      <c r="I383" s="24"/>
      <c r="J383" s="27"/>
      <c r="K383" s="24"/>
      <c r="L383" s="99">
        <f>L379+L381+L382</f>
        <v>93907.267774160006</v>
      </c>
      <c r="M383" s="106"/>
      <c r="EX383" s="20"/>
      <c r="EY383" s="29"/>
      <c r="EZ383" s="29"/>
      <c r="FA383" s="29"/>
      <c r="FG383" s="29" t="s">
        <v>48</v>
      </c>
      <c r="FI383" s="29"/>
      <c r="FJ383" s="29"/>
    </row>
    <row r="384" spans="1:166" customFormat="1" ht="33.75" x14ac:dyDescent="0.25">
      <c r="A384" s="21" t="s">
        <v>237</v>
      </c>
      <c r="B384" s="22" t="s">
        <v>238</v>
      </c>
      <c r="C384" s="148" t="s">
        <v>239</v>
      </c>
      <c r="D384" s="148"/>
      <c r="E384" s="148"/>
      <c r="F384" s="23" t="s">
        <v>51</v>
      </c>
      <c r="G384" s="24">
        <v>16</v>
      </c>
      <c r="H384" s="25">
        <v>1</v>
      </c>
      <c r="I384" s="25">
        <v>16</v>
      </c>
      <c r="J384" s="56">
        <f>4935/1.2</f>
        <v>4112.5</v>
      </c>
      <c r="K384" s="26">
        <v>1.04236</v>
      </c>
      <c r="L384" s="55">
        <f>G384*J384*K384</f>
        <v>68587.288</v>
      </c>
      <c r="M384" s="106"/>
      <c r="EX384" s="20"/>
      <c r="EY384" s="29" t="s">
        <v>239</v>
      </c>
      <c r="EZ384" s="29" t="s">
        <v>0</v>
      </c>
      <c r="FA384" s="29" t="s">
        <v>0</v>
      </c>
      <c r="FG384" s="29"/>
      <c r="FI384" s="29"/>
      <c r="FJ384" s="29"/>
    </row>
    <row r="385" spans="1:166" customFormat="1" ht="15" x14ac:dyDescent="0.25">
      <c r="A385" s="30"/>
      <c r="B385" s="31"/>
      <c r="C385" s="146" t="s">
        <v>236</v>
      </c>
      <c r="D385" s="146"/>
      <c r="E385" s="146"/>
      <c r="F385" s="146"/>
      <c r="G385" s="146"/>
      <c r="H385" s="146"/>
      <c r="I385" s="146"/>
      <c r="J385" s="146"/>
      <c r="K385" s="146"/>
      <c r="L385" s="149"/>
      <c r="M385" s="106"/>
      <c r="EX385" s="20"/>
      <c r="EY385" s="29"/>
      <c r="EZ385" s="29"/>
      <c r="FA385" s="29"/>
      <c r="FB385" s="3" t="s">
        <v>236</v>
      </c>
      <c r="FG385" s="29"/>
      <c r="FI385" s="29"/>
      <c r="FJ385" s="29"/>
    </row>
    <row r="386" spans="1:166" customFormat="1" ht="15" x14ac:dyDescent="0.25">
      <c r="A386" s="30"/>
      <c r="B386" s="31"/>
      <c r="C386" s="152" t="s">
        <v>310</v>
      </c>
      <c r="D386" s="146"/>
      <c r="E386" s="146"/>
      <c r="F386" s="146"/>
      <c r="G386" s="146"/>
      <c r="H386" s="146"/>
      <c r="I386" s="146"/>
      <c r="J386" s="146"/>
      <c r="K386" s="146"/>
      <c r="L386" s="149"/>
      <c r="M386" s="106"/>
      <c r="EX386" s="20"/>
      <c r="EY386" s="29"/>
      <c r="EZ386" s="29"/>
      <c r="FA386" s="29"/>
      <c r="FG386" s="29"/>
      <c r="FH386" s="3" t="s">
        <v>240</v>
      </c>
      <c r="FI386" s="29"/>
      <c r="FJ386" s="29"/>
    </row>
    <row r="387" spans="1:166" customFormat="1" ht="15" x14ac:dyDescent="0.25">
      <c r="A387" s="32"/>
      <c r="B387" s="33"/>
      <c r="C387" s="141" t="s">
        <v>54</v>
      </c>
      <c r="D387" s="141"/>
      <c r="E387" s="141"/>
      <c r="F387" s="141"/>
      <c r="G387" s="141"/>
      <c r="H387" s="141"/>
      <c r="I387" s="141"/>
      <c r="J387" s="141"/>
      <c r="K387" s="141"/>
      <c r="L387" s="150"/>
      <c r="M387" s="106"/>
      <c r="EX387" s="20"/>
      <c r="EY387" s="29"/>
      <c r="EZ387" s="29"/>
      <c r="FA387" s="29"/>
      <c r="FC387" s="3" t="s">
        <v>54</v>
      </c>
      <c r="FG387" s="29"/>
      <c r="FI387" s="29"/>
      <c r="FJ387" s="29"/>
    </row>
    <row r="388" spans="1:166" customFormat="1" ht="15" x14ac:dyDescent="0.25">
      <c r="A388" s="32"/>
      <c r="B388" s="33"/>
      <c r="C388" s="141" t="s">
        <v>55</v>
      </c>
      <c r="D388" s="141"/>
      <c r="E388" s="141"/>
      <c r="F388" s="141"/>
      <c r="G388" s="141"/>
      <c r="H388" s="141"/>
      <c r="I388" s="141"/>
      <c r="J388" s="141"/>
      <c r="K388" s="141"/>
      <c r="L388" s="150"/>
      <c r="M388" s="106"/>
      <c r="EX388" s="20"/>
      <c r="EY388" s="29"/>
      <c r="EZ388" s="29"/>
      <c r="FA388" s="29"/>
      <c r="FC388" s="3" t="s">
        <v>55</v>
      </c>
      <c r="FG388" s="29"/>
      <c r="FI388" s="29"/>
      <c r="FJ388" s="29"/>
    </row>
    <row r="389" spans="1:166" customFormat="1" ht="15" x14ac:dyDescent="0.25">
      <c r="A389" s="52"/>
      <c r="B389" s="53"/>
      <c r="C389" s="148" t="s">
        <v>48</v>
      </c>
      <c r="D389" s="148"/>
      <c r="E389" s="148"/>
      <c r="F389" s="23"/>
      <c r="G389" s="24"/>
      <c r="H389" s="24"/>
      <c r="I389" s="24"/>
      <c r="J389" s="27"/>
      <c r="K389" s="24"/>
      <c r="L389" s="96">
        <f>L384</f>
        <v>68587.288</v>
      </c>
      <c r="M389" s="106"/>
      <c r="EX389" s="20"/>
      <c r="EY389" s="29"/>
      <c r="EZ389" s="29"/>
      <c r="FA389" s="29"/>
      <c r="FG389" s="29" t="s">
        <v>48</v>
      </c>
      <c r="FI389" s="29"/>
      <c r="FJ389" s="29"/>
    </row>
    <row r="390" spans="1:166" customFormat="1" ht="34.5" x14ac:dyDescent="0.25">
      <c r="A390" s="21" t="s">
        <v>241</v>
      </c>
      <c r="B390" s="22" t="s">
        <v>242</v>
      </c>
      <c r="C390" s="148" t="s">
        <v>243</v>
      </c>
      <c r="D390" s="148"/>
      <c r="E390" s="148"/>
      <c r="F390" s="23" t="s">
        <v>51</v>
      </c>
      <c r="G390" s="24">
        <v>2</v>
      </c>
      <c r="H390" s="25">
        <v>1</v>
      </c>
      <c r="I390" s="25">
        <v>2</v>
      </c>
      <c r="J390" s="27"/>
      <c r="K390" s="24"/>
      <c r="L390" s="28"/>
      <c r="M390" s="106"/>
      <c r="EX390" s="20"/>
      <c r="EY390" s="29" t="s">
        <v>243</v>
      </c>
      <c r="EZ390" s="29" t="s">
        <v>0</v>
      </c>
      <c r="FA390" s="29" t="s">
        <v>0</v>
      </c>
      <c r="FG390" s="29"/>
      <c r="FI390" s="29"/>
      <c r="FJ390" s="29"/>
    </row>
    <row r="391" spans="1:166" customFormat="1" ht="68.25" x14ac:dyDescent="0.25">
      <c r="A391" s="32"/>
      <c r="B391" s="33" t="s">
        <v>27</v>
      </c>
      <c r="C391" s="141" t="s">
        <v>28</v>
      </c>
      <c r="D391" s="141"/>
      <c r="E391" s="141"/>
      <c r="F391" s="141"/>
      <c r="G391" s="141"/>
      <c r="H391" s="141"/>
      <c r="I391" s="141"/>
      <c r="J391" s="141"/>
      <c r="K391" s="141"/>
      <c r="L391" s="150"/>
      <c r="M391" s="106"/>
      <c r="EX391" s="20"/>
      <c r="EY391" s="29"/>
      <c r="EZ391" s="29"/>
      <c r="FA391" s="29"/>
      <c r="FC391" s="3" t="s">
        <v>28</v>
      </c>
      <c r="FG391" s="29"/>
      <c r="FI391" s="29"/>
      <c r="FJ391" s="29"/>
    </row>
    <row r="392" spans="1:166" customFormat="1" ht="23.25" x14ac:dyDescent="0.25">
      <c r="A392" s="32"/>
      <c r="B392" s="33" t="s">
        <v>29</v>
      </c>
      <c r="C392" s="141" t="s">
        <v>30</v>
      </c>
      <c r="D392" s="141"/>
      <c r="E392" s="141"/>
      <c r="F392" s="141"/>
      <c r="G392" s="141"/>
      <c r="H392" s="141"/>
      <c r="I392" s="141"/>
      <c r="J392" s="141"/>
      <c r="K392" s="141"/>
      <c r="L392" s="150"/>
      <c r="M392" s="106"/>
      <c r="N392" s="118" t="s">
        <v>325</v>
      </c>
      <c r="EX392" s="20"/>
      <c r="EY392" s="29"/>
      <c r="EZ392" s="29"/>
      <c r="FA392" s="29"/>
      <c r="FC392" s="3" t="s">
        <v>30</v>
      </c>
      <c r="FG392" s="29"/>
      <c r="FI392" s="29"/>
      <c r="FJ392" s="29"/>
    </row>
    <row r="393" spans="1:166" customFormat="1" ht="15" x14ac:dyDescent="0.25">
      <c r="A393" s="34"/>
      <c r="B393" s="33" t="s">
        <v>22</v>
      </c>
      <c r="C393" s="146" t="s">
        <v>31</v>
      </c>
      <c r="D393" s="146"/>
      <c r="E393" s="146"/>
      <c r="F393" s="35"/>
      <c r="G393" s="36"/>
      <c r="H393" s="36"/>
      <c r="I393" s="36"/>
      <c r="J393" s="117">
        <f>O393</f>
        <v>9666.9197750000003</v>
      </c>
      <c r="K393" s="38">
        <v>1.3225</v>
      </c>
      <c r="L393" s="42">
        <f>G390*J393*K393</f>
        <v>25569.002804875003</v>
      </c>
      <c r="M393" s="106">
        <v>49.45</v>
      </c>
      <c r="N393" s="112">
        <v>4585.6814650000006</v>
      </c>
      <c r="O393" s="113">
        <v>9666.9197750000003</v>
      </c>
      <c r="P393" s="105">
        <f>G397</f>
        <v>7.46</v>
      </c>
      <c r="Q393" s="105">
        <f>O393/P393*8</f>
        <v>10366.67</v>
      </c>
      <c r="R393" s="105">
        <f>Q393*22</f>
        <v>228066.74</v>
      </c>
      <c r="S393" s="105">
        <f>R393*(1-0.43)</f>
        <v>129998.04180000001</v>
      </c>
      <c r="EX393" s="20"/>
      <c r="EY393" s="29"/>
      <c r="EZ393" s="29"/>
      <c r="FA393" s="29"/>
      <c r="FD393" s="3" t="s">
        <v>31</v>
      </c>
      <c r="FG393" s="29"/>
      <c r="FI393" s="29"/>
      <c r="FJ393" s="29"/>
    </row>
    <row r="394" spans="1:166" customFormat="1" ht="15" x14ac:dyDescent="0.25">
      <c r="A394" s="34"/>
      <c r="B394" s="33" t="s">
        <v>32</v>
      </c>
      <c r="C394" s="146" t="s">
        <v>33</v>
      </c>
      <c r="D394" s="146"/>
      <c r="E394" s="146"/>
      <c r="F394" s="35"/>
      <c r="G394" s="36"/>
      <c r="H394" s="36"/>
      <c r="I394" s="36"/>
      <c r="J394" s="117">
        <f>O394</f>
        <v>57.5</v>
      </c>
      <c r="K394" s="38">
        <v>1.4375</v>
      </c>
      <c r="L394" s="42">
        <f>G390*J394*K394</f>
        <v>165.3125</v>
      </c>
      <c r="M394" s="106">
        <v>14.53</v>
      </c>
      <c r="N394" s="112">
        <v>37.805243749999995</v>
      </c>
      <c r="O394" s="113">
        <v>57.5</v>
      </c>
      <c r="P394" s="105">
        <f>G398</f>
        <v>0.02</v>
      </c>
      <c r="Q394" s="105">
        <f>O394/P394*8</f>
        <v>23000</v>
      </c>
      <c r="EX394" s="20"/>
      <c r="EY394" s="29"/>
      <c r="EZ394" s="29"/>
      <c r="FA394" s="29"/>
      <c r="FD394" s="3" t="s">
        <v>33</v>
      </c>
      <c r="FG394" s="29"/>
      <c r="FI394" s="29"/>
      <c r="FJ394" s="29"/>
    </row>
    <row r="395" spans="1:166" customFormat="1" ht="15" x14ac:dyDescent="0.25">
      <c r="A395" s="34"/>
      <c r="B395" s="33" t="s">
        <v>34</v>
      </c>
      <c r="C395" s="146" t="s">
        <v>35</v>
      </c>
      <c r="D395" s="146"/>
      <c r="E395" s="146"/>
      <c r="F395" s="35"/>
      <c r="G395" s="36"/>
      <c r="H395" s="36"/>
      <c r="I395" s="36"/>
      <c r="J395" s="39">
        <v>0.26</v>
      </c>
      <c r="K395" s="38">
        <v>1.4375</v>
      </c>
      <c r="L395" s="42">
        <f>G390*J395*K395</f>
        <v>0.74750000000000005</v>
      </c>
      <c r="M395" s="106"/>
      <c r="EX395" s="20"/>
      <c r="EY395" s="29"/>
      <c r="EZ395" s="29"/>
      <c r="FA395" s="29"/>
      <c r="FD395" s="3" t="s">
        <v>35</v>
      </c>
      <c r="FG395" s="29"/>
      <c r="FI395" s="29"/>
      <c r="FJ395" s="29"/>
    </row>
    <row r="396" spans="1:166" customFormat="1" ht="15" x14ac:dyDescent="0.25">
      <c r="A396" s="34"/>
      <c r="B396" s="33" t="s">
        <v>36</v>
      </c>
      <c r="C396" s="146" t="s">
        <v>37</v>
      </c>
      <c r="D396" s="146"/>
      <c r="E396" s="146"/>
      <c r="F396" s="35"/>
      <c r="G396" s="36"/>
      <c r="H396" s="36"/>
      <c r="I396" s="36"/>
      <c r="J396" s="39">
        <v>46.64</v>
      </c>
      <c r="K396" s="36"/>
      <c r="L396" s="42">
        <f>G390*J396</f>
        <v>93.28</v>
      </c>
      <c r="M396" s="106"/>
      <c r="EX396" s="20"/>
      <c r="EY396" s="29"/>
      <c r="EZ396" s="29"/>
      <c r="FA396" s="29"/>
      <c r="FD396" s="3" t="s">
        <v>37</v>
      </c>
      <c r="FG396" s="29"/>
      <c r="FI396" s="29"/>
      <c r="FJ396" s="29"/>
    </row>
    <row r="397" spans="1:166" customFormat="1" ht="15" x14ac:dyDescent="0.25">
      <c r="A397" s="43"/>
      <c r="B397" s="33"/>
      <c r="C397" s="146" t="s">
        <v>38</v>
      </c>
      <c r="D397" s="146"/>
      <c r="E397" s="146"/>
      <c r="F397" s="35" t="s">
        <v>39</v>
      </c>
      <c r="G397" s="40">
        <v>7.46</v>
      </c>
      <c r="H397" s="38">
        <v>1.3225</v>
      </c>
      <c r="I397" s="38">
        <v>19.7317</v>
      </c>
      <c r="J397" s="45"/>
      <c r="K397" s="36"/>
      <c r="L397" s="46"/>
      <c r="M397" s="106"/>
      <c r="EX397" s="20"/>
      <c r="EY397" s="29"/>
      <c r="EZ397" s="29"/>
      <c r="FA397" s="29"/>
      <c r="FE397" s="3" t="s">
        <v>38</v>
      </c>
      <c r="FG397" s="29"/>
      <c r="FI397" s="29"/>
      <c r="FJ397" s="29"/>
    </row>
    <row r="398" spans="1:166" customFormat="1" ht="15" x14ac:dyDescent="0.25">
      <c r="A398" s="43"/>
      <c r="B398" s="33"/>
      <c r="C398" s="146" t="s">
        <v>40</v>
      </c>
      <c r="D398" s="146"/>
      <c r="E398" s="146"/>
      <c r="F398" s="35" t="s">
        <v>39</v>
      </c>
      <c r="G398" s="40">
        <v>0.02</v>
      </c>
      <c r="H398" s="38">
        <v>1.4375</v>
      </c>
      <c r="I398" s="38">
        <v>5.7500000000000002E-2</v>
      </c>
      <c r="J398" s="45"/>
      <c r="K398" s="36"/>
      <c r="L398" s="46"/>
      <c r="M398" s="106"/>
      <c r="EX398" s="20"/>
      <c r="EY398" s="29"/>
      <c r="EZ398" s="29"/>
      <c r="FA398" s="29"/>
      <c r="FE398" s="3" t="s">
        <v>40</v>
      </c>
      <c r="FG398" s="29"/>
      <c r="FI398" s="29"/>
      <c r="FJ398" s="29"/>
    </row>
    <row r="399" spans="1:166" customFormat="1" ht="15" x14ac:dyDescent="0.25">
      <c r="A399" s="30"/>
      <c r="B399" s="33"/>
      <c r="C399" s="151" t="s">
        <v>41</v>
      </c>
      <c r="D399" s="151"/>
      <c r="E399" s="151"/>
      <c r="F399" s="47"/>
      <c r="G399" s="48"/>
      <c r="H399" s="48"/>
      <c r="I399" s="48"/>
      <c r="J399" s="62">
        <v>118.57</v>
      </c>
      <c r="K399" s="48"/>
      <c r="L399" s="66">
        <f>L393+L394+L396</f>
        <v>25827.595304875002</v>
      </c>
      <c r="M399" s="106"/>
      <c r="EX399" s="20"/>
      <c r="EY399" s="29"/>
      <c r="EZ399" s="29"/>
      <c r="FA399" s="29"/>
      <c r="FF399" s="3" t="s">
        <v>41</v>
      </c>
      <c r="FG399" s="29"/>
      <c r="FI399" s="29"/>
      <c r="FJ399" s="29"/>
    </row>
    <row r="400" spans="1:166" customFormat="1" ht="15" x14ac:dyDescent="0.25">
      <c r="A400" s="43"/>
      <c r="B400" s="33"/>
      <c r="C400" s="146" t="s">
        <v>42</v>
      </c>
      <c r="D400" s="146"/>
      <c r="E400" s="146"/>
      <c r="F400" s="35"/>
      <c r="G400" s="36"/>
      <c r="H400" s="36"/>
      <c r="I400" s="36"/>
      <c r="J400" s="45"/>
      <c r="K400" s="36"/>
      <c r="L400" s="42">
        <f>L393+L395</f>
        <v>25569.750304875004</v>
      </c>
      <c r="M400" s="106"/>
      <c r="EX400" s="20"/>
      <c r="EY400" s="29"/>
      <c r="EZ400" s="29"/>
      <c r="FA400" s="29"/>
      <c r="FE400" s="3" t="s">
        <v>42</v>
      </c>
      <c r="FG400" s="29"/>
      <c r="FI400" s="29"/>
      <c r="FJ400" s="29"/>
    </row>
    <row r="401" spans="1:166" customFormat="1" ht="23.25" x14ac:dyDescent="0.25">
      <c r="A401" s="43"/>
      <c r="B401" s="33" t="s">
        <v>72</v>
      </c>
      <c r="C401" s="146" t="s">
        <v>73</v>
      </c>
      <c r="D401" s="146"/>
      <c r="E401" s="146"/>
      <c r="F401" s="35" t="s">
        <v>45</v>
      </c>
      <c r="G401" s="51">
        <v>97</v>
      </c>
      <c r="H401" s="36"/>
      <c r="I401" s="51">
        <v>97</v>
      </c>
      <c r="J401" s="45"/>
      <c r="K401" s="36"/>
      <c r="L401" s="42">
        <f>L400*I401%</f>
        <v>24802.657795728752</v>
      </c>
      <c r="M401" s="106"/>
      <c r="EX401" s="20"/>
      <c r="EY401" s="29"/>
      <c r="EZ401" s="29"/>
      <c r="FA401" s="29"/>
      <c r="FE401" s="3" t="s">
        <v>73</v>
      </c>
      <c r="FG401" s="29"/>
      <c r="FI401" s="29"/>
      <c r="FJ401" s="29"/>
    </row>
    <row r="402" spans="1:166" customFormat="1" ht="23.25" x14ac:dyDescent="0.25">
      <c r="A402" s="43"/>
      <c r="B402" s="33" t="s">
        <v>74</v>
      </c>
      <c r="C402" s="146" t="s">
        <v>75</v>
      </c>
      <c r="D402" s="146"/>
      <c r="E402" s="146"/>
      <c r="F402" s="35" t="s">
        <v>45</v>
      </c>
      <c r="G402" s="51">
        <v>51</v>
      </c>
      <c r="H402" s="36"/>
      <c r="I402" s="51">
        <v>51</v>
      </c>
      <c r="J402" s="45"/>
      <c r="K402" s="36"/>
      <c r="L402" s="42">
        <f>L400*I402%</f>
        <v>13040.572655486252</v>
      </c>
      <c r="M402" s="106"/>
      <c r="EX402" s="20"/>
      <c r="EY402" s="29"/>
      <c r="EZ402" s="29"/>
      <c r="FA402" s="29"/>
      <c r="FE402" s="3" t="s">
        <v>75</v>
      </c>
      <c r="FG402" s="29"/>
      <c r="FI402" s="29"/>
      <c r="FJ402" s="29"/>
    </row>
    <row r="403" spans="1:166" customFormat="1" ht="15" x14ac:dyDescent="0.25">
      <c r="A403" s="52"/>
      <c r="B403" s="53"/>
      <c r="C403" s="148" t="s">
        <v>48</v>
      </c>
      <c r="D403" s="148"/>
      <c r="E403" s="148"/>
      <c r="F403" s="23"/>
      <c r="G403" s="24"/>
      <c r="H403" s="24"/>
      <c r="I403" s="24"/>
      <c r="J403" s="27"/>
      <c r="K403" s="24"/>
      <c r="L403" s="99">
        <f>L399+L401+L402</f>
        <v>63670.825756090009</v>
      </c>
      <c r="M403" s="106"/>
      <c r="EX403" s="20"/>
      <c r="EY403" s="29"/>
      <c r="EZ403" s="29"/>
      <c r="FA403" s="29"/>
      <c r="FG403" s="29" t="s">
        <v>48</v>
      </c>
      <c r="FI403" s="29"/>
      <c r="FJ403" s="29"/>
    </row>
    <row r="404" spans="1:166" customFormat="1" ht="34.5" x14ac:dyDescent="0.25">
      <c r="A404" s="21" t="s">
        <v>244</v>
      </c>
      <c r="B404" s="22" t="s">
        <v>245</v>
      </c>
      <c r="C404" s="148" t="s">
        <v>246</v>
      </c>
      <c r="D404" s="148"/>
      <c r="E404" s="148"/>
      <c r="F404" s="23" t="s">
        <v>51</v>
      </c>
      <c r="G404" s="24">
        <v>2</v>
      </c>
      <c r="H404" s="25">
        <v>1</v>
      </c>
      <c r="I404" s="25">
        <v>2</v>
      </c>
      <c r="J404" s="56">
        <f>9728.4/1.2</f>
        <v>8107</v>
      </c>
      <c r="K404" s="26">
        <v>1.04236</v>
      </c>
      <c r="L404" s="55">
        <f>G404*J404*K404</f>
        <v>16900.82504</v>
      </c>
      <c r="M404" s="106"/>
      <c r="EX404" s="20"/>
      <c r="EY404" s="29" t="s">
        <v>246</v>
      </c>
      <c r="EZ404" s="29" t="s">
        <v>0</v>
      </c>
      <c r="FA404" s="29" t="s">
        <v>0</v>
      </c>
      <c r="FG404" s="29"/>
      <c r="FI404" s="29"/>
      <c r="FJ404" s="29"/>
    </row>
    <row r="405" spans="1:166" customFormat="1" ht="15" x14ac:dyDescent="0.25">
      <c r="A405" s="30"/>
      <c r="B405" s="31"/>
      <c r="C405" s="152" t="s">
        <v>311</v>
      </c>
      <c r="D405" s="146"/>
      <c r="E405" s="146"/>
      <c r="F405" s="146"/>
      <c r="G405" s="146"/>
      <c r="H405" s="146"/>
      <c r="I405" s="146"/>
      <c r="J405" s="146"/>
      <c r="K405" s="146"/>
      <c r="L405" s="149"/>
      <c r="M405" s="106"/>
      <c r="EX405" s="20"/>
      <c r="EY405" s="29"/>
      <c r="EZ405" s="29"/>
      <c r="FA405" s="29"/>
      <c r="FG405" s="29"/>
      <c r="FH405" s="3" t="s">
        <v>247</v>
      </c>
      <c r="FI405" s="29"/>
      <c r="FJ405" s="29"/>
    </row>
    <row r="406" spans="1:166" customFormat="1" ht="15" x14ac:dyDescent="0.25">
      <c r="A406" s="32"/>
      <c r="B406" s="33"/>
      <c r="C406" s="141" t="s">
        <v>54</v>
      </c>
      <c r="D406" s="141"/>
      <c r="E406" s="141"/>
      <c r="F406" s="141"/>
      <c r="G406" s="141"/>
      <c r="H406" s="141"/>
      <c r="I406" s="141"/>
      <c r="J406" s="141"/>
      <c r="K406" s="141"/>
      <c r="L406" s="150"/>
      <c r="M406" s="106"/>
      <c r="EX406" s="20"/>
      <c r="EY406" s="29"/>
      <c r="EZ406" s="29"/>
      <c r="FA406" s="29"/>
      <c r="FC406" s="3" t="s">
        <v>54</v>
      </c>
      <c r="FG406" s="29"/>
      <c r="FI406" s="29"/>
      <c r="FJ406" s="29"/>
    </row>
    <row r="407" spans="1:166" customFormat="1" ht="15" x14ac:dyDescent="0.25">
      <c r="A407" s="32"/>
      <c r="B407" s="33"/>
      <c r="C407" s="141" t="s">
        <v>55</v>
      </c>
      <c r="D407" s="141"/>
      <c r="E407" s="141"/>
      <c r="F407" s="141"/>
      <c r="G407" s="141"/>
      <c r="H407" s="141"/>
      <c r="I407" s="141"/>
      <c r="J407" s="141"/>
      <c r="K407" s="141"/>
      <c r="L407" s="150"/>
      <c r="M407" s="106"/>
      <c r="EX407" s="20"/>
      <c r="EY407" s="29"/>
      <c r="EZ407" s="29"/>
      <c r="FA407" s="29"/>
      <c r="FC407" s="3" t="s">
        <v>55</v>
      </c>
      <c r="FG407" s="29"/>
      <c r="FI407" s="29"/>
      <c r="FJ407" s="29"/>
    </row>
    <row r="408" spans="1:166" customFormat="1" ht="15" x14ac:dyDescent="0.25">
      <c r="A408" s="52"/>
      <c r="B408" s="53"/>
      <c r="C408" s="148" t="s">
        <v>48</v>
      </c>
      <c r="D408" s="148"/>
      <c r="E408" s="148"/>
      <c r="F408" s="23"/>
      <c r="G408" s="24"/>
      <c r="H408" s="24"/>
      <c r="I408" s="24"/>
      <c r="J408" s="27"/>
      <c r="K408" s="24"/>
      <c r="L408" s="96">
        <f>L404</f>
        <v>16900.82504</v>
      </c>
      <c r="M408" s="106"/>
      <c r="EX408" s="20"/>
      <c r="EY408" s="29"/>
      <c r="EZ408" s="29"/>
      <c r="FA408" s="29"/>
      <c r="FG408" s="29" t="s">
        <v>48</v>
      </c>
      <c r="FI408" s="29"/>
      <c r="FJ408" s="29"/>
    </row>
    <row r="409" spans="1:166" customFormat="1" ht="34.5" x14ac:dyDescent="0.25">
      <c r="A409" s="21" t="s">
        <v>248</v>
      </c>
      <c r="B409" s="22" t="s">
        <v>249</v>
      </c>
      <c r="C409" s="148" t="s">
        <v>250</v>
      </c>
      <c r="D409" s="148"/>
      <c r="E409" s="148"/>
      <c r="F409" s="23" t="s">
        <v>51</v>
      </c>
      <c r="G409" s="24">
        <v>4</v>
      </c>
      <c r="H409" s="25">
        <v>1</v>
      </c>
      <c r="I409" s="25">
        <v>4</v>
      </c>
      <c r="J409" s="27"/>
      <c r="K409" s="24"/>
      <c r="L409" s="28"/>
      <c r="M409" s="106"/>
      <c r="EX409" s="20"/>
      <c r="EY409" s="29" t="s">
        <v>250</v>
      </c>
      <c r="EZ409" s="29" t="s">
        <v>0</v>
      </c>
      <c r="FA409" s="29" t="s">
        <v>0</v>
      </c>
      <c r="FG409" s="29"/>
      <c r="FI409" s="29"/>
      <c r="FJ409" s="29"/>
    </row>
    <row r="410" spans="1:166" customFormat="1" ht="15" x14ac:dyDescent="0.25">
      <c r="A410" s="30"/>
      <c r="B410" s="31"/>
      <c r="C410" s="146" t="s">
        <v>251</v>
      </c>
      <c r="D410" s="146"/>
      <c r="E410" s="146"/>
      <c r="F410" s="146"/>
      <c r="G410" s="146"/>
      <c r="H410" s="146"/>
      <c r="I410" s="146"/>
      <c r="J410" s="146"/>
      <c r="K410" s="146"/>
      <c r="L410" s="149"/>
      <c r="M410" s="106"/>
      <c r="EX410" s="20"/>
      <c r="EY410" s="29"/>
      <c r="EZ410" s="29"/>
      <c r="FA410" s="29"/>
      <c r="FB410" s="3" t="s">
        <v>251</v>
      </c>
      <c r="FG410" s="29"/>
      <c r="FI410" s="29"/>
      <c r="FJ410" s="29"/>
    </row>
    <row r="411" spans="1:166" customFormat="1" ht="68.25" x14ac:dyDescent="0.25">
      <c r="A411" s="32"/>
      <c r="B411" s="33" t="s">
        <v>27</v>
      </c>
      <c r="C411" s="141" t="s">
        <v>28</v>
      </c>
      <c r="D411" s="141"/>
      <c r="E411" s="141"/>
      <c r="F411" s="141"/>
      <c r="G411" s="141"/>
      <c r="H411" s="141"/>
      <c r="I411" s="141"/>
      <c r="J411" s="141"/>
      <c r="K411" s="141"/>
      <c r="L411" s="150"/>
      <c r="M411" s="106"/>
      <c r="EX411" s="20"/>
      <c r="EY411" s="29"/>
      <c r="EZ411" s="29"/>
      <c r="FA411" s="29"/>
      <c r="FC411" s="3" t="s">
        <v>28</v>
      </c>
      <c r="FG411" s="29"/>
      <c r="FI411" s="29"/>
      <c r="FJ411" s="29"/>
    </row>
    <row r="412" spans="1:166" customFormat="1" ht="23.25" x14ac:dyDescent="0.25">
      <c r="A412" s="32"/>
      <c r="B412" s="33" t="s">
        <v>29</v>
      </c>
      <c r="C412" s="141" t="s">
        <v>30</v>
      </c>
      <c r="D412" s="141"/>
      <c r="E412" s="141"/>
      <c r="F412" s="141"/>
      <c r="G412" s="141"/>
      <c r="H412" s="141"/>
      <c r="I412" s="141"/>
      <c r="J412" s="141"/>
      <c r="K412" s="141"/>
      <c r="L412" s="150"/>
      <c r="M412" s="106"/>
      <c r="N412" s="118" t="s">
        <v>326</v>
      </c>
      <c r="EX412" s="20"/>
      <c r="EY412" s="29"/>
      <c r="EZ412" s="29"/>
      <c r="FA412" s="29"/>
      <c r="FC412" s="3" t="s">
        <v>30</v>
      </c>
      <c r="FG412" s="29"/>
      <c r="FI412" s="29"/>
      <c r="FJ412" s="29"/>
    </row>
    <row r="413" spans="1:166" customFormat="1" ht="15" x14ac:dyDescent="0.25">
      <c r="A413" s="34"/>
      <c r="B413" s="33" t="s">
        <v>22</v>
      </c>
      <c r="C413" s="146" t="s">
        <v>31</v>
      </c>
      <c r="D413" s="146"/>
      <c r="E413" s="146"/>
      <c r="F413" s="35"/>
      <c r="G413" s="36"/>
      <c r="H413" s="36"/>
      <c r="I413" s="36"/>
      <c r="J413" s="117">
        <f>O413</f>
        <v>492.41682500000002</v>
      </c>
      <c r="K413" s="38">
        <v>1.3225</v>
      </c>
      <c r="L413" s="42">
        <f>G409*J413*K413</f>
        <v>2604.8850042500003</v>
      </c>
      <c r="M413" s="106">
        <v>49.45</v>
      </c>
      <c r="N413" s="112">
        <v>233.46952124999999</v>
      </c>
      <c r="O413" s="113">
        <v>492.41682500000002</v>
      </c>
      <c r="P413" s="105">
        <f>G415</f>
        <v>0.38</v>
      </c>
      <c r="Q413" s="105">
        <f>O413/P413*8</f>
        <v>10366.67</v>
      </c>
      <c r="R413" s="105">
        <f>Q413*22</f>
        <v>228066.74</v>
      </c>
      <c r="S413" s="105">
        <f>R413*(1-0.43)</f>
        <v>129998.04180000001</v>
      </c>
      <c r="EX413" s="20"/>
      <c r="EY413" s="29"/>
      <c r="EZ413" s="29"/>
      <c r="FA413" s="29"/>
      <c r="FD413" s="3" t="s">
        <v>31</v>
      </c>
      <c r="FG413" s="29"/>
      <c r="FI413" s="29"/>
      <c r="FJ413" s="29"/>
    </row>
    <row r="414" spans="1:166" customFormat="1" ht="15" x14ac:dyDescent="0.25">
      <c r="A414" s="34"/>
      <c r="B414" s="33" t="s">
        <v>36</v>
      </c>
      <c r="C414" s="146" t="s">
        <v>37</v>
      </c>
      <c r="D414" s="146"/>
      <c r="E414" s="146"/>
      <c r="F414" s="35"/>
      <c r="G414" s="36"/>
      <c r="H414" s="36"/>
      <c r="I414" s="36"/>
      <c r="J414" s="39">
        <v>15.07</v>
      </c>
      <c r="K414" s="36"/>
      <c r="L414" s="42">
        <f>G409*J414</f>
        <v>60.28</v>
      </c>
      <c r="M414" s="106"/>
      <c r="N414" s="112"/>
      <c r="O414" s="113"/>
      <c r="P414" s="105"/>
      <c r="Q414" s="105"/>
      <c r="EX414" s="20"/>
      <c r="EY414" s="29"/>
      <c r="EZ414" s="29"/>
      <c r="FA414" s="29"/>
      <c r="FD414" s="3" t="s">
        <v>37</v>
      </c>
      <c r="FG414" s="29"/>
      <c r="FI414" s="29"/>
      <c r="FJ414" s="29"/>
    </row>
    <row r="415" spans="1:166" customFormat="1" ht="15" x14ac:dyDescent="0.25">
      <c r="A415" s="43"/>
      <c r="B415" s="33"/>
      <c r="C415" s="146" t="s">
        <v>38</v>
      </c>
      <c r="D415" s="146"/>
      <c r="E415" s="146"/>
      <c r="F415" s="35" t="s">
        <v>39</v>
      </c>
      <c r="G415" s="40">
        <v>0.38</v>
      </c>
      <c r="H415" s="38">
        <v>1.3225</v>
      </c>
      <c r="I415" s="38">
        <v>2.0102000000000002</v>
      </c>
      <c r="J415" s="45"/>
      <c r="K415" s="36"/>
      <c r="L415" s="46"/>
      <c r="M415" s="106"/>
      <c r="EX415" s="20"/>
      <c r="EY415" s="29"/>
      <c r="EZ415" s="29"/>
      <c r="FA415" s="29"/>
      <c r="FE415" s="3" t="s">
        <v>38</v>
      </c>
      <c r="FG415" s="29"/>
      <c r="FI415" s="29"/>
      <c r="FJ415" s="29"/>
    </row>
    <row r="416" spans="1:166" customFormat="1" ht="15" x14ac:dyDescent="0.25">
      <c r="A416" s="30"/>
      <c r="B416" s="33"/>
      <c r="C416" s="151" t="s">
        <v>41</v>
      </c>
      <c r="D416" s="151"/>
      <c r="E416" s="151"/>
      <c r="F416" s="47"/>
      <c r="G416" s="48"/>
      <c r="H416" s="48"/>
      <c r="I416" s="48"/>
      <c r="J416" s="62">
        <v>18.64</v>
      </c>
      <c r="K416" s="48"/>
      <c r="L416" s="66">
        <f>L413+L414</f>
        <v>2665.1650042500005</v>
      </c>
      <c r="M416" s="106"/>
      <c r="EX416" s="20"/>
      <c r="EY416" s="29"/>
      <c r="EZ416" s="29"/>
      <c r="FA416" s="29"/>
      <c r="FF416" s="3" t="s">
        <v>41</v>
      </c>
      <c r="FG416" s="29"/>
      <c r="FI416" s="29"/>
      <c r="FJ416" s="29"/>
    </row>
    <row r="417" spans="1:166" customFormat="1" ht="15" x14ac:dyDescent="0.25">
      <c r="A417" s="43"/>
      <c r="B417" s="33"/>
      <c r="C417" s="146" t="s">
        <v>42</v>
      </c>
      <c r="D417" s="146"/>
      <c r="E417" s="146"/>
      <c r="F417" s="35"/>
      <c r="G417" s="36"/>
      <c r="H417" s="36"/>
      <c r="I417" s="36"/>
      <c r="J417" s="45"/>
      <c r="K417" s="36"/>
      <c r="L417" s="42">
        <f>L413</f>
        <v>2604.8850042500003</v>
      </c>
      <c r="M417" s="106"/>
      <c r="EX417" s="20"/>
      <c r="EY417" s="29"/>
      <c r="EZ417" s="29"/>
      <c r="FA417" s="29"/>
      <c r="FE417" s="3" t="s">
        <v>42</v>
      </c>
      <c r="FG417" s="29"/>
      <c r="FI417" s="29"/>
      <c r="FJ417" s="29"/>
    </row>
    <row r="418" spans="1:166" customFormat="1" ht="23.25" x14ac:dyDescent="0.25">
      <c r="A418" s="43"/>
      <c r="B418" s="33" t="s">
        <v>72</v>
      </c>
      <c r="C418" s="146" t="s">
        <v>73</v>
      </c>
      <c r="D418" s="146"/>
      <c r="E418" s="146"/>
      <c r="F418" s="35" t="s">
        <v>45</v>
      </c>
      <c r="G418" s="51">
        <v>97</v>
      </c>
      <c r="H418" s="36"/>
      <c r="I418" s="51">
        <v>97</v>
      </c>
      <c r="J418" s="45"/>
      <c r="K418" s="36"/>
      <c r="L418" s="42">
        <f>L417*I418%</f>
        <v>2526.7384541225001</v>
      </c>
      <c r="M418" s="106"/>
      <c r="EX418" s="20"/>
      <c r="EY418" s="29"/>
      <c r="EZ418" s="29"/>
      <c r="FA418" s="29"/>
      <c r="FE418" s="3" t="s">
        <v>73</v>
      </c>
      <c r="FG418" s="29"/>
      <c r="FI418" s="29"/>
      <c r="FJ418" s="29"/>
    </row>
    <row r="419" spans="1:166" customFormat="1" ht="23.25" x14ac:dyDescent="0.25">
      <c r="A419" s="43"/>
      <c r="B419" s="33" t="s">
        <v>74</v>
      </c>
      <c r="C419" s="146" t="s">
        <v>75</v>
      </c>
      <c r="D419" s="146"/>
      <c r="E419" s="146"/>
      <c r="F419" s="35" t="s">
        <v>45</v>
      </c>
      <c r="G419" s="51">
        <v>51</v>
      </c>
      <c r="H419" s="36"/>
      <c r="I419" s="51">
        <v>51</v>
      </c>
      <c r="J419" s="45"/>
      <c r="K419" s="36"/>
      <c r="L419" s="42">
        <f>L417*I419%</f>
        <v>1328.4913521675003</v>
      </c>
      <c r="M419" s="106"/>
      <c r="EX419" s="20"/>
      <c r="EY419" s="29"/>
      <c r="EZ419" s="29"/>
      <c r="FA419" s="29"/>
      <c r="FE419" s="3" t="s">
        <v>75</v>
      </c>
      <c r="FG419" s="29"/>
      <c r="FI419" s="29"/>
      <c r="FJ419" s="29"/>
    </row>
    <row r="420" spans="1:166" customFormat="1" ht="15" x14ac:dyDescent="0.25">
      <c r="A420" s="52"/>
      <c r="B420" s="53"/>
      <c r="C420" s="148" t="s">
        <v>48</v>
      </c>
      <c r="D420" s="148"/>
      <c r="E420" s="148"/>
      <c r="F420" s="23"/>
      <c r="G420" s="24"/>
      <c r="H420" s="24"/>
      <c r="I420" s="24"/>
      <c r="J420" s="27"/>
      <c r="K420" s="24"/>
      <c r="L420" s="99">
        <f>L416+L418+L419</f>
        <v>6520.3948105400013</v>
      </c>
      <c r="M420" s="106"/>
      <c r="EX420" s="20"/>
      <c r="EY420" s="29"/>
      <c r="EZ420" s="29"/>
      <c r="FA420" s="29"/>
      <c r="FG420" s="29" t="s">
        <v>48</v>
      </c>
      <c r="FI420" s="29"/>
      <c r="FJ420" s="29"/>
    </row>
    <row r="421" spans="1:166" customFormat="1" ht="33.75" x14ac:dyDescent="0.25">
      <c r="A421" s="21" t="s">
        <v>252</v>
      </c>
      <c r="B421" s="22" t="s">
        <v>253</v>
      </c>
      <c r="C421" s="148" t="s">
        <v>254</v>
      </c>
      <c r="D421" s="148"/>
      <c r="E421" s="148"/>
      <c r="F421" s="23" t="s">
        <v>51</v>
      </c>
      <c r="G421" s="24">
        <v>4</v>
      </c>
      <c r="H421" s="25">
        <v>1</v>
      </c>
      <c r="I421" s="25">
        <v>4</v>
      </c>
      <c r="J421" s="56">
        <f>6900/1.2</f>
        <v>5750</v>
      </c>
      <c r="K421" s="26">
        <v>1.04236</v>
      </c>
      <c r="L421" s="55">
        <f>G421*J421*K421</f>
        <v>23974.28</v>
      </c>
      <c r="M421" s="106"/>
      <c r="EX421" s="20"/>
      <c r="EY421" s="29" t="s">
        <v>254</v>
      </c>
      <c r="EZ421" s="29" t="s">
        <v>0</v>
      </c>
      <c r="FA421" s="29" t="s">
        <v>0</v>
      </c>
      <c r="FG421" s="29"/>
      <c r="FI421" s="29"/>
      <c r="FJ421" s="29"/>
    </row>
    <row r="422" spans="1:166" customFormat="1" ht="15" x14ac:dyDescent="0.25">
      <c r="A422" s="30"/>
      <c r="B422" s="31"/>
      <c r="C422" s="146" t="s">
        <v>251</v>
      </c>
      <c r="D422" s="146"/>
      <c r="E422" s="146"/>
      <c r="F422" s="146"/>
      <c r="G422" s="146"/>
      <c r="H422" s="146"/>
      <c r="I422" s="146"/>
      <c r="J422" s="146"/>
      <c r="K422" s="146"/>
      <c r="L422" s="149"/>
      <c r="M422" s="106"/>
      <c r="EX422" s="20"/>
      <c r="EY422" s="29"/>
      <c r="EZ422" s="29"/>
      <c r="FA422" s="29"/>
      <c r="FB422" s="3" t="s">
        <v>251</v>
      </c>
      <c r="FG422" s="29"/>
      <c r="FI422" s="29"/>
      <c r="FJ422" s="29"/>
    </row>
    <row r="423" spans="1:166" customFormat="1" ht="15" x14ac:dyDescent="0.25">
      <c r="A423" s="30"/>
      <c r="B423" s="31"/>
      <c r="C423" s="152" t="s">
        <v>312</v>
      </c>
      <c r="D423" s="146"/>
      <c r="E423" s="146"/>
      <c r="F423" s="146"/>
      <c r="G423" s="146"/>
      <c r="H423" s="146"/>
      <c r="I423" s="146"/>
      <c r="J423" s="146"/>
      <c r="K423" s="146"/>
      <c r="L423" s="149"/>
      <c r="M423" s="106"/>
      <c r="EX423" s="20"/>
      <c r="EY423" s="29"/>
      <c r="EZ423" s="29"/>
      <c r="FA423" s="29"/>
      <c r="FG423" s="29"/>
      <c r="FH423" s="3" t="s">
        <v>255</v>
      </c>
      <c r="FI423" s="29"/>
      <c r="FJ423" s="29"/>
    </row>
    <row r="424" spans="1:166" customFormat="1" ht="15" x14ac:dyDescent="0.25">
      <c r="A424" s="32"/>
      <c r="B424" s="33"/>
      <c r="C424" s="141" t="s">
        <v>54</v>
      </c>
      <c r="D424" s="141"/>
      <c r="E424" s="141"/>
      <c r="F424" s="141"/>
      <c r="G424" s="141"/>
      <c r="H424" s="141"/>
      <c r="I424" s="141"/>
      <c r="J424" s="141"/>
      <c r="K424" s="141"/>
      <c r="L424" s="150"/>
      <c r="M424" s="106"/>
      <c r="EX424" s="20"/>
      <c r="EY424" s="29"/>
      <c r="EZ424" s="29"/>
      <c r="FA424" s="29"/>
      <c r="FC424" s="3" t="s">
        <v>54</v>
      </c>
      <c r="FG424" s="29"/>
      <c r="FI424" s="29"/>
      <c r="FJ424" s="29"/>
    </row>
    <row r="425" spans="1:166" customFormat="1" ht="15" x14ac:dyDescent="0.25">
      <c r="A425" s="32"/>
      <c r="B425" s="33"/>
      <c r="C425" s="141" t="s">
        <v>55</v>
      </c>
      <c r="D425" s="141"/>
      <c r="E425" s="141"/>
      <c r="F425" s="141"/>
      <c r="G425" s="141"/>
      <c r="H425" s="141"/>
      <c r="I425" s="141"/>
      <c r="J425" s="141"/>
      <c r="K425" s="141"/>
      <c r="L425" s="150"/>
      <c r="M425" s="106"/>
      <c r="EX425" s="20"/>
      <c r="EY425" s="29"/>
      <c r="EZ425" s="29"/>
      <c r="FA425" s="29"/>
      <c r="FC425" s="3" t="s">
        <v>55</v>
      </c>
      <c r="FG425" s="29"/>
      <c r="FI425" s="29"/>
      <c r="FJ425" s="29"/>
    </row>
    <row r="426" spans="1:166" customFormat="1" ht="15" x14ac:dyDescent="0.25">
      <c r="A426" s="52"/>
      <c r="B426" s="53"/>
      <c r="C426" s="148" t="s">
        <v>48</v>
      </c>
      <c r="D426" s="148"/>
      <c r="E426" s="148"/>
      <c r="F426" s="23"/>
      <c r="G426" s="24"/>
      <c r="H426" s="24"/>
      <c r="I426" s="24"/>
      <c r="J426" s="27"/>
      <c r="K426" s="24"/>
      <c r="L426" s="96">
        <f>L421</f>
        <v>23974.28</v>
      </c>
      <c r="M426" s="106"/>
      <c r="EX426" s="20"/>
      <c r="EY426" s="29"/>
      <c r="EZ426" s="29"/>
      <c r="FA426" s="29"/>
      <c r="FG426" s="29" t="s">
        <v>48</v>
      </c>
      <c r="FI426" s="29"/>
      <c r="FJ426" s="29"/>
    </row>
    <row r="427" spans="1:166" customFormat="1" ht="15" x14ac:dyDescent="0.25">
      <c r="A427" s="52"/>
      <c r="B427" s="68"/>
      <c r="C427" s="68"/>
      <c r="D427" s="68"/>
      <c r="E427" s="68"/>
      <c r="F427" s="69"/>
      <c r="G427" s="69"/>
      <c r="H427" s="69"/>
      <c r="I427" s="69"/>
      <c r="J427" s="70"/>
      <c r="K427" s="69"/>
      <c r="L427" s="101"/>
      <c r="M427" s="106"/>
      <c r="EX427" s="20"/>
      <c r="EY427" s="29"/>
      <c r="EZ427" s="29"/>
      <c r="FA427" s="29"/>
      <c r="FG427" s="29"/>
      <c r="FI427" s="29"/>
      <c r="FJ427" s="29"/>
    </row>
    <row r="428" spans="1:166" customFormat="1" ht="15" x14ac:dyDescent="0.25">
      <c r="A428" s="71"/>
      <c r="B428" s="72"/>
      <c r="C428" s="148" t="s">
        <v>256</v>
      </c>
      <c r="D428" s="148"/>
      <c r="E428" s="148"/>
      <c r="F428" s="148"/>
      <c r="G428" s="148"/>
      <c r="H428" s="148"/>
      <c r="I428" s="148"/>
      <c r="J428" s="148"/>
      <c r="K428" s="148"/>
      <c r="L428" s="100">
        <f>L322+L328+L344+L350+L365+L371+L383+L389+L403+L408+L420+L426</f>
        <v>11078469.483766649</v>
      </c>
      <c r="M428" s="106"/>
      <c r="EX428" s="20"/>
      <c r="EY428" s="29"/>
      <c r="EZ428" s="29"/>
      <c r="FA428" s="29"/>
      <c r="FG428" s="29"/>
      <c r="FI428" s="29"/>
      <c r="FJ428" s="29" t="s">
        <v>256</v>
      </c>
    </row>
    <row r="429" spans="1:166" customFormat="1" ht="15" customHeight="1" x14ac:dyDescent="0.25">
      <c r="A429" s="90" t="s">
        <v>257</v>
      </c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2"/>
      <c r="M429" s="106"/>
      <c r="EX429" s="20" t="s">
        <v>257</v>
      </c>
      <c r="EY429" s="29"/>
      <c r="EZ429" s="29"/>
      <c r="FA429" s="29"/>
      <c r="FG429" s="29"/>
      <c r="FI429" s="29"/>
      <c r="FJ429" s="29"/>
    </row>
    <row r="430" spans="1:166" customFormat="1" ht="23.25" x14ac:dyDescent="0.25">
      <c r="A430" s="21" t="s">
        <v>258</v>
      </c>
      <c r="B430" s="22" t="s">
        <v>259</v>
      </c>
      <c r="C430" s="148" t="s">
        <v>260</v>
      </c>
      <c r="D430" s="148"/>
      <c r="E430" s="148"/>
      <c r="F430" s="23" t="s">
        <v>261</v>
      </c>
      <c r="G430" s="24">
        <v>16</v>
      </c>
      <c r="H430" s="25">
        <v>1</v>
      </c>
      <c r="I430" s="25">
        <v>16</v>
      </c>
      <c r="J430" s="27"/>
      <c r="K430" s="24"/>
      <c r="L430" s="28"/>
      <c r="M430" s="106"/>
      <c r="EX430" s="20"/>
      <c r="EY430" s="29" t="s">
        <v>260</v>
      </c>
      <c r="EZ430" s="29" t="s">
        <v>0</v>
      </c>
      <c r="FA430" s="29" t="s">
        <v>0</v>
      </c>
      <c r="FG430" s="29"/>
      <c r="FI430" s="29"/>
      <c r="FJ430" s="29"/>
    </row>
    <row r="431" spans="1:166" customFormat="1" ht="15" x14ac:dyDescent="0.25">
      <c r="A431" s="30"/>
      <c r="B431" s="31"/>
      <c r="C431" s="146" t="s">
        <v>262</v>
      </c>
      <c r="D431" s="146"/>
      <c r="E431" s="146"/>
      <c r="F431" s="146"/>
      <c r="G431" s="146"/>
      <c r="H431" s="146"/>
      <c r="I431" s="146"/>
      <c r="J431" s="146"/>
      <c r="K431" s="146"/>
      <c r="L431" s="149"/>
      <c r="M431" s="106"/>
      <c r="EX431" s="20"/>
      <c r="EY431" s="29"/>
      <c r="EZ431" s="29"/>
      <c r="FA431" s="29"/>
      <c r="FB431" s="3" t="s">
        <v>262</v>
      </c>
      <c r="FG431" s="29"/>
      <c r="FI431" s="29"/>
      <c r="FJ431" s="29"/>
    </row>
    <row r="432" spans="1:166" customFormat="1" ht="68.25" x14ac:dyDescent="0.25">
      <c r="A432" s="32"/>
      <c r="B432" s="33" t="s">
        <v>27</v>
      </c>
      <c r="C432" s="141" t="s">
        <v>28</v>
      </c>
      <c r="D432" s="141"/>
      <c r="E432" s="141"/>
      <c r="F432" s="141"/>
      <c r="G432" s="141"/>
      <c r="H432" s="141"/>
      <c r="I432" s="141"/>
      <c r="J432" s="141"/>
      <c r="K432" s="141"/>
      <c r="L432" s="150"/>
      <c r="M432" s="106"/>
      <c r="EX432" s="20"/>
      <c r="EY432" s="29"/>
      <c r="EZ432" s="29"/>
      <c r="FA432" s="29"/>
      <c r="FC432" s="3" t="s">
        <v>28</v>
      </c>
      <c r="FG432" s="29"/>
      <c r="FI432" s="29"/>
      <c r="FJ432" s="29"/>
    </row>
    <row r="433" spans="1:166" customFormat="1" ht="23.25" x14ac:dyDescent="0.25">
      <c r="A433" s="32"/>
      <c r="B433" s="33" t="s">
        <v>29</v>
      </c>
      <c r="C433" s="141" t="s">
        <v>30</v>
      </c>
      <c r="D433" s="141"/>
      <c r="E433" s="141"/>
      <c r="F433" s="141"/>
      <c r="G433" s="141"/>
      <c r="H433" s="141"/>
      <c r="I433" s="141"/>
      <c r="J433" s="141"/>
      <c r="K433" s="141"/>
      <c r="L433" s="150"/>
      <c r="M433" s="106"/>
      <c r="N433" s="118" t="s">
        <v>327</v>
      </c>
      <c r="EX433" s="20"/>
      <c r="EY433" s="29"/>
      <c r="EZ433" s="29"/>
      <c r="FA433" s="29"/>
      <c r="FC433" s="3" t="s">
        <v>30</v>
      </c>
      <c r="FG433" s="29"/>
      <c r="FI433" s="29"/>
      <c r="FJ433" s="29"/>
    </row>
    <row r="434" spans="1:166" customFormat="1" ht="15" x14ac:dyDescent="0.25">
      <c r="A434" s="34"/>
      <c r="B434" s="33" t="s">
        <v>22</v>
      </c>
      <c r="C434" s="146" t="s">
        <v>31</v>
      </c>
      <c r="D434" s="146"/>
      <c r="E434" s="146"/>
      <c r="F434" s="35"/>
      <c r="G434" s="36"/>
      <c r="H434" s="36"/>
      <c r="I434" s="36"/>
      <c r="J434" s="117">
        <f>O434</f>
        <v>6297.7520250000007</v>
      </c>
      <c r="K434" s="38">
        <v>1.3225</v>
      </c>
      <c r="L434" s="41">
        <f>G430*J434*K434</f>
        <v>133260.432849</v>
      </c>
      <c r="M434" s="106">
        <v>49.45</v>
      </c>
      <c r="N434" s="112">
        <f>J434*M434*K434</f>
        <v>411858.0252739407</v>
      </c>
      <c r="O434" s="113">
        <v>6297.7520250000007</v>
      </c>
      <c r="P434" s="105">
        <f>G435</f>
        <v>4.8600000000000003</v>
      </c>
      <c r="Q434" s="105">
        <f>O434/P434*8</f>
        <v>10366.67</v>
      </c>
      <c r="R434" s="105">
        <f>Q434*22</f>
        <v>228066.74</v>
      </c>
      <c r="S434" s="105">
        <f>R434*(1-0.43)</f>
        <v>129998.04180000001</v>
      </c>
      <c r="EX434" s="20"/>
      <c r="EY434" s="29"/>
      <c r="EZ434" s="29"/>
      <c r="FA434" s="29"/>
      <c r="FD434" s="3" t="s">
        <v>31</v>
      </c>
      <c r="FG434" s="29"/>
      <c r="FI434" s="29"/>
      <c r="FJ434" s="29"/>
    </row>
    <row r="435" spans="1:166" customFormat="1" ht="15" x14ac:dyDescent="0.25">
      <c r="A435" s="43"/>
      <c r="B435" s="33"/>
      <c r="C435" s="146" t="s">
        <v>38</v>
      </c>
      <c r="D435" s="146"/>
      <c r="E435" s="146"/>
      <c r="F435" s="35" t="s">
        <v>39</v>
      </c>
      <c r="G435" s="40">
        <v>4.8600000000000003</v>
      </c>
      <c r="H435" s="38">
        <v>1.3225</v>
      </c>
      <c r="I435" s="38">
        <v>102.83759999999999</v>
      </c>
      <c r="J435" s="45"/>
      <c r="K435" s="36"/>
      <c r="L435" s="46"/>
      <c r="M435" s="106"/>
      <c r="EX435" s="20"/>
      <c r="EY435" s="29"/>
      <c r="EZ435" s="29"/>
      <c r="FA435" s="29"/>
      <c r="FE435" s="3" t="s">
        <v>38</v>
      </c>
      <c r="FG435" s="29"/>
      <c r="FI435" s="29"/>
      <c r="FJ435" s="29"/>
    </row>
    <row r="436" spans="1:166" customFormat="1" ht="15" x14ac:dyDescent="0.25">
      <c r="A436" s="30"/>
      <c r="B436" s="33"/>
      <c r="C436" s="151" t="s">
        <v>41</v>
      </c>
      <c r="D436" s="151"/>
      <c r="E436" s="151"/>
      <c r="F436" s="47"/>
      <c r="G436" s="48"/>
      <c r="H436" s="48"/>
      <c r="I436" s="48"/>
      <c r="J436" s="62">
        <v>55.71</v>
      </c>
      <c r="K436" s="48"/>
      <c r="L436" s="50">
        <f>L434</f>
        <v>133260.432849</v>
      </c>
      <c r="M436" s="106"/>
      <c r="EX436" s="20"/>
      <c r="EY436" s="29"/>
      <c r="EZ436" s="29"/>
      <c r="FA436" s="29"/>
      <c r="FF436" s="3" t="s">
        <v>41</v>
      </c>
      <c r="FG436" s="29"/>
      <c r="FI436" s="29"/>
      <c r="FJ436" s="29"/>
    </row>
    <row r="437" spans="1:166" customFormat="1" ht="15" x14ac:dyDescent="0.25">
      <c r="A437" s="43"/>
      <c r="B437" s="33"/>
      <c r="C437" s="146" t="s">
        <v>42</v>
      </c>
      <c r="D437" s="146"/>
      <c r="E437" s="146"/>
      <c r="F437" s="35"/>
      <c r="G437" s="36"/>
      <c r="H437" s="36"/>
      <c r="I437" s="36"/>
      <c r="J437" s="45"/>
      <c r="K437" s="36"/>
      <c r="L437" s="41">
        <f>L434</f>
        <v>133260.432849</v>
      </c>
      <c r="M437" s="106"/>
      <c r="EX437" s="20"/>
      <c r="EY437" s="29"/>
      <c r="EZ437" s="29"/>
      <c r="FA437" s="29"/>
      <c r="FE437" s="3" t="s">
        <v>42</v>
      </c>
      <c r="FG437" s="29"/>
      <c r="FI437" s="29"/>
      <c r="FJ437" s="29"/>
    </row>
    <row r="438" spans="1:166" customFormat="1" ht="23.25" x14ac:dyDescent="0.25">
      <c r="A438" s="43"/>
      <c r="B438" s="33" t="s">
        <v>263</v>
      </c>
      <c r="C438" s="146" t="s">
        <v>264</v>
      </c>
      <c r="D438" s="146"/>
      <c r="E438" s="146"/>
      <c r="F438" s="35" t="s">
        <v>45</v>
      </c>
      <c r="G438" s="51">
        <v>74</v>
      </c>
      <c r="H438" s="36"/>
      <c r="I438" s="51">
        <v>74</v>
      </c>
      <c r="J438" s="45"/>
      <c r="K438" s="36"/>
      <c r="L438" s="42">
        <f>L437*I438%</f>
        <v>98612.720308260003</v>
      </c>
      <c r="M438" s="106"/>
      <c r="EX438" s="20"/>
      <c r="EY438" s="29"/>
      <c r="EZ438" s="29"/>
      <c r="FA438" s="29"/>
      <c r="FE438" s="3" t="s">
        <v>264</v>
      </c>
      <c r="FG438" s="29"/>
      <c r="FI438" s="29"/>
      <c r="FJ438" s="29"/>
    </row>
    <row r="439" spans="1:166" customFormat="1" ht="23.25" x14ac:dyDescent="0.25">
      <c r="A439" s="43"/>
      <c r="B439" s="33" t="s">
        <v>265</v>
      </c>
      <c r="C439" s="146" t="s">
        <v>266</v>
      </c>
      <c r="D439" s="146"/>
      <c r="E439" s="146"/>
      <c r="F439" s="35" t="s">
        <v>45</v>
      </c>
      <c r="G439" s="51">
        <v>36</v>
      </c>
      <c r="H439" s="36"/>
      <c r="I439" s="51">
        <v>36</v>
      </c>
      <c r="J439" s="45"/>
      <c r="K439" s="36"/>
      <c r="L439" s="42">
        <f>L437*I439%</f>
        <v>47973.755825640001</v>
      </c>
      <c r="M439" s="106"/>
      <c r="EX439" s="20"/>
      <c r="EY439" s="29"/>
      <c r="EZ439" s="29"/>
      <c r="FA439" s="29"/>
      <c r="FE439" s="3" t="s">
        <v>266</v>
      </c>
      <c r="FG439" s="29"/>
      <c r="FI439" s="29"/>
      <c r="FJ439" s="29"/>
    </row>
    <row r="440" spans="1:166" customFormat="1" ht="15" x14ac:dyDescent="0.25">
      <c r="A440" s="52"/>
      <c r="B440" s="53"/>
      <c r="C440" s="148" t="s">
        <v>48</v>
      </c>
      <c r="D440" s="148"/>
      <c r="E440" s="148"/>
      <c r="F440" s="23"/>
      <c r="G440" s="24"/>
      <c r="H440" s="24"/>
      <c r="I440" s="24"/>
      <c r="J440" s="27"/>
      <c r="K440" s="24"/>
      <c r="L440" s="96">
        <f>L436+L438+L439</f>
        <v>279846.90898290003</v>
      </c>
      <c r="M440" s="106"/>
      <c r="EX440" s="20"/>
      <c r="EY440" s="29"/>
      <c r="EZ440" s="29"/>
      <c r="FA440" s="29"/>
      <c r="FG440" s="29" t="s">
        <v>48</v>
      </c>
      <c r="FI440" s="29"/>
      <c r="FJ440" s="29"/>
    </row>
    <row r="441" spans="1:166" customFormat="1" ht="34.5" x14ac:dyDescent="0.25">
      <c r="A441" s="21" t="s">
        <v>267</v>
      </c>
      <c r="B441" s="22" t="s">
        <v>268</v>
      </c>
      <c r="C441" s="148" t="s">
        <v>269</v>
      </c>
      <c r="D441" s="148"/>
      <c r="E441" s="148"/>
      <c r="F441" s="23" t="s">
        <v>51</v>
      </c>
      <c r="G441" s="24">
        <v>8</v>
      </c>
      <c r="H441" s="25">
        <v>1</v>
      </c>
      <c r="I441" s="25">
        <v>8</v>
      </c>
      <c r="J441" s="27"/>
      <c r="K441" s="24"/>
      <c r="L441" s="28"/>
      <c r="M441" s="106"/>
      <c r="EX441" s="20"/>
      <c r="EY441" s="29" t="s">
        <v>269</v>
      </c>
      <c r="EZ441" s="29" t="s">
        <v>0</v>
      </c>
      <c r="FA441" s="29" t="s">
        <v>0</v>
      </c>
      <c r="FG441" s="29"/>
      <c r="FI441" s="29"/>
      <c r="FJ441" s="29"/>
    </row>
    <row r="442" spans="1:166" customFormat="1" ht="15" x14ac:dyDescent="0.25">
      <c r="A442" s="30"/>
      <c r="B442" s="31"/>
      <c r="C442" s="146" t="s">
        <v>270</v>
      </c>
      <c r="D442" s="146"/>
      <c r="E442" s="146"/>
      <c r="F442" s="146"/>
      <c r="G442" s="146"/>
      <c r="H442" s="146"/>
      <c r="I442" s="146"/>
      <c r="J442" s="146"/>
      <c r="K442" s="146"/>
      <c r="L442" s="149"/>
      <c r="M442" s="106"/>
      <c r="EX442" s="20"/>
      <c r="EY442" s="29"/>
      <c r="EZ442" s="29"/>
      <c r="FA442" s="29"/>
      <c r="FB442" s="3" t="s">
        <v>270</v>
      </c>
      <c r="FG442" s="29"/>
      <c r="FI442" s="29"/>
      <c r="FJ442" s="29"/>
    </row>
    <row r="443" spans="1:166" customFormat="1" ht="68.25" x14ac:dyDescent="0.25">
      <c r="A443" s="32"/>
      <c r="B443" s="33" t="s">
        <v>27</v>
      </c>
      <c r="C443" s="141" t="s">
        <v>28</v>
      </c>
      <c r="D443" s="141"/>
      <c r="E443" s="141"/>
      <c r="F443" s="141"/>
      <c r="G443" s="141"/>
      <c r="H443" s="141"/>
      <c r="I443" s="141"/>
      <c r="J443" s="141"/>
      <c r="K443" s="141"/>
      <c r="L443" s="150"/>
      <c r="M443" s="106"/>
      <c r="EX443" s="20"/>
      <c r="EY443" s="29"/>
      <c r="EZ443" s="29"/>
      <c r="FA443" s="29"/>
      <c r="FC443" s="3" t="s">
        <v>28</v>
      </c>
      <c r="FG443" s="29"/>
      <c r="FI443" s="29"/>
      <c r="FJ443" s="29"/>
    </row>
    <row r="444" spans="1:166" customFormat="1" ht="23.25" x14ac:dyDescent="0.25">
      <c r="A444" s="32"/>
      <c r="B444" s="33" t="s">
        <v>29</v>
      </c>
      <c r="C444" s="141" t="s">
        <v>30</v>
      </c>
      <c r="D444" s="141"/>
      <c r="E444" s="141"/>
      <c r="F444" s="141"/>
      <c r="G444" s="141"/>
      <c r="H444" s="141"/>
      <c r="I444" s="141"/>
      <c r="J444" s="141"/>
      <c r="K444" s="141"/>
      <c r="L444" s="150"/>
      <c r="M444" s="106"/>
      <c r="N444" s="118" t="s">
        <v>325</v>
      </c>
      <c r="EX444" s="20"/>
      <c r="EY444" s="29"/>
      <c r="EZ444" s="29"/>
      <c r="FA444" s="29"/>
      <c r="FC444" s="3" t="s">
        <v>30</v>
      </c>
      <c r="FG444" s="29"/>
      <c r="FI444" s="29"/>
      <c r="FJ444" s="29"/>
    </row>
    <row r="445" spans="1:166" customFormat="1" ht="15" x14ac:dyDescent="0.25">
      <c r="A445" s="34"/>
      <c r="B445" s="33" t="s">
        <v>22</v>
      </c>
      <c r="C445" s="146" t="s">
        <v>31</v>
      </c>
      <c r="D445" s="146"/>
      <c r="E445" s="146"/>
      <c r="F445" s="35"/>
      <c r="G445" s="36"/>
      <c r="H445" s="36"/>
      <c r="I445" s="36"/>
      <c r="J445" s="117">
        <f>O445</f>
        <v>1062.5836750000001</v>
      </c>
      <c r="K445" s="38">
        <v>1.3225</v>
      </c>
      <c r="L445" s="42">
        <f>G441*J445*K445</f>
        <v>11242.135281500001</v>
      </c>
      <c r="M445" s="106">
        <v>49.45</v>
      </c>
      <c r="N445" s="112">
        <f>J445*M445*K445</f>
        <v>69490.448708771888</v>
      </c>
      <c r="O445" s="113">
        <v>1062.5836750000001</v>
      </c>
      <c r="P445" s="105">
        <f>G446</f>
        <v>0.82</v>
      </c>
      <c r="Q445" s="105">
        <f>O445/P445*8</f>
        <v>10366.670000000002</v>
      </c>
      <c r="R445" s="105">
        <f>Q445*22</f>
        <v>228066.74000000005</v>
      </c>
      <c r="S445" s="105">
        <f>R445*(1-0.43)</f>
        <v>129998.04180000004</v>
      </c>
      <c r="EX445" s="20"/>
      <c r="EY445" s="29"/>
      <c r="EZ445" s="29"/>
      <c r="FA445" s="29"/>
      <c r="FD445" s="3" t="s">
        <v>31</v>
      </c>
      <c r="FG445" s="29"/>
      <c r="FI445" s="29"/>
      <c r="FJ445" s="29"/>
    </row>
    <row r="446" spans="1:166" customFormat="1" ht="15" x14ac:dyDescent="0.25">
      <c r="A446" s="43"/>
      <c r="B446" s="33"/>
      <c r="C446" s="146" t="s">
        <v>38</v>
      </c>
      <c r="D446" s="146"/>
      <c r="E446" s="146"/>
      <c r="F446" s="35" t="s">
        <v>39</v>
      </c>
      <c r="G446" s="40">
        <v>0.82</v>
      </c>
      <c r="H446" s="38">
        <v>1.3225</v>
      </c>
      <c r="I446" s="38">
        <v>8.6755999999999993</v>
      </c>
      <c r="J446" s="45"/>
      <c r="K446" s="36"/>
      <c r="L446" s="46"/>
      <c r="M446" s="106"/>
      <c r="EX446" s="20"/>
      <c r="EY446" s="29"/>
      <c r="EZ446" s="29"/>
      <c r="FA446" s="29"/>
      <c r="FE446" s="3" t="s">
        <v>38</v>
      </c>
      <c r="FG446" s="29"/>
      <c r="FI446" s="29"/>
      <c r="FJ446" s="29"/>
    </row>
    <row r="447" spans="1:166" customFormat="1" ht="15" x14ac:dyDescent="0.25">
      <c r="A447" s="30"/>
      <c r="B447" s="33"/>
      <c r="C447" s="151" t="s">
        <v>41</v>
      </c>
      <c r="D447" s="151"/>
      <c r="E447" s="151"/>
      <c r="F447" s="47"/>
      <c r="G447" s="48"/>
      <c r="H447" s="48"/>
      <c r="I447" s="48"/>
      <c r="J447" s="62">
        <v>10.5</v>
      </c>
      <c r="K447" s="48"/>
      <c r="L447" s="66">
        <f>L445</f>
        <v>11242.135281500001</v>
      </c>
      <c r="M447" s="106"/>
      <c r="EX447" s="20"/>
      <c r="EY447" s="29"/>
      <c r="EZ447" s="29"/>
      <c r="FA447" s="29"/>
      <c r="FF447" s="3" t="s">
        <v>41</v>
      </c>
      <c r="FG447" s="29"/>
      <c r="FI447" s="29"/>
      <c r="FJ447" s="29"/>
    </row>
    <row r="448" spans="1:166" customFormat="1" ht="15" x14ac:dyDescent="0.25">
      <c r="A448" s="43"/>
      <c r="B448" s="33"/>
      <c r="C448" s="146" t="s">
        <v>42</v>
      </c>
      <c r="D448" s="146"/>
      <c r="E448" s="146"/>
      <c r="F448" s="35"/>
      <c r="G448" s="36"/>
      <c r="H448" s="36"/>
      <c r="I448" s="36"/>
      <c r="J448" s="45"/>
      <c r="K448" s="36"/>
      <c r="L448" s="42">
        <f>L445</f>
        <v>11242.135281500001</v>
      </c>
      <c r="M448" s="106"/>
      <c r="EX448" s="20"/>
      <c r="EY448" s="29"/>
      <c r="EZ448" s="29"/>
      <c r="FA448" s="29"/>
      <c r="FE448" s="3" t="s">
        <v>42</v>
      </c>
      <c r="FG448" s="29"/>
      <c r="FI448" s="29"/>
      <c r="FJ448" s="29"/>
    </row>
    <row r="449" spans="1:169" customFormat="1" ht="23.25" x14ac:dyDescent="0.25">
      <c r="A449" s="43"/>
      <c r="B449" s="33" t="s">
        <v>263</v>
      </c>
      <c r="C449" s="146" t="s">
        <v>264</v>
      </c>
      <c r="D449" s="146"/>
      <c r="E449" s="146"/>
      <c r="F449" s="35" t="s">
        <v>45</v>
      </c>
      <c r="G449" s="51">
        <v>74</v>
      </c>
      <c r="H449" s="36"/>
      <c r="I449" s="51">
        <v>74</v>
      </c>
      <c r="J449" s="45"/>
      <c r="K449" s="36"/>
      <c r="L449" s="42">
        <f>L448*I449%</f>
        <v>8319.1801083099999</v>
      </c>
      <c r="M449" s="106"/>
      <c r="EX449" s="20"/>
      <c r="EY449" s="29"/>
      <c r="EZ449" s="29"/>
      <c r="FA449" s="29"/>
      <c r="FE449" s="3" t="s">
        <v>264</v>
      </c>
      <c r="FG449" s="29"/>
      <c r="FI449" s="29"/>
      <c r="FJ449" s="29"/>
    </row>
    <row r="450" spans="1:169" customFormat="1" ht="23.25" x14ac:dyDescent="0.25">
      <c r="A450" s="43"/>
      <c r="B450" s="33" t="s">
        <v>265</v>
      </c>
      <c r="C450" s="146" t="s">
        <v>266</v>
      </c>
      <c r="D450" s="146"/>
      <c r="E450" s="146"/>
      <c r="F450" s="35" t="s">
        <v>45</v>
      </c>
      <c r="G450" s="51">
        <v>36</v>
      </c>
      <c r="H450" s="36"/>
      <c r="I450" s="51">
        <v>36</v>
      </c>
      <c r="J450" s="45"/>
      <c r="K450" s="36"/>
      <c r="L450" s="42">
        <f>L448*I450%</f>
        <v>4047.1687013400001</v>
      </c>
      <c r="M450" s="106"/>
      <c r="EX450" s="20"/>
      <c r="EY450" s="29"/>
      <c r="EZ450" s="29"/>
      <c r="FA450" s="29"/>
      <c r="FE450" s="3" t="s">
        <v>266</v>
      </c>
      <c r="FG450" s="29"/>
      <c r="FI450" s="29"/>
      <c r="FJ450" s="29"/>
    </row>
    <row r="451" spans="1:169" customFormat="1" ht="15" x14ac:dyDescent="0.25">
      <c r="A451" s="52"/>
      <c r="B451" s="53"/>
      <c r="C451" s="148" t="s">
        <v>48</v>
      </c>
      <c r="D451" s="148"/>
      <c r="E451" s="148"/>
      <c r="F451" s="23"/>
      <c r="G451" s="24"/>
      <c r="H451" s="24"/>
      <c r="I451" s="24"/>
      <c r="J451" s="27"/>
      <c r="K451" s="24"/>
      <c r="L451" s="99">
        <f>L447+L449+L450</f>
        <v>23608.48409115</v>
      </c>
      <c r="M451" s="106"/>
      <c r="EX451" s="20"/>
      <c r="EY451" s="29"/>
      <c r="EZ451" s="29"/>
      <c r="FA451" s="29"/>
      <c r="FG451" s="29" t="s">
        <v>48</v>
      </c>
      <c r="FI451" s="29"/>
      <c r="FJ451" s="29"/>
    </row>
    <row r="452" spans="1:169" customFormat="1" ht="15" x14ac:dyDescent="0.25">
      <c r="A452" s="52"/>
      <c r="B452" s="68"/>
      <c r="C452" s="68"/>
      <c r="D452" s="68"/>
      <c r="E452" s="68"/>
      <c r="F452" s="69"/>
      <c r="G452" s="69"/>
      <c r="H452" s="69"/>
      <c r="I452" s="69"/>
      <c r="J452" s="70"/>
      <c r="K452" s="69"/>
      <c r="L452" s="101"/>
      <c r="M452" s="106"/>
      <c r="EX452" s="20"/>
      <c r="EY452" s="29"/>
      <c r="EZ452" s="29"/>
      <c r="FA452" s="29"/>
      <c r="FG452" s="29"/>
      <c r="FI452" s="29"/>
      <c r="FJ452" s="29"/>
    </row>
    <row r="453" spans="1:169" customFormat="1" ht="15" x14ac:dyDescent="0.25">
      <c r="A453" s="71"/>
      <c r="B453" s="72"/>
      <c r="C453" s="148" t="s">
        <v>271</v>
      </c>
      <c r="D453" s="148"/>
      <c r="E453" s="148"/>
      <c r="F453" s="148"/>
      <c r="G453" s="148"/>
      <c r="H453" s="148"/>
      <c r="I453" s="148"/>
      <c r="J453" s="148"/>
      <c r="K453" s="148"/>
      <c r="L453" s="100">
        <f>L440+L451</f>
        <v>303455.39307405002</v>
      </c>
      <c r="M453" s="106"/>
      <c r="EX453" s="20"/>
      <c r="EY453" s="29"/>
      <c r="EZ453" s="29"/>
      <c r="FA453" s="29"/>
      <c r="FG453" s="29"/>
      <c r="FI453" s="29"/>
      <c r="FJ453" s="29" t="s">
        <v>271</v>
      </c>
    </row>
    <row r="454" spans="1:169" customFormat="1" ht="11.25" hidden="1" customHeight="1" x14ac:dyDescent="0.25">
      <c r="A454" s="9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102"/>
      <c r="M454" s="106"/>
    </row>
    <row r="455" spans="1:169" customFormat="1" ht="15" x14ac:dyDescent="0.25">
      <c r="A455" s="71"/>
      <c r="B455" s="72"/>
      <c r="C455" s="148" t="s">
        <v>272</v>
      </c>
      <c r="D455" s="148"/>
      <c r="E455" s="148"/>
      <c r="F455" s="148"/>
      <c r="G455" s="148"/>
      <c r="H455" s="148"/>
      <c r="I455" s="148"/>
      <c r="J455" s="148"/>
      <c r="K455" s="148"/>
      <c r="L455" s="74"/>
      <c r="M455" s="106"/>
      <c r="FK455" s="29" t="s">
        <v>272</v>
      </c>
    </row>
    <row r="456" spans="1:169" customFormat="1" ht="16.5" x14ac:dyDescent="0.3">
      <c r="A456" s="75"/>
      <c r="B456" s="33"/>
      <c r="C456" s="146" t="s">
        <v>273</v>
      </c>
      <c r="D456" s="146"/>
      <c r="E456" s="146"/>
      <c r="F456" s="146"/>
      <c r="G456" s="146"/>
      <c r="H456" s="146"/>
      <c r="I456" s="146"/>
      <c r="J456" s="146"/>
      <c r="K456" s="146"/>
      <c r="L456" s="76">
        <f>L28+L61+L109+L130+L151+L177+L192+L202+L213+L231+L248+L266+L282+L293+L318+L340+L361+L379+L399+L416+L436+L447+L38+L44+L47+L50+L71+L77+L82+L87+L92+L97+L119+L140+L160+L165+L220+L237+L255+L275+L300+L305+L328+L350+L371+L389+L408+L426</f>
        <v>12912988.438774031</v>
      </c>
      <c r="M456" s="109"/>
      <c r="N456" s="77"/>
      <c r="O456" s="77"/>
      <c r="FK456" s="29"/>
      <c r="FL456" s="3" t="s">
        <v>273</v>
      </c>
    </row>
    <row r="457" spans="1:169" customFormat="1" ht="16.5" x14ac:dyDescent="0.3">
      <c r="A457" s="75"/>
      <c r="B457" s="78"/>
      <c r="C457" s="145" t="s">
        <v>274</v>
      </c>
      <c r="D457" s="145"/>
      <c r="E457" s="145"/>
      <c r="F457" s="145"/>
      <c r="G457" s="145"/>
      <c r="H457" s="145"/>
      <c r="I457" s="145"/>
      <c r="J457" s="145"/>
      <c r="K457" s="145"/>
      <c r="L457" s="80">
        <f>L456+L459+L460</f>
        <v>17172568.238141254</v>
      </c>
      <c r="M457" s="109"/>
      <c r="N457" s="77"/>
      <c r="O457" s="77"/>
      <c r="FK457" s="29"/>
      <c r="FM457" s="29" t="s">
        <v>274</v>
      </c>
    </row>
    <row r="458" spans="1:169" customFormat="1" ht="16.5" x14ac:dyDescent="0.3">
      <c r="A458" s="75"/>
      <c r="B458" s="33"/>
      <c r="C458" s="146" t="s">
        <v>275</v>
      </c>
      <c r="D458" s="146"/>
      <c r="E458" s="146"/>
      <c r="F458" s="146"/>
      <c r="G458" s="146"/>
      <c r="H458" s="146"/>
      <c r="I458" s="146"/>
      <c r="J458" s="146"/>
      <c r="K458" s="146"/>
      <c r="L458" s="76">
        <f>L29+L62+L110+L131+L152+L178+L193+L203+L214+L232+L249+L267+L283+L294+L319+L341+L362+L380+L400+L417+L437+L448</f>
        <v>2869716.7644353136</v>
      </c>
      <c r="M458" s="109"/>
      <c r="N458" s="77"/>
      <c r="O458" s="77"/>
      <c r="FK458" s="29"/>
      <c r="FL458" s="3" t="s">
        <v>275</v>
      </c>
      <c r="FM458" s="29"/>
    </row>
    <row r="459" spans="1:169" customFormat="1" ht="16.5" x14ac:dyDescent="0.3">
      <c r="A459" s="75"/>
      <c r="B459" s="33"/>
      <c r="C459" s="146" t="s">
        <v>276</v>
      </c>
      <c r="D459" s="146"/>
      <c r="E459" s="146"/>
      <c r="F459" s="146"/>
      <c r="G459" s="146"/>
      <c r="H459" s="146"/>
      <c r="I459" s="146"/>
      <c r="J459" s="146"/>
      <c r="K459" s="146"/>
      <c r="L459" s="76">
        <f>L30+L63+L111+L132+L153+L179+L194+L204+L215+L233+L250+L268+L284+L295+L320+L342+L363+L381+L401+L418+L438+L449</f>
        <v>2778930.729328027</v>
      </c>
      <c r="M459" s="109"/>
      <c r="N459" s="77"/>
      <c r="O459" s="77"/>
      <c r="FK459" s="29"/>
      <c r="FL459" s="3" t="s">
        <v>276</v>
      </c>
      <c r="FM459" s="29"/>
    </row>
    <row r="460" spans="1:169" customFormat="1" ht="16.5" x14ac:dyDescent="0.3">
      <c r="A460" s="75"/>
      <c r="B460" s="33"/>
      <c r="C460" s="146" t="s">
        <v>277</v>
      </c>
      <c r="D460" s="146"/>
      <c r="E460" s="146"/>
      <c r="F460" s="146"/>
      <c r="G460" s="146"/>
      <c r="H460" s="146"/>
      <c r="I460" s="146"/>
      <c r="J460" s="146"/>
      <c r="K460" s="146"/>
      <c r="L460" s="76">
        <f>L31+L64+L112+L133+L154+L180+L195+L205+L216+L234+L251+L269+L285+L296+L321+L343+L364+L382+L402+L419+L439+L450</f>
        <v>1480649.0700391957</v>
      </c>
      <c r="M460" s="109"/>
      <c r="N460" s="77"/>
      <c r="O460" s="77"/>
      <c r="FK460" s="29"/>
      <c r="FL460" s="3" t="s">
        <v>277</v>
      </c>
      <c r="FM460" s="29"/>
    </row>
    <row r="461" spans="1:169" customFormat="1" ht="16.5" x14ac:dyDescent="0.3">
      <c r="A461" s="75"/>
      <c r="B461" s="78"/>
      <c r="C461" s="145" t="s">
        <v>278</v>
      </c>
      <c r="D461" s="145"/>
      <c r="E461" s="145"/>
      <c r="F461" s="145"/>
      <c r="G461" s="145"/>
      <c r="H461" s="145"/>
      <c r="I461" s="145"/>
      <c r="J461" s="145"/>
      <c r="K461" s="145"/>
      <c r="L461" s="80">
        <f>L457-L453</f>
        <v>16869112.845067203</v>
      </c>
      <c r="M461" s="109"/>
      <c r="N461" s="91"/>
      <c r="O461" s="77"/>
      <c r="FK461" s="29"/>
      <c r="FM461" s="29" t="s">
        <v>278</v>
      </c>
    </row>
    <row r="462" spans="1:169" customFormat="1" ht="16.5" x14ac:dyDescent="0.3">
      <c r="A462" s="75"/>
      <c r="B462" s="33"/>
      <c r="C462" s="146" t="s">
        <v>279</v>
      </c>
      <c r="D462" s="146"/>
      <c r="E462" s="146"/>
      <c r="F462" s="146"/>
      <c r="G462" s="146"/>
      <c r="H462" s="146"/>
      <c r="I462" s="146"/>
      <c r="J462" s="146"/>
      <c r="K462" s="146"/>
      <c r="L462" s="76">
        <f>L461*0.0224</f>
        <v>377868.12772950536</v>
      </c>
      <c r="M462" s="109"/>
      <c r="N462" s="77"/>
      <c r="O462" s="77"/>
      <c r="FK462" s="29"/>
      <c r="FL462" s="3" t="s">
        <v>279</v>
      </c>
      <c r="FM462" s="29"/>
    </row>
    <row r="463" spans="1:169" customFormat="1" ht="16.5" x14ac:dyDescent="0.3">
      <c r="A463" s="75"/>
      <c r="B463" s="78"/>
      <c r="C463" s="145" t="s">
        <v>274</v>
      </c>
      <c r="D463" s="145"/>
      <c r="E463" s="145"/>
      <c r="F463" s="145"/>
      <c r="G463" s="145"/>
      <c r="H463" s="145"/>
      <c r="I463" s="145"/>
      <c r="J463" s="145"/>
      <c r="K463" s="145"/>
      <c r="L463" s="80">
        <f>L461+L462</f>
        <v>17246980.972796708</v>
      </c>
      <c r="M463" s="109"/>
      <c r="N463" s="77"/>
      <c r="O463" s="77"/>
      <c r="FK463" s="29"/>
      <c r="FM463" s="29" t="s">
        <v>274</v>
      </c>
    </row>
    <row r="464" spans="1:169" customFormat="1" ht="16.5" x14ac:dyDescent="0.3">
      <c r="A464" s="75"/>
      <c r="B464" s="33"/>
      <c r="C464" s="146" t="s">
        <v>280</v>
      </c>
      <c r="D464" s="146"/>
      <c r="E464" s="146"/>
      <c r="F464" s="146"/>
      <c r="G464" s="146"/>
      <c r="H464" s="146"/>
      <c r="I464" s="146"/>
      <c r="J464" s="146"/>
      <c r="K464" s="146"/>
      <c r="L464" s="76">
        <f>L463*0.024</f>
        <v>413927.54334712098</v>
      </c>
      <c r="M464" s="109"/>
      <c r="N464" s="77"/>
      <c r="O464" s="77"/>
      <c r="FK464" s="29"/>
      <c r="FL464" s="3" t="s">
        <v>280</v>
      </c>
      <c r="FM464" s="29"/>
    </row>
    <row r="465" spans="1:233" customFormat="1" ht="16.5" x14ac:dyDescent="0.3">
      <c r="A465" s="75"/>
      <c r="B465" s="78"/>
      <c r="C465" s="145" t="s">
        <v>274</v>
      </c>
      <c r="D465" s="145"/>
      <c r="E465" s="145"/>
      <c r="F465" s="145"/>
      <c r="G465" s="145"/>
      <c r="H465" s="145"/>
      <c r="I465" s="145"/>
      <c r="J465" s="145"/>
      <c r="K465" s="145"/>
      <c r="L465" s="80">
        <f>L463+L464</f>
        <v>17660908.516143829</v>
      </c>
      <c r="M465" s="109"/>
      <c r="N465" s="77"/>
      <c r="O465" s="77"/>
      <c r="FK465" s="29"/>
      <c r="FM465" s="29" t="s">
        <v>274</v>
      </c>
    </row>
    <row r="466" spans="1:233" customFormat="1" ht="16.5" x14ac:dyDescent="0.3">
      <c r="A466" s="75"/>
      <c r="B466" s="78"/>
      <c r="C466" s="145" t="s">
        <v>281</v>
      </c>
      <c r="D466" s="145"/>
      <c r="E466" s="145"/>
      <c r="F466" s="145"/>
      <c r="G466" s="145"/>
      <c r="H466" s="145"/>
      <c r="I466" s="145"/>
      <c r="J466" s="145"/>
      <c r="K466" s="145"/>
      <c r="L466" s="80">
        <f>L465+L453</f>
        <v>17964363.909217879</v>
      </c>
      <c r="M466" s="123">
        <f>L466*1.2</f>
        <v>21557236.691061456</v>
      </c>
      <c r="N466" s="77"/>
      <c r="O466" s="77"/>
      <c r="FK466" s="29"/>
      <c r="FM466" s="29" t="s">
        <v>281</v>
      </c>
    </row>
    <row r="467" spans="1:233" customFormat="1" ht="16.5" x14ac:dyDescent="0.3">
      <c r="A467" s="75"/>
      <c r="B467" s="33"/>
      <c r="C467" s="146" t="s">
        <v>282</v>
      </c>
      <c r="D467" s="146"/>
      <c r="E467" s="146"/>
      <c r="F467" s="146"/>
      <c r="G467" s="146"/>
      <c r="H467" s="146"/>
      <c r="I467" s="146"/>
      <c r="J467" s="146"/>
      <c r="K467" s="146"/>
      <c r="L467" s="76">
        <f>L466*0.03</f>
        <v>538930.91727653635</v>
      </c>
      <c r="M467" s="109"/>
      <c r="N467" s="77"/>
      <c r="O467" s="77"/>
      <c r="FK467" s="29"/>
      <c r="FL467" s="3" t="s">
        <v>282</v>
      </c>
      <c r="FM467" s="29"/>
    </row>
    <row r="468" spans="1:233" customFormat="1" ht="16.5" x14ac:dyDescent="0.3">
      <c r="A468" s="75"/>
      <c r="B468" s="78"/>
      <c r="C468" s="145" t="s">
        <v>283</v>
      </c>
      <c r="D468" s="145"/>
      <c r="E468" s="145"/>
      <c r="F468" s="145"/>
      <c r="G468" s="145"/>
      <c r="H468" s="145"/>
      <c r="I468" s="145"/>
      <c r="J468" s="145"/>
      <c r="K468" s="145"/>
      <c r="L468" s="80">
        <f>L466+L467</f>
        <v>18503294.826494414</v>
      </c>
      <c r="M468" s="109"/>
      <c r="N468" s="77"/>
      <c r="O468" s="77"/>
      <c r="FK468" s="29"/>
      <c r="FM468" s="29" t="s">
        <v>283</v>
      </c>
    </row>
    <row r="469" spans="1:233" customFormat="1" ht="16.5" hidden="1" x14ac:dyDescent="0.3">
      <c r="A469" s="75"/>
      <c r="B469" s="33"/>
      <c r="C469" s="146" t="s">
        <v>284</v>
      </c>
      <c r="D469" s="146"/>
      <c r="E469" s="146"/>
      <c r="F469" s="146"/>
      <c r="G469" s="146"/>
      <c r="H469" s="146"/>
      <c r="I469" s="146"/>
      <c r="J469" s="146"/>
      <c r="K469" s="146"/>
      <c r="L469" s="76">
        <f>L468*1</f>
        <v>18503294.826494414</v>
      </c>
      <c r="M469" s="109"/>
      <c r="N469" s="77"/>
      <c r="O469" s="77"/>
      <c r="FK469" s="29"/>
      <c r="FL469" s="3" t="s">
        <v>284</v>
      </c>
      <c r="FM469" s="29"/>
    </row>
    <row r="470" spans="1:233" customFormat="1" ht="16.5" x14ac:dyDescent="0.3">
      <c r="A470" s="75"/>
      <c r="B470" s="78"/>
      <c r="C470" s="145" t="s">
        <v>285</v>
      </c>
      <c r="D470" s="145"/>
      <c r="E470" s="145"/>
      <c r="F470" s="145"/>
      <c r="G470" s="145"/>
      <c r="H470" s="145"/>
      <c r="I470" s="145"/>
      <c r="J470" s="145"/>
      <c r="K470" s="145"/>
      <c r="L470" s="80">
        <f>L469</f>
        <v>18503294.826494414</v>
      </c>
      <c r="M470" s="109"/>
      <c r="N470" s="77"/>
      <c r="O470" s="77"/>
      <c r="FK470" s="29"/>
      <c r="FM470" s="29" t="s">
        <v>285</v>
      </c>
    </row>
    <row r="471" spans="1:233" customFormat="1" ht="16.5" x14ac:dyDescent="0.3">
      <c r="A471" s="75"/>
      <c r="B471" s="33"/>
      <c r="C471" s="146" t="s">
        <v>286</v>
      </c>
      <c r="D471" s="146"/>
      <c r="E471" s="146"/>
      <c r="F471" s="146"/>
      <c r="G471" s="146"/>
      <c r="H471" s="146"/>
      <c r="I471" s="146"/>
      <c r="J471" s="146"/>
      <c r="K471" s="146"/>
      <c r="L471" s="76">
        <f>L470*0.2</f>
        <v>3700658.9652988832</v>
      </c>
      <c r="M471" s="109"/>
      <c r="N471" s="77"/>
      <c r="O471" s="77"/>
      <c r="FK471" s="29"/>
      <c r="FM471" s="29"/>
      <c r="FN471" s="3" t="s">
        <v>286</v>
      </c>
    </row>
    <row r="472" spans="1:233" customFormat="1" ht="16.5" x14ac:dyDescent="0.3">
      <c r="A472" s="94"/>
      <c r="B472" s="95"/>
      <c r="C472" s="147" t="s">
        <v>287</v>
      </c>
      <c r="D472" s="147"/>
      <c r="E472" s="147"/>
      <c r="F472" s="147"/>
      <c r="G472" s="147"/>
      <c r="H472" s="147"/>
      <c r="I472" s="147"/>
      <c r="J472" s="147"/>
      <c r="K472" s="147"/>
      <c r="L472" s="103">
        <f>L470+L471</f>
        <v>22203953.791793298</v>
      </c>
      <c r="M472" s="109"/>
      <c r="N472" s="77"/>
      <c r="O472" s="77"/>
      <c r="FK472" s="29"/>
      <c r="FM472" s="29"/>
      <c r="FO472" s="29" t="s">
        <v>287</v>
      </c>
    </row>
    <row r="473" spans="1:233" customFormat="1" ht="1.5" customHeight="1" x14ac:dyDescent="0.25">
      <c r="B473" s="70"/>
      <c r="C473" s="68"/>
      <c r="D473" s="68"/>
      <c r="E473" s="68"/>
      <c r="F473" s="68"/>
      <c r="G473" s="68"/>
      <c r="H473" s="68"/>
      <c r="I473" s="68"/>
      <c r="J473" s="68"/>
      <c r="K473" s="68"/>
      <c r="L473" s="79"/>
      <c r="M473" s="106"/>
    </row>
    <row r="474" spans="1:233" customFormat="1" ht="26.25" customHeight="1" x14ac:dyDescent="0.25">
      <c r="A474" s="81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106"/>
    </row>
    <row r="475" spans="1:233" s="14" customFormat="1" ht="15" x14ac:dyDescent="0.25">
      <c r="A475" s="4"/>
      <c r="B475" s="83" t="s">
        <v>288</v>
      </c>
      <c r="C475" s="143"/>
      <c r="D475" s="143"/>
      <c r="E475" s="143"/>
      <c r="F475" s="143"/>
      <c r="G475" s="143"/>
      <c r="H475" s="144" t="s">
        <v>289</v>
      </c>
      <c r="I475" s="144"/>
      <c r="J475" s="144"/>
      <c r="K475" s="144"/>
      <c r="L475" s="144"/>
      <c r="M475" s="106"/>
      <c r="N475"/>
      <c r="O475"/>
      <c r="P475"/>
      <c r="Q475"/>
      <c r="R475"/>
      <c r="S475"/>
      <c r="T475"/>
      <c r="U475"/>
      <c r="V475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 t="s">
        <v>0</v>
      </c>
      <c r="FQ475" s="6" t="s">
        <v>0</v>
      </c>
      <c r="FR475" s="6" t="s">
        <v>0</v>
      </c>
      <c r="FS475" s="6" t="s">
        <v>0</v>
      </c>
      <c r="FT475" s="6" t="s">
        <v>0</v>
      </c>
      <c r="FU475" s="6" t="s">
        <v>289</v>
      </c>
      <c r="FV475" s="6" t="s">
        <v>0</v>
      </c>
      <c r="FW475" s="6" t="s">
        <v>0</v>
      </c>
      <c r="FX475" s="6" t="s">
        <v>0</v>
      </c>
      <c r="FY475" s="6" t="s">
        <v>0</v>
      </c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</row>
    <row r="476" spans="1:233" s="84" customFormat="1" ht="16.5" customHeight="1" x14ac:dyDescent="0.25">
      <c r="A476" s="5"/>
      <c r="B476" s="83"/>
      <c r="C476" s="142" t="s">
        <v>290</v>
      </c>
      <c r="D476" s="142"/>
      <c r="E476" s="142"/>
      <c r="F476" s="142"/>
      <c r="G476" s="142"/>
      <c r="H476" s="142"/>
      <c r="I476" s="142"/>
      <c r="J476" s="142"/>
      <c r="K476" s="142"/>
      <c r="L476" s="142"/>
      <c r="M476" s="110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  <c r="CM476" s="85"/>
      <c r="CN476" s="85"/>
      <c r="CO476" s="85"/>
      <c r="CP476" s="85"/>
      <c r="CQ476" s="85"/>
      <c r="CR476" s="85"/>
      <c r="CS476" s="85"/>
      <c r="CT476" s="85"/>
      <c r="CU476" s="85"/>
      <c r="CV476" s="85"/>
      <c r="CW476" s="85"/>
      <c r="CX476" s="85"/>
      <c r="CY476" s="85"/>
      <c r="CZ476" s="85"/>
      <c r="DA476" s="85"/>
      <c r="DB476" s="85"/>
      <c r="DC476" s="85"/>
      <c r="DD476" s="85"/>
      <c r="DE476" s="85"/>
      <c r="DF476" s="85"/>
      <c r="DG476" s="85"/>
      <c r="DH476" s="85"/>
      <c r="DI476" s="85"/>
      <c r="DJ476" s="85"/>
      <c r="DK476" s="85"/>
      <c r="DL476" s="85"/>
      <c r="DM476" s="85"/>
      <c r="DN476" s="85"/>
      <c r="DO476" s="85"/>
      <c r="DP476" s="85"/>
      <c r="DQ476" s="85"/>
      <c r="DR476" s="85"/>
      <c r="DS476" s="85"/>
      <c r="DT476" s="85"/>
      <c r="DU476" s="85"/>
      <c r="DV476" s="85"/>
      <c r="DW476" s="85"/>
      <c r="DX476" s="85"/>
      <c r="DY476" s="85"/>
      <c r="DZ476" s="85"/>
      <c r="EA476" s="85"/>
      <c r="EB476" s="85"/>
      <c r="EC476" s="85"/>
      <c r="ED476" s="85"/>
      <c r="EE476" s="85"/>
      <c r="EF476" s="85"/>
      <c r="EG476" s="85"/>
      <c r="EH476" s="85"/>
      <c r="EI476" s="85"/>
      <c r="EJ476" s="85"/>
      <c r="EK476" s="85"/>
      <c r="EL476" s="85"/>
      <c r="EM476" s="85"/>
      <c r="EN476" s="85"/>
      <c r="EO476" s="85"/>
      <c r="EP476" s="85"/>
      <c r="EQ476" s="85"/>
      <c r="ER476" s="85"/>
      <c r="ES476" s="85"/>
      <c r="ET476" s="85"/>
      <c r="EU476" s="85"/>
      <c r="EV476" s="85"/>
      <c r="EW476" s="85"/>
      <c r="EX476" s="85"/>
      <c r="EY476" s="85"/>
      <c r="EZ476" s="85"/>
      <c r="FA476" s="85"/>
      <c r="FB476" s="85"/>
      <c r="FC476" s="85"/>
      <c r="FD476" s="85"/>
      <c r="FE476" s="85"/>
      <c r="FF476" s="85"/>
      <c r="FG476" s="85"/>
      <c r="FH476" s="85"/>
      <c r="FI476" s="85"/>
      <c r="FJ476" s="85"/>
      <c r="FK476" s="85"/>
      <c r="FL476" s="85"/>
      <c r="FM476" s="85"/>
      <c r="FN476" s="85"/>
      <c r="FO476" s="85"/>
      <c r="FP476" s="85"/>
      <c r="FQ476" s="85"/>
      <c r="FR476" s="85"/>
      <c r="FS476" s="85"/>
      <c r="FT476" s="85"/>
      <c r="FU476" s="85"/>
      <c r="FV476" s="85"/>
      <c r="FW476" s="85"/>
      <c r="FX476" s="85"/>
      <c r="FY476" s="85"/>
      <c r="FZ476" s="85"/>
      <c r="GA476" s="85"/>
      <c r="GB476" s="85"/>
      <c r="GC476" s="85"/>
      <c r="GD476" s="85"/>
      <c r="GE476" s="85"/>
      <c r="GF476" s="85"/>
      <c r="GG476" s="85"/>
      <c r="GH476" s="85"/>
      <c r="GI476" s="85"/>
      <c r="GJ476" s="85"/>
      <c r="GK476" s="85"/>
      <c r="GL476" s="85"/>
      <c r="GM476" s="85"/>
      <c r="GN476" s="85"/>
      <c r="GO476" s="85"/>
      <c r="GP476" s="85"/>
      <c r="GQ476" s="85"/>
      <c r="GR476" s="85"/>
      <c r="GS476" s="85"/>
      <c r="GT476" s="85"/>
      <c r="GU476" s="85"/>
      <c r="GV476" s="85"/>
      <c r="GW476" s="85"/>
      <c r="GX476" s="85"/>
      <c r="GY476" s="85"/>
      <c r="GZ476" s="85"/>
      <c r="HA476" s="85"/>
      <c r="HB476" s="85"/>
      <c r="HC476" s="85"/>
      <c r="HD476" s="85"/>
      <c r="HE476" s="85"/>
      <c r="HF476" s="85"/>
      <c r="HG476" s="85"/>
      <c r="HH476" s="85"/>
      <c r="HI476" s="85"/>
      <c r="HJ476" s="85"/>
      <c r="HK476" s="85"/>
      <c r="HL476" s="85"/>
      <c r="HM476" s="85"/>
      <c r="HN476" s="85"/>
      <c r="HO476" s="85"/>
      <c r="HP476" s="85"/>
      <c r="HQ476" s="85"/>
      <c r="HR476" s="85"/>
      <c r="HS476" s="85"/>
      <c r="HT476" s="85"/>
      <c r="HU476" s="85"/>
      <c r="HV476" s="85"/>
      <c r="HW476" s="85"/>
      <c r="HX476" s="85"/>
      <c r="HY476" s="85"/>
    </row>
    <row r="477" spans="1:233" s="14" customFormat="1" ht="15" x14ac:dyDescent="0.25">
      <c r="A477" s="4"/>
      <c r="B477" s="83" t="s">
        <v>291</v>
      </c>
      <c r="C477" s="143"/>
      <c r="D477" s="143"/>
      <c r="E477" s="143"/>
      <c r="F477" s="143"/>
      <c r="G477" s="143"/>
      <c r="H477" s="144"/>
      <c r="I477" s="144"/>
      <c r="J477" s="144"/>
      <c r="K477" s="144"/>
      <c r="L477" s="144"/>
      <c r="M477" s="106"/>
      <c r="N477"/>
      <c r="O477"/>
      <c r="P477"/>
      <c r="Q477"/>
      <c r="R477"/>
      <c r="S477"/>
      <c r="T477"/>
      <c r="U477"/>
      <c r="V477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 t="s">
        <v>0</v>
      </c>
      <c r="GA477" s="6" t="s">
        <v>0</v>
      </c>
      <c r="GB477" s="6" t="s">
        <v>0</v>
      </c>
      <c r="GC477" s="6" t="s">
        <v>0</v>
      </c>
      <c r="GD477" s="6" t="s">
        <v>0</v>
      </c>
      <c r="GE477" s="6" t="s">
        <v>0</v>
      </c>
      <c r="GF477" s="6" t="s">
        <v>0</v>
      </c>
      <c r="GG477" s="6" t="s">
        <v>0</v>
      </c>
      <c r="GH477" s="6" t="s">
        <v>0</v>
      </c>
      <c r="GI477" s="6" t="s">
        <v>0</v>
      </c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</row>
    <row r="478" spans="1:233" s="84" customFormat="1" ht="16.5" customHeight="1" x14ac:dyDescent="0.25">
      <c r="A478" s="5"/>
      <c r="C478" s="142" t="s">
        <v>290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10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  <c r="CM478" s="85"/>
      <c r="CN478" s="85"/>
      <c r="CO478" s="85"/>
      <c r="CP478" s="85"/>
      <c r="CQ478" s="85"/>
      <c r="CR478" s="85"/>
      <c r="CS478" s="85"/>
      <c r="CT478" s="85"/>
      <c r="CU478" s="85"/>
      <c r="CV478" s="85"/>
      <c r="CW478" s="85"/>
      <c r="CX478" s="85"/>
      <c r="CY478" s="85"/>
      <c r="CZ478" s="85"/>
      <c r="DA478" s="85"/>
      <c r="DB478" s="85"/>
      <c r="DC478" s="85"/>
      <c r="DD478" s="85"/>
      <c r="DE478" s="85"/>
      <c r="DF478" s="85"/>
      <c r="DG478" s="85"/>
      <c r="DH478" s="85"/>
      <c r="DI478" s="85"/>
      <c r="DJ478" s="85"/>
      <c r="DK478" s="85"/>
      <c r="DL478" s="85"/>
      <c r="DM478" s="85"/>
      <c r="DN478" s="85"/>
      <c r="DO478" s="85"/>
      <c r="DP478" s="85"/>
      <c r="DQ478" s="85"/>
      <c r="DR478" s="85"/>
      <c r="DS478" s="85"/>
      <c r="DT478" s="85"/>
      <c r="DU478" s="85"/>
      <c r="DV478" s="85"/>
      <c r="DW478" s="85"/>
      <c r="DX478" s="85"/>
      <c r="DY478" s="85"/>
      <c r="DZ478" s="85"/>
      <c r="EA478" s="85"/>
      <c r="EB478" s="85"/>
      <c r="EC478" s="85"/>
      <c r="ED478" s="85"/>
      <c r="EE478" s="85"/>
      <c r="EF478" s="85"/>
      <c r="EG478" s="85"/>
      <c r="EH478" s="85"/>
      <c r="EI478" s="85"/>
      <c r="EJ478" s="85"/>
      <c r="EK478" s="85"/>
      <c r="EL478" s="85"/>
      <c r="EM478" s="85"/>
      <c r="EN478" s="85"/>
      <c r="EO478" s="85"/>
      <c r="EP478" s="85"/>
      <c r="EQ478" s="85"/>
      <c r="ER478" s="85"/>
      <c r="ES478" s="85"/>
      <c r="ET478" s="85"/>
      <c r="EU478" s="85"/>
      <c r="EV478" s="85"/>
      <c r="EW478" s="85"/>
      <c r="EX478" s="85"/>
      <c r="EY478" s="85"/>
      <c r="EZ478" s="85"/>
      <c r="FA478" s="85"/>
      <c r="FB478" s="85"/>
      <c r="FC478" s="85"/>
      <c r="FD478" s="85"/>
      <c r="FE478" s="85"/>
      <c r="FF478" s="85"/>
      <c r="FG478" s="85"/>
      <c r="FH478" s="85"/>
      <c r="FI478" s="85"/>
      <c r="FJ478" s="85"/>
      <c r="FK478" s="85"/>
      <c r="FL478" s="85"/>
      <c r="FM478" s="85"/>
      <c r="FN478" s="85"/>
      <c r="FO478" s="85"/>
      <c r="FP478" s="85"/>
      <c r="FQ478" s="85"/>
      <c r="FR478" s="85"/>
      <c r="FS478" s="85"/>
      <c r="FT478" s="85"/>
      <c r="FU478" s="85"/>
      <c r="FV478" s="85"/>
      <c r="FW478" s="85"/>
      <c r="FX478" s="85"/>
      <c r="FY478" s="85"/>
      <c r="FZ478" s="85"/>
      <c r="GA478" s="85"/>
      <c r="GB478" s="85"/>
      <c r="GC478" s="85"/>
      <c r="GD478" s="85"/>
      <c r="GE478" s="85"/>
      <c r="GF478" s="85"/>
      <c r="GG478" s="85"/>
      <c r="GH478" s="85"/>
      <c r="GI478" s="85"/>
      <c r="GJ478" s="85"/>
      <c r="GK478" s="85"/>
      <c r="GL478" s="85"/>
      <c r="GM478" s="85"/>
      <c r="GN478" s="85"/>
      <c r="GO478" s="85"/>
      <c r="GP478" s="85"/>
      <c r="GQ478" s="85"/>
      <c r="GR478" s="85"/>
      <c r="GS478" s="85"/>
      <c r="GT478" s="85"/>
      <c r="GU478" s="85"/>
      <c r="GV478" s="85"/>
      <c r="GW478" s="85"/>
      <c r="GX478" s="85"/>
      <c r="GY478" s="85"/>
      <c r="GZ478" s="85"/>
      <c r="HA478" s="85"/>
      <c r="HB478" s="85"/>
      <c r="HC478" s="85"/>
      <c r="HD478" s="85"/>
      <c r="HE478" s="85"/>
      <c r="HF478" s="85"/>
      <c r="HG478" s="85"/>
      <c r="HH478" s="85"/>
      <c r="HI478" s="85"/>
      <c r="HJ478" s="85"/>
      <c r="HK478" s="85"/>
      <c r="HL478" s="85"/>
      <c r="HM478" s="85"/>
      <c r="HN478" s="85"/>
      <c r="HO478" s="85"/>
      <c r="HP478" s="85"/>
      <c r="HQ478" s="85"/>
      <c r="HR478" s="85"/>
      <c r="HS478" s="85"/>
      <c r="HT478" s="85"/>
      <c r="HU478" s="85"/>
      <c r="HV478" s="85"/>
      <c r="HW478" s="85"/>
      <c r="HX478" s="85"/>
      <c r="HY478" s="85"/>
    </row>
    <row r="479" spans="1:233" customFormat="1" ht="21" customHeight="1" x14ac:dyDescent="0.25">
      <c r="M479" s="106"/>
    </row>
    <row r="480" spans="1:233" s="14" customFormat="1" ht="22.5" customHeight="1" x14ac:dyDescent="0.25">
      <c r="A480" s="141" t="s">
        <v>292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11"/>
      <c r="N480" s="73"/>
      <c r="O480"/>
      <c r="P480"/>
      <c r="Q480"/>
      <c r="R480"/>
      <c r="S480"/>
      <c r="T480"/>
      <c r="U480"/>
      <c r="V480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3" t="s">
        <v>292</v>
      </c>
      <c r="GK480" s="3" t="s">
        <v>0</v>
      </c>
      <c r="GL480" s="3" t="s">
        <v>0</v>
      </c>
      <c r="GM480" s="3" t="s">
        <v>0</v>
      </c>
      <c r="GN480" s="3" t="s">
        <v>0</v>
      </c>
      <c r="GO480" s="3" t="s">
        <v>0</v>
      </c>
      <c r="GP480" s="3" t="s">
        <v>0</v>
      </c>
      <c r="GQ480" s="3" t="s">
        <v>0</v>
      </c>
      <c r="GR480" s="3" t="s">
        <v>0</v>
      </c>
      <c r="GS480" s="3" t="s">
        <v>0</v>
      </c>
      <c r="GT480" s="3" t="s">
        <v>0</v>
      </c>
      <c r="GU480" s="3" t="s">
        <v>0</v>
      </c>
      <c r="GV480" s="3" t="s">
        <v>0</v>
      </c>
      <c r="GW480" s="3" t="s">
        <v>0</v>
      </c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</row>
    <row r="481" spans="1:233" s="14" customFormat="1" ht="11.25" customHeight="1" x14ac:dyDescent="0.25">
      <c r="A481" s="141" t="s">
        <v>293</v>
      </c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11"/>
      <c r="N481" s="73"/>
      <c r="O481"/>
      <c r="P481"/>
      <c r="Q481"/>
      <c r="R481"/>
      <c r="S481"/>
      <c r="T481"/>
      <c r="U481"/>
      <c r="V481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3" t="s">
        <v>293</v>
      </c>
      <c r="GY481" s="3" t="s">
        <v>0</v>
      </c>
      <c r="GZ481" s="3" t="s">
        <v>0</v>
      </c>
      <c r="HA481" s="3" t="s">
        <v>0</v>
      </c>
      <c r="HB481" s="3" t="s">
        <v>0</v>
      </c>
      <c r="HC481" s="3" t="s">
        <v>0</v>
      </c>
      <c r="HD481" s="3" t="s">
        <v>0</v>
      </c>
      <c r="HE481" s="3" t="s">
        <v>0</v>
      </c>
      <c r="HF481" s="3" t="s">
        <v>0</v>
      </c>
      <c r="HG481" s="3" t="s">
        <v>0</v>
      </c>
      <c r="HH481" s="3" t="s">
        <v>0</v>
      </c>
      <c r="HI481" s="3" t="s">
        <v>0</v>
      </c>
      <c r="HJ481" s="3" t="s">
        <v>0</v>
      </c>
      <c r="HK481" s="3" t="s">
        <v>0</v>
      </c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</row>
    <row r="482" spans="1:233" s="14" customFormat="1" ht="15" x14ac:dyDescent="0.25">
      <c r="A482" s="141" t="s">
        <v>294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11"/>
      <c r="N482" s="73"/>
      <c r="O482"/>
      <c r="P482"/>
      <c r="Q482"/>
      <c r="R482"/>
      <c r="S482"/>
      <c r="T482"/>
      <c r="U482"/>
      <c r="V482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3" t="s">
        <v>294</v>
      </c>
      <c r="HM482" s="3" t="s">
        <v>0</v>
      </c>
      <c r="HN482" s="3" t="s">
        <v>0</v>
      </c>
      <c r="HO482" s="3" t="s">
        <v>0</v>
      </c>
      <c r="HP482" s="3" t="s">
        <v>0</v>
      </c>
      <c r="HQ482" s="3" t="s">
        <v>0</v>
      </c>
      <c r="HR482" s="3" t="s">
        <v>0</v>
      </c>
      <c r="HS482" s="3" t="s">
        <v>0</v>
      </c>
      <c r="HT482" s="3" t="s">
        <v>0</v>
      </c>
      <c r="HU482" s="3" t="s">
        <v>0</v>
      </c>
      <c r="HV482" s="3" t="s">
        <v>0</v>
      </c>
      <c r="HW482" s="3" t="s">
        <v>0</v>
      </c>
      <c r="HX482" s="3" t="s">
        <v>0</v>
      </c>
      <c r="HY482" s="3" t="s">
        <v>0</v>
      </c>
    </row>
    <row r="483" spans="1:233" s="14" customFormat="1" ht="20.2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111"/>
      <c r="N483" s="73"/>
      <c r="O483"/>
      <c r="P483"/>
      <c r="Q483"/>
      <c r="R483"/>
      <c r="S483"/>
      <c r="T483"/>
      <c r="U483"/>
      <c r="V483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</row>
    <row r="484" spans="1:233" customFormat="1" ht="15" x14ac:dyDescent="0.25">
      <c r="B484" s="86"/>
      <c r="D484" s="86"/>
      <c r="F484" s="86"/>
      <c r="M484" s="106"/>
    </row>
  </sheetData>
  <autoFilter ref="A15:L426" xr:uid="{00000000-0001-0000-0000-000000000000}"/>
  <mergeCells count="476">
    <mergeCell ref="A2:L2"/>
    <mergeCell ref="A3:L3"/>
    <mergeCell ref="A4:L4"/>
    <mergeCell ref="A6:L6"/>
    <mergeCell ref="A7:L7"/>
    <mergeCell ref="B8:F8"/>
    <mergeCell ref="G13:G15"/>
    <mergeCell ref="H13:H15"/>
    <mergeCell ref="I13:I15"/>
    <mergeCell ref="J13:L14"/>
    <mergeCell ref="C16:E16"/>
    <mergeCell ref="C18:E18"/>
    <mergeCell ref="B9:F9"/>
    <mergeCell ref="D11:F11"/>
    <mergeCell ref="A13:A15"/>
    <mergeCell ref="B13:B15"/>
    <mergeCell ref="C13:E15"/>
    <mergeCell ref="F13:F15"/>
    <mergeCell ref="C25:E25"/>
    <mergeCell ref="C26:E26"/>
    <mergeCell ref="C27:E27"/>
    <mergeCell ref="C28:E28"/>
    <mergeCell ref="C29:E29"/>
    <mergeCell ref="C30:E30"/>
    <mergeCell ref="C19:L19"/>
    <mergeCell ref="C20:L20"/>
    <mergeCell ref="C21:L21"/>
    <mergeCell ref="C22:E22"/>
    <mergeCell ref="C23:E23"/>
    <mergeCell ref="C24:E24"/>
    <mergeCell ref="C37:L37"/>
    <mergeCell ref="C38:E38"/>
    <mergeCell ref="C39:E39"/>
    <mergeCell ref="C40:L40"/>
    <mergeCell ref="C41:L41"/>
    <mergeCell ref="C42:L42"/>
    <mergeCell ref="C31:E31"/>
    <mergeCell ref="C32:E32"/>
    <mergeCell ref="C33:E33"/>
    <mergeCell ref="C34:L34"/>
    <mergeCell ref="C35:L35"/>
    <mergeCell ref="C36:L36"/>
    <mergeCell ref="C49:L49"/>
    <mergeCell ref="C50:E50"/>
    <mergeCell ref="C51:E51"/>
    <mergeCell ref="C52:L52"/>
    <mergeCell ref="C53:L53"/>
    <mergeCell ref="C54:L54"/>
    <mergeCell ref="C43:L43"/>
    <mergeCell ref="C44:E44"/>
    <mergeCell ref="C45:E45"/>
    <mergeCell ref="C46:L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E58"/>
    <mergeCell ref="C59:E59"/>
    <mergeCell ref="C60:E60"/>
    <mergeCell ref="C73:L73"/>
    <mergeCell ref="C74:L74"/>
    <mergeCell ref="C75:L75"/>
    <mergeCell ref="C76:L76"/>
    <mergeCell ref="C77:E77"/>
    <mergeCell ref="C78:E78"/>
    <mergeCell ref="C67:L67"/>
    <mergeCell ref="C68:L68"/>
    <mergeCell ref="C69:L69"/>
    <mergeCell ref="C70:L70"/>
    <mergeCell ref="C71:E71"/>
    <mergeCell ref="C72:E72"/>
    <mergeCell ref="C85:L85"/>
    <mergeCell ref="C86:L86"/>
    <mergeCell ref="C87:E87"/>
    <mergeCell ref="C88:E88"/>
    <mergeCell ref="C89:L89"/>
    <mergeCell ref="C90:L90"/>
    <mergeCell ref="C79:L79"/>
    <mergeCell ref="C80:L80"/>
    <mergeCell ref="C81:L81"/>
    <mergeCell ref="C82:E82"/>
    <mergeCell ref="C83:E83"/>
    <mergeCell ref="C84:L84"/>
    <mergeCell ref="C97:E97"/>
    <mergeCell ref="C98:E98"/>
    <mergeCell ref="C99:L99"/>
    <mergeCell ref="C100:L100"/>
    <mergeCell ref="C101:L101"/>
    <mergeCell ref="C102:L102"/>
    <mergeCell ref="C91:L91"/>
    <mergeCell ref="C92:E92"/>
    <mergeCell ref="C93:E93"/>
    <mergeCell ref="C94:L94"/>
    <mergeCell ref="C95:L95"/>
    <mergeCell ref="C96:L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E106"/>
    <mergeCell ref="C107:E107"/>
    <mergeCell ref="C108:E108"/>
    <mergeCell ref="C121:L121"/>
    <mergeCell ref="C122:L122"/>
    <mergeCell ref="C123:L123"/>
    <mergeCell ref="C124:E124"/>
    <mergeCell ref="C125:E125"/>
    <mergeCell ref="C126:E126"/>
    <mergeCell ref="C115:L115"/>
    <mergeCell ref="C116:L116"/>
    <mergeCell ref="C117:L117"/>
    <mergeCell ref="C118:L118"/>
    <mergeCell ref="C119:E119"/>
    <mergeCell ref="C120:E120"/>
    <mergeCell ref="C133:E133"/>
    <mergeCell ref="C134:E134"/>
    <mergeCell ref="C135:E135"/>
    <mergeCell ref="C136:L136"/>
    <mergeCell ref="C137:L137"/>
    <mergeCell ref="C138:L138"/>
    <mergeCell ref="C127:E127"/>
    <mergeCell ref="C128:E128"/>
    <mergeCell ref="C129:E129"/>
    <mergeCell ref="C130:E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L139"/>
    <mergeCell ref="C140:E140"/>
    <mergeCell ref="C141:E141"/>
    <mergeCell ref="C142:L142"/>
    <mergeCell ref="C143:L143"/>
    <mergeCell ref="C144:L144"/>
    <mergeCell ref="C157:L157"/>
    <mergeCell ref="C158:L158"/>
    <mergeCell ref="C159:L159"/>
    <mergeCell ref="C160:E160"/>
    <mergeCell ref="C161:E161"/>
    <mergeCell ref="C162:L162"/>
    <mergeCell ref="C151:E151"/>
    <mergeCell ref="C152:E152"/>
    <mergeCell ref="C153:E153"/>
    <mergeCell ref="C154:E154"/>
    <mergeCell ref="C155:E155"/>
    <mergeCell ref="C156:E156"/>
    <mergeCell ref="C169:L169"/>
    <mergeCell ref="C170:L170"/>
    <mergeCell ref="C171:E171"/>
    <mergeCell ref="C172:E172"/>
    <mergeCell ref="C173:E173"/>
    <mergeCell ref="C174:E174"/>
    <mergeCell ref="C163:L163"/>
    <mergeCell ref="C164:L164"/>
    <mergeCell ref="C165:E165"/>
    <mergeCell ref="C166:E166"/>
    <mergeCell ref="C167:L167"/>
    <mergeCell ref="C168:L168"/>
    <mergeCell ref="C181:E181"/>
    <mergeCell ref="C182:E182"/>
    <mergeCell ref="C183:L183"/>
    <mergeCell ref="C184:L184"/>
    <mergeCell ref="C185:L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L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L208"/>
    <mergeCell ref="C209:L209"/>
    <mergeCell ref="C210:L210"/>
    <mergeCell ref="C199:L199"/>
    <mergeCell ref="C200:E200"/>
    <mergeCell ref="C201:E201"/>
    <mergeCell ref="C202:E202"/>
    <mergeCell ref="C203:E203"/>
    <mergeCell ref="C204:E204"/>
    <mergeCell ref="C217:E217"/>
    <mergeCell ref="C218:E218"/>
    <mergeCell ref="C219:L219"/>
    <mergeCell ref="C220:E220"/>
    <mergeCell ref="C221:E221"/>
    <mergeCell ref="C222:L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L223"/>
    <mergeCell ref="C224:L224"/>
    <mergeCell ref="C225:E225"/>
    <mergeCell ref="C226:E226"/>
    <mergeCell ref="C227:E227"/>
    <mergeCell ref="C228:E228"/>
    <mergeCell ref="C241:L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L239"/>
    <mergeCell ref="C240:L240"/>
    <mergeCell ref="C253:E253"/>
    <mergeCell ref="C254:L254"/>
    <mergeCell ref="C255:E255"/>
    <mergeCell ref="C256:E256"/>
    <mergeCell ref="C257:L257"/>
    <mergeCell ref="C258:L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L259"/>
    <mergeCell ref="C260:E260"/>
    <mergeCell ref="C261:E261"/>
    <mergeCell ref="C262:E262"/>
    <mergeCell ref="C263:E263"/>
    <mergeCell ref="C264:E264"/>
    <mergeCell ref="C277:L277"/>
    <mergeCell ref="C278:L278"/>
    <mergeCell ref="C279:E279"/>
    <mergeCell ref="C280:E280"/>
    <mergeCell ref="C281:E281"/>
    <mergeCell ref="C282:E282"/>
    <mergeCell ref="C271:E271"/>
    <mergeCell ref="C272:L272"/>
    <mergeCell ref="C273:L273"/>
    <mergeCell ref="C274:L274"/>
    <mergeCell ref="C275:E275"/>
    <mergeCell ref="C276:E276"/>
    <mergeCell ref="C289:L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L288"/>
    <mergeCell ref="C301:E301"/>
    <mergeCell ref="C302:L302"/>
    <mergeCell ref="C303:L303"/>
    <mergeCell ref="C304:L304"/>
    <mergeCell ref="C305:E305"/>
    <mergeCell ref="C306:K306"/>
    <mergeCell ref="C295:E295"/>
    <mergeCell ref="C296:E296"/>
    <mergeCell ref="C297:E297"/>
    <mergeCell ref="C298:E298"/>
    <mergeCell ref="C299:L299"/>
    <mergeCell ref="C300:E300"/>
    <mergeCell ref="C314:E314"/>
    <mergeCell ref="C315:E315"/>
    <mergeCell ref="C316:E316"/>
    <mergeCell ref="C317:E317"/>
    <mergeCell ref="C318:E318"/>
    <mergeCell ref="C319:E319"/>
    <mergeCell ref="C308:E308"/>
    <mergeCell ref="C309:L309"/>
    <mergeCell ref="C310:L310"/>
    <mergeCell ref="C311:L311"/>
    <mergeCell ref="C312:E312"/>
    <mergeCell ref="C313:E313"/>
    <mergeCell ref="C326:L326"/>
    <mergeCell ref="C327:L327"/>
    <mergeCell ref="C328:E328"/>
    <mergeCell ref="C329:E329"/>
    <mergeCell ref="C330:L330"/>
    <mergeCell ref="C331:L331"/>
    <mergeCell ref="C320:E320"/>
    <mergeCell ref="C321:E321"/>
    <mergeCell ref="C322:E322"/>
    <mergeCell ref="C323:E323"/>
    <mergeCell ref="C324:L324"/>
    <mergeCell ref="C325:L325"/>
    <mergeCell ref="C338:E338"/>
    <mergeCell ref="C339:E339"/>
    <mergeCell ref="C340:E340"/>
    <mergeCell ref="C341:E341"/>
    <mergeCell ref="C342:E342"/>
    <mergeCell ref="C343:E343"/>
    <mergeCell ref="C332:L332"/>
    <mergeCell ref="C333:L333"/>
    <mergeCell ref="C334:E334"/>
    <mergeCell ref="C335:E335"/>
    <mergeCell ref="C336:E336"/>
    <mergeCell ref="C337:E337"/>
    <mergeCell ref="C350:E350"/>
    <mergeCell ref="C351:E351"/>
    <mergeCell ref="C352:L352"/>
    <mergeCell ref="C353:L353"/>
    <mergeCell ref="C354:L354"/>
    <mergeCell ref="C355:E355"/>
    <mergeCell ref="C344:E344"/>
    <mergeCell ref="C345:E345"/>
    <mergeCell ref="C346:L346"/>
    <mergeCell ref="C347:L347"/>
    <mergeCell ref="C348:L348"/>
    <mergeCell ref="C349:L349"/>
    <mergeCell ref="C362:E362"/>
    <mergeCell ref="C363:E363"/>
    <mergeCell ref="C364:E364"/>
    <mergeCell ref="C365:E365"/>
    <mergeCell ref="C366:E366"/>
    <mergeCell ref="C367:L367"/>
    <mergeCell ref="C356:E356"/>
    <mergeCell ref="C357:E357"/>
    <mergeCell ref="C358:E358"/>
    <mergeCell ref="C359:E359"/>
    <mergeCell ref="C360:E360"/>
    <mergeCell ref="C361:E361"/>
    <mergeCell ref="C374:L374"/>
    <mergeCell ref="C375:L375"/>
    <mergeCell ref="C376:E376"/>
    <mergeCell ref="C377:E377"/>
    <mergeCell ref="C378:E378"/>
    <mergeCell ref="C379:E379"/>
    <mergeCell ref="C368:L368"/>
    <mergeCell ref="C369:L369"/>
    <mergeCell ref="C370:L370"/>
    <mergeCell ref="C371:E371"/>
    <mergeCell ref="C372:E372"/>
    <mergeCell ref="C373:L373"/>
    <mergeCell ref="C386:L386"/>
    <mergeCell ref="C387:L387"/>
    <mergeCell ref="C388:L388"/>
    <mergeCell ref="C389:E389"/>
    <mergeCell ref="C390:E390"/>
    <mergeCell ref="C391:L391"/>
    <mergeCell ref="C380:E380"/>
    <mergeCell ref="C381:E381"/>
    <mergeCell ref="C382:E382"/>
    <mergeCell ref="C383:E383"/>
    <mergeCell ref="C384:E384"/>
    <mergeCell ref="C385:L385"/>
    <mergeCell ref="C398:E398"/>
    <mergeCell ref="C399:E399"/>
    <mergeCell ref="C400:E400"/>
    <mergeCell ref="C401:E401"/>
    <mergeCell ref="C402:E402"/>
    <mergeCell ref="C403:E403"/>
    <mergeCell ref="C392:L392"/>
    <mergeCell ref="C393:E393"/>
    <mergeCell ref="C394:E394"/>
    <mergeCell ref="C395:E395"/>
    <mergeCell ref="C396:E396"/>
    <mergeCell ref="C397:E397"/>
    <mergeCell ref="C410:L410"/>
    <mergeCell ref="C411:L411"/>
    <mergeCell ref="C412:L412"/>
    <mergeCell ref="C413:E413"/>
    <mergeCell ref="C414:E414"/>
    <mergeCell ref="C415:E415"/>
    <mergeCell ref="C404:E404"/>
    <mergeCell ref="C405:L405"/>
    <mergeCell ref="C406:L406"/>
    <mergeCell ref="C407:L407"/>
    <mergeCell ref="C408:E408"/>
    <mergeCell ref="C409:E409"/>
    <mergeCell ref="C422:L422"/>
    <mergeCell ref="C423:L423"/>
    <mergeCell ref="C424:L424"/>
    <mergeCell ref="C425:L425"/>
    <mergeCell ref="C426:E426"/>
    <mergeCell ref="C428:K428"/>
    <mergeCell ref="C416:E416"/>
    <mergeCell ref="C417:E417"/>
    <mergeCell ref="C418:E418"/>
    <mergeCell ref="C419:E419"/>
    <mergeCell ref="C420:E420"/>
    <mergeCell ref="C421:E421"/>
    <mergeCell ref="C436:E436"/>
    <mergeCell ref="C437:E437"/>
    <mergeCell ref="C438:E438"/>
    <mergeCell ref="C439:E439"/>
    <mergeCell ref="C440:E440"/>
    <mergeCell ref="C441:E441"/>
    <mergeCell ref="C430:E430"/>
    <mergeCell ref="C431:L431"/>
    <mergeCell ref="C432:L432"/>
    <mergeCell ref="C433:L433"/>
    <mergeCell ref="C434:E434"/>
    <mergeCell ref="C435:E435"/>
    <mergeCell ref="C448:E448"/>
    <mergeCell ref="C449:E449"/>
    <mergeCell ref="C450:E450"/>
    <mergeCell ref="C451:E451"/>
    <mergeCell ref="C453:K453"/>
    <mergeCell ref="C455:K455"/>
    <mergeCell ref="C442:L442"/>
    <mergeCell ref="C443:L443"/>
    <mergeCell ref="C444:L444"/>
    <mergeCell ref="C445:E445"/>
    <mergeCell ref="C446:E446"/>
    <mergeCell ref="C447:E447"/>
    <mergeCell ref="C462:K462"/>
    <mergeCell ref="C463:K463"/>
    <mergeCell ref="C464:K464"/>
    <mergeCell ref="C465:K465"/>
    <mergeCell ref="C466:K466"/>
    <mergeCell ref="C467:K467"/>
    <mergeCell ref="C456:K456"/>
    <mergeCell ref="C457:K457"/>
    <mergeCell ref="C458:K458"/>
    <mergeCell ref="C459:K459"/>
    <mergeCell ref="C460:K460"/>
    <mergeCell ref="C461:K461"/>
    <mergeCell ref="A482:L482"/>
    <mergeCell ref="C476:L476"/>
    <mergeCell ref="C477:G477"/>
    <mergeCell ref="H477:L477"/>
    <mergeCell ref="C478:L478"/>
    <mergeCell ref="A480:L480"/>
    <mergeCell ref="A481:L481"/>
    <mergeCell ref="C468:K468"/>
    <mergeCell ref="C469:K469"/>
    <mergeCell ref="C470:K470"/>
    <mergeCell ref="C471:K471"/>
    <mergeCell ref="C472:K472"/>
    <mergeCell ref="C475:G475"/>
    <mergeCell ref="H475:L47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Y484"/>
  <sheetViews>
    <sheetView tabSelected="1" topLeftCell="A7" zoomScale="110" zoomScaleNormal="110" workbookViewId="0">
      <pane ySplit="10" topLeftCell="A19" activePane="bottomLeft" state="frozen"/>
      <selection activeCell="A7" sqref="A7"/>
      <selection pane="bottomLeft" activeCell="K24" sqref="K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9.285156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10.85546875" style="110" customWidth="1"/>
    <col min="14" max="14" width="12.140625" style="2" customWidth="1"/>
    <col min="15" max="15" width="14.7109375" style="2" customWidth="1"/>
    <col min="16" max="16" width="9.140625" style="2"/>
    <col min="17" max="17" width="13.28515625" style="2" bestFit="1" customWidth="1"/>
    <col min="18" max="18" width="12.42578125" style="2" customWidth="1"/>
    <col min="19" max="19" width="13.28515625" style="2" bestFit="1" customWidth="1"/>
    <col min="20" max="22" width="9.140625" style="2"/>
    <col min="23" max="38" width="87.28515625" style="3" hidden="1" customWidth="1"/>
    <col min="39" max="44" width="71.7109375" style="3" hidden="1" customWidth="1"/>
    <col min="45" max="52" width="87.28515625" style="3" hidden="1" customWidth="1"/>
    <col min="53" max="58" width="71.7109375" style="3" hidden="1" customWidth="1"/>
    <col min="59" max="66" width="87.28515625" style="3" hidden="1" customWidth="1"/>
    <col min="67" max="72" width="71.7109375" style="3" hidden="1" customWidth="1"/>
    <col min="73" max="80" width="87.28515625" style="3" hidden="1" customWidth="1"/>
    <col min="81" max="86" width="71.7109375" style="3" hidden="1" customWidth="1"/>
    <col min="87" max="94" width="87.28515625" style="3" hidden="1" customWidth="1"/>
    <col min="95" max="100" width="71.7109375" style="3" hidden="1" customWidth="1"/>
    <col min="101" max="108" width="87.28515625" style="3" hidden="1" customWidth="1"/>
    <col min="109" max="150" width="159" style="3" hidden="1" customWidth="1"/>
    <col min="151" max="153" width="32.28515625" style="3" hidden="1" customWidth="1"/>
    <col min="154" max="154" width="159" style="3" hidden="1" customWidth="1"/>
    <col min="155" max="157" width="34.140625" style="3" hidden="1" customWidth="1"/>
    <col min="158" max="159" width="130" style="3" hidden="1" customWidth="1"/>
    <col min="160" max="163" width="34.140625" style="3" hidden="1" customWidth="1"/>
    <col min="164" max="164" width="130" style="3" hidden="1" customWidth="1"/>
    <col min="165" max="165" width="159" style="3" hidden="1" customWidth="1"/>
    <col min="166" max="171" width="95.85546875" style="3" hidden="1" customWidth="1"/>
    <col min="172" max="176" width="53.42578125" style="3" hidden="1" customWidth="1"/>
    <col min="177" max="181" width="55.42578125" style="3" hidden="1" customWidth="1"/>
    <col min="182" max="186" width="53.42578125" style="3" hidden="1" customWidth="1"/>
    <col min="187" max="191" width="55.42578125" style="3" hidden="1" customWidth="1"/>
    <col min="192" max="233" width="159" style="3" hidden="1" customWidth="1"/>
    <col min="234" max="16384" width="9.140625" style="2"/>
  </cols>
  <sheetData>
    <row r="1" spans="1:153" customFormat="1" ht="8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06"/>
    </row>
    <row r="2" spans="1:153" customFormat="1" ht="15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06"/>
      <c r="DS2" s="6" t="s">
        <v>1</v>
      </c>
      <c r="DT2" s="6" t="s">
        <v>0</v>
      </c>
      <c r="DU2" s="6" t="s">
        <v>0</v>
      </c>
      <c r="DV2" s="6" t="s">
        <v>0</v>
      </c>
      <c r="DW2" s="6" t="s">
        <v>0</v>
      </c>
      <c r="DX2" s="6" t="s">
        <v>0</v>
      </c>
      <c r="DY2" s="6" t="s">
        <v>0</v>
      </c>
      <c r="DZ2" s="6" t="s">
        <v>0</v>
      </c>
      <c r="EA2" s="6" t="s">
        <v>0</v>
      </c>
      <c r="EB2" s="6" t="s">
        <v>0</v>
      </c>
      <c r="EC2" s="6" t="s">
        <v>0</v>
      </c>
      <c r="ED2" s="6" t="s">
        <v>0</v>
      </c>
      <c r="EE2" s="6" t="s">
        <v>0</v>
      </c>
      <c r="EF2" s="6" t="s">
        <v>0</v>
      </c>
    </row>
    <row r="3" spans="1:153" customFormat="1" ht="15" x14ac:dyDescent="0.25">
      <c r="A3" s="171" t="s">
        <v>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06"/>
    </row>
    <row r="4" spans="1:153" customFormat="1" ht="15.75" customHeight="1" x14ac:dyDescent="0.25">
      <c r="A4" s="172" t="s">
        <v>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06"/>
    </row>
    <row r="5" spans="1:153" customFormat="1" ht="8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6"/>
    </row>
    <row r="6" spans="1:153" customFormat="1" ht="15" x14ac:dyDescent="0.25">
      <c r="A6" s="173" t="s">
        <v>4</v>
      </c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06"/>
      <c r="EG6" s="6" t="s">
        <v>4</v>
      </c>
      <c r="EH6" s="6" t="s">
        <v>0</v>
      </c>
      <c r="EI6" s="6" t="s">
        <v>0</v>
      </c>
      <c r="EJ6" s="6" t="s">
        <v>0</v>
      </c>
      <c r="EK6" s="6" t="s">
        <v>0</v>
      </c>
      <c r="EL6" s="6" t="s">
        <v>0</v>
      </c>
      <c r="EM6" s="6" t="s">
        <v>0</v>
      </c>
      <c r="EN6" s="6" t="s">
        <v>0</v>
      </c>
      <c r="EO6" s="6" t="s">
        <v>0</v>
      </c>
      <c r="EP6" s="6" t="s">
        <v>0</v>
      </c>
      <c r="EQ6" s="6" t="s">
        <v>0</v>
      </c>
      <c r="ER6" s="6" t="s">
        <v>0</v>
      </c>
      <c r="ES6" s="6" t="s">
        <v>0</v>
      </c>
      <c r="ET6" s="6" t="s">
        <v>0</v>
      </c>
    </row>
    <row r="7" spans="1:153" customFormat="1" ht="13.5" customHeight="1" x14ac:dyDescent="0.25">
      <c r="A7" s="171" t="s">
        <v>5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06"/>
    </row>
    <row r="8" spans="1:153" customFormat="1" ht="18" customHeight="1" x14ac:dyDescent="0.25">
      <c r="A8" s="4" t="s">
        <v>6</v>
      </c>
      <c r="B8" s="174" t="s">
        <v>7</v>
      </c>
      <c r="C8" s="174"/>
      <c r="D8" s="174"/>
      <c r="E8" s="174"/>
      <c r="F8" s="174"/>
      <c r="G8" s="7"/>
      <c r="H8" s="7"/>
      <c r="I8" s="7"/>
      <c r="J8" s="7"/>
      <c r="K8" s="7"/>
      <c r="L8" s="7"/>
      <c r="M8" s="106"/>
    </row>
    <row r="9" spans="1:153" customFormat="1" ht="15" x14ac:dyDescent="0.25">
      <c r="A9" s="4"/>
      <c r="B9" s="156" t="s">
        <v>8</v>
      </c>
      <c r="C9" s="156"/>
      <c r="D9" s="156"/>
      <c r="E9" s="156"/>
      <c r="F9" s="156"/>
      <c r="G9" s="10"/>
      <c r="H9" s="10"/>
      <c r="I9" s="10"/>
      <c r="J9" s="10"/>
      <c r="K9" s="10"/>
      <c r="L9" s="10"/>
      <c r="M9" s="106"/>
    </row>
    <row r="10" spans="1:153" customFormat="1" ht="9.75" customHeight="1" x14ac:dyDescent="0.25">
      <c r="A10" s="4"/>
      <c r="B10" s="4"/>
      <c r="C10" s="4"/>
      <c r="D10" s="11"/>
      <c r="E10" s="11"/>
      <c r="F10" s="11"/>
      <c r="G10" s="11"/>
      <c r="H10" s="11"/>
      <c r="I10" s="11"/>
      <c r="J10" s="11"/>
      <c r="K10" s="11"/>
      <c r="L10" s="11"/>
      <c r="M10" s="106"/>
    </row>
    <row r="11" spans="1:153" customFormat="1" ht="15" x14ac:dyDescent="0.25">
      <c r="A11" s="12" t="s">
        <v>9</v>
      </c>
      <c r="B11" s="4"/>
      <c r="C11" s="4"/>
      <c r="D11" s="157" t="s">
        <v>10</v>
      </c>
      <c r="E11" s="157"/>
      <c r="F11" s="157"/>
      <c r="G11" s="13"/>
      <c r="H11" s="13"/>
      <c r="I11" s="13"/>
      <c r="J11" s="13"/>
      <c r="K11" s="13"/>
      <c r="L11" s="13"/>
      <c r="M11" s="106"/>
      <c r="EU11" s="6" t="s">
        <v>10</v>
      </c>
      <c r="EV11" s="6" t="s">
        <v>0</v>
      </c>
      <c r="EW11" s="6" t="s">
        <v>0</v>
      </c>
    </row>
    <row r="12" spans="1:153" customFormat="1" ht="9.75" customHeight="1" x14ac:dyDescent="0.25">
      <c r="A12" s="4"/>
      <c r="B12" s="14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06"/>
    </row>
    <row r="13" spans="1:153" customFormat="1" ht="36" customHeight="1" x14ac:dyDescent="0.25">
      <c r="A13" s="158" t="s">
        <v>11</v>
      </c>
      <c r="B13" s="158" t="s">
        <v>12</v>
      </c>
      <c r="C13" s="161" t="s">
        <v>13</v>
      </c>
      <c r="D13" s="162"/>
      <c r="E13" s="163"/>
      <c r="F13" s="158" t="s">
        <v>14</v>
      </c>
      <c r="G13" s="158" t="s">
        <v>15</v>
      </c>
      <c r="H13" s="158" t="s">
        <v>18</v>
      </c>
      <c r="I13" s="158" t="s">
        <v>19</v>
      </c>
      <c r="J13" s="161" t="s">
        <v>16</v>
      </c>
      <c r="K13" s="162"/>
      <c r="L13" s="163"/>
      <c r="M13" s="106"/>
    </row>
    <row r="14" spans="1:153" customFormat="1" ht="11.25" customHeight="1" x14ac:dyDescent="0.25">
      <c r="A14" s="159"/>
      <c r="B14" s="159"/>
      <c r="C14" s="164"/>
      <c r="D14" s="165"/>
      <c r="E14" s="166"/>
      <c r="F14" s="159"/>
      <c r="G14" s="159"/>
      <c r="H14" s="159"/>
      <c r="I14" s="159"/>
      <c r="J14" s="167"/>
      <c r="K14" s="168"/>
      <c r="L14" s="169"/>
      <c r="M14" s="106"/>
    </row>
    <row r="15" spans="1:153" customFormat="1" ht="54" customHeight="1" x14ac:dyDescent="0.25">
      <c r="A15" s="160"/>
      <c r="B15" s="160"/>
      <c r="C15" s="167"/>
      <c r="D15" s="168"/>
      <c r="E15" s="169"/>
      <c r="F15" s="160"/>
      <c r="G15" s="160" t="s">
        <v>17</v>
      </c>
      <c r="H15" s="160"/>
      <c r="I15" s="160"/>
      <c r="J15" s="16" t="s">
        <v>17</v>
      </c>
      <c r="K15" s="16" t="s">
        <v>18</v>
      </c>
      <c r="L15" s="16" t="s">
        <v>20</v>
      </c>
      <c r="M15" s="107" t="s">
        <v>313</v>
      </c>
      <c r="N15" s="107" t="s">
        <v>314</v>
      </c>
      <c r="O15" s="107" t="s">
        <v>315</v>
      </c>
      <c r="P15" s="107" t="s">
        <v>316</v>
      </c>
      <c r="Q15" s="107" t="s">
        <v>320</v>
      </c>
      <c r="R15" s="107" t="s">
        <v>319</v>
      </c>
      <c r="S15" s="107" t="s">
        <v>321</v>
      </c>
    </row>
    <row r="16" spans="1:153" customFormat="1" ht="15" x14ac:dyDescent="0.25">
      <c r="A16" s="17">
        <v>1</v>
      </c>
      <c r="B16" s="18">
        <v>2</v>
      </c>
      <c r="C16" s="153">
        <v>3</v>
      </c>
      <c r="D16" s="154"/>
      <c r="E16" s="155"/>
      <c r="F16" s="18">
        <v>4</v>
      </c>
      <c r="G16" s="18">
        <v>5</v>
      </c>
      <c r="H16" s="18">
        <v>6</v>
      </c>
      <c r="I16" s="18">
        <v>7</v>
      </c>
      <c r="J16" s="18">
        <v>8</v>
      </c>
      <c r="K16" s="18">
        <v>9</v>
      </c>
      <c r="L16" s="18">
        <v>10</v>
      </c>
      <c r="M16" s="108"/>
      <c r="N16" s="19"/>
      <c r="O16" s="19"/>
      <c r="P16" s="120"/>
      <c r="Q16" s="121">
        <v>10366.67</v>
      </c>
    </row>
    <row r="17" spans="1:163" customFormat="1" ht="15" customHeight="1" x14ac:dyDescent="0.25">
      <c r="A17" s="90" t="s">
        <v>21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9"/>
      <c r="M17" s="106"/>
      <c r="Q17" s="121">
        <v>23000</v>
      </c>
      <c r="EX17" s="20" t="s">
        <v>21</v>
      </c>
    </row>
    <row r="18" spans="1:163" customFormat="1" ht="34.5" x14ac:dyDescent="0.25">
      <c r="A18" s="21" t="s">
        <v>22</v>
      </c>
      <c r="B18" s="22" t="s">
        <v>23</v>
      </c>
      <c r="C18" s="148" t="s">
        <v>24</v>
      </c>
      <c r="D18" s="148"/>
      <c r="E18" s="148"/>
      <c r="F18" s="23" t="s">
        <v>25</v>
      </c>
      <c r="G18" s="24">
        <v>0.27995999999999999</v>
      </c>
      <c r="H18" s="25">
        <v>1</v>
      </c>
      <c r="I18" s="26">
        <v>0.27995999999999999</v>
      </c>
      <c r="J18" s="27"/>
      <c r="K18" s="24"/>
      <c r="L18" s="28"/>
      <c r="M18" s="106"/>
      <c r="EX18" s="20"/>
      <c r="EY18" s="29" t="s">
        <v>24</v>
      </c>
      <c r="EZ18" s="29" t="s">
        <v>0</v>
      </c>
      <c r="FA18" s="29" t="s">
        <v>0</v>
      </c>
    </row>
    <row r="19" spans="1:163" customFormat="1" ht="15" x14ac:dyDescent="0.25">
      <c r="A19" s="30"/>
      <c r="B19" s="31"/>
      <c r="C19" s="146" t="s">
        <v>26</v>
      </c>
      <c r="D19" s="146"/>
      <c r="E19" s="146"/>
      <c r="F19" s="146"/>
      <c r="G19" s="146"/>
      <c r="H19" s="146"/>
      <c r="I19" s="146"/>
      <c r="J19" s="146"/>
      <c r="K19" s="146"/>
      <c r="L19" s="149"/>
      <c r="M19" s="106"/>
      <c r="EX19" s="20"/>
      <c r="EY19" s="29"/>
      <c r="EZ19" s="29"/>
      <c r="FA19" s="29"/>
      <c r="FB19" s="3" t="s">
        <v>26</v>
      </c>
    </row>
    <row r="20" spans="1:163" customFormat="1" ht="68.25" x14ac:dyDescent="0.25">
      <c r="A20" s="32"/>
      <c r="B20" s="33" t="s">
        <v>27</v>
      </c>
      <c r="C20" s="141" t="s">
        <v>28</v>
      </c>
      <c r="D20" s="141"/>
      <c r="E20" s="141"/>
      <c r="F20" s="141"/>
      <c r="G20" s="141"/>
      <c r="H20" s="141"/>
      <c r="I20" s="141"/>
      <c r="J20" s="141"/>
      <c r="K20" s="141"/>
      <c r="L20" s="150"/>
      <c r="M20" s="106"/>
      <c r="EX20" s="20"/>
      <c r="EY20" s="29"/>
      <c r="EZ20" s="29"/>
      <c r="FA20" s="29"/>
      <c r="FC20" s="3" t="s">
        <v>28</v>
      </c>
    </row>
    <row r="21" spans="1:163" customFormat="1" ht="23.25" x14ac:dyDescent="0.25">
      <c r="A21" s="32"/>
      <c r="B21" s="33" t="s">
        <v>29</v>
      </c>
      <c r="C21" s="141" t="s">
        <v>30</v>
      </c>
      <c r="D21" s="141"/>
      <c r="E21" s="141"/>
      <c r="F21" s="141"/>
      <c r="G21" s="141"/>
      <c r="H21" s="141"/>
      <c r="I21" s="141"/>
      <c r="J21" s="141"/>
      <c r="K21" s="141"/>
      <c r="L21" s="150"/>
      <c r="M21" s="106"/>
      <c r="N21" s="119" t="s">
        <v>317</v>
      </c>
      <c r="EX21" s="20"/>
      <c r="EY21" s="29"/>
      <c r="EZ21" s="29"/>
      <c r="FA21" s="29"/>
      <c r="FC21" s="3" t="s">
        <v>30</v>
      </c>
    </row>
    <row r="22" spans="1:163" customFormat="1" ht="15" x14ac:dyDescent="0.25">
      <c r="A22" s="34"/>
      <c r="B22" s="33" t="s">
        <v>22</v>
      </c>
      <c r="C22" s="146" t="s">
        <v>31</v>
      </c>
      <c r="D22" s="146"/>
      <c r="E22" s="146"/>
      <c r="F22" s="35"/>
      <c r="G22" s="36"/>
      <c r="H22" s="36"/>
      <c r="I22" s="36"/>
      <c r="J22" s="116">
        <v>2089.16</v>
      </c>
      <c r="K22" s="38">
        <v>1.3225</v>
      </c>
      <c r="L22" s="42">
        <f>G18*J22*K22</f>
        <v>773.50543143599998</v>
      </c>
      <c r="M22" s="106">
        <v>49.45</v>
      </c>
      <c r="N22" s="112">
        <f>J22*M22*K22</f>
        <v>136626.10224499999</v>
      </c>
      <c r="O22" s="113">
        <v>284668.76</v>
      </c>
      <c r="P22" s="104">
        <f>G26</f>
        <v>219.68</v>
      </c>
      <c r="Q22" s="105">
        <f>O22/P22*8</f>
        <v>10366.670065549892</v>
      </c>
      <c r="R22" s="105">
        <f>Q22*22</f>
        <v>228066.74144209761</v>
      </c>
      <c r="S22" s="105">
        <f>R22*(1-0.43)</f>
        <v>129998.04262199566</v>
      </c>
      <c r="EX22" s="20"/>
      <c r="EY22" s="29"/>
      <c r="EZ22" s="29"/>
      <c r="FA22" s="29"/>
      <c r="FD22" s="3" t="s">
        <v>31</v>
      </c>
    </row>
    <row r="23" spans="1:163" customFormat="1" ht="15" x14ac:dyDescent="0.25">
      <c r="A23" s="34"/>
      <c r="B23" s="33" t="s">
        <v>32</v>
      </c>
      <c r="C23" s="146" t="s">
        <v>33</v>
      </c>
      <c r="D23" s="146"/>
      <c r="E23" s="146"/>
      <c r="F23" s="35"/>
      <c r="G23" s="36"/>
      <c r="H23" s="36"/>
      <c r="I23" s="36"/>
      <c r="J23" s="117">
        <v>236.87</v>
      </c>
      <c r="K23" s="38">
        <v>1</v>
      </c>
      <c r="L23" s="42">
        <f>G18*J23*K23</f>
        <v>66.314125199999992</v>
      </c>
      <c r="M23" s="106">
        <v>14.53</v>
      </c>
      <c r="N23" s="112">
        <f>J23*M23*K23</f>
        <v>3441.7210999999998</v>
      </c>
      <c r="O23" s="113">
        <v>2041.25</v>
      </c>
      <c r="P23" s="104">
        <f>G27</f>
        <v>0.71</v>
      </c>
      <c r="Q23" s="105">
        <f>O23/P23*8</f>
        <v>23000</v>
      </c>
      <c r="S23" s="122"/>
      <c r="EX23" s="20"/>
      <c r="EY23" s="29"/>
      <c r="EZ23" s="29"/>
      <c r="FA23" s="29"/>
      <c r="FD23" s="3" t="s">
        <v>33</v>
      </c>
    </row>
    <row r="24" spans="1:163" customFormat="1" ht="15" x14ac:dyDescent="0.25">
      <c r="A24" s="34"/>
      <c r="B24" s="33" t="s">
        <v>34</v>
      </c>
      <c r="C24" s="146" t="s">
        <v>35</v>
      </c>
      <c r="D24" s="146"/>
      <c r="E24" s="146"/>
      <c r="F24" s="35"/>
      <c r="G24" s="36"/>
      <c r="H24" s="36"/>
      <c r="I24" s="36"/>
      <c r="J24" s="39">
        <v>9</v>
      </c>
      <c r="K24" s="38">
        <v>1.4375</v>
      </c>
      <c r="L24" s="42">
        <f>G18*J24*K24</f>
        <v>3.6219824999999997</v>
      </c>
      <c r="M24" s="106"/>
      <c r="EX24" s="20"/>
      <c r="EY24" s="29"/>
      <c r="EZ24" s="29"/>
      <c r="FA24" s="29"/>
      <c r="FD24" s="3" t="s">
        <v>35</v>
      </c>
    </row>
    <row r="25" spans="1:163" customFormat="1" ht="15" x14ac:dyDescent="0.25">
      <c r="A25" s="34"/>
      <c r="B25" s="33" t="s">
        <v>36</v>
      </c>
      <c r="C25" s="146" t="s">
        <v>37</v>
      </c>
      <c r="D25" s="146"/>
      <c r="E25" s="146"/>
      <c r="F25" s="35"/>
      <c r="G25" s="36"/>
      <c r="H25" s="36"/>
      <c r="I25" s="36"/>
      <c r="J25" s="37">
        <v>2732.35</v>
      </c>
      <c r="K25" s="51"/>
      <c r="L25" s="42">
        <f>G18*J25</f>
        <v>764.9487059999999</v>
      </c>
      <c r="M25" s="106"/>
      <c r="EX25" s="20"/>
      <c r="EY25" s="29"/>
      <c r="EZ25" s="29"/>
      <c r="FA25" s="29"/>
      <c r="FD25" s="3" t="s">
        <v>37</v>
      </c>
    </row>
    <row r="26" spans="1:163" customFormat="1" ht="15" x14ac:dyDescent="0.25">
      <c r="A26" s="43"/>
      <c r="B26" s="33"/>
      <c r="C26" s="146" t="s">
        <v>38</v>
      </c>
      <c r="D26" s="146"/>
      <c r="E26" s="146"/>
      <c r="F26" s="35" t="s">
        <v>39</v>
      </c>
      <c r="G26" s="40">
        <v>219.68</v>
      </c>
      <c r="H26" s="38">
        <v>1.3225</v>
      </c>
      <c r="I26" s="40">
        <v>81.335882900000001</v>
      </c>
      <c r="J26" s="45"/>
      <c r="K26" s="36"/>
      <c r="L26" s="46"/>
      <c r="M26" s="106"/>
      <c r="EX26" s="20"/>
      <c r="EY26" s="29"/>
      <c r="EZ26" s="29"/>
      <c r="FA26" s="29"/>
      <c r="FE26" s="3" t="s">
        <v>38</v>
      </c>
    </row>
    <row r="27" spans="1:163" customFormat="1" ht="15" x14ac:dyDescent="0.25">
      <c r="A27" s="43"/>
      <c r="B27" s="33"/>
      <c r="C27" s="146" t="s">
        <v>40</v>
      </c>
      <c r="D27" s="146"/>
      <c r="E27" s="146"/>
      <c r="F27" s="35" t="s">
        <v>39</v>
      </c>
      <c r="G27" s="40">
        <v>0.71</v>
      </c>
      <c r="H27" s="38">
        <v>1.4375</v>
      </c>
      <c r="I27" s="40">
        <v>0.28573419999999999</v>
      </c>
      <c r="J27" s="45"/>
      <c r="K27" s="36"/>
      <c r="L27" s="46"/>
      <c r="M27" s="106"/>
      <c r="EX27" s="20"/>
      <c r="EY27" s="29"/>
      <c r="EZ27" s="29"/>
      <c r="FA27" s="29"/>
      <c r="FE27" s="3" t="s">
        <v>40</v>
      </c>
    </row>
    <row r="28" spans="1:163" customFormat="1" ht="15" x14ac:dyDescent="0.25">
      <c r="A28" s="30"/>
      <c r="B28" s="33"/>
      <c r="C28" s="151" t="s">
        <v>41</v>
      </c>
      <c r="D28" s="151"/>
      <c r="E28" s="151"/>
      <c r="F28" s="47"/>
      <c r="G28" s="48"/>
      <c r="H28" s="48"/>
      <c r="I28" s="48"/>
      <c r="J28" s="49">
        <v>5058.38</v>
      </c>
      <c r="K28" s="48"/>
      <c r="L28" s="50">
        <f>L22+L23+L25</f>
        <v>1604.7682626359999</v>
      </c>
      <c r="M28" s="106"/>
      <c r="O28" s="114"/>
      <c r="EX28" s="20"/>
      <c r="EY28" s="29"/>
      <c r="EZ28" s="29"/>
      <c r="FA28" s="29"/>
      <c r="FF28" s="3" t="s">
        <v>41</v>
      </c>
    </row>
    <row r="29" spans="1:163" customFormat="1" ht="15" x14ac:dyDescent="0.25">
      <c r="A29" s="43"/>
      <c r="B29" s="33"/>
      <c r="C29" s="146" t="s">
        <v>42</v>
      </c>
      <c r="D29" s="146"/>
      <c r="E29" s="146"/>
      <c r="F29" s="35"/>
      <c r="G29" s="36"/>
      <c r="H29" s="36"/>
      <c r="I29" s="36"/>
      <c r="J29" s="45"/>
      <c r="K29" s="36"/>
      <c r="L29" s="42">
        <f>L22+L24</f>
        <v>777.12741393599993</v>
      </c>
      <c r="M29" s="106"/>
      <c r="N29" s="105"/>
      <c r="O29" s="114"/>
      <c r="EX29" s="20"/>
      <c r="EY29" s="29"/>
      <c r="EZ29" s="29"/>
      <c r="FA29" s="29"/>
      <c r="FE29" s="3" t="s">
        <v>42</v>
      </c>
    </row>
    <row r="30" spans="1:163" customFormat="1" ht="23.25" x14ac:dyDescent="0.25">
      <c r="A30" s="43"/>
      <c r="B30" s="33" t="s">
        <v>43</v>
      </c>
      <c r="C30" s="146" t="s">
        <v>44</v>
      </c>
      <c r="D30" s="146"/>
      <c r="E30" s="146"/>
      <c r="F30" s="35" t="s">
        <v>45</v>
      </c>
      <c r="G30" s="51">
        <v>126</v>
      </c>
      <c r="H30" s="36"/>
      <c r="I30" s="51">
        <v>126</v>
      </c>
      <c r="J30" s="45"/>
      <c r="K30" s="36"/>
      <c r="L30" s="42">
        <f>L29*I30%</f>
        <v>979.18054155935988</v>
      </c>
      <c r="M30" s="106"/>
      <c r="O30" s="114"/>
      <c r="P30" s="114"/>
      <c r="Q30" s="115"/>
      <c r="EX30" s="20"/>
      <c r="EY30" s="29"/>
      <c r="EZ30" s="29"/>
      <c r="FA30" s="29"/>
      <c r="FE30" s="3" t="s">
        <v>44</v>
      </c>
    </row>
    <row r="31" spans="1:163" customFormat="1" ht="23.25" x14ac:dyDescent="0.25">
      <c r="A31" s="43"/>
      <c r="B31" s="33" t="s">
        <v>46</v>
      </c>
      <c r="C31" s="146" t="s">
        <v>47</v>
      </c>
      <c r="D31" s="146"/>
      <c r="E31" s="146"/>
      <c r="F31" s="35" t="s">
        <v>45</v>
      </c>
      <c r="G31" s="51">
        <v>68</v>
      </c>
      <c r="H31" s="36"/>
      <c r="I31" s="51">
        <v>68</v>
      </c>
      <c r="J31" s="45"/>
      <c r="K31" s="36"/>
      <c r="L31" s="42">
        <f>L29*I31%</f>
        <v>528.44664147647995</v>
      </c>
      <c r="M31" s="106"/>
      <c r="EX31" s="20"/>
      <c r="EY31" s="29"/>
      <c r="EZ31" s="29"/>
      <c r="FA31" s="29"/>
      <c r="FE31" s="3" t="s">
        <v>47</v>
      </c>
    </row>
    <row r="32" spans="1:163" customFormat="1" ht="15" x14ac:dyDescent="0.25">
      <c r="A32" s="52"/>
      <c r="B32" s="53"/>
      <c r="C32" s="148" t="s">
        <v>48</v>
      </c>
      <c r="D32" s="148"/>
      <c r="E32" s="148"/>
      <c r="F32" s="23"/>
      <c r="G32" s="24"/>
      <c r="H32" s="24"/>
      <c r="I32" s="24"/>
      <c r="J32" s="27"/>
      <c r="K32" s="24"/>
      <c r="L32" s="96">
        <f>L28+L30+L31</f>
        <v>3112.3954456718402</v>
      </c>
      <c r="M32" s="106"/>
      <c r="EX32" s="20"/>
      <c r="EY32" s="29"/>
      <c r="EZ32" s="29"/>
      <c r="FA32" s="29"/>
      <c r="FG32" s="29" t="s">
        <v>48</v>
      </c>
    </row>
    <row r="33" spans="1:164" customFormat="1" ht="33.75" x14ac:dyDescent="0.25">
      <c r="A33" s="21" t="s">
        <v>32</v>
      </c>
      <c r="B33" s="22" t="s">
        <v>49</v>
      </c>
      <c r="C33" s="148" t="s">
        <v>50</v>
      </c>
      <c r="D33" s="148"/>
      <c r="E33" s="148"/>
      <c r="F33" s="23" t="s">
        <v>51</v>
      </c>
      <c r="G33" s="24">
        <v>190</v>
      </c>
      <c r="H33" s="25">
        <v>1</v>
      </c>
      <c r="I33" s="25">
        <v>190</v>
      </c>
      <c r="J33" s="56">
        <f>1555.9/1.2</f>
        <v>1296.5833333333335</v>
      </c>
      <c r="K33" s="26">
        <v>1.04236</v>
      </c>
      <c r="L33" s="97">
        <f>G33*J33*K33</f>
        <v>256786.25463333336</v>
      </c>
      <c r="M33" s="106"/>
      <c r="EX33" s="20"/>
      <c r="EY33" s="29" t="s">
        <v>50</v>
      </c>
      <c r="EZ33" s="29" t="s">
        <v>0</v>
      </c>
      <c r="FA33" s="29" t="s">
        <v>0</v>
      </c>
      <c r="FG33" s="29"/>
    </row>
    <row r="34" spans="1:164" customFormat="1" ht="15" x14ac:dyDescent="0.25">
      <c r="A34" s="30"/>
      <c r="B34" s="31"/>
      <c r="C34" s="146" t="s">
        <v>52</v>
      </c>
      <c r="D34" s="146"/>
      <c r="E34" s="146"/>
      <c r="F34" s="146"/>
      <c r="G34" s="146"/>
      <c r="H34" s="146"/>
      <c r="I34" s="146"/>
      <c r="J34" s="146"/>
      <c r="K34" s="146"/>
      <c r="L34" s="149"/>
      <c r="M34" s="106"/>
      <c r="EX34" s="20"/>
      <c r="EY34" s="29"/>
      <c r="EZ34" s="29"/>
      <c r="FA34" s="29"/>
      <c r="FB34" s="3" t="s">
        <v>52</v>
      </c>
      <c r="FG34" s="29"/>
    </row>
    <row r="35" spans="1:164" customFormat="1" ht="15" x14ac:dyDescent="0.25">
      <c r="A35" s="30"/>
      <c r="B35" s="31"/>
      <c r="C35" s="152" t="s">
        <v>296</v>
      </c>
      <c r="D35" s="146"/>
      <c r="E35" s="146"/>
      <c r="F35" s="146"/>
      <c r="G35" s="146"/>
      <c r="H35" s="146"/>
      <c r="I35" s="146"/>
      <c r="J35" s="146"/>
      <c r="K35" s="146"/>
      <c r="L35" s="149"/>
      <c r="M35" s="106"/>
      <c r="EX35" s="20"/>
      <c r="EY35" s="29"/>
      <c r="EZ35" s="29"/>
      <c r="FA35" s="29"/>
      <c r="FG35" s="29"/>
      <c r="FH35" s="3" t="s">
        <v>53</v>
      </c>
    </row>
    <row r="36" spans="1:164" customFormat="1" ht="15" x14ac:dyDescent="0.25">
      <c r="A36" s="32"/>
      <c r="B36" s="33"/>
      <c r="C36" s="141" t="s">
        <v>54</v>
      </c>
      <c r="D36" s="141"/>
      <c r="E36" s="141"/>
      <c r="F36" s="141"/>
      <c r="G36" s="141"/>
      <c r="H36" s="141"/>
      <c r="I36" s="141"/>
      <c r="J36" s="141"/>
      <c r="K36" s="141"/>
      <c r="L36" s="150"/>
      <c r="M36" s="106"/>
      <c r="EX36" s="20"/>
      <c r="EY36" s="29"/>
      <c r="EZ36" s="29"/>
      <c r="FA36" s="29"/>
      <c r="FC36" s="3" t="s">
        <v>54</v>
      </c>
      <c r="FG36" s="29"/>
    </row>
    <row r="37" spans="1:164" customFormat="1" ht="15" x14ac:dyDescent="0.25">
      <c r="A37" s="32"/>
      <c r="B37" s="33"/>
      <c r="C37" s="141" t="s">
        <v>55</v>
      </c>
      <c r="D37" s="141"/>
      <c r="E37" s="141"/>
      <c r="F37" s="141"/>
      <c r="G37" s="141"/>
      <c r="H37" s="141"/>
      <c r="I37" s="141"/>
      <c r="J37" s="141"/>
      <c r="K37" s="141"/>
      <c r="L37" s="150"/>
      <c r="M37" s="106"/>
      <c r="EX37" s="20"/>
      <c r="EY37" s="29"/>
      <c r="EZ37" s="29"/>
      <c r="FA37" s="29"/>
      <c r="FC37" s="3" t="s">
        <v>55</v>
      </c>
      <c r="FG37" s="29"/>
    </row>
    <row r="38" spans="1:164" customFormat="1" ht="15" x14ac:dyDescent="0.25">
      <c r="A38" s="52"/>
      <c r="B38" s="53"/>
      <c r="C38" s="148" t="s">
        <v>48</v>
      </c>
      <c r="D38" s="148"/>
      <c r="E38" s="148"/>
      <c r="F38" s="23"/>
      <c r="G38" s="24"/>
      <c r="H38" s="24"/>
      <c r="I38" s="24"/>
      <c r="J38" s="27"/>
      <c r="K38" s="24"/>
      <c r="L38" s="96">
        <f>L33</f>
        <v>256786.25463333336</v>
      </c>
      <c r="M38" s="106"/>
      <c r="EX38" s="20"/>
      <c r="EY38" s="29"/>
      <c r="EZ38" s="29"/>
      <c r="FA38" s="29"/>
      <c r="FG38" s="29" t="s">
        <v>48</v>
      </c>
    </row>
    <row r="39" spans="1:164" customFormat="1" ht="33.75" x14ac:dyDescent="0.25">
      <c r="A39" s="21" t="s">
        <v>34</v>
      </c>
      <c r="B39" s="22" t="s">
        <v>56</v>
      </c>
      <c r="C39" s="148" t="s">
        <v>57</v>
      </c>
      <c r="D39" s="148"/>
      <c r="E39" s="148"/>
      <c r="F39" s="23" t="s">
        <v>51</v>
      </c>
      <c r="G39" s="24">
        <v>149</v>
      </c>
      <c r="H39" s="25">
        <v>1</v>
      </c>
      <c r="I39" s="25">
        <v>149</v>
      </c>
      <c r="J39" s="56">
        <f>956/1.2</f>
        <v>796.66666666666674</v>
      </c>
      <c r="K39" s="26">
        <v>1.04236</v>
      </c>
      <c r="L39" s="55">
        <f>G39*J39*K39</f>
        <v>123731.60653333334</v>
      </c>
      <c r="M39" s="106"/>
      <c r="EX39" s="20"/>
      <c r="EY39" s="29" t="s">
        <v>57</v>
      </c>
      <c r="EZ39" s="29" t="s">
        <v>0</v>
      </c>
      <c r="FA39" s="29" t="s">
        <v>0</v>
      </c>
      <c r="FG39" s="29"/>
    </row>
    <row r="40" spans="1:164" customFormat="1" ht="15" x14ac:dyDescent="0.25">
      <c r="A40" s="30"/>
      <c r="B40" s="31"/>
      <c r="C40" s="146" t="s">
        <v>58</v>
      </c>
      <c r="D40" s="146"/>
      <c r="E40" s="146"/>
      <c r="F40" s="146"/>
      <c r="G40" s="146"/>
      <c r="H40" s="146"/>
      <c r="I40" s="146"/>
      <c r="J40" s="146"/>
      <c r="K40" s="146"/>
      <c r="L40" s="149"/>
      <c r="M40" s="106"/>
      <c r="EX40" s="20"/>
      <c r="EY40" s="29"/>
      <c r="EZ40" s="29"/>
      <c r="FA40" s="29"/>
      <c r="FB40" s="3" t="s">
        <v>58</v>
      </c>
      <c r="FG40" s="29"/>
    </row>
    <row r="41" spans="1:164" customFormat="1" ht="15" x14ac:dyDescent="0.25">
      <c r="A41" s="30"/>
      <c r="B41" s="31"/>
      <c r="C41" s="152" t="s">
        <v>295</v>
      </c>
      <c r="D41" s="146"/>
      <c r="E41" s="146"/>
      <c r="F41" s="146"/>
      <c r="G41" s="146"/>
      <c r="H41" s="146"/>
      <c r="I41" s="146"/>
      <c r="J41" s="146"/>
      <c r="K41" s="146"/>
      <c r="L41" s="149"/>
      <c r="M41" s="106"/>
      <c r="EX41" s="20"/>
      <c r="EY41" s="29"/>
      <c r="EZ41" s="29"/>
      <c r="FA41" s="29"/>
      <c r="FG41" s="29"/>
      <c r="FH41" s="3" t="s">
        <v>59</v>
      </c>
    </row>
    <row r="42" spans="1:164" customFormat="1" ht="15" x14ac:dyDescent="0.25">
      <c r="A42" s="32"/>
      <c r="B42" s="33"/>
      <c r="C42" s="141" t="s">
        <v>54</v>
      </c>
      <c r="D42" s="141"/>
      <c r="E42" s="141"/>
      <c r="F42" s="141"/>
      <c r="G42" s="141"/>
      <c r="H42" s="141"/>
      <c r="I42" s="141"/>
      <c r="J42" s="141"/>
      <c r="K42" s="141"/>
      <c r="L42" s="150"/>
      <c r="M42" s="106"/>
      <c r="EX42" s="20"/>
      <c r="EY42" s="29"/>
      <c r="EZ42" s="29"/>
      <c r="FA42" s="29"/>
      <c r="FC42" s="3" t="s">
        <v>54</v>
      </c>
      <c r="FG42" s="29"/>
    </row>
    <row r="43" spans="1:164" customFormat="1" ht="15" x14ac:dyDescent="0.25">
      <c r="A43" s="32"/>
      <c r="B43" s="33"/>
      <c r="C43" s="141" t="s">
        <v>55</v>
      </c>
      <c r="D43" s="141"/>
      <c r="E43" s="141"/>
      <c r="F43" s="141"/>
      <c r="G43" s="141"/>
      <c r="H43" s="141"/>
      <c r="I43" s="141"/>
      <c r="J43" s="141"/>
      <c r="K43" s="141"/>
      <c r="L43" s="150"/>
      <c r="M43" s="106"/>
      <c r="EX43" s="20"/>
      <c r="EY43" s="29"/>
      <c r="EZ43" s="29"/>
      <c r="FA43" s="29"/>
      <c r="FC43" s="3" t="s">
        <v>55</v>
      </c>
      <c r="FG43" s="29"/>
    </row>
    <row r="44" spans="1:164" customFormat="1" ht="15" x14ac:dyDescent="0.25">
      <c r="A44" s="52"/>
      <c r="B44" s="53"/>
      <c r="C44" s="148" t="s">
        <v>48</v>
      </c>
      <c r="D44" s="148"/>
      <c r="E44" s="148"/>
      <c r="F44" s="23"/>
      <c r="G44" s="24"/>
      <c r="H44" s="24"/>
      <c r="I44" s="24"/>
      <c r="J44" s="27"/>
      <c r="K44" s="24"/>
      <c r="L44" s="96">
        <f>L39</f>
        <v>123731.60653333334</v>
      </c>
      <c r="M44" s="106"/>
      <c r="EX44" s="20"/>
      <c r="EY44" s="29"/>
      <c r="EZ44" s="29"/>
      <c r="FA44" s="29"/>
      <c r="FG44" s="29" t="s">
        <v>48</v>
      </c>
    </row>
    <row r="45" spans="1:164" customFormat="1" ht="23.25" x14ac:dyDescent="0.25">
      <c r="A45" s="21" t="s">
        <v>36</v>
      </c>
      <c r="B45" s="22" t="s">
        <v>60</v>
      </c>
      <c r="C45" s="148" t="s">
        <v>61</v>
      </c>
      <c r="D45" s="148"/>
      <c r="E45" s="148"/>
      <c r="F45" s="23" t="s">
        <v>25</v>
      </c>
      <c r="G45" s="24">
        <v>4.0000000000000001E-3</v>
      </c>
      <c r="H45" s="25">
        <v>1</v>
      </c>
      <c r="I45" s="58">
        <v>4.0000000000000001E-3</v>
      </c>
      <c r="J45" s="54">
        <v>140835</v>
      </c>
      <c r="K45" s="24">
        <v>1</v>
      </c>
      <c r="L45" s="98">
        <f>G45*J45*K45</f>
        <v>563.34</v>
      </c>
      <c r="M45" s="106"/>
      <c r="EX45" s="20"/>
      <c r="EY45" s="29" t="s">
        <v>61</v>
      </c>
      <c r="EZ45" s="29" t="s">
        <v>0</v>
      </c>
      <c r="FA45" s="29" t="s">
        <v>0</v>
      </c>
      <c r="FG45" s="29"/>
    </row>
    <row r="46" spans="1:164" customFormat="1" ht="15" x14ac:dyDescent="0.25">
      <c r="A46" s="30"/>
      <c r="B46" s="31"/>
      <c r="C46" s="146" t="s">
        <v>62</v>
      </c>
      <c r="D46" s="146"/>
      <c r="E46" s="146"/>
      <c r="F46" s="146"/>
      <c r="G46" s="146"/>
      <c r="H46" s="146"/>
      <c r="I46" s="146"/>
      <c r="J46" s="146"/>
      <c r="K46" s="146"/>
      <c r="L46" s="149"/>
      <c r="M46" s="106"/>
      <c r="EX46" s="20"/>
      <c r="EY46" s="29"/>
      <c r="EZ46" s="29"/>
      <c r="FA46" s="29"/>
      <c r="FB46" s="3" t="s">
        <v>62</v>
      </c>
      <c r="FG46" s="29"/>
    </row>
    <row r="47" spans="1:164" customFormat="1" ht="15" x14ac:dyDescent="0.25">
      <c r="A47" s="52"/>
      <c r="B47" s="53"/>
      <c r="C47" s="148" t="s">
        <v>48</v>
      </c>
      <c r="D47" s="148"/>
      <c r="E47" s="148"/>
      <c r="F47" s="23"/>
      <c r="G47" s="24"/>
      <c r="H47" s="24"/>
      <c r="I47" s="24"/>
      <c r="J47" s="27"/>
      <c r="K47" s="24"/>
      <c r="L47" s="99">
        <f>L45</f>
        <v>563.34</v>
      </c>
      <c r="M47" s="106"/>
      <c r="EX47" s="20"/>
      <c r="EY47" s="29"/>
      <c r="EZ47" s="29"/>
      <c r="FA47" s="29"/>
      <c r="FG47" s="29" t="s">
        <v>48</v>
      </c>
    </row>
    <row r="48" spans="1:164" customFormat="1" ht="23.25" x14ac:dyDescent="0.25">
      <c r="A48" s="21" t="s">
        <v>63</v>
      </c>
      <c r="B48" s="22" t="s">
        <v>64</v>
      </c>
      <c r="C48" s="148" t="s">
        <v>65</v>
      </c>
      <c r="D48" s="148"/>
      <c r="E48" s="148"/>
      <c r="F48" s="23" t="s">
        <v>25</v>
      </c>
      <c r="G48" s="24">
        <v>6.0000000000000001E-3</v>
      </c>
      <c r="H48" s="25">
        <v>1</v>
      </c>
      <c r="I48" s="58">
        <v>6.0000000000000001E-3</v>
      </c>
      <c r="J48" s="54">
        <v>91945</v>
      </c>
      <c r="K48" s="24">
        <v>1</v>
      </c>
      <c r="L48" s="59">
        <f>G48*J48*K48</f>
        <v>551.66999999999996</v>
      </c>
      <c r="M48" s="106"/>
      <c r="EX48" s="20"/>
      <c r="EY48" s="29" t="s">
        <v>65</v>
      </c>
      <c r="EZ48" s="29" t="s">
        <v>0</v>
      </c>
      <c r="FA48" s="29" t="s">
        <v>0</v>
      </c>
      <c r="FG48" s="29"/>
    </row>
    <row r="49" spans="1:163" customFormat="1" ht="15" x14ac:dyDescent="0.25">
      <c r="A49" s="30"/>
      <c r="B49" s="31"/>
      <c r="C49" s="146" t="s">
        <v>66</v>
      </c>
      <c r="D49" s="146"/>
      <c r="E49" s="146"/>
      <c r="F49" s="146"/>
      <c r="G49" s="146"/>
      <c r="H49" s="146"/>
      <c r="I49" s="146"/>
      <c r="J49" s="146"/>
      <c r="K49" s="146"/>
      <c r="L49" s="149"/>
      <c r="M49" s="106"/>
      <c r="EX49" s="20"/>
      <c r="EY49" s="29"/>
      <c r="EZ49" s="29"/>
      <c r="FA49" s="29"/>
      <c r="FB49" s="3" t="s">
        <v>66</v>
      </c>
      <c r="FG49" s="29"/>
    </row>
    <row r="50" spans="1:163" customFormat="1" ht="15" x14ac:dyDescent="0.25">
      <c r="A50" s="52"/>
      <c r="B50" s="53"/>
      <c r="C50" s="148" t="s">
        <v>48</v>
      </c>
      <c r="D50" s="148"/>
      <c r="E50" s="148"/>
      <c r="F50" s="23"/>
      <c r="G50" s="24"/>
      <c r="H50" s="24"/>
      <c r="I50" s="24"/>
      <c r="J50" s="27"/>
      <c r="K50" s="24"/>
      <c r="L50" s="99">
        <f>L48</f>
        <v>551.66999999999996</v>
      </c>
      <c r="M50" s="106"/>
      <c r="EX50" s="20"/>
      <c r="EY50" s="29"/>
      <c r="EZ50" s="29"/>
      <c r="FA50" s="29"/>
      <c r="FG50" s="29" t="s">
        <v>48</v>
      </c>
    </row>
    <row r="51" spans="1:163" customFormat="1" ht="23.25" x14ac:dyDescent="0.25">
      <c r="A51" s="21" t="s">
        <v>67</v>
      </c>
      <c r="B51" s="138" t="s">
        <v>68</v>
      </c>
      <c r="C51" s="148" t="s">
        <v>69</v>
      </c>
      <c r="D51" s="148"/>
      <c r="E51" s="148"/>
      <c r="F51" s="23" t="s">
        <v>70</v>
      </c>
      <c r="G51" s="24">
        <v>0.84</v>
      </c>
      <c r="H51" s="25">
        <v>1</v>
      </c>
      <c r="I51" s="57">
        <v>0.84</v>
      </c>
      <c r="J51" s="27"/>
      <c r="K51" s="24"/>
      <c r="L51" s="28"/>
      <c r="M51" s="106"/>
      <c r="EX51" s="20"/>
      <c r="EY51" s="29" t="s">
        <v>69</v>
      </c>
      <c r="EZ51" s="29" t="s">
        <v>0</v>
      </c>
      <c r="FA51" s="29" t="s">
        <v>0</v>
      </c>
      <c r="FG51" s="29"/>
    </row>
    <row r="52" spans="1:163" customFormat="1" ht="15" x14ac:dyDescent="0.25">
      <c r="A52" s="30"/>
      <c r="B52" s="31"/>
      <c r="C52" s="146" t="s">
        <v>71</v>
      </c>
      <c r="D52" s="146"/>
      <c r="E52" s="146"/>
      <c r="F52" s="146"/>
      <c r="G52" s="146"/>
      <c r="H52" s="146"/>
      <c r="I52" s="146"/>
      <c r="J52" s="146"/>
      <c r="K52" s="146"/>
      <c r="L52" s="149"/>
      <c r="M52" s="106"/>
      <c r="EX52" s="20"/>
      <c r="EY52" s="29"/>
      <c r="EZ52" s="29"/>
      <c r="FA52" s="29"/>
      <c r="FB52" s="3" t="s">
        <v>71</v>
      </c>
      <c r="FG52" s="29"/>
    </row>
    <row r="53" spans="1:163" customFormat="1" ht="68.25" x14ac:dyDescent="0.25">
      <c r="A53" s="32"/>
      <c r="B53" s="33" t="s">
        <v>27</v>
      </c>
      <c r="C53" s="141" t="s">
        <v>28</v>
      </c>
      <c r="D53" s="141"/>
      <c r="E53" s="141"/>
      <c r="F53" s="141"/>
      <c r="G53" s="141"/>
      <c r="H53" s="141"/>
      <c r="I53" s="141"/>
      <c r="J53" s="141"/>
      <c r="K53" s="141"/>
      <c r="L53" s="150"/>
      <c r="M53" s="106"/>
      <c r="EX53" s="20"/>
      <c r="EY53" s="29"/>
      <c r="EZ53" s="29"/>
      <c r="FA53" s="29"/>
      <c r="FC53" s="3" t="s">
        <v>28</v>
      </c>
      <c r="FG53" s="29"/>
    </row>
    <row r="54" spans="1:163" customFormat="1" ht="23.25" x14ac:dyDescent="0.25">
      <c r="A54" s="32"/>
      <c r="B54" s="33" t="s">
        <v>29</v>
      </c>
      <c r="C54" s="141" t="s">
        <v>30</v>
      </c>
      <c r="D54" s="141"/>
      <c r="E54" s="141"/>
      <c r="F54" s="141"/>
      <c r="G54" s="141"/>
      <c r="H54" s="141"/>
      <c r="I54" s="141"/>
      <c r="J54" s="141"/>
      <c r="K54" s="141"/>
      <c r="L54" s="150"/>
      <c r="M54" s="106"/>
      <c r="N54" s="118" t="s">
        <v>318</v>
      </c>
      <c r="EX54" s="20"/>
      <c r="EY54" s="29"/>
      <c r="EZ54" s="29"/>
      <c r="FA54" s="29"/>
      <c r="FC54" s="3" t="s">
        <v>30</v>
      </c>
      <c r="FG54" s="29"/>
    </row>
    <row r="55" spans="1:163" customFormat="1" ht="15" x14ac:dyDescent="0.25">
      <c r="A55" s="34"/>
      <c r="B55" s="33" t="s">
        <v>22</v>
      </c>
      <c r="C55" s="146" t="s">
        <v>31</v>
      </c>
      <c r="D55" s="146"/>
      <c r="E55" s="146"/>
      <c r="F55" s="35"/>
      <c r="G55" s="36"/>
      <c r="H55" s="36"/>
      <c r="I55" s="36"/>
      <c r="J55" s="39">
        <v>221.09</v>
      </c>
      <c r="K55" s="38">
        <v>1.3225</v>
      </c>
      <c r="L55" s="42">
        <f>G51*J55*K55</f>
        <v>245.608881</v>
      </c>
      <c r="M55" s="106">
        <v>49.45</v>
      </c>
      <c r="N55" s="112">
        <f>J55*M55*K55</f>
        <v>14458.760911250001</v>
      </c>
      <c r="O55" s="113">
        <v>30478.0098</v>
      </c>
      <c r="P55" s="105">
        <f>G59</f>
        <v>23.52</v>
      </c>
      <c r="Q55" s="105">
        <f>O55/P55*8</f>
        <v>10366.67</v>
      </c>
      <c r="R55" s="105">
        <f>Q55*22</f>
        <v>228066.74</v>
      </c>
      <c r="S55" s="105">
        <f>R55*(1-0.43)</f>
        <v>129998.04180000001</v>
      </c>
      <c r="EX55" s="20"/>
      <c r="EY55" s="29"/>
      <c r="EZ55" s="29"/>
      <c r="FA55" s="29"/>
      <c r="FD55" s="3" t="s">
        <v>31</v>
      </c>
      <c r="FG55" s="29"/>
    </row>
    <row r="56" spans="1:163" customFormat="1" ht="15" x14ac:dyDescent="0.25">
      <c r="A56" s="34"/>
      <c r="B56" s="33" t="s">
        <v>32</v>
      </c>
      <c r="C56" s="146" t="s">
        <v>33</v>
      </c>
      <c r="D56" s="146"/>
      <c r="E56" s="146"/>
      <c r="F56" s="35"/>
      <c r="G56" s="36"/>
      <c r="H56" s="36"/>
      <c r="I56" s="36"/>
      <c r="J56" s="39">
        <v>32.119999999999997</v>
      </c>
      <c r="K56" s="38">
        <v>1.4375</v>
      </c>
      <c r="L56" s="42">
        <f>G51*J56*K56</f>
        <v>38.7849</v>
      </c>
      <c r="M56" s="106">
        <v>14.53</v>
      </c>
      <c r="N56" s="112">
        <f>J56*M56*K56</f>
        <v>670.88642499999992</v>
      </c>
      <c r="O56" s="113">
        <v>575</v>
      </c>
      <c r="P56" s="105">
        <f>G60</f>
        <v>0.2</v>
      </c>
      <c r="Q56" s="105">
        <f>O56/P56*8</f>
        <v>23000</v>
      </c>
      <c r="EX56" s="20"/>
      <c r="EY56" s="29"/>
      <c r="EZ56" s="29"/>
      <c r="FA56" s="29"/>
      <c r="FD56" s="3" t="s">
        <v>33</v>
      </c>
      <c r="FG56" s="29"/>
    </row>
    <row r="57" spans="1:163" customFormat="1" ht="15" x14ac:dyDescent="0.25">
      <c r="A57" s="34"/>
      <c r="B57" s="33" t="s">
        <v>34</v>
      </c>
      <c r="C57" s="146" t="s">
        <v>35</v>
      </c>
      <c r="D57" s="146"/>
      <c r="E57" s="146"/>
      <c r="F57" s="35"/>
      <c r="G57" s="36"/>
      <c r="H57" s="36"/>
      <c r="I57" s="36"/>
      <c r="J57" s="39">
        <v>2.5099999999999998</v>
      </c>
      <c r="K57" s="38">
        <v>1.4375</v>
      </c>
      <c r="L57" s="42">
        <f>G51*J57*K57</f>
        <v>3.0308249999999992</v>
      </c>
      <c r="M57" s="106"/>
      <c r="EX57" s="20"/>
      <c r="EY57" s="29"/>
      <c r="EZ57" s="29"/>
      <c r="FA57" s="29"/>
      <c r="FD57" s="3" t="s">
        <v>35</v>
      </c>
      <c r="FG57" s="29"/>
    </row>
    <row r="58" spans="1:163" customFormat="1" ht="15" x14ac:dyDescent="0.25">
      <c r="A58" s="34"/>
      <c r="B58" s="33" t="s">
        <v>36</v>
      </c>
      <c r="C58" s="146" t="s">
        <v>37</v>
      </c>
      <c r="D58" s="146"/>
      <c r="E58" s="146"/>
      <c r="F58" s="35"/>
      <c r="G58" s="36"/>
      <c r="H58" s="36"/>
      <c r="I58" s="36"/>
      <c r="J58" s="39">
        <v>111.92</v>
      </c>
      <c r="K58" s="36"/>
      <c r="L58" s="42">
        <f>G51*J58</f>
        <v>94.012799999999999</v>
      </c>
      <c r="M58" s="106"/>
      <c r="EX58" s="20"/>
      <c r="EY58" s="29"/>
      <c r="EZ58" s="29"/>
      <c r="FA58" s="29"/>
      <c r="FD58" s="3" t="s">
        <v>37</v>
      </c>
      <c r="FG58" s="29"/>
    </row>
    <row r="59" spans="1:163" customFormat="1" ht="15" x14ac:dyDescent="0.25">
      <c r="A59" s="43"/>
      <c r="B59" s="33"/>
      <c r="C59" s="146" t="s">
        <v>38</v>
      </c>
      <c r="D59" s="146"/>
      <c r="E59" s="146"/>
      <c r="F59" s="35" t="s">
        <v>39</v>
      </c>
      <c r="G59" s="40">
        <v>23.52</v>
      </c>
      <c r="H59" s="38">
        <v>1.3225</v>
      </c>
      <c r="I59" s="60">
        <v>26.128367999999998</v>
      </c>
      <c r="J59" s="45"/>
      <c r="K59" s="36"/>
      <c r="L59" s="46"/>
      <c r="M59" s="106"/>
      <c r="EX59" s="20"/>
      <c r="EY59" s="29"/>
      <c r="EZ59" s="29"/>
      <c r="FA59" s="29"/>
      <c r="FE59" s="3" t="s">
        <v>38</v>
      </c>
      <c r="FG59" s="29"/>
    </row>
    <row r="60" spans="1:163" customFormat="1" ht="15" x14ac:dyDescent="0.25">
      <c r="A60" s="43"/>
      <c r="B60" s="33"/>
      <c r="C60" s="146" t="s">
        <v>40</v>
      </c>
      <c r="D60" s="146"/>
      <c r="E60" s="146"/>
      <c r="F60" s="35" t="s">
        <v>39</v>
      </c>
      <c r="G60" s="61">
        <v>0.2</v>
      </c>
      <c r="H60" s="38">
        <v>1.4375</v>
      </c>
      <c r="I60" s="38">
        <v>0.24149999999999999</v>
      </c>
      <c r="J60" s="45"/>
      <c r="K60" s="36"/>
      <c r="L60" s="46"/>
      <c r="M60" s="106"/>
      <c r="EX60" s="20"/>
      <c r="EY60" s="29"/>
      <c r="EZ60" s="29"/>
      <c r="FA60" s="29"/>
      <c r="FE60" s="3" t="s">
        <v>40</v>
      </c>
      <c r="FG60" s="29"/>
    </row>
    <row r="61" spans="1:163" customFormat="1" ht="15" x14ac:dyDescent="0.25">
      <c r="A61" s="30"/>
      <c r="B61" s="33"/>
      <c r="C61" s="151" t="s">
        <v>41</v>
      </c>
      <c r="D61" s="151"/>
      <c r="E61" s="151"/>
      <c r="F61" s="47"/>
      <c r="G61" s="48"/>
      <c r="H61" s="48"/>
      <c r="I61" s="48"/>
      <c r="J61" s="62">
        <v>365.13</v>
      </c>
      <c r="K61" s="48"/>
      <c r="L61" s="66">
        <f>L55+L56+L58</f>
        <v>378.40658099999996</v>
      </c>
      <c r="M61" s="106"/>
      <c r="EX61" s="20"/>
      <c r="EY61" s="29"/>
      <c r="EZ61" s="29"/>
      <c r="FA61" s="29"/>
      <c r="FF61" s="3" t="s">
        <v>41</v>
      </c>
      <c r="FG61" s="29"/>
    </row>
    <row r="62" spans="1:163" customFormat="1" ht="15" x14ac:dyDescent="0.25">
      <c r="A62" s="43"/>
      <c r="B62" s="33"/>
      <c r="C62" s="146" t="s">
        <v>42</v>
      </c>
      <c r="D62" s="146"/>
      <c r="E62" s="146"/>
      <c r="F62" s="35"/>
      <c r="G62" s="36"/>
      <c r="H62" s="36"/>
      <c r="I62" s="36"/>
      <c r="J62" s="45"/>
      <c r="K62" s="36"/>
      <c r="L62" s="42">
        <f>L55+L57</f>
        <v>248.63970599999999</v>
      </c>
      <c r="M62" s="106"/>
      <c r="EX62" s="20"/>
      <c r="EY62" s="29"/>
      <c r="EZ62" s="29"/>
      <c r="FA62" s="29"/>
      <c r="FE62" s="3" t="s">
        <v>42</v>
      </c>
      <c r="FG62" s="29"/>
    </row>
    <row r="63" spans="1:163" customFormat="1" ht="23.25" x14ac:dyDescent="0.25">
      <c r="A63" s="43"/>
      <c r="B63" s="33" t="s">
        <v>72</v>
      </c>
      <c r="C63" s="146" t="s">
        <v>73</v>
      </c>
      <c r="D63" s="146"/>
      <c r="E63" s="146"/>
      <c r="F63" s="35" t="s">
        <v>45</v>
      </c>
      <c r="G63" s="51">
        <v>97</v>
      </c>
      <c r="H63" s="36"/>
      <c r="I63" s="51">
        <v>97</v>
      </c>
      <c r="J63" s="45"/>
      <c r="K63" s="36"/>
      <c r="L63" s="42">
        <f>L62*I63%</f>
        <v>241.18051481999998</v>
      </c>
      <c r="M63" s="106"/>
      <c r="EX63" s="20"/>
      <c r="EY63" s="29"/>
      <c r="EZ63" s="29"/>
      <c r="FA63" s="29"/>
      <c r="FE63" s="3" t="s">
        <v>73</v>
      </c>
      <c r="FG63" s="29"/>
    </row>
    <row r="64" spans="1:163" customFormat="1" ht="23.25" x14ac:dyDescent="0.25">
      <c r="A64" s="43"/>
      <c r="B64" s="33" t="s">
        <v>74</v>
      </c>
      <c r="C64" s="146" t="s">
        <v>75</v>
      </c>
      <c r="D64" s="146"/>
      <c r="E64" s="146"/>
      <c r="F64" s="35" t="s">
        <v>45</v>
      </c>
      <c r="G64" s="51">
        <v>51</v>
      </c>
      <c r="H64" s="36"/>
      <c r="I64" s="51">
        <v>51</v>
      </c>
      <c r="J64" s="45"/>
      <c r="K64" s="36"/>
      <c r="L64" s="42">
        <f>L62*I64%</f>
        <v>126.80625006</v>
      </c>
      <c r="M64" s="106"/>
      <c r="EX64" s="20"/>
      <c r="EY64" s="29"/>
      <c r="EZ64" s="29"/>
      <c r="FA64" s="29"/>
      <c r="FE64" s="3" t="s">
        <v>75</v>
      </c>
      <c r="FG64" s="29"/>
    </row>
    <row r="65" spans="1:164" customFormat="1" ht="15" x14ac:dyDescent="0.25">
      <c r="A65" s="52"/>
      <c r="B65" s="53"/>
      <c r="C65" s="148" t="s">
        <v>48</v>
      </c>
      <c r="D65" s="148"/>
      <c r="E65" s="148"/>
      <c r="F65" s="23"/>
      <c r="G65" s="24"/>
      <c r="H65" s="24"/>
      <c r="I65" s="24"/>
      <c r="J65" s="27"/>
      <c r="K65" s="24"/>
      <c r="L65" s="99">
        <f>L61+L63+L64</f>
        <v>746.39334587999997</v>
      </c>
      <c r="M65" s="106"/>
      <c r="EX65" s="20"/>
      <c r="EY65" s="29"/>
      <c r="EZ65" s="29"/>
      <c r="FA65" s="29"/>
      <c r="FG65" s="29" t="s">
        <v>48</v>
      </c>
    </row>
    <row r="66" spans="1:164" customFormat="1" ht="45" x14ac:dyDescent="0.25">
      <c r="A66" s="21" t="s">
        <v>76</v>
      </c>
      <c r="B66" s="22" t="s">
        <v>77</v>
      </c>
      <c r="C66" s="148" t="s">
        <v>78</v>
      </c>
      <c r="D66" s="148"/>
      <c r="E66" s="148"/>
      <c r="F66" s="23" t="s">
        <v>51</v>
      </c>
      <c r="G66" s="24">
        <v>28</v>
      </c>
      <c r="H66" s="25">
        <v>1</v>
      </c>
      <c r="I66" s="25">
        <v>28</v>
      </c>
      <c r="J66" s="87">
        <f>16199/1.2</f>
        <v>13499.166666666668</v>
      </c>
      <c r="K66" s="26">
        <v>1.04236</v>
      </c>
      <c r="L66" s="55">
        <f>G66*J66*K66</f>
        <v>393987.75826666667</v>
      </c>
      <c r="M66" s="106"/>
      <c r="EX66" s="20"/>
      <c r="EY66" s="29" t="s">
        <v>78</v>
      </c>
      <c r="EZ66" s="29" t="s">
        <v>0</v>
      </c>
      <c r="FA66" s="29" t="s">
        <v>0</v>
      </c>
      <c r="FG66" s="29"/>
    </row>
    <row r="67" spans="1:164" customFormat="1" ht="15" x14ac:dyDescent="0.25">
      <c r="A67" s="30"/>
      <c r="B67" s="31"/>
      <c r="C67" s="146" t="s">
        <v>79</v>
      </c>
      <c r="D67" s="146"/>
      <c r="E67" s="146"/>
      <c r="F67" s="146"/>
      <c r="G67" s="146"/>
      <c r="H67" s="146"/>
      <c r="I67" s="146"/>
      <c r="J67" s="146"/>
      <c r="K67" s="146"/>
      <c r="L67" s="149"/>
      <c r="M67" s="106"/>
      <c r="EX67" s="20"/>
      <c r="EY67" s="29"/>
      <c r="EZ67" s="29"/>
      <c r="FA67" s="29"/>
      <c r="FB67" s="3" t="s">
        <v>79</v>
      </c>
      <c r="FG67" s="29"/>
    </row>
    <row r="68" spans="1:164" customFormat="1" ht="15" x14ac:dyDescent="0.25">
      <c r="A68" s="30"/>
      <c r="B68" s="31"/>
      <c r="C68" s="146" t="s">
        <v>80</v>
      </c>
      <c r="D68" s="146"/>
      <c r="E68" s="146"/>
      <c r="F68" s="146"/>
      <c r="G68" s="146"/>
      <c r="H68" s="146"/>
      <c r="I68" s="146"/>
      <c r="J68" s="146"/>
      <c r="K68" s="146"/>
      <c r="L68" s="149"/>
      <c r="M68" s="106"/>
      <c r="EX68" s="20"/>
      <c r="EY68" s="29"/>
      <c r="EZ68" s="29"/>
      <c r="FA68" s="29"/>
      <c r="FG68" s="29"/>
      <c r="FH68" s="3" t="s">
        <v>80</v>
      </c>
    </row>
    <row r="69" spans="1:164" customFormat="1" ht="15" x14ac:dyDescent="0.25">
      <c r="A69" s="32"/>
      <c r="B69" s="33"/>
      <c r="C69" s="141" t="s">
        <v>54</v>
      </c>
      <c r="D69" s="141"/>
      <c r="E69" s="141"/>
      <c r="F69" s="141"/>
      <c r="G69" s="141"/>
      <c r="H69" s="141"/>
      <c r="I69" s="141"/>
      <c r="J69" s="141"/>
      <c r="K69" s="141"/>
      <c r="L69" s="150"/>
      <c r="M69" s="106"/>
      <c r="EX69" s="20"/>
      <c r="EY69" s="29"/>
      <c r="EZ69" s="29"/>
      <c r="FA69" s="29"/>
      <c r="FC69" s="3" t="s">
        <v>54</v>
      </c>
      <c r="FG69" s="29"/>
    </row>
    <row r="70" spans="1:164" customFormat="1" ht="15" x14ac:dyDescent="0.25">
      <c r="A70" s="32"/>
      <c r="B70" s="33"/>
      <c r="C70" s="141" t="s">
        <v>55</v>
      </c>
      <c r="D70" s="141"/>
      <c r="E70" s="141"/>
      <c r="F70" s="141"/>
      <c r="G70" s="141"/>
      <c r="H70" s="141"/>
      <c r="I70" s="141"/>
      <c r="J70" s="141"/>
      <c r="K70" s="141"/>
      <c r="L70" s="150"/>
      <c r="M70" s="106"/>
      <c r="EX70" s="20"/>
      <c r="EY70" s="29"/>
      <c r="EZ70" s="29"/>
      <c r="FA70" s="29"/>
      <c r="FC70" s="3" t="s">
        <v>55</v>
      </c>
      <c r="FG70" s="29"/>
    </row>
    <row r="71" spans="1:164" customFormat="1" ht="15" x14ac:dyDescent="0.25">
      <c r="A71" s="52"/>
      <c r="B71" s="53"/>
      <c r="C71" s="148" t="s">
        <v>48</v>
      </c>
      <c r="D71" s="148"/>
      <c r="E71" s="148"/>
      <c r="F71" s="23"/>
      <c r="G71" s="24"/>
      <c r="H71" s="24"/>
      <c r="I71" s="24"/>
      <c r="J71" s="27"/>
      <c r="K71" s="24"/>
      <c r="L71" s="96">
        <f>L66</f>
        <v>393987.75826666667</v>
      </c>
      <c r="M71" s="106"/>
      <c r="EX71" s="20"/>
      <c r="EY71" s="29"/>
      <c r="EZ71" s="29"/>
      <c r="FA71" s="29"/>
      <c r="FG71" s="29" t="s">
        <v>48</v>
      </c>
    </row>
    <row r="72" spans="1:164" customFormat="1" ht="45" x14ac:dyDescent="0.25">
      <c r="A72" s="21" t="s">
        <v>81</v>
      </c>
      <c r="B72" s="22" t="s">
        <v>82</v>
      </c>
      <c r="C72" s="148" t="s">
        <v>83</v>
      </c>
      <c r="D72" s="148"/>
      <c r="E72" s="148"/>
      <c r="F72" s="23" t="s">
        <v>51</v>
      </c>
      <c r="G72" s="24">
        <v>28</v>
      </c>
      <c r="H72" s="25">
        <v>1</v>
      </c>
      <c r="I72" s="25">
        <v>28</v>
      </c>
      <c r="J72" s="56">
        <f>3755/1.2</f>
        <v>3129.166666666667</v>
      </c>
      <c r="K72" s="26">
        <v>1.04236</v>
      </c>
      <c r="L72" s="55">
        <f>G72*J72*K72</f>
        <v>91328.108666666667</v>
      </c>
      <c r="M72" s="106"/>
      <c r="EX72" s="20"/>
      <c r="EY72" s="29" t="s">
        <v>83</v>
      </c>
      <c r="EZ72" s="29" t="s">
        <v>0</v>
      </c>
      <c r="FA72" s="29" t="s">
        <v>0</v>
      </c>
      <c r="FG72" s="29"/>
    </row>
    <row r="73" spans="1:164" customFormat="1" ht="15" x14ac:dyDescent="0.25">
      <c r="A73" s="30"/>
      <c r="B73" s="31"/>
      <c r="C73" s="146" t="s">
        <v>79</v>
      </c>
      <c r="D73" s="146"/>
      <c r="E73" s="146"/>
      <c r="F73" s="146"/>
      <c r="G73" s="146"/>
      <c r="H73" s="146"/>
      <c r="I73" s="146"/>
      <c r="J73" s="146"/>
      <c r="K73" s="146"/>
      <c r="L73" s="149"/>
      <c r="M73" s="106"/>
      <c r="EX73" s="20"/>
      <c r="EY73" s="29"/>
      <c r="EZ73" s="29"/>
      <c r="FA73" s="29"/>
      <c r="FB73" s="3" t="s">
        <v>79</v>
      </c>
      <c r="FG73" s="29"/>
    </row>
    <row r="74" spans="1:164" customFormat="1" ht="15" x14ac:dyDescent="0.25">
      <c r="A74" s="30"/>
      <c r="B74" s="31"/>
      <c r="C74" s="152" t="s">
        <v>298</v>
      </c>
      <c r="D74" s="146"/>
      <c r="E74" s="146"/>
      <c r="F74" s="146"/>
      <c r="G74" s="146"/>
      <c r="H74" s="146"/>
      <c r="I74" s="146"/>
      <c r="J74" s="146"/>
      <c r="K74" s="146"/>
      <c r="L74" s="149"/>
      <c r="M74" s="106"/>
      <c r="EX74" s="20"/>
      <c r="EY74" s="29"/>
      <c r="EZ74" s="29"/>
      <c r="FA74" s="29"/>
      <c r="FG74" s="29"/>
      <c r="FH74" s="3" t="s">
        <v>84</v>
      </c>
    </row>
    <row r="75" spans="1:164" customFormat="1" ht="15" x14ac:dyDescent="0.25">
      <c r="A75" s="32"/>
      <c r="B75" s="33"/>
      <c r="C75" s="141" t="s">
        <v>54</v>
      </c>
      <c r="D75" s="141"/>
      <c r="E75" s="141"/>
      <c r="F75" s="141"/>
      <c r="G75" s="141"/>
      <c r="H75" s="141"/>
      <c r="I75" s="141"/>
      <c r="J75" s="141"/>
      <c r="K75" s="141"/>
      <c r="L75" s="150"/>
      <c r="M75" s="106"/>
      <c r="EX75" s="20"/>
      <c r="EY75" s="29"/>
      <c r="EZ75" s="29"/>
      <c r="FA75" s="29"/>
      <c r="FC75" s="3" t="s">
        <v>54</v>
      </c>
      <c r="FG75" s="29"/>
    </row>
    <row r="76" spans="1:164" customFormat="1" ht="15" x14ac:dyDescent="0.25">
      <c r="A76" s="32"/>
      <c r="B76" s="33"/>
      <c r="C76" s="141" t="s">
        <v>55</v>
      </c>
      <c r="D76" s="141"/>
      <c r="E76" s="141"/>
      <c r="F76" s="141"/>
      <c r="G76" s="141"/>
      <c r="H76" s="141"/>
      <c r="I76" s="141"/>
      <c r="J76" s="141"/>
      <c r="K76" s="141"/>
      <c r="L76" s="150"/>
      <c r="M76" s="106"/>
      <c r="EX76" s="20"/>
      <c r="EY76" s="29"/>
      <c r="EZ76" s="29"/>
      <c r="FA76" s="29"/>
      <c r="FC76" s="3" t="s">
        <v>55</v>
      </c>
      <c r="FG76" s="29"/>
    </row>
    <row r="77" spans="1:164" customFormat="1" ht="15" x14ac:dyDescent="0.25">
      <c r="A77" s="52"/>
      <c r="B77" s="53"/>
      <c r="C77" s="148" t="s">
        <v>48</v>
      </c>
      <c r="D77" s="148"/>
      <c r="E77" s="148"/>
      <c r="F77" s="23"/>
      <c r="G77" s="24"/>
      <c r="H77" s="24"/>
      <c r="I77" s="24"/>
      <c r="J77" s="27"/>
      <c r="K77" s="24"/>
      <c r="L77" s="96">
        <f>L72</f>
        <v>91328.108666666667</v>
      </c>
      <c r="M77" s="106"/>
      <c r="EX77" s="20"/>
      <c r="EY77" s="29"/>
      <c r="EZ77" s="29"/>
      <c r="FA77" s="29"/>
      <c r="FG77" s="29" t="s">
        <v>48</v>
      </c>
    </row>
    <row r="78" spans="1:164" customFormat="1" ht="57" x14ac:dyDescent="0.25">
      <c r="A78" s="21" t="s">
        <v>85</v>
      </c>
      <c r="B78" s="22" t="s">
        <v>86</v>
      </c>
      <c r="C78" s="148" t="s">
        <v>87</v>
      </c>
      <c r="D78" s="148"/>
      <c r="E78" s="148"/>
      <c r="F78" s="23" t="s">
        <v>51</v>
      </c>
      <c r="G78" s="24">
        <v>3</v>
      </c>
      <c r="H78" s="25">
        <v>1</v>
      </c>
      <c r="I78" s="25">
        <v>3</v>
      </c>
      <c r="J78" s="56">
        <f>3983/1.2</f>
        <v>3319.166666666667</v>
      </c>
      <c r="K78" s="26">
        <v>1.04236</v>
      </c>
      <c r="L78" s="55">
        <f>G78*J78*K78</f>
        <v>10379.2997</v>
      </c>
      <c r="M78" s="106"/>
      <c r="EX78" s="20"/>
      <c r="EY78" s="29" t="s">
        <v>87</v>
      </c>
      <c r="EZ78" s="29" t="s">
        <v>0</v>
      </c>
      <c r="FA78" s="29" t="s">
        <v>0</v>
      </c>
      <c r="FG78" s="29"/>
    </row>
    <row r="79" spans="1:164" customFormat="1" ht="15" x14ac:dyDescent="0.25">
      <c r="A79" s="30"/>
      <c r="B79" s="31"/>
      <c r="C79" s="152" t="s">
        <v>297</v>
      </c>
      <c r="D79" s="146"/>
      <c r="E79" s="146"/>
      <c r="F79" s="146"/>
      <c r="G79" s="146"/>
      <c r="H79" s="146"/>
      <c r="I79" s="146"/>
      <c r="J79" s="146"/>
      <c r="K79" s="146"/>
      <c r="L79" s="149"/>
      <c r="M79" s="106"/>
      <c r="EX79" s="20"/>
      <c r="EY79" s="29"/>
      <c r="EZ79" s="29"/>
      <c r="FA79" s="29"/>
      <c r="FG79" s="29"/>
      <c r="FH79" s="3" t="s">
        <v>88</v>
      </c>
    </row>
    <row r="80" spans="1:164" customFormat="1" ht="15" x14ac:dyDescent="0.25">
      <c r="A80" s="32"/>
      <c r="B80" s="33"/>
      <c r="C80" s="141" t="s">
        <v>54</v>
      </c>
      <c r="D80" s="141"/>
      <c r="E80" s="141"/>
      <c r="F80" s="141"/>
      <c r="G80" s="141"/>
      <c r="H80" s="141"/>
      <c r="I80" s="141"/>
      <c r="J80" s="141"/>
      <c r="K80" s="141"/>
      <c r="L80" s="150"/>
      <c r="M80" s="106"/>
      <c r="EX80" s="20"/>
      <c r="EY80" s="29"/>
      <c r="EZ80" s="29"/>
      <c r="FA80" s="29"/>
      <c r="FC80" s="3" t="s">
        <v>54</v>
      </c>
      <c r="FG80" s="29"/>
    </row>
    <row r="81" spans="1:164" customFormat="1" ht="15" x14ac:dyDescent="0.25">
      <c r="A81" s="32"/>
      <c r="B81" s="33"/>
      <c r="C81" s="141" t="s">
        <v>55</v>
      </c>
      <c r="D81" s="141"/>
      <c r="E81" s="141"/>
      <c r="F81" s="141"/>
      <c r="G81" s="141"/>
      <c r="H81" s="141"/>
      <c r="I81" s="141"/>
      <c r="J81" s="141"/>
      <c r="K81" s="141"/>
      <c r="L81" s="150"/>
      <c r="M81" s="106"/>
      <c r="EX81" s="20"/>
      <c r="EY81" s="29"/>
      <c r="EZ81" s="29"/>
      <c r="FA81" s="29"/>
      <c r="FC81" s="3" t="s">
        <v>55</v>
      </c>
      <c r="FG81" s="29"/>
    </row>
    <row r="82" spans="1:164" customFormat="1" ht="15" x14ac:dyDescent="0.25">
      <c r="A82" s="52"/>
      <c r="B82" s="53"/>
      <c r="C82" s="148" t="s">
        <v>48</v>
      </c>
      <c r="D82" s="148"/>
      <c r="E82" s="148"/>
      <c r="F82" s="23"/>
      <c r="G82" s="24"/>
      <c r="H82" s="24"/>
      <c r="I82" s="24"/>
      <c r="J82" s="27"/>
      <c r="K82" s="24"/>
      <c r="L82" s="96">
        <f>L78</f>
        <v>10379.2997</v>
      </c>
      <c r="M82" s="106"/>
      <c r="EX82" s="20"/>
      <c r="EY82" s="29"/>
      <c r="EZ82" s="29"/>
      <c r="FA82" s="29"/>
      <c r="FG82" s="29" t="s">
        <v>48</v>
      </c>
    </row>
    <row r="83" spans="1:164" customFormat="1" ht="45" x14ac:dyDescent="0.25">
      <c r="A83" s="21" t="s">
        <v>89</v>
      </c>
      <c r="B83" s="22" t="s">
        <v>90</v>
      </c>
      <c r="C83" s="148" t="s">
        <v>91</v>
      </c>
      <c r="D83" s="148"/>
      <c r="E83" s="148"/>
      <c r="F83" s="23" t="s">
        <v>51</v>
      </c>
      <c r="G83" s="24">
        <v>3</v>
      </c>
      <c r="H83" s="25">
        <v>1</v>
      </c>
      <c r="I83" s="25">
        <v>3</v>
      </c>
      <c r="J83" s="56">
        <f>2920/1.2</f>
        <v>2433.3333333333335</v>
      </c>
      <c r="K83" s="26">
        <v>1.04236</v>
      </c>
      <c r="L83" s="59">
        <f>G83*J83*K83</f>
        <v>7609.2280000000001</v>
      </c>
      <c r="M83" s="106"/>
      <c r="EX83" s="20"/>
      <c r="EY83" s="29" t="s">
        <v>91</v>
      </c>
      <c r="EZ83" s="29" t="s">
        <v>0</v>
      </c>
      <c r="FA83" s="29" t="s">
        <v>0</v>
      </c>
      <c r="FG83" s="29"/>
    </row>
    <row r="84" spans="1:164" customFormat="1" ht="15" x14ac:dyDescent="0.25">
      <c r="A84" s="30"/>
      <c r="B84" s="31"/>
      <c r="C84" s="152" t="s">
        <v>299</v>
      </c>
      <c r="D84" s="146"/>
      <c r="E84" s="146"/>
      <c r="F84" s="146"/>
      <c r="G84" s="146"/>
      <c r="H84" s="146"/>
      <c r="I84" s="146"/>
      <c r="J84" s="146"/>
      <c r="K84" s="146"/>
      <c r="L84" s="149"/>
      <c r="M84" s="106"/>
      <c r="EX84" s="20"/>
      <c r="EY84" s="29"/>
      <c r="EZ84" s="29"/>
      <c r="FA84" s="29"/>
      <c r="FG84" s="29"/>
      <c r="FH84" s="3" t="s">
        <v>92</v>
      </c>
    </row>
    <row r="85" spans="1:164" customFormat="1" ht="15" x14ac:dyDescent="0.25">
      <c r="A85" s="32"/>
      <c r="B85" s="33"/>
      <c r="C85" s="141" t="s">
        <v>54</v>
      </c>
      <c r="D85" s="141"/>
      <c r="E85" s="141"/>
      <c r="F85" s="141"/>
      <c r="G85" s="141"/>
      <c r="H85" s="141"/>
      <c r="I85" s="141"/>
      <c r="J85" s="141"/>
      <c r="K85" s="141"/>
      <c r="L85" s="150"/>
      <c r="M85" s="106"/>
      <c r="EX85" s="20"/>
      <c r="EY85" s="29"/>
      <c r="EZ85" s="29"/>
      <c r="FA85" s="29"/>
      <c r="FC85" s="3" t="s">
        <v>54</v>
      </c>
      <c r="FG85" s="29"/>
    </row>
    <row r="86" spans="1:164" customFormat="1" ht="15" x14ac:dyDescent="0.25">
      <c r="A86" s="32"/>
      <c r="B86" s="33"/>
      <c r="C86" s="141" t="s">
        <v>55</v>
      </c>
      <c r="D86" s="141"/>
      <c r="E86" s="141"/>
      <c r="F86" s="141"/>
      <c r="G86" s="141"/>
      <c r="H86" s="141"/>
      <c r="I86" s="141"/>
      <c r="J86" s="141"/>
      <c r="K86" s="141"/>
      <c r="L86" s="150"/>
      <c r="M86" s="106"/>
      <c r="EX86" s="20"/>
      <c r="EY86" s="29"/>
      <c r="EZ86" s="29"/>
      <c r="FA86" s="29"/>
      <c r="FC86" s="3" t="s">
        <v>55</v>
      </c>
      <c r="FG86" s="29"/>
    </row>
    <row r="87" spans="1:164" customFormat="1" ht="15" x14ac:dyDescent="0.25">
      <c r="A87" s="52"/>
      <c r="B87" s="53"/>
      <c r="C87" s="148" t="s">
        <v>48</v>
      </c>
      <c r="D87" s="148"/>
      <c r="E87" s="148"/>
      <c r="F87" s="23"/>
      <c r="G87" s="24"/>
      <c r="H87" s="24"/>
      <c r="I87" s="24"/>
      <c r="J87" s="27"/>
      <c r="K87" s="24"/>
      <c r="L87" s="99">
        <f>L83</f>
        <v>7609.2280000000001</v>
      </c>
      <c r="M87" s="106"/>
      <c r="EX87" s="20"/>
      <c r="EY87" s="29"/>
      <c r="EZ87" s="29"/>
      <c r="FA87" s="29"/>
      <c r="FG87" s="29" t="s">
        <v>48</v>
      </c>
    </row>
    <row r="88" spans="1:164" customFormat="1" ht="57" x14ac:dyDescent="0.25">
      <c r="A88" s="21" t="s">
        <v>93</v>
      </c>
      <c r="B88" s="22" t="s">
        <v>94</v>
      </c>
      <c r="C88" s="148" t="s">
        <v>95</v>
      </c>
      <c r="D88" s="148"/>
      <c r="E88" s="148"/>
      <c r="F88" s="23" t="s">
        <v>51</v>
      </c>
      <c r="G88" s="24">
        <v>3</v>
      </c>
      <c r="H88" s="25">
        <v>1</v>
      </c>
      <c r="I88" s="25">
        <v>3</v>
      </c>
      <c r="J88" s="56">
        <f>4016/1.2</f>
        <v>3346.666666666667</v>
      </c>
      <c r="K88" s="26">
        <v>1.04236</v>
      </c>
      <c r="L88" s="55">
        <f>G88*J88*K88</f>
        <v>10465.294399999999</v>
      </c>
      <c r="M88" s="106"/>
      <c r="EX88" s="20"/>
      <c r="EY88" s="29" t="s">
        <v>95</v>
      </c>
      <c r="EZ88" s="29" t="s">
        <v>0</v>
      </c>
      <c r="FA88" s="29" t="s">
        <v>0</v>
      </c>
      <c r="FG88" s="29"/>
    </row>
    <row r="89" spans="1:164" customFormat="1" ht="15" x14ac:dyDescent="0.25">
      <c r="A89" s="30"/>
      <c r="B89" s="31"/>
      <c r="C89" s="152" t="s">
        <v>300</v>
      </c>
      <c r="D89" s="146"/>
      <c r="E89" s="146"/>
      <c r="F89" s="146"/>
      <c r="G89" s="146"/>
      <c r="H89" s="146"/>
      <c r="I89" s="146"/>
      <c r="J89" s="146"/>
      <c r="K89" s="146"/>
      <c r="L89" s="149"/>
      <c r="M89" s="106"/>
      <c r="EX89" s="20"/>
      <c r="EY89" s="29"/>
      <c r="EZ89" s="29"/>
      <c r="FA89" s="29"/>
      <c r="FG89" s="29"/>
      <c r="FH89" s="3" t="s">
        <v>96</v>
      </c>
    </row>
    <row r="90" spans="1:164" customFormat="1" ht="15" x14ac:dyDescent="0.25">
      <c r="A90" s="32"/>
      <c r="B90" s="33"/>
      <c r="C90" s="141" t="s">
        <v>54</v>
      </c>
      <c r="D90" s="141"/>
      <c r="E90" s="141"/>
      <c r="F90" s="141"/>
      <c r="G90" s="141"/>
      <c r="H90" s="141"/>
      <c r="I90" s="141"/>
      <c r="J90" s="141"/>
      <c r="K90" s="141"/>
      <c r="L90" s="150"/>
      <c r="M90" s="106"/>
      <c r="EX90" s="20"/>
      <c r="EY90" s="29"/>
      <c r="EZ90" s="29"/>
      <c r="FA90" s="29"/>
      <c r="FC90" s="3" t="s">
        <v>54</v>
      </c>
      <c r="FG90" s="29"/>
    </row>
    <row r="91" spans="1:164" customFormat="1" ht="15" x14ac:dyDescent="0.25">
      <c r="A91" s="32"/>
      <c r="B91" s="33"/>
      <c r="C91" s="141" t="s">
        <v>55</v>
      </c>
      <c r="D91" s="141"/>
      <c r="E91" s="141"/>
      <c r="F91" s="141"/>
      <c r="G91" s="141"/>
      <c r="H91" s="141"/>
      <c r="I91" s="141"/>
      <c r="J91" s="141"/>
      <c r="K91" s="141"/>
      <c r="L91" s="150"/>
      <c r="M91" s="106"/>
      <c r="EX91" s="20"/>
      <c r="EY91" s="29"/>
      <c r="EZ91" s="29"/>
      <c r="FA91" s="29"/>
      <c r="FC91" s="3" t="s">
        <v>55</v>
      </c>
      <c r="FG91" s="29"/>
    </row>
    <row r="92" spans="1:164" customFormat="1" ht="15" x14ac:dyDescent="0.25">
      <c r="A92" s="52"/>
      <c r="B92" s="53"/>
      <c r="C92" s="148" t="s">
        <v>48</v>
      </c>
      <c r="D92" s="148"/>
      <c r="E92" s="148"/>
      <c r="F92" s="23"/>
      <c r="G92" s="24"/>
      <c r="H92" s="24"/>
      <c r="I92" s="24"/>
      <c r="J92" s="27"/>
      <c r="K92" s="24"/>
      <c r="L92" s="96">
        <f>L88</f>
        <v>10465.294399999999</v>
      </c>
      <c r="M92" s="106"/>
      <c r="EX92" s="20"/>
      <c r="EY92" s="29"/>
      <c r="EZ92" s="29"/>
      <c r="FA92" s="29"/>
      <c r="FG92" s="29" t="s">
        <v>48</v>
      </c>
    </row>
    <row r="93" spans="1:164" customFormat="1" ht="45" x14ac:dyDescent="0.25">
      <c r="A93" s="21" t="s">
        <v>97</v>
      </c>
      <c r="B93" s="22" t="s">
        <v>98</v>
      </c>
      <c r="C93" s="148" t="s">
        <v>99</v>
      </c>
      <c r="D93" s="148"/>
      <c r="E93" s="148"/>
      <c r="F93" s="23" t="s">
        <v>51</v>
      </c>
      <c r="G93" s="24">
        <v>3</v>
      </c>
      <c r="H93" s="25">
        <v>1</v>
      </c>
      <c r="I93" s="25">
        <v>3</v>
      </c>
      <c r="J93" s="56">
        <f>3332/1.2</f>
        <v>2776.666666666667</v>
      </c>
      <c r="K93" s="26">
        <v>1.04236</v>
      </c>
      <c r="L93" s="59">
        <f>G93*J93*K93</f>
        <v>8682.8588</v>
      </c>
      <c r="M93" s="106"/>
      <c r="EX93" s="20"/>
      <c r="EY93" s="29" t="s">
        <v>99</v>
      </c>
      <c r="EZ93" s="29" t="s">
        <v>0</v>
      </c>
      <c r="FA93" s="29" t="s">
        <v>0</v>
      </c>
      <c r="FG93" s="29"/>
    </row>
    <row r="94" spans="1:164" customFormat="1" ht="15" x14ac:dyDescent="0.25">
      <c r="A94" s="30"/>
      <c r="B94" s="31"/>
      <c r="C94" s="152" t="s">
        <v>301</v>
      </c>
      <c r="D94" s="146"/>
      <c r="E94" s="146"/>
      <c r="F94" s="146"/>
      <c r="G94" s="146"/>
      <c r="H94" s="146"/>
      <c r="I94" s="146"/>
      <c r="J94" s="146"/>
      <c r="K94" s="146"/>
      <c r="L94" s="149"/>
      <c r="M94" s="106"/>
      <c r="EX94" s="20"/>
      <c r="EY94" s="29"/>
      <c r="EZ94" s="29"/>
      <c r="FA94" s="29"/>
      <c r="FG94" s="29"/>
      <c r="FH94" s="3" t="s">
        <v>100</v>
      </c>
    </row>
    <row r="95" spans="1:164" customFormat="1" ht="15" x14ac:dyDescent="0.25">
      <c r="A95" s="32"/>
      <c r="B95" s="33"/>
      <c r="C95" s="141" t="s">
        <v>54</v>
      </c>
      <c r="D95" s="141"/>
      <c r="E95" s="141"/>
      <c r="F95" s="141"/>
      <c r="G95" s="141"/>
      <c r="H95" s="141"/>
      <c r="I95" s="141"/>
      <c r="J95" s="141"/>
      <c r="K95" s="141"/>
      <c r="L95" s="150"/>
      <c r="M95" s="106"/>
      <c r="EX95" s="20"/>
      <c r="EY95" s="29"/>
      <c r="EZ95" s="29"/>
      <c r="FA95" s="29"/>
      <c r="FC95" s="3" t="s">
        <v>54</v>
      </c>
      <c r="FG95" s="29"/>
    </row>
    <row r="96" spans="1:164" customFormat="1" ht="15" x14ac:dyDescent="0.25">
      <c r="A96" s="32"/>
      <c r="B96" s="33"/>
      <c r="C96" s="141" t="s">
        <v>55</v>
      </c>
      <c r="D96" s="141"/>
      <c r="E96" s="141"/>
      <c r="F96" s="141"/>
      <c r="G96" s="141"/>
      <c r="H96" s="141"/>
      <c r="I96" s="141"/>
      <c r="J96" s="141"/>
      <c r="K96" s="141"/>
      <c r="L96" s="150"/>
      <c r="M96" s="106"/>
      <c r="EX96" s="20"/>
      <c r="EY96" s="29"/>
      <c r="EZ96" s="29"/>
      <c r="FA96" s="29"/>
      <c r="FC96" s="3" t="s">
        <v>55</v>
      </c>
      <c r="FG96" s="29"/>
    </row>
    <row r="97" spans="1:163" customFormat="1" ht="15" x14ac:dyDescent="0.25">
      <c r="A97" s="52"/>
      <c r="B97" s="53"/>
      <c r="C97" s="148" t="s">
        <v>48</v>
      </c>
      <c r="D97" s="148"/>
      <c r="E97" s="148"/>
      <c r="F97" s="23"/>
      <c r="G97" s="24"/>
      <c r="H97" s="24"/>
      <c r="I97" s="24"/>
      <c r="J97" s="27"/>
      <c r="K97" s="24"/>
      <c r="L97" s="99">
        <f>L93</f>
        <v>8682.8588</v>
      </c>
      <c r="M97" s="106"/>
      <c r="EX97" s="20"/>
      <c r="EY97" s="29"/>
      <c r="EZ97" s="29"/>
      <c r="FA97" s="29"/>
      <c r="FG97" s="29" t="s">
        <v>48</v>
      </c>
    </row>
    <row r="98" spans="1:163" customFormat="1" ht="34.5" x14ac:dyDescent="0.25">
      <c r="A98" s="21" t="s">
        <v>101</v>
      </c>
      <c r="B98" s="138" t="s">
        <v>102</v>
      </c>
      <c r="C98" s="148" t="s">
        <v>103</v>
      </c>
      <c r="D98" s="148"/>
      <c r="E98" s="148"/>
      <c r="F98" s="23" t="s">
        <v>25</v>
      </c>
      <c r="G98" s="24">
        <v>0.62129999999999996</v>
      </c>
      <c r="H98" s="25">
        <v>1</v>
      </c>
      <c r="I98" s="63">
        <v>0.62129999999999996</v>
      </c>
      <c r="J98" s="27"/>
      <c r="K98" s="24"/>
      <c r="L98" s="28"/>
      <c r="M98" s="106"/>
      <c r="EX98" s="20"/>
      <c r="EY98" s="29" t="s">
        <v>103</v>
      </c>
      <c r="EZ98" s="29" t="s">
        <v>0</v>
      </c>
      <c r="FA98" s="29" t="s">
        <v>0</v>
      </c>
      <c r="FG98" s="29"/>
    </row>
    <row r="99" spans="1:163" customFormat="1" ht="15" x14ac:dyDescent="0.25">
      <c r="A99" s="30"/>
      <c r="B99" s="31"/>
      <c r="C99" s="146" t="s">
        <v>104</v>
      </c>
      <c r="D99" s="146"/>
      <c r="E99" s="146"/>
      <c r="F99" s="146"/>
      <c r="G99" s="146"/>
      <c r="H99" s="146"/>
      <c r="I99" s="146"/>
      <c r="J99" s="146"/>
      <c r="K99" s="146"/>
      <c r="L99" s="149"/>
      <c r="M99" s="106"/>
      <c r="EX99" s="20"/>
      <c r="EY99" s="29"/>
      <c r="EZ99" s="29"/>
      <c r="FA99" s="29"/>
      <c r="FB99" s="3" t="s">
        <v>104</v>
      </c>
      <c r="FG99" s="29"/>
    </row>
    <row r="100" spans="1:163" customFormat="1" ht="68.25" x14ac:dyDescent="0.25">
      <c r="A100" s="32"/>
      <c r="B100" s="33" t="s">
        <v>27</v>
      </c>
      <c r="C100" s="141" t="s">
        <v>28</v>
      </c>
      <c r="D100" s="141"/>
      <c r="E100" s="141"/>
      <c r="F100" s="141"/>
      <c r="G100" s="141"/>
      <c r="H100" s="141"/>
      <c r="I100" s="141"/>
      <c r="J100" s="141"/>
      <c r="K100" s="141"/>
      <c r="L100" s="150"/>
      <c r="M100" s="106"/>
      <c r="EX100" s="20"/>
      <c r="EY100" s="29"/>
      <c r="EZ100" s="29"/>
      <c r="FA100" s="29"/>
      <c r="FC100" s="3" t="s">
        <v>28</v>
      </c>
      <c r="FG100" s="29"/>
    </row>
    <row r="101" spans="1:163" customFormat="1" ht="15" x14ac:dyDescent="0.25">
      <c r="A101" s="32"/>
      <c r="B101" s="33" t="s">
        <v>105</v>
      </c>
      <c r="C101" s="141" t="s">
        <v>106</v>
      </c>
      <c r="D101" s="141"/>
      <c r="E101" s="141"/>
      <c r="F101" s="141"/>
      <c r="G101" s="141"/>
      <c r="H101" s="141"/>
      <c r="I101" s="141"/>
      <c r="J101" s="141"/>
      <c r="K101" s="141"/>
      <c r="L101" s="150"/>
      <c r="M101" s="106"/>
      <c r="EX101" s="20"/>
      <c r="EY101" s="29"/>
      <c r="EZ101" s="29"/>
      <c r="FA101" s="29"/>
      <c r="FC101" s="3" t="s">
        <v>106</v>
      </c>
      <c r="FG101" s="29"/>
    </row>
    <row r="102" spans="1:163" customFormat="1" ht="23.25" x14ac:dyDescent="0.25">
      <c r="A102" s="32"/>
      <c r="B102" s="33" t="s">
        <v>29</v>
      </c>
      <c r="C102" s="141" t="s">
        <v>30</v>
      </c>
      <c r="D102" s="141"/>
      <c r="E102" s="141"/>
      <c r="F102" s="141"/>
      <c r="G102" s="141"/>
      <c r="H102" s="141"/>
      <c r="I102" s="141"/>
      <c r="J102" s="141"/>
      <c r="K102" s="141"/>
      <c r="L102" s="150"/>
      <c r="M102" s="106"/>
      <c r="N102" s="118" t="s">
        <v>317</v>
      </c>
      <c r="EX102" s="20"/>
      <c r="EY102" s="29"/>
      <c r="EZ102" s="29"/>
      <c r="FA102" s="29"/>
      <c r="FC102" s="3" t="s">
        <v>30</v>
      </c>
      <c r="FG102" s="29"/>
    </row>
    <row r="103" spans="1:163" customFormat="1" ht="15" x14ac:dyDescent="0.25">
      <c r="A103" s="34"/>
      <c r="B103" s="33" t="s">
        <v>22</v>
      </c>
      <c r="C103" s="146" t="s">
        <v>31</v>
      </c>
      <c r="D103" s="146"/>
      <c r="E103" s="146"/>
      <c r="F103" s="35"/>
      <c r="G103" s="36"/>
      <c r="H103" s="36"/>
      <c r="I103" s="36"/>
      <c r="J103" s="39">
        <v>436.91</v>
      </c>
      <c r="K103" s="64">
        <v>1.45475</v>
      </c>
      <c r="L103" s="42">
        <f>G98*J103*K103</f>
        <v>394.89506321925001</v>
      </c>
      <c r="M103" s="106">
        <v>49.45</v>
      </c>
      <c r="N103" s="112">
        <f>J103*M103*K103</f>
        <v>31430.163972625003</v>
      </c>
      <c r="O103" s="113">
        <v>60230.352699999996</v>
      </c>
      <c r="P103" s="105">
        <f>G107</f>
        <v>46.48</v>
      </c>
      <c r="Q103" s="105">
        <f>O103/P103*8</f>
        <v>10366.67</v>
      </c>
      <c r="R103" s="105">
        <f>Q103*22</f>
        <v>228066.74</v>
      </c>
      <c r="S103" s="105">
        <f>R103*(1-0.43)</f>
        <v>129998.04180000001</v>
      </c>
      <c r="EX103" s="20"/>
      <c r="EY103" s="29"/>
      <c r="EZ103" s="29"/>
      <c r="FA103" s="29"/>
      <c r="FD103" s="3" t="s">
        <v>31</v>
      </c>
      <c r="FG103" s="29"/>
    </row>
    <row r="104" spans="1:163" customFormat="1" ht="15" x14ac:dyDescent="0.25">
      <c r="A104" s="34"/>
      <c r="B104" s="33" t="s">
        <v>32</v>
      </c>
      <c r="C104" s="146" t="s">
        <v>33</v>
      </c>
      <c r="D104" s="146"/>
      <c r="E104" s="146"/>
      <c r="F104" s="35"/>
      <c r="G104" s="36"/>
      <c r="H104" s="36"/>
      <c r="I104" s="36"/>
      <c r="J104" s="39">
        <v>295.08</v>
      </c>
      <c r="K104" s="38">
        <v>1.4375</v>
      </c>
      <c r="L104" s="42">
        <f>G98*J104*K104</f>
        <v>263.54148074999995</v>
      </c>
      <c r="M104" s="106">
        <v>14.53</v>
      </c>
      <c r="N104" s="112">
        <f>J104*M104*K104</f>
        <v>6163.299074999999</v>
      </c>
      <c r="O104" s="113">
        <v>7187.5</v>
      </c>
      <c r="P104" s="105">
        <f>G108</f>
        <v>2.5</v>
      </c>
      <c r="Q104" s="105">
        <f>O104/P104*8</f>
        <v>23000</v>
      </c>
      <c r="EX104" s="20"/>
      <c r="EY104" s="29"/>
      <c r="EZ104" s="29"/>
      <c r="FA104" s="29"/>
      <c r="FD104" s="3" t="s">
        <v>33</v>
      </c>
      <c r="FG104" s="29"/>
    </row>
    <row r="105" spans="1:163" customFormat="1" ht="15" x14ac:dyDescent="0.25">
      <c r="A105" s="34"/>
      <c r="B105" s="33" t="s">
        <v>34</v>
      </c>
      <c r="C105" s="146" t="s">
        <v>35</v>
      </c>
      <c r="D105" s="146"/>
      <c r="E105" s="146"/>
      <c r="F105" s="35"/>
      <c r="G105" s="36"/>
      <c r="H105" s="36"/>
      <c r="I105" s="36"/>
      <c r="J105" s="39">
        <v>31.38</v>
      </c>
      <c r="K105" s="38">
        <v>1.4375</v>
      </c>
      <c r="L105" s="42">
        <f>G98*J105*K105</f>
        <v>28.026066374999999</v>
      </c>
      <c r="M105" s="106"/>
      <c r="EX105" s="20"/>
      <c r="EY105" s="29"/>
      <c r="EZ105" s="29"/>
      <c r="FA105" s="29"/>
      <c r="FD105" s="3" t="s">
        <v>35</v>
      </c>
      <c r="FG105" s="29"/>
    </row>
    <row r="106" spans="1:163" customFormat="1" ht="15" x14ac:dyDescent="0.25">
      <c r="A106" s="34"/>
      <c r="B106" s="33" t="s">
        <v>36</v>
      </c>
      <c r="C106" s="146" t="s">
        <v>37</v>
      </c>
      <c r="D106" s="146"/>
      <c r="E106" s="146"/>
      <c r="F106" s="35"/>
      <c r="G106" s="36"/>
      <c r="H106" s="36"/>
      <c r="I106" s="36"/>
      <c r="J106" s="39">
        <v>52.95</v>
      </c>
      <c r="K106" s="36"/>
      <c r="L106" s="42">
        <f>G98*J106</f>
        <v>32.897835000000001</v>
      </c>
      <c r="M106" s="106"/>
      <c r="EX106" s="20"/>
      <c r="EY106" s="29"/>
      <c r="EZ106" s="29"/>
      <c r="FA106" s="29"/>
      <c r="FD106" s="3" t="s">
        <v>37</v>
      </c>
      <c r="FG106" s="29"/>
    </row>
    <row r="107" spans="1:163" customFormat="1" ht="15" x14ac:dyDescent="0.25">
      <c r="A107" s="43"/>
      <c r="B107" s="33"/>
      <c r="C107" s="146" t="s">
        <v>38</v>
      </c>
      <c r="D107" s="146"/>
      <c r="E107" s="146"/>
      <c r="F107" s="35" t="s">
        <v>39</v>
      </c>
      <c r="G107" s="40">
        <v>46.48</v>
      </c>
      <c r="H107" s="64">
        <v>1.45475</v>
      </c>
      <c r="I107" s="44">
        <v>42.0103054</v>
      </c>
      <c r="J107" s="45"/>
      <c r="K107" s="36"/>
      <c r="L107" s="46"/>
      <c r="M107" s="106"/>
      <c r="EX107" s="20"/>
      <c r="EY107" s="29"/>
      <c r="EZ107" s="29"/>
      <c r="FA107" s="29"/>
      <c r="FE107" s="3" t="s">
        <v>38</v>
      </c>
      <c r="FG107" s="29"/>
    </row>
    <row r="108" spans="1:163" customFormat="1" ht="15" x14ac:dyDescent="0.25">
      <c r="A108" s="43"/>
      <c r="B108" s="33"/>
      <c r="C108" s="146" t="s">
        <v>40</v>
      </c>
      <c r="D108" s="146"/>
      <c r="E108" s="146"/>
      <c r="F108" s="35" t="s">
        <v>39</v>
      </c>
      <c r="G108" s="61">
        <v>2.5</v>
      </c>
      <c r="H108" s="38">
        <v>1.4375</v>
      </c>
      <c r="I108" s="44">
        <v>2.2327968999999999</v>
      </c>
      <c r="J108" s="45"/>
      <c r="K108" s="36"/>
      <c r="L108" s="46"/>
      <c r="M108" s="106"/>
      <c r="EX108" s="20"/>
      <c r="EY108" s="29"/>
      <c r="EZ108" s="29"/>
      <c r="FA108" s="29"/>
      <c r="FE108" s="3" t="s">
        <v>40</v>
      </c>
      <c r="FG108" s="29"/>
    </row>
    <row r="109" spans="1:163" customFormat="1" ht="15" x14ac:dyDescent="0.25">
      <c r="A109" s="30"/>
      <c r="B109" s="33"/>
      <c r="C109" s="151" t="s">
        <v>41</v>
      </c>
      <c r="D109" s="151"/>
      <c r="E109" s="151"/>
      <c r="F109" s="47"/>
      <c r="G109" s="48"/>
      <c r="H109" s="48"/>
      <c r="I109" s="48"/>
      <c r="J109" s="62">
        <v>784.94</v>
      </c>
      <c r="K109" s="48"/>
      <c r="L109" s="66">
        <f>L103+L104+L106</f>
        <v>691.33437896924988</v>
      </c>
      <c r="M109" s="106"/>
      <c r="EX109" s="20"/>
      <c r="EY109" s="29"/>
      <c r="EZ109" s="29"/>
      <c r="FA109" s="29"/>
      <c r="FF109" s="3" t="s">
        <v>41</v>
      </c>
      <c r="FG109" s="29"/>
    </row>
    <row r="110" spans="1:163" customFormat="1" ht="15" x14ac:dyDescent="0.25">
      <c r="A110" s="43"/>
      <c r="B110" s="33"/>
      <c r="C110" s="146" t="s">
        <v>42</v>
      </c>
      <c r="D110" s="146"/>
      <c r="E110" s="146"/>
      <c r="F110" s="35"/>
      <c r="G110" s="36"/>
      <c r="H110" s="36"/>
      <c r="I110" s="36"/>
      <c r="J110" s="45"/>
      <c r="K110" s="36"/>
      <c r="L110" s="42">
        <f>L103+L105</f>
        <v>422.92112959425003</v>
      </c>
      <c r="M110" s="106"/>
      <c r="EX110" s="20"/>
      <c r="EY110" s="29"/>
      <c r="EZ110" s="29"/>
      <c r="FA110" s="29"/>
      <c r="FE110" s="3" t="s">
        <v>42</v>
      </c>
      <c r="FG110" s="29"/>
    </row>
    <row r="111" spans="1:163" customFormat="1" ht="23.25" x14ac:dyDescent="0.25">
      <c r="A111" s="43"/>
      <c r="B111" s="33" t="s">
        <v>72</v>
      </c>
      <c r="C111" s="146" t="s">
        <v>73</v>
      </c>
      <c r="D111" s="146"/>
      <c r="E111" s="146"/>
      <c r="F111" s="35" t="s">
        <v>45</v>
      </c>
      <c r="G111" s="51">
        <v>97</v>
      </c>
      <c r="H111" s="36"/>
      <c r="I111" s="51">
        <v>97</v>
      </c>
      <c r="J111" s="45"/>
      <c r="K111" s="36"/>
      <c r="L111" s="42">
        <f>L110*I111%</f>
        <v>410.2334957064225</v>
      </c>
      <c r="M111" s="106"/>
      <c r="EX111" s="20"/>
      <c r="EY111" s="29"/>
      <c r="EZ111" s="29"/>
      <c r="FA111" s="29"/>
      <c r="FE111" s="3" t="s">
        <v>73</v>
      </c>
      <c r="FG111" s="29"/>
    </row>
    <row r="112" spans="1:163" customFormat="1" ht="23.25" x14ac:dyDescent="0.25">
      <c r="A112" s="43"/>
      <c r="B112" s="33" t="s">
        <v>74</v>
      </c>
      <c r="C112" s="146" t="s">
        <v>75</v>
      </c>
      <c r="D112" s="146"/>
      <c r="E112" s="146"/>
      <c r="F112" s="35" t="s">
        <v>45</v>
      </c>
      <c r="G112" s="51">
        <v>51</v>
      </c>
      <c r="H112" s="36"/>
      <c r="I112" s="51">
        <v>51</v>
      </c>
      <c r="J112" s="45"/>
      <c r="K112" s="36"/>
      <c r="L112" s="42">
        <f>L110*I112%</f>
        <v>215.68977609306751</v>
      </c>
      <c r="M112" s="106"/>
      <c r="EX112" s="20"/>
      <c r="EY112" s="29"/>
      <c r="EZ112" s="29"/>
      <c r="FA112" s="29"/>
      <c r="FE112" s="3" t="s">
        <v>75</v>
      </c>
      <c r="FG112" s="29"/>
    </row>
    <row r="113" spans="1:164" customFormat="1" ht="15" x14ac:dyDescent="0.25">
      <c r="A113" s="52"/>
      <c r="B113" s="53"/>
      <c r="C113" s="148" t="s">
        <v>48</v>
      </c>
      <c r="D113" s="148"/>
      <c r="E113" s="148"/>
      <c r="F113" s="23"/>
      <c r="G113" s="24"/>
      <c r="H113" s="24"/>
      <c r="I113" s="24"/>
      <c r="J113" s="27"/>
      <c r="K113" s="24"/>
      <c r="L113" s="96">
        <f>L109+L111+L112</f>
        <v>1317.2576507687399</v>
      </c>
      <c r="M113" s="106"/>
      <c r="EX113" s="20"/>
      <c r="EY113" s="29"/>
      <c r="EZ113" s="29"/>
      <c r="FA113" s="29"/>
      <c r="FG113" s="29" t="s">
        <v>48</v>
      </c>
    </row>
    <row r="114" spans="1:164" customFormat="1" ht="45" x14ac:dyDescent="0.25">
      <c r="A114" s="21" t="s">
        <v>107</v>
      </c>
      <c r="B114" s="22" t="s">
        <v>108</v>
      </c>
      <c r="C114" s="148" t="s">
        <v>109</v>
      </c>
      <c r="D114" s="148"/>
      <c r="E114" s="148"/>
      <c r="F114" s="23" t="s">
        <v>51</v>
      </c>
      <c r="G114" s="24">
        <v>65.400000000000006</v>
      </c>
      <c r="H114" s="25">
        <v>1</v>
      </c>
      <c r="I114" s="65">
        <v>65.400000000000006</v>
      </c>
      <c r="J114" s="54">
        <f>27340/1.2</f>
        <v>22783.333333333336</v>
      </c>
      <c r="K114" s="26">
        <v>1.04236</v>
      </c>
      <c r="L114" s="55">
        <f>G114*J114*K114</f>
        <v>1553147.6708000002</v>
      </c>
      <c r="M114" s="106"/>
      <c r="EX114" s="20"/>
      <c r="EY114" s="29" t="s">
        <v>109</v>
      </c>
      <c r="EZ114" s="29" t="s">
        <v>0</v>
      </c>
      <c r="FA114" s="29" t="s">
        <v>0</v>
      </c>
      <c r="FG114" s="29"/>
    </row>
    <row r="115" spans="1:164" customFormat="1" ht="15" x14ac:dyDescent="0.25">
      <c r="A115" s="30"/>
      <c r="B115" s="31"/>
      <c r="C115" s="146" t="s">
        <v>110</v>
      </c>
      <c r="D115" s="146"/>
      <c r="E115" s="146"/>
      <c r="F115" s="146"/>
      <c r="G115" s="146"/>
      <c r="H115" s="146"/>
      <c r="I115" s="146"/>
      <c r="J115" s="146"/>
      <c r="K115" s="146"/>
      <c r="L115" s="149"/>
      <c r="M115" s="106"/>
      <c r="EX115" s="20"/>
      <c r="EY115" s="29"/>
      <c r="EZ115" s="29"/>
      <c r="FA115" s="29"/>
      <c r="FB115" s="3" t="s">
        <v>110</v>
      </c>
      <c r="FG115" s="29"/>
    </row>
    <row r="116" spans="1:164" customFormat="1" ht="15" x14ac:dyDescent="0.25">
      <c r="A116" s="30"/>
      <c r="B116" s="31"/>
      <c r="C116" s="152" t="s">
        <v>302</v>
      </c>
      <c r="D116" s="146"/>
      <c r="E116" s="146"/>
      <c r="F116" s="146"/>
      <c r="G116" s="146"/>
      <c r="H116" s="146"/>
      <c r="I116" s="146"/>
      <c r="J116" s="146"/>
      <c r="K116" s="146"/>
      <c r="L116" s="149"/>
      <c r="M116" s="106"/>
      <c r="EX116" s="20"/>
      <c r="EY116" s="29"/>
      <c r="EZ116" s="29"/>
      <c r="FA116" s="29"/>
      <c r="FG116" s="29"/>
      <c r="FH116" s="3" t="s">
        <v>111</v>
      </c>
    </row>
    <row r="117" spans="1:164" customFormat="1" ht="15" x14ac:dyDescent="0.25">
      <c r="A117" s="32"/>
      <c r="B117" s="33"/>
      <c r="C117" s="141" t="s">
        <v>54</v>
      </c>
      <c r="D117" s="141"/>
      <c r="E117" s="141"/>
      <c r="F117" s="141"/>
      <c r="G117" s="141"/>
      <c r="H117" s="141"/>
      <c r="I117" s="141"/>
      <c r="J117" s="141"/>
      <c r="K117" s="141"/>
      <c r="L117" s="150"/>
      <c r="M117" s="106"/>
      <c r="EX117" s="20"/>
      <c r="EY117" s="29"/>
      <c r="EZ117" s="29"/>
      <c r="FA117" s="29"/>
      <c r="FC117" s="3" t="s">
        <v>54</v>
      </c>
      <c r="FG117" s="29"/>
    </row>
    <row r="118" spans="1:164" customFormat="1" ht="15" x14ac:dyDescent="0.25">
      <c r="A118" s="32"/>
      <c r="B118" s="33"/>
      <c r="C118" s="141" t="s">
        <v>55</v>
      </c>
      <c r="D118" s="141"/>
      <c r="E118" s="141"/>
      <c r="F118" s="141"/>
      <c r="G118" s="141"/>
      <c r="H118" s="141"/>
      <c r="I118" s="141"/>
      <c r="J118" s="141"/>
      <c r="K118" s="141"/>
      <c r="L118" s="150"/>
      <c r="M118" s="106"/>
      <c r="EX118" s="20"/>
      <c r="EY118" s="29"/>
      <c r="EZ118" s="29"/>
      <c r="FA118" s="29"/>
      <c r="FC118" s="3" t="s">
        <v>55</v>
      </c>
      <c r="FG118" s="29"/>
    </row>
    <row r="119" spans="1:164" customFormat="1" ht="15" x14ac:dyDescent="0.25">
      <c r="A119" s="52"/>
      <c r="B119" s="53"/>
      <c r="C119" s="148" t="s">
        <v>48</v>
      </c>
      <c r="D119" s="148"/>
      <c r="E119" s="148"/>
      <c r="F119" s="23"/>
      <c r="G119" s="24"/>
      <c r="H119" s="24"/>
      <c r="I119" s="24"/>
      <c r="J119" s="27"/>
      <c r="K119" s="24"/>
      <c r="L119" s="96">
        <f>L114</f>
        <v>1553147.6708000002</v>
      </c>
      <c r="M119" s="106"/>
      <c r="EX119" s="20"/>
      <c r="EY119" s="29"/>
      <c r="EZ119" s="29"/>
      <c r="FA119" s="29"/>
      <c r="FG119" s="29" t="s">
        <v>48</v>
      </c>
    </row>
    <row r="120" spans="1:164" customFormat="1" ht="34.5" x14ac:dyDescent="0.25">
      <c r="A120" s="21" t="s">
        <v>112</v>
      </c>
      <c r="B120" s="138" t="s">
        <v>113</v>
      </c>
      <c r="C120" s="148" t="s">
        <v>114</v>
      </c>
      <c r="D120" s="148"/>
      <c r="E120" s="148"/>
      <c r="F120" s="23" t="s">
        <v>25</v>
      </c>
      <c r="G120" s="24">
        <v>0.24840000000000001</v>
      </c>
      <c r="H120" s="25">
        <v>1</v>
      </c>
      <c r="I120" s="63">
        <v>0.24840000000000001</v>
      </c>
      <c r="J120" s="27"/>
      <c r="K120" s="24"/>
      <c r="L120" s="28"/>
      <c r="M120" s="106"/>
      <c r="EX120" s="20"/>
      <c r="EY120" s="29" t="s">
        <v>114</v>
      </c>
      <c r="EZ120" s="29" t="s">
        <v>0</v>
      </c>
      <c r="FA120" s="29" t="s">
        <v>0</v>
      </c>
      <c r="FG120" s="29"/>
    </row>
    <row r="121" spans="1:164" customFormat="1" ht="15" x14ac:dyDescent="0.25">
      <c r="A121" s="30"/>
      <c r="B121" s="31"/>
      <c r="C121" s="146" t="s">
        <v>115</v>
      </c>
      <c r="D121" s="146"/>
      <c r="E121" s="146"/>
      <c r="F121" s="146"/>
      <c r="G121" s="146"/>
      <c r="H121" s="146"/>
      <c r="I121" s="146"/>
      <c r="J121" s="146"/>
      <c r="K121" s="146"/>
      <c r="L121" s="149"/>
      <c r="M121" s="106"/>
      <c r="EX121" s="20"/>
      <c r="EY121" s="29"/>
      <c r="EZ121" s="29"/>
      <c r="FA121" s="29"/>
      <c r="FB121" s="3" t="s">
        <v>115</v>
      </c>
      <c r="FG121" s="29"/>
    </row>
    <row r="122" spans="1:164" customFormat="1" ht="68.25" x14ac:dyDescent="0.25">
      <c r="A122" s="32"/>
      <c r="B122" s="33" t="s">
        <v>27</v>
      </c>
      <c r="C122" s="141" t="s">
        <v>28</v>
      </c>
      <c r="D122" s="141"/>
      <c r="E122" s="141"/>
      <c r="F122" s="141"/>
      <c r="G122" s="141"/>
      <c r="H122" s="141"/>
      <c r="I122" s="141"/>
      <c r="J122" s="141"/>
      <c r="K122" s="141"/>
      <c r="L122" s="150"/>
      <c r="M122" s="106"/>
      <c r="EX122" s="20"/>
      <c r="EY122" s="29"/>
      <c r="EZ122" s="29"/>
      <c r="FA122" s="29"/>
      <c r="FC122" s="3" t="s">
        <v>28</v>
      </c>
      <c r="FG122" s="29"/>
    </row>
    <row r="123" spans="1:164" customFormat="1" ht="23.25" x14ac:dyDescent="0.25">
      <c r="A123" s="32"/>
      <c r="B123" s="33" t="s">
        <v>29</v>
      </c>
      <c r="C123" s="141" t="s">
        <v>30</v>
      </c>
      <c r="D123" s="141"/>
      <c r="E123" s="141"/>
      <c r="F123" s="141"/>
      <c r="G123" s="141"/>
      <c r="H123" s="141"/>
      <c r="I123" s="141"/>
      <c r="J123" s="141"/>
      <c r="K123" s="141"/>
      <c r="L123" s="150"/>
      <c r="M123" s="106"/>
      <c r="N123" s="118" t="s">
        <v>317</v>
      </c>
      <c r="EX123" s="20"/>
      <c r="EY123" s="29"/>
      <c r="EZ123" s="29"/>
      <c r="FA123" s="29"/>
      <c r="FC123" s="3" t="s">
        <v>30</v>
      </c>
      <c r="FG123" s="29"/>
    </row>
    <row r="124" spans="1:164" customFormat="1" ht="15" x14ac:dyDescent="0.25">
      <c r="A124" s="34"/>
      <c r="B124" s="33" t="s">
        <v>22</v>
      </c>
      <c r="C124" s="146" t="s">
        <v>31</v>
      </c>
      <c r="D124" s="146"/>
      <c r="E124" s="146"/>
      <c r="F124" s="35"/>
      <c r="G124" s="36"/>
      <c r="H124" s="36"/>
      <c r="I124" s="36"/>
      <c r="J124" s="39">
        <v>507.6</v>
      </c>
      <c r="K124" s="38">
        <v>1.3225</v>
      </c>
      <c r="L124" s="42">
        <f>G120*J124*K124</f>
        <v>166.75116840000001</v>
      </c>
      <c r="M124" s="106">
        <v>49.45</v>
      </c>
      <c r="N124" s="112">
        <f>J124*M124*K124</f>
        <v>33195.834450000002</v>
      </c>
      <c r="O124" s="113">
        <v>69975.022499999992</v>
      </c>
      <c r="P124" s="105">
        <f>G128</f>
        <v>54</v>
      </c>
      <c r="Q124" s="105">
        <f>O124/P124*8</f>
        <v>10366.669999999998</v>
      </c>
      <c r="R124" s="105">
        <f>Q124*22</f>
        <v>228066.73999999996</v>
      </c>
      <c r="S124" s="105">
        <f>R124*(1-0.43)</f>
        <v>129998.04179999999</v>
      </c>
      <c r="EX124" s="20"/>
      <c r="EY124" s="29"/>
      <c r="EZ124" s="29"/>
      <c r="FA124" s="29"/>
      <c r="FD124" s="3" t="s">
        <v>31</v>
      </c>
      <c r="FG124" s="29"/>
    </row>
    <row r="125" spans="1:164" customFormat="1" ht="15" x14ac:dyDescent="0.25">
      <c r="A125" s="34"/>
      <c r="B125" s="33" t="s">
        <v>32</v>
      </c>
      <c r="C125" s="146" t="s">
        <v>33</v>
      </c>
      <c r="D125" s="146"/>
      <c r="E125" s="146"/>
      <c r="F125" s="35"/>
      <c r="G125" s="36"/>
      <c r="H125" s="36"/>
      <c r="I125" s="36"/>
      <c r="J125" s="39">
        <v>311.27999999999997</v>
      </c>
      <c r="K125" s="38">
        <v>1.4375</v>
      </c>
      <c r="L125" s="42">
        <f>G120*J125*K125</f>
        <v>111.150306</v>
      </c>
      <c r="M125" s="106">
        <v>14.53</v>
      </c>
      <c r="N125" s="112">
        <f>J125*M125*K125</f>
        <v>6501.6664499999988</v>
      </c>
      <c r="O125" s="113">
        <v>7187.5</v>
      </c>
      <c r="P125" s="105">
        <f>G129</f>
        <v>2.5</v>
      </c>
      <c r="Q125" s="105">
        <f>O125/P125*8</f>
        <v>23000</v>
      </c>
      <c r="EX125" s="20"/>
      <c r="EY125" s="29"/>
      <c r="EZ125" s="29"/>
      <c r="FA125" s="29"/>
      <c r="FD125" s="3" t="s">
        <v>33</v>
      </c>
      <c r="FG125" s="29"/>
    </row>
    <row r="126" spans="1:164" customFormat="1" ht="15" x14ac:dyDescent="0.25">
      <c r="A126" s="34"/>
      <c r="B126" s="33" t="s">
        <v>34</v>
      </c>
      <c r="C126" s="146" t="s">
        <v>35</v>
      </c>
      <c r="D126" s="146"/>
      <c r="E126" s="146"/>
      <c r="F126" s="35"/>
      <c r="G126" s="36"/>
      <c r="H126" s="36"/>
      <c r="I126" s="36"/>
      <c r="J126" s="39">
        <v>31.38</v>
      </c>
      <c r="K126" s="38">
        <v>1.4375</v>
      </c>
      <c r="L126" s="42">
        <f>G120*J126*K126</f>
        <v>11.2050135</v>
      </c>
      <c r="M126" s="106"/>
      <c r="EX126" s="20"/>
      <c r="EY126" s="29"/>
      <c r="EZ126" s="29"/>
      <c r="FA126" s="29"/>
      <c r="FD126" s="3" t="s">
        <v>35</v>
      </c>
      <c r="FG126" s="29"/>
    </row>
    <row r="127" spans="1:164" customFormat="1" ht="15" x14ac:dyDescent="0.25">
      <c r="A127" s="34"/>
      <c r="B127" s="33" t="s">
        <v>36</v>
      </c>
      <c r="C127" s="146" t="s">
        <v>37</v>
      </c>
      <c r="D127" s="146"/>
      <c r="E127" s="146"/>
      <c r="F127" s="35"/>
      <c r="G127" s="36"/>
      <c r="H127" s="36"/>
      <c r="I127" s="36"/>
      <c r="J127" s="39">
        <v>68.63</v>
      </c>
      <c r="K127" s="36"/>
      <c r="L127" s="42">
        <f>G120*J127</f>
        <v>17.047691999999998</v>
      </c>
      <c r="M127" s="106"/>
      <c r="EX127" s="20"/>
      <c r="EY127" s="29"/>
      <c r="EZ127" s="29"/>
      <c r="FA127" s="29"/>
      <c r="FD127" s="3" t="s">
        <v>37</v>
      </c>
      <c r="FG127" s="29"/>
    </row>
    <row r="128" spans="1:164" customFormat="1" ht="15" x14ac:dyDescent="0.25">
      <c r="A128" s="43"/>
      <c r="B128" s="33"/>
      <c r="C128" s="146" t="s">
        <v>38</v>
      </c>
      <c r="D128" s="146"/>
      <c r="E128" s="146"/>
      <c r="F128" s="35" t="s">
        <v>39</v>
      </c>
      <c r="G128" s="51">
        <v>54</v>
      </c>
      <c r="H128" s="38">
        <v>1.3225</v>
      </c>
      <c r="I128" s="60">
        <v>17.739485999999999</v>
      </c>
      <c r="J128" s="45"/>
      <c r="K128" s="36"/>
      <c r="L128" s="46"/>
      <c r="M128" s="106"/>
      <c r="EX128" s="20"/>
      <c r="EY128" s="29"/>
      <c r="EZ128" s="29"/>
      <c r="FA128" s="29"/>
      <c r="FE128" s="3" t="s">
        <v>38</v>
      </c>
      <c r="FG128" s="29"/>
    </row>
    <row r="129" spans="1:164" customFormat="1" ht="15" x14ac:dyDescent="0.25">
      <c r="A129" s="43"/>
      <c r="B129" s="33"/>
      <c r="C129" s="146" t="s">
        <v>40</v>
      </c>
      <c r="D129" s="146"/>
      <c r="E129" s="146"/>
      <c r="F129" s="35" t="s">
        <v>39</v>
      </c>
      <c r="G129" s="61">
        <v>2.5</v>
      </c>
      <c r="H129" s="38">
        <v>1.4375</v>
      </c>
      <c r="I129" s="44">
        <v>0.89268749999999997</v>
      </c>
      <c r="J129" s="45"/>
      <c r="K129" s="36"/>
      <c r="L129" s="46"/>
      <c r="M129" s="106"/>
      <c r="EX129" s="20"/>
      <c r="EY129" s="29"/>
      <c r="EZ129" s="29"/>
      <c r="FA129" s="29"/>
      <c r="FE129" s="3" t="s">
        <v>40</v>
      </c>
      <c r="FG129" s="29"/>
    </row>
    <row r="130" spans="1:164" customFormat="1" ht="15" x14ac:dyDescent="0.25">
      <c r="A130" s="30"/>
      <c r="B130" s="33"/>
      <c r="C130" s="151" t="s">
        <v>41</v>
      </c>
      <c r="D130" s="151"/>
      <c r="E130" s="151"/>
      <c r="F130" s="47"/>
      <c r="G130" s="48"/>
      <c r="H130" s="48"/>
      <c r="I130" s="48"/>
      <c r="J130" s="62">
        <v>887.51</v>
      </c>
      <c r="K130" s="48"/>
      <c r="L130" s="66">
        <f>L124+L125+L127</f>
        <v>294.94916639999997</v>
      </c>
      <c r="M130" s="106"/>
      <c r="EX130" s="20"/>
      <c r="EY130" s="29"/>
      <c r="EZ130" s="29"/>
      <c r="FA130" s="29"/>
      <c r="FF130" s="3" t="s">
        <v>41</v>
      </c>
      <c r="FG130" s="29"/>
    </row>
    <row r="131" spans="1:164" customFormat="1" ht="15" x14ac:dyDescent="0.25">
      <c r="A131" s="43"/>
      <c r="B131" s="33"/>
      <c r="C131" s="146" t="s">
        <v>42</v>
      </c>
      <c r="D131" s="146"/>
      <c r="E131" s="146"/>
      <c r="F131" s="35"/>
      <c r="G131" s="36"/>
      <c r="H131" s="36"/>
      <c r="I131" s="36"/>
      <c r="J131" s="45"/>
      <c r="K131" s="36"/>
      <c r="L131" s="42">
        <f>L124+L126</f>
        <v>177.95618190000002</v>
      </c>
      <c r="M131" s="106"/>
      <c r="EX131" s="20"/>
      <c r="EY131" s="29"/>
      <c r="EZ131" s="29"/>
      <c r="FA131" s="29"/>
      <c r="FE131" s="3" t="s">
        <v>42</v>
      </c>
      <c r="FG131" s="29"/>
    </row>
    <row r="132" spans="1:164" customFormat="1" ht="23.25" x14ac:dyDescent="0.25">
      <c r="A132" s="43"/>
      <c r="B132" s="33" t="s">
        <v>72</v>
      </c>
      <c r="C132" s="146" t="s">
        <v>73</v>
      </c>
      <c r="D132" s="146"/>
      <c r="E132" s="146"/>
      <c r="F132" s="35" t="s">
        <v>45</v>
      </c>
      <c r="G132" s="51">
        <v>97</v>
      </c>
      <c r="H132" s="36"/>
      <c r="I132" s="51">
        <v>97</v>
      </c>
      <c r="J132" s="45"/>
      <c r="K132" s="36"/>
      <c r="L132" s="42">
        <f>L131*I132%</f>
        <v>172.61749644300002</v>
      </c>
      <c r="M132" s="106"/>
      <c r="EX132" s="20"/>
      <c r="EY132" s="29"/>
      <c r="EZ132" s="29"/>
      <c r="FA132" s="29"/>
      <c r="FE132" s="3" t="s">
        <v>73</v>
      </c>
      <c r="FG132" s="29"/>
    </row>
    <row r="133" spans="1:164" customFormat="1" ht="23.25" x14ac:dyDescent="0.25">
      <c r="A133" s="43"/>
      <c r="B133" s="33" t="s">
        <v>74</v>
      </c>
      <c r="C133" s="146" t="s">
        <v>75</v>
      </c>
      <c r="D133" s="146"/>
      <c r="E133" s="146"/>
      <c r="F133" s="35" t="s">
        <v>45</v>
      </c>
      <c r="G133" s="51">
        <v>51</v>
      </c>
      <c r="H133" s="36"/>
      <c r="I133" s="51">
        <v>51</v>
      </c>
      <c r="J133" s="45"/>
      <c r="K133" s="36"/>
      <c r="L133" s="42">
        <f>L131*I133%</f>
        <v>90.757652769000018</v>
      </c>
      <c r="M133" s="106"/>
      <c r="EX133" s="20"/>
      <c r="EY133" s="29"/>
      <c r="EZ133" s="29"/>
      <c r="FA133" s="29"/>
      <c r="FE133" s="3" t="s">
        <v>75</v>
      </c>
      <c r="FG133" s="29"/>
    </row>
    <row r="134" spans="1:164" customFormat="1" ht="15" x14ac:dyDescent="0.25">
      <c r="A134" s="52"/>
      <c r="B134" s="53"/>
      <c r="C134" s="148" t="s">
        <v>48</v>
      </c>
      <c r="D134" s="148"/>
      <c r="E134" s="148"/>
      <c r="F134" s="23"/>
      <c r="G134" s="24"/>
      <c r="H134" s="24"/>
      <c r="I134" s="24"/>
      <c r="J134" s="27"/>
      <c r="K134" s="24"/>
      <c r="L134" s="99">
        <f>L130+L132+L133</f>
        <v>558.32431561200008</v>
      </c>
      <c r="M134" s="106"/>
      <c r="EX134" s="20"/>
      <c r="EY134" s="29"/>
      <c r="EZ134" s="29"/>
      <c r="FA134" s="29"/>
      <c r="FG134" s="29" t="s">
        <v>48</v>
      </c>
    </row>
    <row r="135" spans="1:164" customFormat="1" ht="45" x14ac:dyDescent="0.25">
      <c r="A135" s="21" t="s">
        <v>116</v>
      </c>
      <c r="B135" s="22" t="s">
        <v>117</v>
      </c>
      <c r="C135" s="148" t="s">
        <v>118</v>
      </c>
      <c r="D135" s="148"/>
      <c r="E135" s="148"/>
      <c r="F135" s="23" t="s">
        <v>51</v>
      </c>
      <c r="G135" s="24">
        <v>30</v>
      </c>
      <c r="H135" s="25">
        <v>1</v>
      </c>
      <c r="I135" s="25">
        <v>30</v>
      </c>
      <c r="J135" s="56">
        <f>5070/1.2</f>
        <v>4225</v>
      </c>
      <c r="K135" s="26">
        <v>1.04236</v>
      </c>
      <c r="L135" s="55">
        <f>G135*J135*K135</f>
        <v>132119.13</v>
      </c>
      <c r="M135" s="106"/>
      <c r="EX135" s="20"/>
      <c r="EY135" s="29" t="s">
        <v>118</v>
      </c>
      <c r="EZ135" s="29" t="s">
        <v>0</v>
      </c>
      <c r="FA135" s="29" t="s">
        <v>0</v>
      </c>
      <c r="FG135" s="29"/>
    </row>
    <row r="136" spans="1:164" customFormat="1" ht="15" x14ac:dyDescent="0.25">
      <c r="A136" s="30"/>
      <c r="B136" s="31"/>
      <c r="C136" s="146" t="s">
        <v>119</v>
      </c>
      <c r="D136" s="146"/>
      <c r="E136" s="146"/>
      <c r="F136" s="146"/>
      <c r="G136" s="146"/>
      <c r="H136" s="146"/>
      <c r="I136" s="146"/>
      <c r="J136" s="146"/>
      <c r="K136" s="146"/>
      <c r="L136" s="149"/>
      <c r="M136" s="106"/>
      <c r="EX136" s="20"/>
      <c r="EY136" s="29"/>
      <c r="EZ136" s="29"/>
      <c r="FA136" s="29"/>
      <c r="FB136" s="3" t="s">
        <v>119</v>
      </c>
      <c r="FG136" s="29"/>
    </row>
    <row r="137" spans="1:164" customFormat="1" ht="15" x14ac:dyDescent="0.25">
      <c r="A137" s="30"/>
      <c r="B137" s="31"/>
      <c r="C137" s="152" t="s">
        <v>303</v>
      </c>
      <c r="D137" s="146"/>
      <c r="E137" s="146"/>
      <c r="F137" s="146"/>
      <c r="G137" s="146"/>
      <c r="H137" s="146"/>
      <c r="I137" s="146"/>
      <c r="J137" s="146"/>
      <c r="K137" s="146"/>
      <c r="L137" s="149"/>
      <c r="M137" s="106"/>
      <c r="EX137" s="20"/>
      <c r="EY137" s="29"/>
      <c r="EZ137" s="29"/>
      <c r="FA137" s="29"/>
      <c r="FG137" s="29"/>
      <c r="FH137" s="3" t="s">
        <v>120</v>
      </c>
    </row>
    <row r="138" spans="1:164" customFormat="1" ht="15" x14ac:dyDescent="0.25">
      <c r="A138" s="32"/>
      <c r="B138" s="33"/>
      <c r="C138" s="141" t="s">
        <v>54</v>
      </c>
      <c r="D138" s="141"/>
      <c r="E138" s="141"/>
      <c r="F138" s="141"/>
      <c r="G138" s="141"/>
      <c r="H138" s="141"/>
      <c r="I138" s="141"/>
      <c r="J138" s="141"/>
      <c r="K138" s="141"/>
      <c r="L138" s="150"/>
      <c r="M138" s="106"/>
      <c r="EX138" s="20"/>
      <c r="EY138" s="29"/>
      <c r="EZ138" s="29"/>
      <c r="FA138" s="29"/>
      <c r="FC138" s="3" t="s">
        <v>54</v>
      </c>
      <c r="FG138" s="29"/>
    </row>
    <row r="139" spans="1:164" customFormat="1" ht="15" x14ac:dyDescent="0.25">
      <c r="A139" s="32"/>
      <c r="B139" s="33"/>
      <c r="C139" s="141" t="s">
        <v>55</v>
      </c>
      <c r="D139" s="141"/>
      <c r="E139" s="141"/>
      <c r="F139" s="141"/>
      <c r="G139" s="141"/>
      <c r="H139" s="141"/>
      <c r="I139" s="141"/>
      <c r="J139" s="141"/>
      <c r="K139" s="141"/>
      <c r="L139" s="150"/>
      <c r="M139" s="106"/>
      <c r="EX139" s="20"/>
      <c r="EY139" s="29"/>
      <c r="EZ139" s="29"/>
      <c r="FA139" s="29"/>
      <c r="FC139" s="3" t="s">
        <v>55</v>
      </c>
      <c r="FG139" s="29"/>
    </row>
    <row r="140" spans="1:164" customFormat="1" ht="15" x14ac:dyDescent="0.25">
      <c r="A140" s="52"/>
      <c r="B140" s="53"/>
      <c r="C140" s="148" t="s">
        <v>48</v>
      </c>
      <c r="D140" s="148"/>
      <c r="E140" s="148"/>
      <c r="F140" s="23"/>
      <c r="G140" s="24"/>
      <c r="H140" s="24"/>
      <c r="I140" s="24"/>
      <c r="J140" s="27"/>
      <c r="K140" s="24"/>
      <c r="L140" s="96">
        <f>L135</f>
        <v>132119.13</v>
      </c>
      <c r="M140" s="106"/>
      <c r="EX140" s="20"/>
      <c r="EY140" s="29"/>
      <c r="EZ140" s="29"/>
      <c r="FA140" s="29"/>
      <c r="FG140" s="29" t="s">
        <v>48</v>
      </c>
    </row>
    <row r="141" spans="1:164" customFormat="1" ht="23.25" x14ac:dyDescent="0.25">
      <c r="A141" s="21" t="s">
        <v>121</v>
      </c>
      <c r="B141" s="138" t="s">
        <v>68</v>
      </c>
      <c r="C141" s="148" t="s">
        <v>69</v>
      </c>
      <c r="D141" s="148"/>
      <c r="E141" s="148"/>
      <c r="F141" s="23" t="s">
        <v>70</v>
      </c>
      <c r="G141" s="24">
        <v>1.08</v>
      </c>
      <c r="H141" s="25">
        <v>1</v>
      </c>
      <c r="I141" s="57">
        <v>1.08</v>
      </c>
      <c r="J141" s="27"/>
      <c r="K141" s="24"/>
      <c r="L141" s="28"/>
      <c r="M141" s="106"/>
      <c r="EX141" s="20"/>
      <c r="EY141" s="29" t="s">
        <v>69</v>
      </c>
      <c r="EZ141" s="29" t="s">
        <v>0</v>
      </c>
      <c r="FA141" s="29" t="s">
        <v>0</v>
      </c>
      <c r="FG141" s="29"/>
    </row>
    <row r="142" spans="1:164" customFormat="1" ht="15" x14ac:dyDescent="0.25">
      <c r="A142" s="30"/>
      <c r="B142" s="31"/>
      <c r="C142" s="146" t="s">
        <v>122</v>
      </c>
      <c r="D142" s="146"/>
      <c r="E142" s="146"/>
      <c r="F142" s="146"/>
      <c r="G142" s="146"/>
      <c r="H142" s="146"/>
      <c r="I142" s="146"/>
      <c r="J142" s="146"/>
      <c r="K142" s="146"/>
      <c r="L142" s="149"/>
      <c r="M142" s="106"/>
      <c r="EX142" s="20"/>
      <c r="EY142" s="29"/>
      <c r="EZ142" s="29"/>
      <c r="FA142" s="29"/>
      <c r="FB142" s="3" t="s">
        <v>122</v>
      </c>
      <c r="FG142" s="29"/>
    </row>
    <row r="143" spans="1:164" customFormat="1" ht="68.25" x14ac:dyDescent="0.25">
      <c r="A143" s="32"/>
      <c r="B143" s="33" t="s">
        <v>27</v>
      </c>
      <c r="C143" s="141" t="s">
        <v>28</v>
      </c>
      <c r="D143" s="141"/>
      <c r="E143" s="141"/>
      <c r="F143" s="141"/>
      <c r="G143" s="141"/>
      <c r="H143" s="141"/>
      <c r="I143" s="141"/>
      <c r="J143" s="141"/>
      <c r="K143" s="141"/>
      <c r="L143" s="150"/>
      <c r="M143" s="106"/>
      <c r="EX143" s="20"/>
      <c r="EY143" s="29"/>
      <c r="EZ143" s="29"/>
      <c r="FA143" s="29"/>
      <c r="FC143" s="3" t="s">
        <v>28</v>
      </c>
      <c r="FG143" s="29"/>
    </row>
    <row r="144" spans="1:164" customFormat="1" ht="23.25" x14ac:dyDescent="0.25">
      <c r="A144" s="32"/>
      <c r="B144" s="33" t="s">
        <v>29</v>
      </c>
      <c r="C144" s="141" t="s">
        <v>30</v>
      </c>
      <c r="D144" s="141"/>
      <c r="E144" s="141"/>
      <c r="F144" s="141"/>
      <c r="G144" s="141"/>
      <c r="H144" s="141"/>
      <c r="I144" s="141"/>
      <c r="J144" s="141"/>
      <c r="K144" s="141"/>
      <c r="L144" s="150"/>
      <c r="M144" s="106"/>
      <c r="N144" s="118" t="s">
        <v>318</v>
      </c>
      <c r="EX144" s="20"/>
      <c r="EY144" s="29"/>
      <c r="EZ144" s="29"/>
      <c r="FA144" s="29"/>
      <c r="FC144" s="3" t="s">
        <v>30</v>
      </c>
      <c r="FG144" s="29"/>
    </row>
    <row r="145" spans="1:164" customFormat="1" ht="15" x14ac:dyDescent="0.25">
      <c r="A145" s="34"/>
      <c r="B145" s="33" t="s">
        <v>22</v>
      </c>
      <c r="C145" s="146" t="s">
        <v>31</v>
      </c>
      <c r="D145" s="146"/>
      <c r="E145" s="146"/>
      <c r="F145" s="35"/>
      <c r="G145" s="36"/>
      <c r="H145" s="36"/>
      <c r="I145" s="36"/>
      <c r="J145" s="39">
        <v>221.09</v>
      </c>
      <c r="K145" s="38">
        <v>1.3225</v>
      </c>
      <c r="L145" s="42">
        <f>G141*J145*K145</f>
        <v>315.782847</v>
      </c>
      <c r="M145" s="106">
        <v>49.45</v>
      </c>
      <c r="N145" s="112">
        <f>J145*M145*K145</f>
        <v>14458.760911250001</v>
      </c>
      <c r="O145" s="113">
        <v>30478.0098</v>
      </c>
      <c r="P145" s="105">
        <f>G149</f>
        <v>23.52</v>
      </c>
      <c r="Q145" s="105">
        <f>O145/P145*8</f>
        <v>10366.67</v>
      </c>
      <c r="R145" s="105">
        <f>Q145*22</f>
        <v>228066.74</v>
      </c>
      <c r="S145" s="105">
        <f>R145*(1-0.43)</f>
        <v>129998.04180000001</v>
      </c>
      <c r="EX145" s="20"/>
      <c r="EY145" s="29"/>
      <c r="EZ145" s="29"/>
      <c r="FA145" s="29"/>
      <c r="FD145" s="3" t="s">
        <v>31</v>
      </c>
      <c r="FG145" s="29"/>
    </row>
    <row r="146" spans="1:164" customFormat="1" ht="15" x14ac:dyDescent="0.25">
      <c r="A146" s="34"/>
      <c r="B146" s="33" t="s">
        <v>32</v>
      </c>
      <c r="C146" s="146" t="s">
        <v>33</v>
      </c>
      <c r="D146" s="146"/>
      <c r="E146" s="146"/>
      <c r="F146" s="35"/>
      <c r="G146" s="36"/>
      <c r="H146" s="36"/>
      <c r="I146" s="36"/>
      <c r="J146" s="39">
        <v>32.119999999999997</v>
      </c>
      <c r="K146" s="38">
        <v>1.4375</v>
      </c>
      <c r="L146" s="42">
        <f>G141*J146*K146</f>
        <v>49.866299999999995</v>
      </c>
      <c r="M146" s="106">
        <v>14.53</v>
      </c>
      <c r="N146" s="112">
        <f>J146*M146*K146</f>
        <v>670.88642499999992</v>
      </c>
      <c r="O146" s="113">
        <v>575</v>
      </c>
      <c r="P146" s="105">
        <f>G150</f>
        <v>0.2</v>
      </c>
      <c r="Q146" s="105">
        <f>O146/P146*8</f>
        <v>23000</v>
      </c>
      <c r="EX146" s="20"/>
      <c r="EY146" s="29"/>
      <c r="EZ146" s="29"/>
      <c r="FA146" s="29"/>
      <c r="FD146" s="3" t="s">
        <v>33</v>
      </c>
      <c r="FG146" s="29"/>
    </row>
    <row r="147" spans="1:164" customFormat="1" ht="15" x14ac:dyDescent="0.25">
      <c r="A147" s="34"/>
      <c r="B147" s="33" t="s">
        <v>34</v>
      </c>
      <c r="C147" s="146" t="s">
        <v>35</v>
      </c>
      <c r="D147" s="146"/>
      <c r="E147" s="146"/>
      <c r="F147" s="35"/>
      <c r="G147" s="36"/>
      <c r="H147" s="36"/>
      <c r="I147" s="36"/>
      <c r="J147" s="39">
        <v>2.5099999999999998</v>
      </c>
      <c r="K147" s="38">
        <v>1.4375</v>
      </c>
      <c r="L147" s="42">
        <f>G141*J147*K147</f>
        <v>3.8967749999999999</v>
      </c>
      <c r="M147" s="106"/>
      <c r="EX147" s="20"/>
      <c r="EY147" s="29"/>
      <c r="EZ147" s="29"/>
      <c r="FA147" s="29"/>
      <c r="FD147" s="3" t="s">
        <v>35</v>
      </c>
      <c r="FG147" s="29"/>
    </row>
    <row r="148" spans="1:164" customFormat="1" ht="15" x14ac:dyDescent="0.25">
      <c r="A148" s="34"/>
      <c r="B148" s="33" t="s">
        <v>36</v>
      </c>
      <c r="C148" s="146" t="s">
        <v>37</v>
      </c>
      <c r="D148" s="146"/>
      <c r="E148" s="146"/>
      <c r="F148" s="35"/>
      <c r="G148" s="36"/>
      <c r="H148" s="36"/>
      <c r="I148" s="36"/>
      <c r="J148" s="39">
        <v>111.92</v>
      </c>
      <c r="K148" s="36"/>
      <c r="L148" s="42">
        <f>G141*J148</f>
        <v>120.87360000000001</v>
      </c>
      <c r="M148" s="106"/>
      <c r="EX148" s="20"/>
      <c r="EY148" s="29"/>
      <c r="EZ148" s="29"/>
      <c r="FA148" s="29"/>
      <c r="FD148" s="3" t="s">
        <v>37</v>
      </c>
      <c r="FG148" s="29"/>
    </row>
    <row r="149" spans="1:164" customFormat="1" ht="15" x14ac:dyDescent="0.25">
      <c r="A149" s="43"/>
      <c r="B149" s="33"/>
      <c r="C149" s="146" t="s">
        <v>38</v>
      </c>
      <c r="D149" s="146"/>
      <c r="E149" s="146"/>
      <c r="F149" s="35" t="s">
        <v>39</v>
      </c>
      <c r="G149" s="40">
        <v>23.52</v>
      </c>
      <c r="H149" s="38">
        <v>1.3225</v>
      </c>
      <c r="I149" s="60">
        <v>33.593615999999997</v>
      </c>
      <c r="J149" s="45"/>
      <c r="K149" s="36"/>
      <c r="L149" s="46"/>
      <c r="M149" s="106"/>
      <c r="EX149" s="20"/>
      <c r="EY149" s="29"/>
      <c r="EZ149" s="29"/>
      <c r="FA149" s="29"/>
      <c r="FE149" s="3" t="s">
        <v>38</v>
      </c>
      <c r="FG149" s="29"/>
    </row>
    <row r="150" spans="1:164" customFormat="1" ht="15" x14ac:dyDescent="0.25">
      <c r="A150" s="43"/>
      <c r="B150" s="33"/>
      <c r="C150" s="146" t="s">
        <v>40</v>
      </c>
      <c r="D150" s="146"/>
      <c r="E150" s="146"/>
      <c r="F150" s="35" t="s">
        <v>39</v>
      </c>
      <c r="G150" s="61">
        <v>0.2</v>
      </c>
      <c r="H150" s="38">
        <v>1.4375</v>
      </c>
      <c r="I150" s="38">
        <v>0.3105</v>
      </c>
      <c r="J150" s="45"/>
      <c r="K150" s="36"/>
      <c r="L150" s="46"/>
      <c r="M150" s="106"/>
      <c r="EX150" s="20"/>
      <c r="EY150" s="29"/>
      <c r="EZ150" s="29"/>
      <c r="FA150" s="29"/>
      <c r="FE150" s="3" t="s">
        <v>40</v>
      </c>
      <c r="FG150" s="29"/>
    </row>
    <row r="151" spans="1:164" customFormat="1" ht="15" x14ac:dyDescent="0.25">
      <c r="A151" s="30"/>
      <c r="B151" s="33"/>
      <c r="C151" s="151" t="s">
        <v>41</v>
      </c>
      <c r="D151" s="151"/>
      <c r="E151" s="151"/>
      <c r="F151" s="47"/>
      <c r="G151" s="48"/>
      <c r="H151" s="48"/>
      <c r="I151" s="48"/>
      <c r="J151" s="62">
        <v>365.13</v>
      </c>
      <c r="K151" s="48"/>
      <c r="L151" s="66">
        <f>L145+L146+L148</f>
        <v>486.52274699999998</v>
      </c>
      <c r="M151" s="106"/>
      <c r="EX151" s="20"/>
      <c r="EY151" s="29"/>
      <c r="EZ151" s="29"/>
      <c r="FA151" s="29"/>
      <c r="FF151" s="3" t="s">
        <v>41</v>
      </c>
      <c r="FG151" s="29"/>
    </row>
    <row r="152" spans="1:164" customFormat="1" ht="15" x14ac:dyDescent="0.25">
      <c r="A152" s="43"/>
      <c r="B152" s="33"/>
      <c r="C152" s="146" t="s">
        <v>42</v>
      </c>
      <c r="D152" s="146"/>
      <c r="E152" s="146"/>
      <c r="F152" s="35"/>
      <c r="G152" s="36"/>
      <c r="H152" s="36"/>
      <c r="I152" s="36"/>
      <c r="J152" s="45"/>
      <c r="K152" s="36"/>
      <c r="L152" s="42">
        <f>L145+L147</f>
        <v>319.67962199999999</v>
      </c>
      <c r="M152" s="106"/>
      <c r="EX152" s="20"/>
      <c r="EY152" s="29"/>
      <c r="EZ152" s="29"/>
      <c r="FA152" s="29"/>
      <c r="FE152" s="3" t="s">
        <v>42</v>
      </c>
      <c r="FG152" s="29"/>
    </row>
    <row r="153" spans="1:164" customFormat="1" ht="23.25" x14ac:dyDescent="0.25">
      <c r="A153" s="43"/>
      <c r="B153" s="33" t="s">
        <v>72</v>
      </c>
      <c r="C153" s="146" t="s">
        <v>73</v>
      </c>
      <c r="D153" s="146"/>
      <c r="E153" s="146"/>
      <c r="F153" s="35" t="s">
        <v>45</v>
      </c>
      <c r="G153" s="51">
        <v>97</v>
      </c>
      <c r="H153" s="36"/>
      <c r="I153" s="51">
        <v>97</v>
      </c>
      <c r="J153" s="45"/>
      <c r="K153" s="36"/>
      <c r="L153" s="42">
        <f>L152*I153%</f>
        <v>310.08923333999996</v>
      </c>
      <c r="M153" s="106"/>
      <c r="EX153" s="20"/>
      <c r="EY153" s="29"/>
      <c r="EZ153" s="29"/>
      <c r="FA153" s="29"/>
      <c r="FE153" s="3" t="s">
        <v>73</v>
      </c>
      <c r="FG153" s="29"/>
    </row>
    <row r="154" spans="1:164" customFormat="1" ht="23.25" x14ac:dyDescent="0.25">
      <c r="A154" s="43"/>
      <c r="B154" s="33" t="s">
        <v>74</v>
      </c>
      <c r="C154" s="146" t="s">
        <v>75</v>
      </c>
      <c r="D154" s="146"/>
      <c r="E154" s="146"/>
      <c r="F154" s="35" t="s">
        <v>45</v>
      </c>
      <c r="G154" s="51">
        <v>51</v>
      </c>
      <c r="H154" s="36"/>
      <c r="I154" s="51">
        <v>51</v>
      </c>
      <c r="J154" s="45"/>
      <c r="K154" s="36"/>
      <c r="L154" s="42">
        <f>L152*I154%</f>
        <v>163.03660722000001</v>
      </c>
      <c r="M154" s="106"/>
      <c r="EX154" s="20"/>
      <c r="EY154" s="29"/>
      <c r="EZ154" s="29"/>
      <c r="FA154" s="29"/>
      <c r="FE154" s="3" t="s">
        <v>75</v>
      </c>
      <c r="FG154" s="29"/>
    </row>
    <row r="155" spans="1:164" customFormat="1" ht="15" x14ac:dyDescent="0.25">
      <c r="A155" s="52"/>
      <c r="B155" s="53"/>
      <c r="C155" s="148" t="s">
        <v>48</v>
      </c>
      <c r="D155" s="148"/>
      <c r="E155" s="148"/>
      <c r="F155" s="23"/>
      <c r="G155" s="24"/>
      <c r="H155" s="24"/>
      <c r="I155" s="24"/>
      <c r="J155" s="27"/>
      <c r="K155" s="24"/>
      <c r="L155" s="99">
        <f>L151+L153+L154</f>
        <v>959.6485875599999</v>
      </c>
      <c r="M155" s="106"/>
      <c r="EX155" s="20"/>
      <c r="EY155" s="29"/>
      <c r="EZ155" s="29"/>
      <c r="FA155" s="29"/>
      <c r="FG155" s="29" t="s">
        <v>48</v>
      </c>
    </row>
    <row r="156" spans="1:164" customFormat="1" ht="45" x14ac:dyDescent="0.25">
      <c r="A156" s="21" t="s">
        <v>123</v>
      </c>
      <c r="B156" s="22" t="s">
        <v>124</v>
      </c>
      <c r="C156" s="148" t="s">
        <v>125</v>
      </c>
      <c r="D156" s="148"/>
      <c r="E156" s="148"/>
      <c r="F156" s="23" t="s">
        <v>51</v>
      </c>
      <c r="G156" s="24">
        <v>36</v>
      </c>
      <c r="H156" s="25">
        <v>1</v>
      </c>
      <c r="I156" s="25">
        <v>36</v>
      </c>
      <c r="J156" s="56">
        <f>9632/1.2</f>
        <v>8026.666666666667</v>
      </c>
      <c r="K156" s="26">
        <v>1.04236</v>
      </c>
      <c r="L156" s="55">
        <f>G156*J156*K156</f>
        <v>301200.3456</v>
      </c>
      <c r="M156" s="106"/>
      <c r="EX156" s="20"/>
      <c r="EY156" s="29" t="s">
        <v>125</v>
      </c>
      <c r="EZ156" s="29" t="s">
        <v>0</v>
      </c>
      <c r="FA156" s="29" t="s">
        <v>0</v>
      </c>
      <c r="FG156" s="29"/>
    </row>
    <row r="157" spans="1:164" customFormat="1" ht="15" x14ac:dyDescent="0.25">
      <c r="A157" s="30"/>
      <c r="B157" s="31"/>
      <c r="C157" s="152" t="s">
        <v>304</v>
      </c>
      <c r="D157" s="146"/>
      <c r="E157" s="146"/>
      <c r="F157" s="146"/>
      <c r="G157" s="146"/>
      <c r="H157" s="146"/>
      <c r="I157" s="146"/>
      <c r="J157" s="146"/>
      <c r="K157" s="146"/>
      <c r="L157" s="149"/>
      <c r="M157" s="106"/>
      <c r="EX157" s="20"/>
      <c r="EY157" s="29"/>
      <c r="EZ157" s="29"/>
      <c r="FA157" s="29"/>
      <c r="FG157" s="29"/>
      <c r="FH157" s="3" t="s">
        <v>126</v>
      </c>
    </row>
    <row r="158" spans="1:164" customFormat="1" ht="15" x14ac:dyDescent="0.25">
      <c r="A158" s="32"/>
      <c r="B158" s="33"/>
      <c r="C158" s="141" t="s">
        <v>54</v>
      </c>
      <c r="D158" s="141"/>
      <c r="E158" s="141"/>
      <c r="F158" s="141"/>
      <c r="G158" s="141"/>
      <c r="H158" s="141"/>
      <c r="I158" s="141"/>
      <c r="J158" s="141"/>
      <c r="K158" s="141"/>
      <c r="L158" s="150"/>
      <c r="M158" s="106"/>
      <c r="EX158" s="20"/>
      <c r="EY158" s="29"/>
      <c r="EZ158" s="29"/>
      <c r="FA158" s="29"/>
      <c r="FC158" s="3" t="s">
        <v>54</v>
      </c>
      <c r="FG158" s="29"/>
    </row>
    <row r="159" spans="1:164" customFormat="1" ht="15" x14ac:dyDescent="0.25">
      <c r="A159" s="32"/>
      <c r="B159" s="33"/>
      <c r="C159" s="141" t="s">
        <v>55</v>
      </c>
      <c r="D159" s="141"/>
      <c r="E159" s="141"/>
      <c r="F159" s="141"/>
      <c r="G159" s="141"/>
      <c r="H159" s="141"/>
      <c r="I159" s="141"/>
      <c r="J159" s="141"/>
      <c r="K159" s="141"/>
      <c r="L159" s="150"/>
      <c r="M159" s="106"/>
      <c r="EX159" s="20"/>
      <c r="EY159" s="29"/>
      <c r="EZ159" s="29"/>
      <c r="FA159" s="29"/>
      <c r="FC159" s="3" t="s">
        <v>55</v>
      </c>
      <c r="FG159" s="29"/>
    </row>
    <row r="160" spans="1:164" customFormat="1" ht="15" x14ac:dyDescent="0.25">
      <c r="A160" s="52"/>
      <c r="B160" s="53"/>
      <c r="C160" s="148" t="s">
        <v>48</v>
      </c>
      <c r="D160" s="148"/>
      <c r="E160" s="148"/>
      <c r="F160" s="23"/>
      <c r="G160" s="24"/>
      <c r="H160" s="24"/>
      <c r="I160" s="24"/>
      <c r="J160" s="27"/>
      <c r="K160" s="24"/>
      <c r="L160" s="96">
        <f>L156</f>
        <v>301200.3456</v>
      </c>
      <c r="M160" s="106"/>
      <c r="EX160" s="20"/>
      <c r="EY160" s="29"/>
      <c r="EZ160" s="29"/>
      <c r="FA160" s="29"/>
      <c r="FG160" s="29" t="s">
        <v>48</v>
      </c>
    </row>
    <row r="161" spans="1:164" customFormat="1" ht="45" x14ac:dyDescent="0.25">
      <c r="A161" s="21" t="s">
        <v>127</v>
      </c>
      <c r="B161" s="22" t="s">
        <v>128</v>
      </c>
      <c r="C161" s="148" t="s">
        <v>129</v>
      </c>
      <c r="D161" s="148"/>
      <c r="E161" s="148"/>
      <c r="F161" s="23" t="s">
        <v>51</v>
      </c>
      <c r="G161" s="24">
        <v>36</v>
      </c>
      <c r="H161" s="25">
        <v>1</v>
      </c>
      <c r="I161" s="25">
        <v>36</v>
      </c>
      <c r="J161" s="56">
        <f>6452/1.2</f>
        <v>5376.666666666667</v>
      </c>
      <c r="K161" s="26">
        <v>1.04236</v>
      </c>
      <c r="L161" s="55">
        <f>G161*J161*K161</f>
        <v>201759.2016</v>
      </c>
      <c r="M161" s="106"/>
      <c r="EX161" s="20"/>
      <c r="EY161" s="29" t="s">
        <v>129</v>
      </c>
      <c r="EZ161" s="29" t="s">
        <v>0</v>
      </c>
      <c r="FA161" s="29" t="s">
        <v>0</v>
      </c>
      <c r="FG161" s="29"/>
    </row>
    <row r="162" spans="1:164" customFormat="1" ht="15" x14ac:dyDescent="0.25">
      <c r="A162" s="30"/>
      <c r="B162" s="31"/>
      <c r="C162" s="152" t="s">
        <v>305</v>
      </c>
      <c r="D162" s="146"/>
      <c r="E162" s="146"/>
      <c r="F162" s="146"/>
      <c r="G162" s="146"/>
      <c r="H162" s="146"/>
      <c r="I162" s="146"/>
      <c r="J162" s="146"/>
      <c r="K162" s="146"/>
      <c r="L162" s="149"/>
      <c r="M162" s="106"/>
      <c r="EX162" s="20"/>
      <c r="EY162" s="29"/>
      <c r="EZ162" s="29"/>
      <c r="FA162" s="29"/>
      <c r="FG162" s="29"/>
      <c r="FH162" s="3" t="s">
        <v>130</v>
      </c>
    </row>
    <row r="163" spans="1:164" customFormat="1" ht="15" x14ac:dyDescent="0.25">
      <c r="A163" s="32"/>
      <c r="B163" s="33"/>
      <c r="C163" s="141" t="s">
        <v>54</v>
      </c>
      <c r="D163" s="141"/>
      <c r="E163" s="141"/>
      <c r="F163" s="141"/>
      <c r="G163" s="141"/>
      <c r="H163" s="141"/>
      <c r="I163" s="141"/>
      <c r="J163" s="141"/>
      <c r="K163" s="141"/>
      <c r="L163" s="150"/>
      <c r="M163" s="106"/>
      <c r="EX163" s="20"/>
      <c r="EY163" s="29"/>
      <c r="EZ163" s="29"/>
      <c r="FA163" s="29"/>
      <c r="FC163" s="3" t="s">
        <v>54</v>
      </c>
      <c r="FG163" s="29"/>
    </row>
    <row r="164" spans="1:164" customFormat="1" ht="15" x14ac:dyDescent="0.25">
      <c r="A164" s="32"/>
      <c r="B164" s="33"/>
      <c r="C164" s="141" t="s">
        <v>55</v>
      </c>
      <c r="D164" s="141"/>
      <c r="E164" s="141"/>
      <c r="F164" s="141"/>
      <c r="G164" s="141"/>
      <c r="H164" s="141"/>
      <c r="I164" s="141"/>
      <c r="J164" s="141"/>
      <c r="K164" s="141"/>
      <c r="L164" s="150"/>
      <c r="M164" s="106"/>
      <c r="EX164" s="20"/>
      <c r="EY164" s="29"/>
      <c r="EZ164" s="29"/>
      <c r="FA164" s="29"/>
      <c r="FC164" s="3" t="s">
        <v>55</v>
      </c>
      <c r="FG164" s="29"/>
    </row>
    <row r="165" spans="1:164" customFormat="1" ht="15" x14ac:dyDescent="0.25">
      <c r="A165" s="52"/>
      <c r="B165" s="53"/>
      <c r="C165" s="148" t="s">
        <v>48</v>
      </c>
      <c r="D165" s="148"/>
      <c r="E165" s="148"/>
      <c r="F165" s="23"/>
      <c r="G165" s="24"/>
      <c r="H165" s="24"/>
      <c r="I165" s="24"/>
      <c r="J165" s="27"/>
      <c r="K165" s="24"/>
      <c r="L165" s="96">
        <f>L161</f>
        <v>201759.2016</v>
      </c>
      <c r="M165" s="106"/>
      <c r="EX165" s="20"/>
      <c r="EY165" s="29"/>
      <c r="EZ165" s="29"/>
      <c r="FA165" s="29"/>
      <c r="FG165" s="29" t="s">
        <v>48</v>
      </c>
    </row>
    <row r="166" spans="1:164" customFormat="1" ht="34.5" x14ac:dyDescent="0.25">
      <c r="A166" s="21" t="s">
        <v>131</v>
      </c>
      <c r="B166" s="138" t="s">
        <v>132</v>
      </c>
      <c r="C166" s="148" t="s">
        <v>133</v>
      </c>
      <c r="D166" s="148"/>
      <c r="E166" s="148"/>
      <c r="F166" s="23" t="s">
        <v>134</v>
      </c>
      <c r="G166" s="24">
        <v>1.59</v>
      </c>
      <c r="H166" s="25">
        <v>1</v>
      </c>
      <c r="I166" s="57">
        <v>1.59</v>
      </c>
      <c r="J166" s="27"/>
      <c r="K166" s="24"/>
      <c r="L166" s="28"/>
      <c r="M166" s="106"/>
      <c r="EX166" s="20"/>
      <c r="EY166" s="29" t="s">
        <v>133</v>
      </c>
      <c r="EZ166" s="29" t="s">
        <v>0</v>
      </c>
      <c r="FA166" s="29" t="s">
        <v>0</v>
      </c>
      <c r="FG166" s="29"/>
    </row>
    <row r="167" spans="1:164" customFormat="1" ht="15" x14ac:dyDescent="0.25">
      <c r="A167" s="30"/>
      <c r="B167" s="31"/>
      <c r="C167" s="146" t="s">
        <v>135</v>
      </c>
      <c r="D167" s="146"/>
      <c r="E167" s="146"/>
      <c r="F167" s="146"/>
      <c r="G167" s="146"/>
      <c r="H167" s="146"/>
      <c r="I167" s="146"/>
      <c r="J167" s="146"/>
      <c r="K167" s="146"/>
      <c r="L167" s="149"/>
      <c r="M167" s="106"/>
      <c r="EX167" s="20"/>
      <c r="EY167" s="29"/>
      <c r="EZ167" s="29"/>
      <c r="FA167" s="29"/>
      <c r="FB167" s="3" t="s">
        <v>135</v>
      </c>
      <c r="FG167" s="29"/>
    </row>
    <row r="168" spans="1:164" customFormat="1" ht="68.25" x14ac:dyDescent="0.25">
      <c r="A168" s="32"/>
      <c r="B168" s="33" t="s">
        <v>27</v>
      </c>
      <c r="C168" s="141" t="s">
        <v>28</v>
      </c>
      <c r="D168" s="141"/>
      <c r="E168" s="141"/>
      <c r="F168" s="141"/>
      <c r="G168" s="141"/>
      <c r="H168" s="141"/>
      <c r="I168" s="141"/>
      <c r="J168" s="141"/>
      <c r="K168" s="141"/>
      <c r="L168" s="150"/>
      <c r="M168" s="106"/>
      <c r="EX168" s="20"/>
      <c r="EY168" s="29"/>
      <c r="EZ168" s="29"/>
      <c r="FA168" s="29"/>
      <c r="FC168" s="3" t="s">
        <v>28</v>
      </c>
      <c r="FG168" s="29"/>
    </row>
    <row r="169" spans="1:164" customFormat="1" ht="22.5" x14ac:dyDescent="0.25">
      <c r="A169" s="32"/>
      <c r="B169" s="33" t="s">
        <v>136</v>
      </c>
      <c r="C169" s="141" t="s">
        <v>137</v>
      </c>
      <c r="D169" s="141"/>
      <c r="E169" s="141"/>
      <c r="F169" s="141"/>
      <c r="G169" s="141"/>
      <c r="H169" s="141"/>
      <c r="I169" s="141"/>
      <c r="J169" s="141"/>
      <c r="K169" s="141"/>
      <c r="L169" s="150"/>
      <c r="M169" s="106"/>
      <c r="EX169" s="20"/>
      <c r="EY169" s="29"/>
      <c r="EZ169" s="29"/>
      <c r="FA169" s="29"/>
      <c r="FC169" s="3" t="s">
        <v>137</v>
      </c>
      <c r="FG169" s="29"/>
    </row>
    <row r="170" spans="1:164" customFormat="1" ht="23.25" x14ac:dyDescent="0.25">
      <c r="A170" s="32"/>
      <c r="B170" s="33" t="s">
        <v>29</v>
      </c>
      <c r="C170" s="141" t="s">
        <v>30</v>
      </c>
      <c r="D170" s="141"/>
      <c r="E170" s="141"/>
      <c r="F170" s="141"/>
      <c r="G170" s="141"/>
      <c r="H170" s="141"/>
      <c r="I170" s="141"/>
      <c r="J170" s="141"/>
      <c r="K170" s="141"/>
      <c r="L170" s="150"/>
      <c r="M170" s="106"/>
      <c r="N170" s="118" t="s">
        <v>317</v>
      </c>
      <c r="EX170" s="20"/>
      <c r="EY170" s="29"/>
      <c r="EZ170" s="29"/>
      <c r="FA170" s="29"/>
      <c r="FC170" s="3" t="s">
        <v>30</v>
      </c>
      <c r="FG170" s="29"/>
    </row>
    <row r="171" spans="1:164" customFormat="1" ht="15" x14ac:dyDescent="0.25">
      <c r="A171" s="34"/>
      <c r="B171" s="33" t="s">
        <v>22</v>
      </c>
      <c r="C171" s="146" t="s">
        <v>31</v>
      </c>
      <c r="D171" s="146"/>
      <c r="E171" s="146"/>
      <c r="F171" s="35"/>
      <c r="G171" s="36"/>
      <c r="H171" s="36"/>
      <c r="I171" s="36"/>
      <c r="J171" s="39">
        <v>852.58</v>
      </c>
      <c r="K171" s="64">
        <v>0.92574999999999996</v>
      </c>
      <c r="L171" s="41">
        <f>G166*J171*K171</f>
        <v>1254.94873665</v>
      </c>
      <c r="M171" s="106">
        <v>49.45</v>
      </c>
      <c r="N171" s="112">
        <f>J171*M171*K171</f>
        <v>39029.69498575</v>
      </c>
      <c r="O171" s="113">
        <v>121808.3725</v>
      </c>
      <c r="P171" s="105">
        <f>G175</f>
        <v>94</v>
      </c>
      <c r="Q171" s="105">
        <f>O171/P171*8</f>
        <v>10366.67</v>
      </c>
      <c r="R171" s="105">
        <f>Q171*22</f>
        <v>228066.74</v>
      </c>
      <c r="S171" s="105">
        <f>R171*(1-0.43)</f>
        <v>129998.04180000001</v>
      </c>
      <c r="EX171" s="20"/>
      <c r="EY171" s="29"/>
      <c r="EZ171" s="29"/>
      <c r="FA171" s="29"/>
      <c r="FD171" s="3" t="s">
        <v>31</v>
      </c>
      <c r="FG171" s="29"/>
    </row>
    <row r="172" spans="1:164" customFormat="1" ht="15" x14ac:dyDescent="0.25">
      <c r="A172" s="34"/>
      <c r="B172" s="33" t="s">
        <v>32</v>
      </c>
      <c r="C172" s="146" t="s">
        <v>33</v>
      </c>
      <c r="D172" s="146"/>
      <c r="E172" s="146"/>
      <c r="F172" s="35"/>
      <c r="G172" s="36"/>
      <c r="H172" s="36"/>
      <c r="I172" s="36"/>
      <c r="J172" s="37">
        <v>2390.59</v>
      </c>
      <c r="K172" s="64">
        <v>1.0062500000000001</v>
      </c>
      <c r="L172" s="41">
        <f>G166*J172*K172</f>
        <v>3824.7945881250007</v>
      </c>
      <c r="M172" s="106">
        <v>14.53</v>
      </c>
      <c r="N172" s="112">
        <f>J172*M172*K172</f>
        <v>34952.368154375006</v>
      </c>
      <c r="O172" s="113">
        <v>48587.499999999993</v>
      </c>
      <c r="P172" s="105">
        <f>G176</f>
        <v>16.899999999999999</v>
      </c>
      <c r="Q172" s="105">
        <f>O172/P172*8</f>
        <v>23000</v>
      </c>
      <c r="EX172" s="20"/>
      <c r="EY172" s="29"/>
      <c r="EZ172" s="29"/>
      <c r="FA172" s="29"/>
      <c r="FD172" s="3" t="s">
        <v>33</v>
      </c>
      <c r="FG172" s="29"/>
    </row>
    <row r="173" spans="1:164" customFormat="1" ht="15" x14ac:dyDescent="0.25">
      <c r="A173" s="34"/>
      <c r="B173" s="33" t="s">
        <v>34</v>
      </c>
      <c r="C173" s="146" t="s">
        <v>35</v>
      </c>
      <c r="D173" s="146"/>
      <c r="E173" s="146"/>
      <c r="F173" s="35"/>
      <c r="G173" s="36"/>
      <c r="H173" s="36"/>
      <c r="I173" s="36"/>
      <c r="J173" s="39">
        <v>229.05</v>
      </c>
      <c r="K173" s="64">
        <v>1.0062500000000001</v>
      </c>
      <c r="L173" s="42">
        <f>G166*J173*K173</f>
        <v>366.46568437500002</v>
      </c>
      <c r="M173" s="106"/>
      <c r="EX173" s="20"/>
      <c r="EY173" s="29"/>
      <c r="EZ173" s="29"/>
      <c r="FA173" s="29"/>
      <c r="FD173" s="3" t="s">
        <v>35</v>
      </c>
      <c r="FG173" s="29"/>
    </row>
    <row r="174" spans="1:164" customFormat="1" ht="15" x14ac:dyDescent="0.25">
      <c r="A174" s="34"/>
      <c r="B174" s="33" t="s">
        <v>36</v>
      </c>
      <c r="C174" s="146" t="s">
        <v>37</v>
      </c>
      <c r="D174" s="146"/>
      <c r="E174" s="146"/>
      <c r="F174" s="35"/>
      <c r="G174" s="36"/>
      <c r="H174" s="36"/>
      <c r="I174" s="36"/>
      <c r="J174" s="39">
        <v>0</v>
      </c>
      <c r="K174" s="51">
        <v>0</v>
      </c>
      <c r="L174" s="42">
        <f>G166*J174</f>
        <v>0</v>
      </c>
      <c r="M174" s="106"/>
      <c r="EX174" s="20"/>
      <c r="EY174" s="29"/>
      <c r="EZ174" s="29"/>
      <c r="FA174" s="29"/>
      <c r="FD174" s="3" t="s">
        <v>37</v>
      </c>
      <c r="FG174" s="29"/>
    </row>
    <row r="175" spans="1:164" customFormat="1" ht="15" x14ac:dyDescent="0.25">
      <c r="A175" s="43"/>
      <c r="B175" s="33"/>
      <c r="C175" s="146" t="s">
        <v>38</v>
      </c>
      <c r="D175" s="146"/>
      <c r="E175" s="146"/>
      <c r="F175" s="35" t="s">
        <v>39</v>
      </c>
      <c r="G175" s="51">
        <v>94</v>
      </c>
      <c r="H175" s="64">
        <v>0.92574999999999996</v>
      </c>
      <c r="I175" s="60">
        <v>138.362595</v>
      </c>
      <c r="J175" s="45"/>
      <c r="K175" s="36"/>
      <c r="L175" s="46"/>
      <c r="M175" s="106"/>
      <c r="EX175" s="20"/>
      <c r="EY175" s="29"/>
      <c r="EZ175" s="29"/>
      <c r="FA175" s="29"/>
      <c r="FE175" s="3" t="s">
        <v>38</v>
      </c>
      <c r="FG175" s="29"/>
    </row>
    <row r="176" spans="1:164" customFormat="1" ht="15" x14ac:dyDescent="0.25">
      <c r="A176" s="43"/>
      <c r="B176" s="33"/>
      <c r="C176" s="146" t="s">
        <v>40</v>
      </c>
      <c r="D176" s="146"/>
      <c r="E176" s="146"/>
      <c r="F176" s="35" t="s">
        <v>39</v>
      </c>
      <c r="G176" s="61">
        <v>16.899999999999999</v>
      </c>
      <c r="H176" s="64">
        <v>1.0062500000000001</v>
      </c>
      <c r="I176" s="44">
        <v>27.038943799999998</v>
      </c>
      <c r="J176" s="45"/>
      <c r="K176" s="36"/>
      <c r="L176" s="46"/>
      <c r="M176" s="106"/>
      <c r="EX176" s="20"/>
      <c r="EY176" s="29"/>
      <c r="EZ176" s="29"/>
      <c r="FA176" s="29"/>
      <c r="FE176" s="3" t="s">
        <v>40</v>
      </c>
      <c r="FG176" s="29"/>
    </row>
    <row r="177" spans="1:163" customFormat="1" ht="15" x14ac:dyDescent="0.25">
      <c r="A177" s="30"/>
      <c r="B177" s="33"/>
      <c r="C177" s="151" t="s">
        <v>41</v>
      </c>
      <c r="D177" s="151"/>
      <c r="E177" s="151"/>
      <c r="F177" s="47"/>
      <c r="G177" s="48"/>
      <c r="H177" s="48"/>
      <c r="I177" s="48"/>
      <c r="J177" s="49">
        <v>3544.01</v>
      </c>
      <c r="K177" s="48"/>
      <c r="L177" s="50">
        <f>L171+L172+L174</f>
        <v>5079.7433247750005</v>
      </c>
      <c r="M177" s="106"/>
      <c r="EX177" s="20"/>
      <c r="EY177" s="29"/>
      <c r="EZ177" s="29"/>
      <c r="FA177" s="29"/>
      <c r="FF177" s="3" t="s">
        <v>41</v>
      </c>
      <c r="FG177" s="29"/>
    </row>
    <row r="178" spans="1:163" customFormat="1" ht="15" x14ac:dyDescent="0.25">
      <c r="A178" s="43"/>
      <c r="B178" s="33"/>
      <c r="C178" s="146" t="s">
        <v>42</v>
      </c>
      <c r="D178" s="146"/>
      <c r="E178" s="146"/>
      <c r="F178" s="35"/>
      <c r="G178" s="36"/>
      <c r="H178" s="36"/>
      <c r="I178" s="36"/>
      <c r="J178" s="45"/>
      <c r="K178" s="36"/>
      <c r="L178" s="41">
        <f>L171+L173</f>
        <v>1621.4144210250001</v>
      </c>
      <c r="M178" s="106"/>
      <c r="EX178" s="20"/>
      <c r="EY178" s="29"/>
      <c r="EZ178" s="29"/>
      <c r="FA178" s="29"/>
      <c r="FE178" s="3" t="s">
        <v>42</v>
      </c>
      <c r="FG178" s="29"/>
    </row>
    <row r="179" spans="1:163" customFormat="1" ht="23.25" x14ac:dyDescent="0.25">
      <c r="A179" s="43"/>
      <c r="B179" s="33" t="s">
        <v>138</v>
      </c>
      <c r="C179" s="146" t="s">
        <v>139</v>
      </c>
      <c r="D179" s="146"/>
      <c r="E179" s="146"/>
      <c r="F179" s="35" t="s">
        <v>45</v>
      </c>
      <c r="G179" s="51">
        <v>93</v>
      </c>
      <c r="H179" s="36"/>
      <c r="I179" s="51">
        <v>93</v>
      </c>
      <c r="J179" s="45"/>
      <c r="K179" s="36"/>
      <c r="L179" s="41">
        <f>L178*I179%</f>
        <v>1507.9154115532501</v>
      </c>
      <c r="M179" s="106"/>
      <c r="EX179" s="20"/>
      <c r="EY179" s="29"/>
      <c r="EZ179" s="29"/>
      <c r="FA179" s="29"/>
      <c r="FE179" s="3" t="s">
        <v>139</v>
      </c>
      <c r="FG179" s="29"/>
    </row>
    <row r="180" spans="1:163" customFormat="1" ht="45" x14ac:dyDescent="0.25">
      <c r="A180" s="43"/>
      <c r="B180" s="33" t="s">
        <v>140</v>
      </c>
      <c r="C180" s="146" t="s">
        <v>141</v>
      </c>
      <c r="D180" s="146"/>
      <c r="E180" s="146"/>
      <c r="F180" s="35" t="s">
        <v>45</v>
      </c>
      <c r="G180" s="51">
        <v>62</v>
      </c>
      <c r="H180" s="40">
        <v>0.85</v>
      </c>
      <c r="I180" s="61">
        <v>52.7</v>
      </c>
      <c r="J180" s="45"/>
      <c r="K180" s="36"/>
      <c r="L180" s="42">
        <f>L178*I180%</f>
        <v>854.48539988017512</v>
      </c>
      <c r="M180" s="106"/>
      <c r="EX180" s="20"/>
      <c r="EY180" s="29"/>
      <c r="EZ180" s="29"/>
      <c r="FA180" s="29"/>
      <c r="FE180" s="3" t="s">
        <v>141</v>
      </c>
      <c r="FG180" s="29"/>
    </row>
    <row r="181" spans="1:163" customFormat="1" ht="15" x14ac:dyDescent="0.25">
      <c r="A181" s="52"/>
      <c r="B181" s="53"/>
      <c r="C181" s="148" t="s">
        <v>48</v>
      </c>
      <c r="D181" s="148"/>
      <c r="E181" s="148"/>
      <c r="F181" s="23"/>
      <c r="G181" s="24"/>
      <c r="H181" s="24"/>
      <c r="I181" s="24"/>
      <c r="J181" s="27"/>
      <c r="K181" s="24"/>
      <c r="L181" s="96">
        <f>L177+L179+L180</f>
        <v>7442.1441362084261</v>
      </c>
      <c r="M181" s="106"/>
      <c r="EX181" s="20"/>
      <c r="EY181" s="29"/>
      <c r="EZ181" s="29"/>
      <c r="FA181" s="29"/>
      <c r="FG181" s="29" t="s">
        <v>48</v>
      </c>
    </row>
    <row r="182" spans="1:163" customFormat="1" ht="45.75" x14ac:dyDescent="0.25">
      <c r="A182" s="21" t="s">
        <v>142</v>
      </c>
      <c r="B182" s="138" t="s">
        <v>132</v>
      </c>
      <c r="C182" s="148" t="s">
        <v>143</v>
      </c>
      <c r="D182" s="148"/>
      <c r="E182" s="148"/>
      <c r="F182" s="23" t="s">
        <v>134</v>
      </c>
      <c r="G182" s="24">
        <v>1.59</v>
      </c>
      <c r="H182" s="25">
        <v>1</v>
      </c>
      <c r="I182" s="57">
        <v>1.59</v>
      </c>
      <c r="J182" s="27"/>
      <c r="K182" s="24"/>
      <c r="L182" s="28"/>
      <c r="M182" s="106"/>
      <c r="EX182" s="20"/>
      <c r="EY182" s="29" t="s">
        <v>143</v>
      </c>
      <c r="EZ182" s="29" t="s">
        <v>0</v>
      </c>
      <c r="FA182" s="29" t="s">
        <v>0</v>
      </c>
      <c r="FG182" s="29"/>
    </row>
    <row r="183" spans="1:163" customFormat="1" ht="15" x14ac:dyDescent="0.25">
      <c r="A183" s="30"/>
      <c r="B183" s="31"/>
      <c r="C183" s="146" t="s">
        <v>135</v>
      </c>
      <c r="D183" s="146"/>
      <c r="E183" s="146"/>
      <c r="F183" s="146"/>
      <c r="G183" s="146"/>
      <c r="H183" s="146"/>
      <c r="I183" s="146"/>
      <c r="J183" s="146"/>
      <c r="K183" s="146"/>
      <c r="L183" s="149"/>
      <c r="M183" s="106"/>
      <c r="EX183" s="20"/>
      <c r="EY183" s="29"/>
      <c r="EZ183" s="29"/>
      <c r="FA183" s="29"/>
      <c r="FB183" s="3" t="s">
        <v>135</v>
      </c>
      <c r="FG183" s="29"/>
    </row>
    <row r="184" spans="1:163" customFormat="1" ht="68.25" x14ac:dyDescent="0.25">
      <c r="A184" s="32"/>
      <c r="B184" s="33" t="s">
        <v>27</v>
      </c>
      <c r="C184" s="141" t="s">
        <v>28</v>
      </c>
      <c r="D184" s="141"/>
      <c r="E184" s="141"/>
      <c r="F184" s="141"/>
      <c r="G184" s="141"/>
      <c r="H184" s="141"/>
      <c r="I184" s="141"/>
      <c r="J184" s="141"/>
      <c r="K184" s="141"/>
      <c r="L184" s="150"/>
      <c r="M184" s="106"/>
      <c r="EX184" s="20"/>
      <c r="EY184" s="29"/>
      <c r="EZ184" s="29"/>
      <c r="FA184" s="29"/>
      <c r="FC184" s="3" t="s">
        <v>28</v>
      </c>
      <c r="FG184" s="29"/>
    </row>
    <row r="185" spans="1:163" customFormat="1" ht="23.25" x14ac:dyDescent="0.25">
      <c r="A185" s="32"/>
      <c r="B185" s="33" t="s">
        <v>29</v>
      </c>
      <c r="C185" s="141" t="s">
        <v>30</v>
      </c>
      <c r="D185" s="141"/>
      <c r="E185" s="141"/>
      <c r="F185" s="141"/>
      <c r="G185" s="141"/>
      <c r="H185" s="141"/>
      <c r="I185" s="141"/>
      <c r="J185" s="141"/>
      <c r="K185" s="141"/>
      <c r="L185" s="150"/>
      <c r="M185" s="106"/>
      <c r="N185" s="118" t="s">
        <v>322</v>
      </c>
      <c r="EX185" s="20"/>
      <c r="EY185" s="29"/>
      <c r="EZ185" s="29"/>
      <c r="FA185" s="29"/>
      <c r="FC185" s="3" t="s">
        <v>30</v>
      </c>
      <c r="FG185" s="29"/>
    </row>
    <row r="186" spans="1:163" customFormat="1" ht="15" x14ac:dyDescent="0.25">
      <c r="A186" s="34"/>
      <c r="B186" s="33" t="s">
        <v>22</v>
      </c>
      <c r="C186" s="146" t="s">
        <v>31</v>
      </c>
      <c r="D186" s="146"/>
      <c r="E186" s="146"/>
      <c r="F186" s="35"/>
      <c r="G186" s="36"/>
      <c r="H186" s="36"/>
      <c r="I186" s="36"/>
      <c r="J186" s="39">
        <v>852.58</v>
      </c>
      <c r="K186" s="38">
        <v>1.3225</v>
      </c>
      <c r="L186" s="41">
        <f>G182*J186*K186</f>
        <v>1792.7839095000002</v>
      </c>
      <c r="M186" s="106">
        <v>49.45</v>
      </c>
      <c r="N186" s="112">
        <f>J186*M186*K186</f>
        <v>55756.707122500011</v>
      </c>
      <c r="O186" s="113">
        <v>121808.3725</v>
      </c>
      <c r="P186" s="105">
        <f>G190</f>
        <v>94</v>
      </c>
      <c r="Q186" s="105">
        <f>O186/P186*8</f>
        <v>10366.67</v>
      </c>
      <c r="R186" s="105">
        <f>Q186*22</f>
        <v>228066.74</v>
      </c>
      <c r="S186" s="105">
        <f>R186*(1-0.43)</f>
        <v>129998.04180000001</v>
      </c>
      <c r="EX186" s="20"/>
      <c r="EY186" s="29"/>
      <c r="EZ186" s="29"/>
      <c r="FA186" s="29"/>
      <c r="FD186" s="3" t="s">
        <v>31</v>
      </c>
      <c r="FG186" s="29"/>
    </row>
    <row r="187" spans="1:163" customFormat="1" ht="15" x14ac:dyDescent="0.25">
      <c r="A187" s="34"/>
      <c r="B187" s="33" t="s">
        <v>32</v>
      </c>
      <c r="C187" s="146" t="s">
        <v>33</v>
      </c>
      <c r="D187" s="146"/>
      <c r="E187" s="146"/>
      <c r="F187" s="35"/>
      <c r="G187" s="36"/>
      <c r="H187" s="36"/>
      <c r="I187" s="36"/>
      <c r="J187" s="37">
        <v>2390.59</v>
      </c>
      <c r="K187" s="38">
        <v>1.4375</v>
      </c>
      <c r="L187" s="41">
        <f>G182*J187*K187</f>
        <v>5463.9922687500002</v>
      </c>
      <c r="M187" s="106">
        <v>14.53</v>
      </c>
      <c r="N187" s="112">
        <f>J187*M187*K187</f>
        <v>49931.954506250004</v>
      </c>
      <c r="O187" s="113">
        <v>48587.499999999993</v>
      </c>
      <c r="P187" s="105">
        <f>G191</f>
        <v>16.899999999999999</v>
      </c>
      <c r="Q187" s="105">
        <f>O187/P187*8</f>
        <v>23000</v>
      </c>
      <c r="EX187" s="20"/>
      <c r="EY187" s="29"/>
      <c r="EZ187" s="29"/>
      <c r="FA187" s="29"/>
      <c r="FD187" s="3" t="s">
        <v>33</v>
      </c>
      <c r="FG187" s="29"/>
    </row>
    <row r="188" spans="1:163" customFormat="1" ht="15" x14ac:dyDescent="0.25">
      <c r="A188" s="34"/>
      <c r="B188" s="33" t="s">
        <v>34</v>
      </c>
      <c r="C188" s="146" t="s">
        <v>35</v>
      </c>
      <c r="D188" s="146"/>
      <c r="E188" s="146"/>
      <c r="F188" s="35"/>
      <c r="G188" s="36"/>
      <c r="H188" s="36"/>
      <c r="I188" s="36"/>
      <c r="J188" s="39">
        <v>229.05</v>
      </c>
      <c r="K188" s="38">
        <v>1.4375</v>
      </c>
      <c r="L188" s="42">
        <f>G182*J188*K188</f>
        <v>523.52240625000002</v>
      </c>
      <c r="M188" s="106"/>
      <c r="EX188" s="20"/>
      <c r="EY188" s="29"/>
      <c r="EZ188" s="29"/>
      <c r="FA188" s="29"/>
      <c r="FD188" s="3" t="s">
        <v>35</v>
      </c>
      <c r="FG188" s="29"/>
    </row>
    <row r="189" spans="1:163" customFormat="1" ht="15" x14ac:dyDescent="0.25">
      <c r="A189" s="34"/>
      <c r="B189" s="33" t="s">
        <v>36</v>
      </c>
      <c r="C189" s="146" t="s">
        <v>37</v>
      </c>
      <c r="D189" s="146"/>
      <c r="E189" s="146"/>
      <c r="F189" s="35"/>
      <c r="G189" s="36"/>
      <c r="H189" s="36"/>
      <c r="I189" s="36"/>
      <c r="J189" s="39">
        <v>0</v>
      </c>
      <c r="K189" s="36"/>
      <c r="L189" s="42">
        <f>G182*J189</f>
        <v>0</v>
      </c>
      <c r="M189" s="106"/>
      <c r="EX189" s="20"/>
      <c r="EY189" s="29"/>
      <c r="EZ189" s="29"/>
      <c r="FA189" s="29"/>
      <c r="FD189" s="3" t="s">
        <v>37</v>
      </c>
      <c r="FG189" s="29"/>
    </row>
    <row r="190" spans="1:163" customFormat="1" ht="15" x14ac:dyDescent="0.25">
      <c r="A190" s="43"/>
      <c r="B190" s="33"/>
      <c r="C190" s="146" t="s">
        <v>38</v>
      </c>
      <c r="D190" s="146"/>
      <c r="E190" s="146"/>
      <c r="F190" s="35" t="s">
        <v>39</v>
      </c>
      <c r="G190" s="51">
        <v>94</v>
      </c>
      <c r="H190" s="38">
        <v>1.3225</v>
      </c>
      <c r="I190" s="64">
        <v>197.66085000000001</v>
      </c>
      <c r="J190" s="45"/>
      <c r="K190" s="36"/>
      <c r="L190" s="46"/>
      <c r="M190" s="106"/>
      <c r="EX190" s="20"/>
      <c r="EY190" s="29"/>
      <c r="EZ190" s="29"/>
      <c r="FA190" s="29"/>
      <c r="FE190" s="3" t="s">
        <v>38</v>
      </c>
      <c r="FG190" s="29"/>
    </row>
    <row r="191" spans="1:163" customFormat="1" ht="15" x14ac:dyDescent="0.25">
      <c r="A191" s="43"/>
      <c r="B191" s="33"/>
      <c r="C191" s="146" t="s">
        <v>40</v>
      </c>
      <c r="D191" s="146"/>
      <c r="E191" s="146"/>
      <c r="F191" s="35" t="s">
        <v>39</v>
      </c>
      <c r="G191" s="61">
        <v>16.899999999999999</v>
      </c>
      <c r="H191" s="38">
        <v>1.4375</v>
      </c>
      <c r="I191" s="44">
        <v>38.627062500000001</v>
      </c>
      <c r="J191" s="45"/>
      <c r="K191" s="36"/>
      <c r="L191" s="46"/>
      <c r="M191" s="106"/>
      <c r="EX191" s="20"/>
      <c r="EY191" s="29"/>
      <c r="EZ191" s="29"/>
      <c r="FA191" s="29"/>
      <c r="FE191" s="3" t="s">
        <v>40</v>
      </c>
      <c r="FG191" s="29"/>
    </row>
    <row r="192" spans="1:163" customFormat="1" ht="15" x14ac:dyDescent="0.25">
      <c r="A192" s="30"/>
      <c r="B192" s="33"/>
      <c r="C192" s="151" t="s">
        <v>41</v>
      </c>
      <c r="D192" s="151"/>
      <c r="E192" s="151"/>
      <c r="F192" s="47"/>
      <c r="G192" s="48"/>
      <c r="H192" s="48"/>
      <c r="I192" s="48"/>
      <c r="J192" s="49">
        <v>3544.01</v>
      </c>
      <c r="K192" s="48"/>
      <c r="L192" s="50">
        <f>L186+L187+L189</f>
        <v>7256.7761782500002</v>
      </c>
      <c r="M192" s="106"/>
      <c r="EX192" s="20"/>
      <c r="EY192" s="29"/>
      <c r="EZ192" s="29"/>
      <c r="FA192" s="29"/>
      <c r="FF192" s="3" t="s">
        <v>41</v>
      </c>
      <c r="FG192" s="29"/>
    </row>
    <row r="193" spans="1:163" customFormat="1" ht="15" x14ac:dyDescent="0.25">
      <c r="A193" s="43"/>
      <c r="B193" s="33"/>
      <c r="C193" s="146" t="s">
        <v>42</v>
      </c>
      <c r="D193" s="146"/>
      <c r="E193" s="146"/>
      <c r="F193" s="35"/>
      <c r="G193" s="36"/>
      <c r="H193" s="36"/>
      <c r="I193" s="36"/>
      <c r="J193" s="45"/>
      <c r="K193" s="36"/>
      <c r="L193" s="41">
        <f>L186+L188</f>
        <v>2316.3063157500001</v>
      </c>
      <c r="M193" s="106"/>
      <c r="EX193" s="20"/>
      <c r="EY193" s="29"/>
      <c r="EZ193" s="29"/>
      <c r="FA193" s="29"/>
      <c r="FE193" s="3" t="s">
        <v>42</v>
      </c>
      <c r="FG193" s="29"/>
    </row>
    <row r="194" spans="1:163" customFormat="1" ht="23.25" x14ac:dyDescent="0.25">
      <c r="A194" s="43"/>
      <c r="B194" s="33" t="s">
        <v>138</v>
      </c>
      <c r="C194" s="146" t="s">
        <v>139</v>
      </c>
      <c r="D194" s="146"/>
      <c r="E194" s="146"/>
      <c r="F194" s="35" t="s">
        <v>45</v>
      </c>
      <c r="G194" s="51">
        <v>93</v>
      </c>
      <c r="H194" s="36"/>
      <c r="I194" s="51">
        <v>93</v>
      </c>
      <c r="J194" s="45"/>
      <c r="K194" s="36"/>
      <c r="L194" s="41">
        <f>L193*I194%</f>
        <v>2154.1648736475004</v>
      </c>
      <c r="M194" s="106"/>
      <c r="EX194" s="20"/>
      <c r="EY194" s="29"/>
      <c r="EZ194" s="29"/>
      <c r="FA194" s="29"/>
      <c r="FE194" s="3" t="s">
        <v>139</v>
      </c>
      <c r="FG194" s="29"/>
    </row>
    <row r="195" spans="1:163" customFormat="1" ht="45" x14ac:dyDescent="0.25">
      <c r="A195" s="43"/>
      <c r="B195" s="33" t="s">
        <v>140</v>
      </c>
      <c r="C195" s="146" t="s">
        <v>141</v>
      </c>
      <c r="D195" s="146"/>
      <c r="E195" s="146"/>
      <c r="F195" s="35" t="s">
        <v>45</v>
      </c>
      <c r="G195" s="51">
        <v>62</v>
      </c>
      <c r="H195" s="40">
        <v>0.85</v>
      </c>
      <c r="I195" s="61">
        <v>52.7</v>
      </c>
      <c r="J195" s="45"/>
      <c r="K195" s="36"/>
      <c r="L195" s="41">
        <f>L193*I195%</f>
        <v>1220.69342840025</v>
      </c>
      <c r="M195" s="106"/>
      <c r="EX195" s="20"/>
      <c r="EY195" s="29"/>
      <c r="EZ195" s="29"/>
      <c r="FA195" s="29"/>
      <c r="FE195" s="3" t="s">
        <v>141</v>
      </c>
      <c r="FG195" s="29"/>
    </row>
    <row r="196" spans="1:163" customFormat="1" ht="15" x14ac:dyDescent="0.25">
      <c r="A196" s="52"/>
      <c r="B196" s="53"/>
      <c r="C196" s="148" t="s">
        <v>48</v>
      </c>
      <c r="D196" s="148"/>
      <c r="E196" s="148"/>
      <c r="F196" s="23"/>
      <c r="G196" s="24"/>
      <c r="H196" s="24"/>
      <c r="I196" s="24"/>
      <c r="J196" s="27"/>
      <c r="K196" s="24"/>
      <c r="L196" s="96">
        <f>L192+L194+L195</f>
        <v>10631.634480297751</v>
      </c>
      <c r="M196" s="106"/>
      <c r="EX196" s="20"/>
      <c r="EY196" s="29"/>
      <c r="EZ196" s="29"/>
      <c r="FA196" s="29"/>
      <c r="FG196" s="29" t="s">
        <v>48</v>
      </c>
    </row>
    <row r="197" spans="1:163" customFormat="1" ht="45.75" x14ac:dyDescent="0.25">
      <c r="A197" s="21" t="s">
        <v>144</v>
      </c>
      <c r="B197" s="138" t="s">
        <v>145</v>
      </c>
      <c r="C197" s="148" t="s">
        <v>146</v>
      </c>
      <c r="D197" s="148"/>
      <c r="E197" s="148"/>
      <c r="F197" s="23" t="s">
        <v>147</v>
      </c>
      <c r="G197" s="24">
        <v>0.04</v>
      </c>
      <c r="H197" s="25">
        <v>1</v>
      </c>
      <c r="I197" s="57">
        <v>0.04</v>
      </c>
      <c r="J197" s="27"/>
      <c r="K197" s="24"/>
      <c r="L197" s="28"/>
      <c r="M197" s="106"/>
      <c r="EX197" s="20"/>
      <c r="EY197" s="29" t="s">
        <v>146</v>
      </c>
      <c r="EZ197" s="29" t="s">
        <v>0</v>
      </c>
      <c r="FA197" s="29" t="s">
        <v>0</v>
      </c>
      <c r="FG197" s="29"/>
    </row>
    <row r="198" spans="1:163" customFormat="1" ht="15" x14ac:dyDescent="0.25">
      <c r="A198" s="30"/>
      <c r="B198" s="31"/>
      <c r="C198" s="146" t="s">
        <v>148</v>
      </c>
      <c r="D198" s="146"/>
      <c r="E198" s="146"/>
      <c r="F198" s="146"/>
      <c r="G198" s="146"/>
      <c r="H198" s="146"/>
      <c r="I198" s="146"/>
      <c r="J198" s="146"/>
      <c r="K198" s="146"/>
      <c r="L198" s="149"/>
      <c r="M198" s="106"/>
      <c r="EX198" s="20"/>
      <c r="EY198" s="29"/>
      <c r="EZ198" s="29"/>
      <c r="FA198" s="29"/>
      <c r="FB198" s="3" t="s">
        <v>148</v>
      </c>
      <c r="FG198" s="29"/>
    </row>
    <row r="199" spans="1:163" customFormat="1" ht="68.25" x14ac:dyDescent="0.25">
      <c r="A199" s="32"/>
      <c r="B199" s="33" t="s">
        <v>27</v>
      </c>
      <c r="C199" s="141" t="s">
        <v>28</v>
      </c>
      <c r="D199" s="141"/>
      <c r="E199" s="141"/>
      <c r="F199" s="141"/>
      <c r="G199" s="141"/>
      <c r="H199" s="141"/>
      <c r="I199" s="141"/>
      <c r="J199" s="141"/>
      <c r="K199" s="141"/>
      <c r="L199" s="150"/>
      <c r="M199" s="106"/>
      <c r="N199" s="118" t="s">
        <v>323</v>
      </c>
      <c r="EX199" s="20"/>
      <c r="EY199" s="29"/>
      <c r="EZ199" s="29"/>
      <c r="FA199" s="29"/>
      <c r="FC199" s="3" t="s">
        <v>28</v>
      </c>
      <c r="FG199" s="29"/>
    </row>
    <row r="200" spans="1:163" customFormat="1" ht="15" x14ac:dyDescent="0.25">
      <c r="A200" s="34"/>
      <c r="B200" s="33" t="s">
        <v>22</v>
      </c>
      <c r="C200" s="146" t="s">
        <v>31</v>
      </c>
      <c r="D200" s="146"/>
      <c r="E200" s="146"/>
      <c r="F200" s="35"/>
      <c r="G200" s="36"/>
      <c r="H200" s="36"/>
      <c r="I200" s="36"/>
      <c r="J200" s="39">
        <v>221.35</v>
      </c>
      <c r="K200" s="40">
        <v>1.1499999999999999</v>
      </c>
      <c r="L200" s="42">
        <f>G197*J200*K200</f>
        <v>10.182099999999998</v>
      </c>
      <c r="M200" s="106">
        <v>49.45</v>
      </c>
      <c r="N200" s="112">
        <f>J200*M200*K200</f>
        <v>12587.621124999998</v>
      </c>
      <c r="O200" s="113">
        <v>133470.87625</v>
      </c>
      <c r="P200" s="105">
        <f>G204</f>
        <v>103</v>
      </c>
      <c r="Q200" s="105">
        <f>O200/P200*8</f>
        <v>10366.67</v>
      </c>
      <c r="R200" s="105">
        <f>Q200*22</f>
        <v>228066.74</v>
      </c>
      <c r="S200" s="105">
        <f>R200*(1-0.43)</f>
        <v>129998.04180000001</v>
      </c>
      <c r="EX200" s="20"/>
      <c r="EY200" s="29"/>
      <c r="EZ200" s="29"/>
      <c r="FA200" s="29"/>
      <c r="FD200" s="3" t="s">
        <v>31</v>
      </c>
      <c r="FG200" s="29"/>
    </row>
    <row r="201" spans="1:163" customFormat="1" ht="15" x14ac:dyDescent="0.25">
      <c r="A201" s="43"/>
      <c r="B201" s="33"/>
      <c r="C201" s="146" t="s">
        <v>38</v>
      </c>
      <c r="D201" s="146"/>
      <c r="E201" s="146"/>
      <c r="F201" s="35" t="s">
        <v>39</v>
      </c>
      <c r="G201" s="40">
        <v>25.95</v>
      </c>
      <c r="H201" s="40">
        <v>1.1499999999999999</v>
      </c>
      <c r="I201" s="38">
        <v>1.1937</v>
      </c>
      <c r="J201" s="45"/>
      <c r="K201" s="36"/>
      <c r="L201" s="46"/>
      <c r="M201" s="106"/>
      <c r="N201" s="112"/>
      <c r="O201" s="113"/>
      <c r="P201" s="105"/>
      <c r="Q201" s="105"/>
      <c r="EX201" s="20"/>
      <c r="EY201" s="29"/>
      <c r="EZ201" s="29"/>
      <c r="FA201" s="29"/>
      <c r="FE201" s="3" t="s">
        <v>38</v>
      </c>
      <c r="FG201" s="29"/>
    </row>
    <row r="202" spans="1:163" customFormat="1" ht="15" x14ac:dyDescent="0.25">
      <c r="A202" s="30"/>
      <c r="B202" s="33"/>
      <c r="C202" s="151" t="s">
        <v>41</v>
      </c>
      <c r="D202" s="151"/>
      <c r="E202" s="151"/>
      <c r="F202" s="47"/>
      <c r="G202" s="48"/>
      <c r="H202" s="48"/>
      <c r="I202" s="48"/>
      <c r="J202" s="62">
        <v>221.35</v>
      </c>
      <c r="K202" s="48"/>
      <c r="L202" s="66">
        <f>L200</f>
        <v>10.182099999999998</v>
      </c>
      <c r="M202" s="106"/>
      <c r="EX202" s="20"/>
      <c r="EY202" s="29"/>
      <c r="EZ202" s="29"/>
      <c r="FA202" s="29"/>
      <c r="FF202" s="3" t="s">
        <v>41</v>
      </c>
      <c r="FG202" s="29"/>
    </row>
    <row r="203" spans="1:163" customFormat="1" ht="15" x14ac:dyDescent="0.25">
      <c r="A203" s="43"/>
      <c r="B203" s="33"/>
      <c r="C203" s="146" t="s">
        <v>42</v>
      </c>
      <c r="D203" s="146"/>
      <c r="E203" s="146"/>
      <c r="F203" s="35"/>
      <c r="G203" s="36"/>
      <c r="H203" s="36"/>
      <c r="I203" s="36"/>
      <c r="J203" s="45"/>
      <c r="K203" s="36"/>
      <c r="L203" s="42">
        <f>L200</f>
        <v>10.182099999999998</v>
      </c>
      <c r="M203" s="106"/>
      <c r="EX203" s="20"/>
      <c r="EY203" s="29"/>
      <c r="EZ203" s="29"/>
      <c r="FA203" s="29"/>
      <c r="FE203" s="3" t="s">
        <v>42</v>
      </c>
      <c r="FG203" s="29"/>
    </row>
    <row r="204" spans="1:163" customFormat="1" ht="45.75" x14ac:dyDescent="0.25">
      <c r="A204" s="43"/>
      <c r="B204" s="33" t="s">
        <v>149</v>
      </c>
      <c r="C204" s="146" t="s">
        <v>150</v>
      </c>
      <c r="D204" s="146"/>
      <c r="E204" s="146"/>
      <c r="F204" s="35" t="s">
        <v>45</v>
      </c>
      <c r="G204" s="51">
        <v>103</v>
      </c>
      <c r="H204" s="36"/>
      <c r="I204" s="51">
        <v>103</v>
      </c>
      <c r="J204" s="45"/>
      <c r="K204" s="36"/>
      <c r="L204" s="42">
        <f>L203*I204%</f>
        <v>10.487562999999998</v>
      </c>
      <c r="M204" s="106"/>
      <c r="EX204" s="20"/>
      <c r="EY204" s="29"/>
      <c r="EZ204" s="29"/>
      <c r="FA204" s="29"/>
      <c r="FE204" s="3" t="s">
        <v>150</v>
      </c>
      <c r="FG204" s="29"/>
    </row>
    <row r="205" spans="1:163" customFormat="1" ht="45.75" x14ac:dyDescent="0.25">
      <c r="A205" s="43"/>
      <c r="B205" s="33" t="s">
        <v>151</v>
      </c>
      <c r="C205" s="146" t="s">
        <v>152</v>
      </c>
      <c r="D205" s="146"/>
      <c r="E205" s="146"/>
      <c r="F205" s="35" t="s">
        <v>45</v>
      </c>
      <c r="G205" s="51">
        <v>59</v>
      </c>
      <c r="H205" s="36"/>
      <c r="I205" s="51">
        <v>59</v>
      </c>
      <c r="J205" s="45"/>
      <c r="K205" s="36"/>
      <c r="L205" s="42">
        <f>L203*I205%</f>
        <v>6.0074389999999989</v>
      </c>
      <c r="M205" s="106"/>
      <c r="EX205" s="20"/>
      <c r="EY205" s="29"/>
      <c r="EZ205" s="29"/>
      <c r="FA205" s="29"/>
      <c r="FE205" s="3" t="s">
        <v>152</v>
      </c>
      <c r="FG205" s="29"/>
    </row>
    <row r="206" spans="1:163" customFormat="1" ht="15" x14ac:dyDescent="0.25">
      <c r="A206" s="52"/>
      <c r="B206" s="53"/>
      <c r="C206" s="148" t="s">
        <v>48</v>
      </c>
      <c r="D206" s="148"/>
      <c r="E206" s="148"/>
      <c r="F206" s="23"/>
      <c r="G206" s="24"/>
      <c r="H206" s="24"/>
      <c r="I206" s="24"/>
      <c r="J206" s="27"/>
      <c r="K206" s="24"/>
      <c r="L206" s="99">
        <f>L202+L204+L205</f>
        <v>26.677101999999994</v>
      </c>
      <c r="M206" s="106"/>
      <c r="EX206" s="20"/>
      <c r="EY206" s="29"/>
      <c r="EZ206" s="29"/>
      <c r="FA206" s="29"/>
      <c r="FG206" s="29" t="s">
        <v>48</v>
      </c>
    </row>
    <row r="207" spans="1:163" customFormat="1" ht="45.75" x14ac:dyDescent="0.25">
      <c r="A207" s="21" t="s">
        <v>153</v>
      </c>
      <c r="B207" s="22" t="s">
        <v>154</v>
      </c>
      <c r="C207" s="148" t="s">
        <v>155</v>
      </c>
      <c r="D207" s="148"/>
      <c r="E207" s="148"/>
      <c r="F207" s="23" t="s">
        <v>147</v>
      </c>
      <c r="G207" s="24">
        <v>0.04</v>
      </c>
      <c r="H207" s="25">
        <v>1</v>
      </c>
      <c r="I207" s="57">
        <v>0.04</v>
      </c>
      <c r="J207" s="27"/>
      <c r="K207" s="24"/>
      <c r="L207" s="28"/>
      <c r="M207" s="106"/>
      <c r="EX207" s="20"/>
      <c r="EY207" s="29" t="s">
        <v>155</v>
      </c>
      <c r="EZ207" s="29" t="s">
        <v>0</v>
      </c>
      <c r="FA207" s="29" t="s">
        <v>0</v>
      </c>
      <c r="FG207" s="29"/>
    </row>
    <row r="208" spans="1:163" customFormat="1" ht="15" x14ac:dyDescent="0.25">
      <c r="A208" s="30"/>
      <c r="B208" s="31"/>
      <c r="C208" s="146" t="s">
        <v>148</v>
      </c>
      <c r="D208" s="146"/>
      <c r="E208" s="146"/>
      <c r="F208" s="146"/>
      <c r="G208" s="146"/>
      <c r="H208" s="146"/>
      <c r="I208" s="146"/>
      <c r="J208" s="146"/>
      <c r="K208" s="146"/>
      <c r="L208" s="149"/>
      <c r="M208" s="106"/>
      <c r="EX208" s="20"/>
      <c r="EY208" s="29"/>
      <c r="EZ208" s="29"/>
      <c r="FA208" s="29"/>
      <c r="FB208" s="3" t="s">
        <v>148</v>
      </c>
      <c r="FG208" s="29"/>
    </row>
    <row r="209" spans="1:163" customFormat="1" ht="68.25" x14ac:dyDescent="0.25">
      <c r="A209" s="32"/>
      <c r="B209" s="33" t="s">
        <v>27</v>
      </c>
      <c r="C209" s="141" t="s">
        <v>28</v>
      </c>
      <c r="D209" s="141"/>
      <c r="E209" s="141"/>
      <c r="F209" s="141"/>
      <c r="G209" s="141"/>
      <c r="H209" s="141"/>
      <c r="I209" s="141"/>
      <c r="J209" s="141"/>
      <c r="K209" s="141"/>
      <c r="L209" s="150"/>
      <c r="M209" s="106"/>
      <c r="EX209" s="20"/>
      <c r="EY209" s="29"/>
      <c r="EZ209" s="29"/>
      <c r="FA209" s="29"/>
      <c r="FC209" s="3" t="s">
        <v>28</v>
      </c>
      <c r="FG209" s="29"/>
    </row>
    <row r="210" spans="1:163" customFormat="1" ht="15" x14ac:dyDescent="0.25">
      <c r="A210" s="32"/>
      <c r="B210" s="33"/>
      <c r="C210" s="141" t="s">
        <v>156</v>
      </c>
      <c r="D210" s="141"/>
      <c r="E210" s="141"/>
      <c r="F210" s="141"/>
      <c r="G210" s="141"/>
      <c r="H210" s="141"/>
      <c r="I210" s="141"/>
      <c r="J210" s="141"/>
      <c r="K210" s="141"/>
      <c r="L210" s="150"/>
      <c r="M210" s="106"/>
      <c r="N210" s="118" t="s">
        <v>323</v>
      </c>
      <c r="EX210" s="20"/>
      <c r="EY210" s="29"/>
      <c r="EZ210" s="29"/>
      <c r="FA210" s="29"/>
      <c r="FC210" s="3" t="s">
        <v>156</v>
      </c>
      <c r="FG210" s="29"/>
    </row>
    <row r="211" spans="1:163" customFormat="1" ht="15" x14ac:dyDescent="0.25">
      <c r="A211" s="34"/>
      <c r="B211" s="33" t="s">
        <v>22</v>
      </c>
      <c r="C211" s="146" t="s">
        <v>31</v>
      </c>
      <c r="D211" s="146"/>
      <c r="E211" s="146"/>
      <c r="F211" s="35"/>
      <c r="G211" s="36"/>
      <c r="H211" s="36"/>
      <c r="I211" s="36"/>
      <c r="J211" s="39">
        <v>10.07</v>
      </c>
      <c r="K211" s="51">
        <v>23</v>
      </c>
      <c r="L211" s="42">
        <f>G207*J211*K211</f>
        <v>9.264400000000002</v>
      </c>
      <c r="M211" s="106">
        <v>49.45</v>
      </c>
      <c r="N211" s="112">
        <f>J211*M211*K211</f>
        <v>11453.114500000001</v>
      </c>
      <c r="O211" s="113">
        <v>133470.87625</v>
      </c>
      <c r="P211" s="105">
        <f>G215</f>
        <v>103</v>
      </c>
      <c r="Q211" s="105">
        <f>O211/P211*8</f>
        <v>10366.67</v>
      </c>
      <c r="R211" s="105">
        <f>Q211*22</f>
        <v>228066.74</v>
      </c>
      <c r="S211" s="105">
        <f>R211*(1-0.43)</f>
        <v>129998.04180000001</v>
      </c>
      <c r="EX211" s="20"/>
      <c r="EY211" s="29"/>
      <c r="EZ211" s="29"/>
      <c r="FA211" s="29"/>
      <c r="FD211" s="3" t="s">
        <v>31</v>
      </c>
      <c r="FG211" s="29"/>
    </row>
    <row r="212" spans="1:163" customFormat="1" ht="15" x14ac:dyDescent="0.25">
      <c r="A212" s="43"/>
      <c r="B212" s="33"/>
      <c r="C212" s="146" t="s">
        <v>38</v>
      </c>
      <c r="D212" s="146"/>
      <c r="E212" s="146"/>
      <c r="F212" s="35" t="s">
        <v>39</v>
      </c>
      <c r="G212" s="40">
        <v>1.18</v>
      </c>
      <c r="H212" s="51">
        <v>23</v>
      </c>
      <c r="I212" s="38">
        <v>1.0855999999999999</v>
      </c>
      <c r="J212" s="45"/>
      <c r="K212" s="36"/>
      <c r="L212" s="46"/>
      <c r="M212" s="106"/>
      <c r="N212" s="112"/>
      <c r="O212" s="113"/>
      <c r="P212" s="105"/>
      <c r="Q212" s="105"/>
      <c r="EX212" s="20"/>
      <c r="EY212" s="29"/>
      <c r="EZ212" s="29"/>
      <c r="FA212" s="29"/>
      <c r="FE212" s="3" t="s">
        <v>38</v>
      </c>
      <c r="FG212" s="29"/>
    </row>
    <row r="213" spans="1:163" customFormat="1" ht="15" x14ac:dyDescent="0.25">
      <c r="A213" s="30"/>
      <c r="B213" s="33"/>
      <c r="C213" s="151" t="s">
        <v>41</v>
      </c>
      <c r="D213" s="151"/>
      <c r="E213" s="151"/>
      <c r="F213" s="47"/>
      <c r="G213" s="48"/>
      <c r="H213" s="48"/>
      <c r="I213" s="48"/>
      <c r="J213" s="62">
        <v>10.07</v>
      </c>
      <c r="K213" s="48"/>
      <c r="L213" s="66">
        <f>L211</f>
        <v>9.264400000000002</v>
      </c>
      <c r="M213" s="106"/>
      <c r="EX213" s="20"/>
      <c r="EY213" s="29"/>
      <c r="EZ213" s="29"/>
      <c r="FA213" s="29"/>
      <c r="FF213" s="3" t="s">
        <v>41</v>
      </c>
      <c r="FG213" s="29"/>
    </row>
    <row r="214" spans="1:163" customFormat="1" ht="15" x14ac:dyDescent="0.25">
      <c r="A214" s="43"/>
      <c r="B214" s="33"/>
      <c r="C214" s="146" t="s">
        <v>42</v>
      </c>
      <c r="D214" s="146"/>
      <c r="E214" s="146"/>
      <c r="F214" s="35"/>
      <c r="G214" s="36"/>
      <c r="H214" s="36"/>
      <c r="I214" s="36"/>
      <c r="J214" s="45"/>
      <c r="K214" s="36"/>
      <c r="L214" s="42">
        <f>L211</f>
        <v>9.264400000000002</v>
      </c>
      <c r="M214" s="106"/>
      <c r="EX214" s="20"/>
      <c r="EY214" s="29"/>
      <c r="EZ214" s="29"/>
      <c r="FA214" s="29"/>
      <c r="FE214" s="3" t="s">
        <v>42</v>
      </c>
      <c r="FG214" s="29"/>
    </row>
    <row r="215" spans="1:163" customFormat="1" ht="45.75" x14ac:dyDescent="0.25">
      <c r="A215" s="43"/>
      <c r="B215" s="33" t="s">
        <v>149</v>
      </c>
      <c r="C215" s="146" t="s">
        <v>150</v>
      </c>
      <c r="D215" s="146"/>
      <c r="E215" s="146"/>
      <c r="F215" s="35" t="s">
        <v>45</v>
      </c>
      <c r="G215" s="51">
        <v>103</v>
      </c>
      <c r="H215" s="36"/>
      <c r="I215" s="51">
        <v>103</v>
      </c>
      <c r="J215" s="45"/>
      <c r="K215" s="36"/>
      <c r="L215" s="42">
        <f>L214*I215%</f>
        <v>9.5423320000000018</v>
      </c>
      <c r="M215" s="106"/>
      <c r="EX215" s="20"/>
      <c r="EY215" s="29"/>
      <c r="EZ215" s="29"/>
      <c r="FA215" s="29"/>
      <c r="FE215" s="3" t="s">
        <v>150</v>
      </c>
      <c r="FG215" s="29"/>
    </row>
    <row r="216" spans="1:163" customFormat="1" ht="45.75" x14ac:dyDescent="0.25">
      <c r="A216" s="43"/>
      <c r="B216" s="33" t="s">
        <v>151</v>
      </c>
      <c r="C216" s="146" t="s">
        <v>152</v>
      </c>
      <c r="D216" s="146"/>
      <c r="E216" s="146"/>
      <c r="F216" s="35" t="s">
        <v>45</v>
      </c>
      <c r="G216" s="51">
        <v>59</v>
      </c>
      <c r="H216" s="36"/>
      <c r="I216" s="51">
        <v>59</v>
      </c>
      <c r="J216" s="45"/>
      <c r="K216" s="36"/>
      <c r="L216" s="42">
        <f>L214*I216%</f>
        <v>5.4659960000000005</v>
      </c>
      <c r="M216" s="106"/>
      <c r="EX216" s="20"/>
      <c r="EY216" s="29"/>
      <c r="EZ216" s="29"/>
      <c r="FA216" s="29"/>
      <c r="FE216" s="3" t="s">
        <v>152</v>
      </c>
      <c r="FG216" s="29"/>
    </row>
    <row r="217" spans="1:163" customFormat="1" ht="15" x14ac:dyDescent="0.25">
      <c r="A217" s="52"/>
      <c r="B217" s="53"/>
      <c r="C217" s="148" t="s">
        <v>48</v>
      </c>
      <c r="D217" s="148"/>
      <c r="E217" s="148"/>
      <c r="F217" s="23"/>
      <c r="G217" s="24"/>
      <c r="H217" s="24"/>
      <c r="I217" s="24"/>
      <c r="J217" s="27"/>
      <c r="K217" s="24"/>
      <c r="L217" s="99">
        <f>L213+L215+L216</f>
        <v>24.272728000000004</v>
      </c>
      <c r="M217" s="106"/>
      <c r="EX217" s="20"/>
      <c r="EY217" s="29"/>
      <c r="EZ217" s="29"/>
      <c r="FA217" s="29"/>
      <c r="FG217" s="29" t="s">
        <v>48</v>
      </c>
    </row>
    <row r="218" spans="1:163" customFormat="1" ht="23.25" x14ac:dyDescent="0.25">
      <c r="A218" s="21" t="s">
        <v>157</v>
      </c>
      <c r="B218" s="22" t="s">
        <v>158</v>
      </c>
      <c r="C218" s="148" t="s">
        <v>159</v>
      </c>
      <c r="D218" s="148"/>
      <c r="E218" s="148"/>
      <c r="F218" s="23" t="s">
        <v>51</v>
      </c>
      <c r="G218" s="24">
        <v>2</v>
      </c>
      <c r="H218" s="25">
        <v>1</v>
      </c>
      <c r="I218" s="25">
        <v>2</v>
      </c>
      <c r="J218" s="54">
        <v>24011</v>
      </c>
      <c r="K218" s="24"/>
      <c r="L218" s="55">
        <f>G218*J218</f>
        <v>48022</v>
      </c>
      <c r="M218" s="106"/>
      <c r="EX218" s="20"/>
      <c r="EY218" s="29" t="s">
        <v>159</v>
      </c>
      <c r="EZ218" s="29" t="s">
        <v>0</v>
      </c>
      <c r="FA218" s="29" t="s">
        <v>0</v>
      </c>
      <c r="FG218" s="29"/>
    </row>
    <row r="219" spans="1:163" customFormat="1" ht="15" x14ac:dyDescent="0.25">
      <c r="A219" s="30"/>
      <c r="B219" s="31"/>
      <c r="C219" s="146" t="s">
        <v>160</v>
      </c>
      <c r="D219" s="146"/>
      <c r="E219" s="146"/>
      <c r="F219" s="146"/>
      <c r="G219" s="146"/>
      <c r="H219" s="146"/>
      <c r="I219" s="146"/>
      <c r="J219" s="146"/>
      <c r="K219" s="146"/>
      <c r="L219" s="149"/>
      <c r="M219" s="106"/>
      <c r="EX219" s="20"/>
      <c r="EY219" s="29"/>
      <c r="EZ219" s="29"/>
      <c r="FA219" s="29"/>
      <c r="FB219" s="3" t="s">
        <v>160</v>
      </c>
      <c r="FG219" s="29"/>
    </row>
    <row r="220" spans="1:163" customFormat="1" ht="15" x14ac:dyDescent="0.25">
      <c r="A220" s="52"/>
      <c r="B220" s="53"/>
      <c r="C220" s="148" t="s">
        <v>48</v>
      </c>
      <c r="D220" s="148"/>
      <c r="E220" s="148"/>
      <c r="F220" s="23"/>
      <c r="G220" s="24"/>
      <c r="H220" s="24"/>
      <c r="I220" s="24"/>
      <c r="J220" s="27"/>
      <c r="K220" s="24"/>
      <c r="L220" s="96">
        <f>L218</f>
        <v>48022</v>
      </c>
      <c r="M220" s="106"/>
      <c r="EX220" s="20"/>
      <c r="EY220" s="29"/>
      <c r="EZ220" s="29"/>
      <c r="FA220" s="29"/>
      <c r="FG220" s="29" t="s">
        <v>48</v>
      </c>
    </row>
    <row r="221" spans="1:163" customFormat="1" ht="68.25" x14ac:dyDescent="0.25">
      <c r="A221" s="21" t="s">
        <v>161</v>
      </c>
      <c r="B221" s="138" t="s">
        <v>162</v>
      </c>
      <c r="C221" s="148" t="s">
        <v>163</v>
      </c>
      <c r="D221" s="148"/>
      <c r="E221" s="148"/>
      <c r="F221" s="23" t="s">
        <v>70</v>
      </c>
      <c r="G221" s="24">
        <v>1.6E-2</v>
      </c>
      <c r="H221" s="25">
        <v>1</v>
      </c>
      <c r="I221" s="58">
        <v>1.6E-2</v>
      </c>
      <c r="J221" s="27"/>
      <c r="K221" s="24"/>
      <c r="L221" s="28"/>
      <c r="M221" s="106"/>
      <c r="EX221" s="20"/>
      <c r="EY221" s="29" t="s">
        <v>163</v>
      </c>
      <c r="EZ221" s="29" t="s">
        <v>0</v>
      </c>
      <c r="FA221" s="29" t="s">
        <v>0</v>
      </c>
      <c r="FG221" s="29"/>
    </row>
    <row r="222" spans="1:163" customFormat="1" ht="15" x14ac:dyDescent="0.25">
      <c r="A222" s="30"/>
      <c r="B222" s="31"/>
      <c r="C222" s="146" t="s">
        <v>164</v>
      </c>
      <c r="D222" s="146"/>
      <c r="E222" s="146"/>
      <c r="F222" s="146"/>
      <c r="G222" s="146"/>
      <c r="H222" s="146"/>
      <c r="I222" s="146"/>
      <c r="J222" s="146"/>
      <c r="K222" s="146"/>
      <c r="L222" s="149"/>
      <c r="M222" s="106"/>
      <c r="EX222" s="20"/>
      <c r="EY222" s="29"/>
      <c r="EZ222" s="29"/>
      <c r="FA222" s="29"/>
      <c r="FB222" s="3" t="s">
        <v>164</v>
      </c>
      <c r="FG222" s="29"/>
    </row>
    <row r="223" spans="1:163" customFormat="1" ht="68.25" x14ac:dyDescent="0.25">
      <c r="A223" s="32"/>
      <c r="B223" s="33" t="s">
        <v>27</v>
      </c>
      <c r="C223" s="141" t="s">
        <v>28</v>
      </c>
      <c r="D223" s="141"/>
      <c r="E223" s="141"/>
      <c r="F223" s="141"/>
      <c r="G223" s="141"/>
      <c r="H223" s="141"/>
      <c r="I223" s="141"/>
      <c r="J223" s="141"/>
      <c r="K223" s="141"/>
      <c r="L223" s="150"/>
      <c r="M223" s="106"/>
      <c r="EX223" s="20"/>
      <c r="EY223" s="29"/>
      <c r="EZ223" s="29"/>
      <c r="FA223" s="29"/>
      <c r="FC223" s="3" t="s">
        <v>28</v>
      </c>
      <c r="FG223" s="29"/>
    </row>
    <row r="224" spans="1:163" customFormat="1" ht="23.25" x14ac:dyDescent="0.25">
      <c r="A224" s="32"/>
      <c r="B224" s="33" t="s">
        <v>29</v>
      </c>
      <c r="C224" s="141" t="s">
        <v>30</v>
      </c>
      <c r="D224" s="141"/>
      <c r="E224" s="141"/>
      <c r="F224" s="141"/>
      <c r="G224" s="141"/>
      <c r="H224" s="141"/>
      <c r="I224" s="141"/>
      <c r="J224" s="141"/>
      <c r="K224" s="141"/>
      <c r="L224" s="150"/>
      <c r="M224" s="106"/>
      <c r="N224" s="118" t="s">
        <v>318</v>
      </c>
      <c r="EX224" s="20"/>
      <c r="EY224" s="29"/>
      <c r="EZ224" s="29"/>
      <c r="FA224" s="29"/>
      <c r="FC224" s="3" t="s">
        <v>30</v>
      </c>
      <c r="FG224" s="29"/>
    </row>
    <row r="225" spans="1:163" customFormat="1" ht="15" x14ac:dyDescent="0.25">
      <c r="A225" s="34"/>
      <c r="B225" s="33" t="s">
        <v>22</v>
      </c>
      <c r="C225" s="146" t="s">
        <v>31</v>
      </c>
      <c r="D225" s="146"/>
      <c r="E225" s="146"/>
      <c r="F225" s="35"/>
      <c r="G225" s="36"/>
      <c r="H225" s="36"/>
      <c r="I225" s="36"/>
      <c r="J225" s="39">
        <v>555.52</v>
      </c>
      <c r="K225" s="38">
        <v>1.3225</v>
      </c>
      <c r="L225" s="42">
        <f>G221*J225*K225</f>
        <v>11.7548032</v>
      </c>
      <c r="M225" s="106">
        <v>49.45</v>
      </c>
      <c r="N225" s="112">
        <f>J225*M225*K225</f>
        <v>36329.68864</v>
      </c>
      <c r="O225" s="113">
        <v>72566.69</v>
      </c>
      <c r="P225" s="105">
        <f>G229</f>
        <v>56</v>
      </c>
      <c r="Q225" s="105">
        <f>O225/P225*8</f>
        <v>10366.67</v>
      </c>
      <c r="R225" s="105">
        <f>Q225*22</f>
        <v>228066.74</v>
      </c>
      <c r="S225" s="105">
        <f>R225*(1-0.43)</f>
        <v>129998.04180000001</v>
      </c>
      <c r="EX225" s="20"/>
      <c r="EY225" s="29"/>
      <c r="EZ225" s="29"/>
      <c r="FA225" s="29"/>
      <c r="FD225" s="3" t="s">
        <v>31</v>
      </c>
      <c r="FG225" s="29"/>
    </row>
    <row r="226" spans="1:163" customFormat="1" ht="15" x14ac:dyDescent="0.25">
      <c r="A226" s="34"/>
      <c r="B226" s="33" t="s">
        <v>32</v>
      </c>
      <c r="C226" s="146" t="s">
        <v>33</v>
      </c>
      <c r="D226" s="146"/>
      <c r="E226" s="146"/>
      <c r="F226" s="35"/>
      <c r="G226" s="36"/>
      <c r="H226" s="36"/>
      <c r="I226" s="36"/>
      <c r="J226" s="39">
        <v>6.21</v>
      </c>
      <c r="K226" s="38">
        <v>1.4375</v>
      </c>
      <c r="L226" s="42">
        <f>G221*J226*K226</f>
        <v>0.14283000000000001</v>
      </c>
      <c r="M226" s="106">
        <v>14.53</v>
      </c>
      <c r="N226" s="112">
        <f>J226*M226*K226</f>
        <v>129.70749375</v>
      </c>
      <c r="O226" s="113">
        <v>201.25000000000009</v>
      </c>
      <c r="P226" s="105">
        <f>G230</f>
        <v>7.0000000000000007E-2</v>
      </c>
      <c r="Q226" s="105">
        <f>O226/P226*8</f>
        <v>23000.000000000007</v>
      </c>
      <c r="EX226" s="20"/>
      <c r="EY226" s="29"/>
      <c r="EZ226" s="29"/>
      <c r="FA226" s="29"/>
      <c r="FD226" s="3" t="s">
        <v>33</v>
      </c>
      <c r="FG226" s="29"/>
    </row>
    <row r="227" spans="1:163" customFormat="1" ht="15" x14ac:dyDescent="0.25">
      <c r="A227" s="34"/>
      <c r="B227" s="33" t="s">
        <v>34</v>
      </c>
      <c r="C227" s="146" t="s">
        <v>35</v>
      </c>
      <c r="D227" s="146"/>
      <c r="E227" s="146"/>
      <c r="F227" s="35"/>
      <c r="G227" s="36"/>
      <c r="H227" s="36"/>
      <c r="I227" s="36"/>
      <c r="J227" s="39">
        <v>0.91</v>
      </c>
      <c r="K227" s="38">
        <v>1.4375</v>
      </c>
      <c r="L227" s="42">
        <f>G221*J227*K227</f>
        <v>2.0930000000000001E-2</v>
      </c>
      <c r="M227" s="106"/>
      <c r="EX227" s="20"/>
      <c r="EY227" s="29"/>
      <c r="EZ227" s="29"/>
      <c r="FA227" s="29"/>
      <c r="FD227" s="3" t="s">
        <v>35</v>
      </c>
      <c r="FG227" s="29"/>
    </row>
    <row r="228" spans="1:163" customFormat="1" ht="15" x14ac:dyDescent="0.25">
      <c r="A228" s="34"/>
      <c r="B228" s="33" t="s">
        <v>36</v>
      </c>
      <c r="C228" s="146" t="s">
        <v>37</v>
      </c>
      <c r="D228" s="146"/>
      <c r="E228" s="146"/>
      <c r="F228" s="35"/>
      <c r="G228" s="36"/>
      <c r="H228" s="36"/>
      <c r="I228" s="36"/>
      <c r="J228" s="39">
        <v>140.91999999999999</v>
      </c>
      <c r="K228" s="36"/>
      <c r="L228" s="42">
        <f>G221*J228</f>
        <v>2.2547199999999998</v>
      </c>
      <c r="M228" s="106"/>
      <c r="EX228" s="20"/>
      <c r="EY228" s="29"/>
      <c r="EZ228" s="29"/>
      <c r="FA228" s="29"/>
      <c r="FD228" s="3" t="s">
        <v>37</v>
      </c>
      <c r="FG228" s="29"/>
    </row>
    <row r="229" spans="1:163" customFormat="1" ht="15" x14ac:dyDescent="0.25">
      <c r="A229" s="43"/>
      <c r="B229" s="33"/>
      <c r="C229" s="146" t="s">
        <v>38</v>
      </c>
      <c r="D229" s="146"/>
      <c r="E229" s="146"/>
      <c r="F229" s="35" t="s">
        <v>39</v>
      </c>
      <c r="G229" s="51">
        <v>56</v>
      </c>
      <c r="H229" s="38">
        <v>1.3225</v>
      </c>
      <c r="I229" s="64">
        <v>1.18496</v>
      </c>
      <c r="J229" s="45"/>
      <c r="K229" s="36"/>
      <c r="L229" s="46"/>
      <c r="M229" s="106"/>
      <c r="EX229" s="20"/>
      <c r="EY229" s="29"/>
      <c r="EZ229" s="29"/>
      <c r="FA229" s="29"/>
      <c r="FE229" s="3" t="s">
        <v>38</v>
      </c>
      <c r="FG229" s="29"/>
    </row>
    <row r="230" spans="1:163" customFormat="1" ht="15" x14ac:dyDescent="0.25">
      <c r="A230" s="43"/>
      <c r="B230" s="33"/>
      <c r="C230" s="146" t="s">
        <v>40</v>
      </c>
      <c r="D230" s="146"/>
      <c r="E230" s="146"/>
      <c r="F230" s="35" t="s">
        <v>39</v>
      </c>
      <c r="G230" s="40">
        <v>7.0000000000000007E-2</v>
      </c>
      <c r="H230" s="38">
        <v>1.4375</v>
      </c>
      <c r="I230" s="64">
        <v>1.6100000000000001E-3</v>
      </c>
      <c r="J230" s="45"/>
      <c r="K230" s="36"/>
      <c r="L230" s="46"/>
      <c r="M230" s="106"/>
      <c r="EX230" s="20"/>
      <c r="EY230" s="29"/>
      <c r="EZ230" s="29"/>
      <c r="FA230" s="29"/>
      <c r="FE230" s="3" t="s">
        <v>40</v>
      </c>
      <c r="FG230" s="29"/>
    </row>
    <row r="231" spans="1:163" customFormat="1" ht="15" x14ac:dyDescent="0.25">
      <c r="A231" s="30"/>
      <c r="B231" s="33"/>
      <c r="C231" s="151" t="s">
        <v>41</v>
      </c>
      <c r="D231" s="151"/>
      <c r="E231" s="151"/>
      <c r="F231" s="47"/>
      <c r="G231" s="48"/>
      <c r="H231" s="48"/>
      <c r="I231" s="48"/>
      <c r="J231" s="62">
        <v>702.65</v>
      </c>
      <c r="K231" s="48"/>
      <c r="L231" s="66">
        <f>L225+L226+L228</f>
        <v>14.1523532</v>
      </c>
      <c r="M231" s="106"/>
      <c r="EX231" s="20"/>
      <c r="EY231" s="29"/>
      <c r="EZ231" s="29"/>
      <c r="FA231" s="29"/>
      <c r="FF231" s="3" t="s">
        <v>41</v>
      </c>
      <c r="FG231" s="29"/>
    </row>
    <row r="232" spans="1:163" customFormat="1" ht="15" x14ac:dyDescent="0.25">
      <c r="A232" s="43"/>
      <c r="B232" s="33"/>
      <c r="C232" s="146" t="s">
        <v>42</v>
      </c>
      <c r="D232" s="146"/>
      <c r="E232" s="146"/>
      <c r="F232" s="35"/>
      <c r="G232" s="36"/>
      <c r="H232" s="36"/>
      <c r="I232" s="36"/>
      <c r="J232" s="45"/>
      <c r="K232" s="36"/>
      <c r="L232" s="42">
        <f>L225+L227</f>
        <v>11.775733199999999</v>
      </c>
      <c r="M232" s="106"/>
      <c r="EX232" s="20"/>
      <c r="EY232" s="29"/>
      <c r="EZ232" s="29"/>
      <c r="FA232" s="29"/>
      <c r="FE232" s="3" t="s">
        <v>42</v>
      </c>
      <c r="FG232" s="29"/>
    </row>
    <row r="233" spans="1:163" customFormat="1" ht="45.75" x14ac:dyDescent="0.25">
      <c r="A233" s="43"/>
      <c r="B233" s="33" t="s">
        <v>165</v>
      </c>
      <c r="C233" s="146" t="s">
        <v>166</v>
      </c>
      <c r="D233" s="146"/>
      <c r="E233" s="146"/>
      <c r="F233" s="35" t="s">
        <v>45</v>
      </c>
      <c r="G233" s="51">
        <v>121</v>
      </c>
      <c r="H233" s="36"/>
      <c r="I233" s="51">
        <v>121</v>
      </c>
      <c r="J233" s="45"/>
      <c r="K233" s="36"/>
      <c r="L233" s="42">
        <f>L232*I233%</f>
        <v>14.248637171999999</v>
      </c>
      <c r="M233" s="106"/>
      <c r="EX233" s="20"/>
      <c r="EY233" s="29"/>
      <c r="EZ233" s="29"/>
      <c r="FA233" s="29"/>
      <c r="FE233" s="3" t="s">
        <v>166</v>
      </c>
      <c r="FG233" s="29"/>
    </row>
    <row r="234" spans="1:163" customFormat="1" ht="45.75" x14ac:dyDescent="0.25">
      <c r="A234" s="43"/>
      <c r="B234" s="33" t="s">
        <v>167</v>
      </c>
      <c r="C234" s="146" t="s">
        <v>168</v>
      </c>
      <c r="D234" s="146"/>
      <c r="E234" s="146"/>
      <c r="F234" s="35" t="s">
        <v>45</v>
      </c>
      <c r="G234" s="51">
        <v>72</v>
      </c>
      <c r="H234" s="40">
        <v>0.85</v>
      </c>
      <c r="I234" s="61">
        <v>61.2</v>
      </c>
      <c r="J234" s="45"/>
      <c r="K234" s="36"/>
      <c r="L234" s="42">
        <f>L232*I234%</f>
        <v>7.2067487183999992</v>
      </c>
      <c r="M234" s="106"/>
      <c r="EX234" s="20"/>
      <c r="EY234" s="29"/>
      <c r="EZ234" s="29"/>
      <c r="FA234" s="29"/>
      <c r="FE234" s="3" t="s">
        <v>168</v>
      </c>
      <c r="FG234" s="29"/>
    </row>
    <row r="235" spans="1:163" customFormat="1" ht="15" x14ac:dyDescent="0.25">
      <c r="A235" s="52"/>
      <c r="B235" s="53"/>
      <c r="C235" s="148" t="s">
        <v>48</v>
      </c>
      <c r="D235" s="148"/>
      <c r="E235" s="148"/>
      <c r="F235" s="23"/>
      <c r="G235" s="24"/>
      <c r="H235" s="24"/>
      <c r="I235" s="24"/>
      <c r="J235" s="27"/>
      <c r="K235" s="24"/>
      <c r="L235" s="99">
        <f>L231+L233+L234</f>
        <v>35.607739090399996</v>
      </c>
      <c r="M235" s="106"/>
      <c r="EX235" s="20"/>
      <c r="EY235" s="29"/>
      <c r="EZ235" s="29"/>
      <c r="FA235" s="29"/>
      <c r="FG235" s="29" t="s">
        <v>48</v>
      </c>
    </row>
    <row r="236" spans="1:163" customFormat="1" ht="23.25" x14ac:dyDescent="0.25">
      <c r="A236" s="21" t="s">
        <v>169</v>
      </c>
      <c r="B236" s="22" t="s">
        <v>170</v>
      </c>
      <c r="C236" s="148" t="s">
        <v>171</v>
      </c>
      <c r="D236" s="148"/>
      <c r="E236" s="148"/>
      <c r="F236" s="23" t="s">
        <v>172</v>
      </c>
      <c r="G236" s="24">
        <v>1.6</v>
      </c>
      <c r="H236" s="25">
        <v>1</v>
      </c>
      <c r="I236" s="65">
        <v>1.6</v>
      </c>
      <c r="J236" s="56">
        <v>1664.4</v>
      </c>
      <c r="K236" s="24"/>
      <c r="L236" s="59">
        <f>G236*J236</f>
        <v>2663.0400000000004</v>
      </c>
      <c r="M236" s="106"/>
      <c r="EX236" s="20"/>
      <c r="EY236" s="29" t="s">
        <v>171</v>
      </c>
      <c r="EZ236" s="29" t="s">
        <v>0</v>
      </c>
      <c r="FA236" s="29" t="s">
        <v>0</v>
      </c>
      <c r="FG236" s="29"/>
    </row>
    <row r="237" spans="1:163" customFormat="1" ht="15" x14ac:dyDescent="0.25">
      <c r="A237" s="52"/>
      <c r="B237" s="53"/>
      <c r="C237" s="148" t="s">
        <v>48</v>
      </c>
      <c r="D237" s="148"/>
      <c r="E237" s="148"/>
      <c r="F237" s="23"/>
      <c r="G237" s="24"/>
      <c r="H237" s="24"/>
      <c r="I237" s="24"/>
      <c r="J237" s="27"/>
      <c r="K237" s="24"/>
      <c r="L237" s="99">
        <f>L236</f>
        <v>2663.0400000000004</v>
      </c>
      <c r="M237" s="106"/>
      <c r="EX237" s="20"/>
      <c r="EY237" s="29"/>
      <c r="EZ237" s="29"/>
      <c r="FA237" s="29"/>
      <c r="FG237" s="29" t="s">
        <v>48</v>
      </c>
    </row>
    <row r="238" spans="1:163" customFormat="1" ht="34.5" x14ac:dyDescent="0.25">
      <c r="A238" s="21" t="s">
        <v>173</v>
      </c>
      <c r="B238" s="138" t="s">
        <v>23</v>
      </c>
      <c r="C238" s="148" t="s">
        <v>24</v>
      </c>
      <c r="D238" s="148"/>
      <c r="E238" s="148"/>
      <c r="F238" s="23" t="s">
        <v>25</v>
      </c>
      <c r="G238" s="24">
        <v>0.03</v>
      </c>
      <c r="H238" s="25">
        <v>1</v>
      </c>
      <c r="I238" s="57">
        <v>0.03</v>
      </c>
      <c r="J238" s="27"/>
      <c r="K238" s="24"/>
      <c r="L238" s="28"/>
      <c r="M238" s="106"/>
      <c r="EX238" s="20"/>
      <c r="EY238" s="29" t="s">
        <v>24</v>
      </c>
      <c r="EZ238" s="29" t="s">
        <v>0</v>
      </c>
      <c r="FA238" s="29" t="s">
        <v>0</v>
      </c>
      <c r="FG238" s="29"/>
    </row>
    <row r="239" spans="1:163" customFormat="1" ht="15" x14ac:dyDescent="0.25">
      <c r="A239" s="30"/>
      <c r="B239" s="31"/>
      <c r="C239" s="146" t="s">
        <v>174</v>
      </c>
      <c r="D239" s="146"/>
      <c r="E239" s="146"/>
      <c r="F239" s="146"/>
      <c r="G239" s="146"/>
      <c r="H239" s="146"/>
      <c r="I239" s="146"/>
      <c r="J239" s="146"/>
      <c r="K239" s="146"/>
      <c r="L239" s="149"/>
      <c r="M239" s="106"/>
      <c r="EX239" s="20"/>
      <c r="EY239" s="29"/>
      <c r="EZ239" s="29"/>
      <c r="FA239" s="29"/>
      <c r="FB239" s="3" t="s">
        <v>174</v>
      </c>
      <c r="FG239" s="29"/>
    </row>
    <row r="240" spans="1:163" customFormat="1" ht="68.25" x14ac:dyDescent="0.25">
      <c r="A240" s="32"/>
      <c r="B240" s="33" t="s">
        <v>27</v>
      </c>
      <c r="C240" s="141" t="s">
        <v>28</v>
      </c>
      <c r="D240" s="141"/>
      <c r="E240" s="141"/>
      <c r="F240" s="141"/>
      <c r="G240" s="141"/>
      <c r="H240" s="141"/>
      <c r="I240" s="141"/>
      <c r="J240" s="141"/>
      <c r="K240" s="141"/>
      <c r="L240" s="150"/>
      <c r="M240" s="106"/>
      <c r="EX240" s="20"/>
      <c r="EY240" s="29"/>
      <c r="EZ240" s="29"/>
      <c r="FA240" s="29"/>
      <c r="FC240" s="3" t="s">
        <v>28</v>
      </c>
      <c r="FG240" s="29"/>
    </row>
    <row r="241" spans="1:163" customFormat="1" ht="23.25" x14ac:dyDescent="0.25">
      <c r="A241" s="32"/>
      <c r="B241" s="33" t="s">
        <v>29</v>
      </c>
      <c r="C241" s="141" t="s">
        <v>30</v>
      </c>
      <c r="D241" s="141"/>
      <c r="E241" s="141"/>
      <c r="F241" s="141"/>
      <c r="G241" s="141"/>
      <c r="H241" s="141"/>
      <c r="I241" s="141"/>
      <c r="J241" s="141"/>
      <c r="K241" s="141"/>
      <c r="L241" s="150"/>
      <c r="M241" s="106"/>
      <c r="N241" s="118" t="s">
        <v>317</v>
      </c>
      <c r="EX241" s="20"/>
      <c r="EY241" s="29"/>
      <c r="EZ241" s="29"/>
      <c r="FA241" s="29"/>
      <c r="FC241" s="3" t="s">
        <v>30</v>
      </c>
      <c r="FG241" s="29"/>
    </row>
    <row r="242" spans="1:163" customFormat="1" ht="15" x14ac:dyDescent="0.25">
      <c r="A242" s="34"/>
      <c r="B242" s="33" t="s">
        <v>22</v>
      </c>
      <c r="C242" s="146" t="s">
        <v>31</v>
      </c>
      <c r="D242" s="146"/>
      <c r="E242" s="146"/>
      <c r="F242" s="35"/>
      <c r="G242" s="36"/>
      <c r="H242" s="36"/>
      <c r="I242" s="36"/>
      <c r="J242" s="37">
        <v>2089.16</v>
      </c>
      <c r="K242" s="38">
        <v>1.3225</v>
      </c>
      <c r="L242" s="42">
        <f>G238*J242*K242</f>
        <v>82.887422999999984</v>
      </c>
      <c r="M242" s="106">
        <v>49.45</v>
      </c>
      <c r="N242" s="112">
        <f>J242*M242*K242</f>
        <v>136626.10224499999</v>
      </c>
      <c r="O242" s="113">
        <v>284668.75820000004</v>
      </c>
      <c r="P242" s="105">
        <f>G246</f>
        <v>219.68</v>
      </c>
      <c r="Q242" s="105">
        <f>O242/P242*8</f>
        <v>10366.670000000002</v>
      </c>
      <c r="R242" s="105">
        <f>Q242*22</f>
        <v>228066.74000000005</v>
      </c>
      <c r="S242" s="105">
        <f>R242*(1-0.43)</f>
        <v>129998.04180000004</v>
      </c>
      <c r="EX242" s="20"/>
      <c r="EY242" s="29"/>
      <c r="EZ242" s="29"/>
      <c r="FA242" s="29"/>
      <c r="FD242" s="3" t="s">
        <v>31</v>
      </c>
      <c r="FG242" s="29"/>
    </row>
    <row r="243" spans="1:163" customFormat="1" ht="15" x14ac:dyDescent="0.25">
      <c r="A243" s="34"/>
      <c r="B243" s="33" t="s">
        <v>32</v>
      </c>
      <c r="C243" s="146" t="s">
        <v>33</v>
      </c>
      <c r="D243" s="146"/>
      <c r="E243" s="146"/>
      <c r="F243" s="35"/>
      <c r="G243" s="36"/>
      <c r="H243" s="36"/>
      <c r="I243" s="36"/>
      <c r="J243" s="39">
        <v>236.87</v>
      </c>
      <c r="K243" s="38">
        <v>1.4375</v>
      </c>
      <c r="L243" s="42">
        <f>G238*J243*K243</f>
        <v>10.215018749999999</v>
      </c>
      <c r="M243" s="106">
        <v>14.53</v>
      </c>
      <c r="N243" s="112">
        <f>J243*M243*K243</f>
        <v>4947.4740812499995</v>
      </c>
      <c r="O243" s="113">
        <v>2041.25</v>
      </c>
      <c r="P243" s="105">
        <f>G247</f>
        <v>0.71</v>
      </c>
      <c r="Q243" s="105">
        <f>O243/P243*8</f>
        <v>23000</v>
      </c>
      <c r="EX243" s="20"/>
      <c r="EY243" s="29"/>
      <c r="EZ243" s="29"/>
      <c r="FA243" s="29"/>
      <c r="FD243" s="3" t="s">
        <v>33</v>
      </c>
      <c r="FG243" s="29"/>
    </row>
    <row r="244" spans="1:163" customFormat="1" ht="15" x14ac:dyDescent="0.25">
      <c r="A244" s="34"/>
      <c r="B244" s="33" t="s">
        <v>34</v>
      </c>
      <c r="C244" s="146" t="s">
        <v>35</v>
      </c>
      <c r="D244" s="146"/>
      <c r="E244" s="146"/>
      <c r="F244" s="35"/>
      <c r="G244" s="36"/>
      <c r="H244" s="36"/>
      <c r="I244" s="36"/>
      <c r="J244" s="39">
        <v>9</v>
      </c>
      <c r="K244" s="38">
        <v>1.4375</v>
      </c>
      <c r="L244" s="42">
        <f>G238*J244*K244</f>
        <v>0.38812500000000005</v>
      </c>
      <c r="M244" s="106"/>
      <c r="EX244" s="20"/>
      <c r="EY244" s="29"/>
      <c r="EZ244" s="29"/>
      <c r="FA244" s="29"/>
      <c r="FD244" s="3" t="s">
        <v>35</v>
      </c>
      <c r="FG244" s="29"/>
    </row>
    <row r="245" spans="1:163" customFormat="1" ht="15" x14ac:dyDescent="0.25">
      <c r="A245" s="34"/>
      <c r="B245" s="33" t="s">
        <v>36</v>
      </c>
      <c r="C245" s="146" t="s">
        <v>37</v>
      </c>
      <c r="D245" s="146"/>
      <c r="E245" s="146"/>
      <c r="F245" s="35"/>
      <c r="G245" s="36"/>
      <c r="H245" s="36"/>
      <c r="I245" s="36"/>
      <c r="J245" s="37">
        <v>2732.35</v>
      </c>
      <c r="K245" s="36"/>
      <c r="L245" s="42">
        <f>G238*J245</f>
        <v>81.970500000000001</v>
      </c>
      <c r="M245" s="106"/>
      <c r="EX245" s="20"/>
      <c r="EY245" s="29"/>
      <c r="EZ245" s="29"/>
      <c r="FA245" s="29"/>
      <c r="FD245" s="3" t="s">
        <v>37</v>
      </c>
      <c r="FG245" s="29"/>
    </row>
    <row r="246" spans="1:163" customFormat="1" ht="15" x14ac:dyDescent="0.25">
      <c r="A246" s="43"/>
      <c r="B246" s="33"/>
      <c r="C246" s="146" t="s">
        <v>38</v>
      </c>
      <c r="D246" s="146"/>
      <c r="E246" s="146"/>
      <c r="F246" s="35" t="s">
        <v>39</v>
      </c>
      <c r="G246" s="40">
        <v>219.68</v>
      </c>
      <c r="H246" s="38">
        <v>1.3225</v>
      </c>
      <c r="I246" s="60">
        <v>8.7158040000000003</v>
      </c>
      <c r="J246" s="45"/>
      <c r="K246" s="36"/>
      <c r="L246" s="46"/>
      <c r="M246" s="106"/>
      <c r="EX246" s="20"/>
      <c r="EY246" s="29"/>
      <c r="EZ246" s="29"/>
      <c r="FA246" s="29"/>
      <c r="FE246" s="3" t="s">
        <v>38</v>
      </c>
      <c r="FG246" s="29"/>
    </row>
    <row r="247" spans="1:163" customFormat="1" ht="15" x14ac:dyDescent="0.25">
      <c r="A247" s="43"/>
      <c r="B247" s="33"/>
      <c r="C247" s="146" t="s">
        <v>40</v>
      </c>
      <c r="D247" s="146"/>
      <c r="E247" s="146"/>
      <c r="F247" s="35" t="s">
        <v>39</v>
      </c>
      <c r="G247" s="40">
        <v>0.71</v>
      </c>
      <c r="H247" s="38">
        <v>1.4375</v>
      </c>
      <c r="I247" s="44">
        <v>3.0618800000000002E-2</v>
      </c>
      <c r="J247" s="45"/>
      <c r="K247" s="36"/>
      <c r="L247" s="46"/>
      <c r="M247" s="106"/>
      <c r="EX247" s="20"/>
      <c r="EY247" s="29"/>
      <c r="EZ247" s="29"/>
      <c r="FA247" s="29"/>
      <c r="FE247" s="3" t="s">
        <v>40</v>
      </c>
      <c r="FG247" s="29"/>
    </row>
    <row r="248" spans="1:163" customFormat="1" ht="15" x14ac:dyDescent="0.25">
      <c r="A248" s="30"/>
      <c r="B248" s="33"/>
      <c r="C248" s="151" t="s">
        <v>41</v>
      </c>
      <c r="D248" s="151"/>
      <c r="E248" s="151"/>
      <c r="F248" s="47"/>
      <c r="G248" s="48"/>
      <c r="H248" s="48"/>
      <c r="I248" s="48"/>
      <c r="J248" s="49">
        <v>5058.38</v>
      </c>
      <c r="K248" s="48"/>
      <c r="L248" s="66">
        <f>L242+L243+L245</f>
        <v>175.07294174999998</v>
      </c>
      <c r="M248" s="106"/>
      <c r="EX248" s="20"/>
      <c r="EY248" s="29"/>
      <c r="EZ248" s="29"/>
      <c r="FA248" s="29"/>
      <c r="FF248" s="3" t="s">
        <v>41</v>
      </c>
      <c r="FG248" s="29"/>
    </row>
    <row r="249" spans="1:163" customFormat="1" ht="15" x14ac:dyDescent="0.25">
      <c r="A249" s="43"/>
      <c r="B249" s="33"/>
      <c r="C249" s="146" t="s">
        <v>42</v>
      </c>
      <c r="D249" s="146"/>
      <c r="E249" s="146"/>
      <c r="F249" s="35"/>
      <c r="G249" s="36"/>
      <c r="H249" s="36"/>
      <c r="I249" s="36"/>
      <c r="J249" s="45"/>
      <c r="K249" s="36"/>
      <c r="L249" s="42">
        <f>L242+L244</f>
        <v>83.275547999999986</v>
      </c>
      <c r="M249" s="106"/>
      <c r="EX249" s="20"/>
      <c r="EY249" s="29"/>
      <c r="EZ249" s="29"/>
      <c r="FA249" s="29"/>
      <c r="FE249" s="3" t="s">
        <v>42</v>
      </c>
      <c r="FG249" s="29"/>
    </row>
    <row r="250" spans="1:163" customFormat="1" ht="23.25" x14ac:dyDescent="0.25">
      <c r="A250" s="43"/>
      <c r="B250" s="33" t="s">
        <v>43</v>
      </c>
      <c r="C250" s="146" t="s">
        <v>44</v>
      </c>
      <c r="D250" s="146"/>
      <c r="E250" s="146"/>
      <c r="F250" s="35" t="s">
        <v>45</v>
      </c>
      <c r="G250" s="51">
        <v>126</v>
      </c>
      <c r="H250" s="36"/>
      <c r="I250" s="51">
        <v>126</v>
      </c>
      <c r="J250" s="45"/>
      <c r="K250" s="36"/>
      <c r="L250" s="42">
        <f>L249*I250%</f>
        <v>104.92719047999998</v>
      </c>
      <c r="M250" s="106"/>
      <c r="EX250" s="20"/>
      <c r="EY250" s="29"/>
      <c r="EZ250" s="29"/>
      <c r="FA250" s="29"/>
      <c r="FE250" s="3" t="s">
        <v>44</v>
      </c>
      <c r="FG250" s="29"/>
    </row>
    <row r="251" spans="1:163" customFormat="1" ht="23.25" x14ac:dyDescent="0.25">
      <c r="A251" s="43"/>
      <c r="B251" s="33" t="s">
        <v>46</v>
      </c>
      <c r="C251" s="146" t="s">
        <v>47</v>
      </c>
      <c r="D251" s="146"/>
      <c r="E251" s="146"/>
      <c r="F251" s="35" t="s">
        <v>45</v>
      </c>
      <c r="G251" s="51">
        <v>68</v>
      </c>
      <c r="H251" s="36"/>
      <c r="I251" s="51">
        <v>68</v>
      </c>
      <c r="J251" s="45"/>
      <c r="K251" s="36"/>
      <c r="L251" s="42">
        <f>L249*I251%</f>
        <v>56.627372639999997</v>
      </c>
      <c r="M251" s="106"/>
      <c r="EX251" s="20"/>
      <c r="EY251" s="29"/>
      <c r="EZ251" s="29"/>
      <c r="FA251" s="29"/>
      <c r="FE251" s="3" t="s">
        <v>47</v>
      </c>
      <c r="FG251" s="29"/>
    </row>
    <row r="252" spans="1:163" customFormat="1" ht="15" x14ac:dyDescent="0.25">
      <c r="A252" s="52"/>
      <c r="B252" s="53"/>
      <c r="C252" s="148" t="s">
        <v>48</v>
      </c>
      <c r="D252" s="148"/>
      <c r="E252" s="148"/>
      <c r="F252" s="23"/>
      <c r="G252" s="24"/>
      <c r="H252" s="24"/>
      <c r="I252" s="24"/>
      <c r="J252" s="27"/>
      <c r="K252" s="24"/>
      <c r="L252" s="99">
        <f>L248+L250+L251</f>
        <v>336.62750486999994</v>
      </c>
      <c r="M252" s="106"/>
      <c r="EX252" s="20"/>
      <c r="EY252" s="29"/>
      <c r="EZ252" s="29"/>
      <c r="FA252" s="29"/>
      <c r="FG252" s="29" t="s">
        <v>48</v>
      </c>
    </row>
    <row r="253" spans="1:163" customFormat="1" ht="34.5" x14ac:dyDescent="0.25">
      <c r="A253" s="21" t="s">
        <v>175</v>
      </c>
      <c r="B253" s="22" t="s">
        <v>176</v>
      </c>
      <c r="C253" s="148" t="s">
        <v>177</v>
      </c>
      <c r="D253" s="148"/>
      <c r="E253" s="148"/>
      <c r="F253" s="23" t="s">
        <v>172</v>
      </c>
      <c r="G253" s="24">
        <v>53.96</v>
      </c>
      <c r="H253" s="25">
        <v>1</v>
      </c>
      <c r="I253" s="57">
        <v>53.96</v>
      </c>
      <c r="J253" s="56">
        <v>421.07</v>
      </c>
      <c r="K253" s="24"/>
      <c r="L253" s="55">
        <f>G253*J253</f>
        <v>22720.9372</v>
      </c>
      <c r="M253" s="106"/>
      <c r="EX253" s="20"/>
      <c r="EY253" s="29" t="s">
        <v>177</v>
      </c>
      <c r="EZ253" s="29" t="s">
        <v>0</v>
      </c>
      <c r="FA253" s="29" t="s">
        <v>0</v>
      </c>
      <c r="FG253" s="29"/>
    </row>
    <row r="254" spans="1:163" customFormat="1" ht="15" x14ac:dyDescent="0.25">
      <c r="A254" s="30"/>
      <c r="B254" s="31"/>
      <c r="C254" s="146" t="s">
        <v>178</v>
      </c>
      <c r="D254" s="146"/>
      <c r="E254" s="146"/>
      <c r="F254" s="146"/>
      <c r="G254" s="146"/>
      <c r="H254" s="146"/>
      <c r="I254" s="146"/>
      <c r="J254" s="146"/>
      <c r="K254" s="146"/>
      <c r="L254" s="149"/>
      <c r="M254" s="106"/>
      <c r="EX254" s="20"/>
      <c r="EY254" s="29"/>
      <c r="EZ254" s="29"/>
      <c r="FA254" s="29"/>
      <c r="FB254" s="3" t="s">
        <v>178</v>
      </c>
      <c r="FG254" s="29"/>
    </row>
    <row r="255" spans="1:163" customFormat="1" ht="15" x14ac:dyDescent="0.25">
      <c r="A255" s="52"/>
      <c r="B255" s="53"/>
      <c r="C255" s="148" t="s">
        <v>48</v>
      </c>
      <c r="D255" s="148"/>
      <c r="E255" s="148"/>
      <c r="F255" s="23"/>
      <c r="G255" s="24"/>
      <c r="H255" s="24"/>
      <c r="I255" s="24"/>
      <c r="J255" s="27"/>
      <c r="K255" s="24"/>
      <c r="L255" s="96">
        <f>L253</f>
        <v>22720.9372</v>
      </c>
      <c r="M255" s="106"/>
      <c r="EX255" s="20"/>
      <c r="EY255" s="29"/>
      <c r="EZ255" s="29"/>
      <c r="FA255" s="29"/>
      <c r="FG255" s="29" t="s">
        <v>48</v>
      </c>
    </row>
    <row r="256" spans="1:163" customFormat="1" ht="34.5" x14ac:dyDescent="0.25">
      <c r="A256" s="21" t="s">
        <v>179</v>
      </c>
      <c r="B256" s="138" t="s">
        <v>180</v>
      </c>
      <c r="C256" s="148" t="s">
        <v>181</v>
      </c>
      <c r="D256" s="148"/>
      <c r="E256" s="148"/>
      <c r="F256" s="23" t="s">
        <v>182</v>
      </c>
      <c r="G256" s="24">
        <v>0.16</v>
      </c>
      <c r="H256" s="25">
        <v>1</v>
      </c>
      <c r="I256" s="57">
        <v>0.16</v>
      </c>
      <c r="J256" s="27"/>
      <c r="K256" s="24"/>
      <c r="L256" s="28"/>
      <c r="M256" s="106"/>
      <c r="EX256" s="20"/>
      <c r="EY256" s="29" t="s">
        <v>181</v>
      </c>
      <c r="EZ256" s="29" t="s">
        <v>0</v>
      </c>
      <c r="FA256" s="29" t="s">
        <v>0</v>
      </c>
      <c r="FG256" s="29"/>
    </row>
    <row r="257" spans="1:164" customFormat="1" ht="15" x14ac:dyDescent="0.25">
      <c r="A257" s="30"/>
      <c r="B257" s="31"/>
      <c r="C257" s="146" t="s">
        <v>183</v>
      </c>
      <c r="D257" s="146"/>
      <c r="E257" s="146"/>
      <c r="F257" s="146"/>
      <c r="G257" s="146"/>
      <c r="H257" s="146"/>
      <c r="I257" s="146"/>
      <c r="J257" s="146"/>
      <c r="K257" s="146"/>
      <c r="L257" s="149"/>
      <c r="M257" s="106"/>
      <c r="EX257" s="20"/>
      <c r="EY257" s="29"/>
      <c r="EZ257" s="29"/>
      <c r="FA257" s="29"/>
      <c r="FB257" s="3" t="s">
        <v>183</v>
      </c>
      <c r="FG257" s="29"/>
    </row>
    <row r="258" spans="1:164" customFormat="1" ht="68.25" x14ac:dyDescent="0.25">
      <c r="A258" s="32"/>
      <c r="B258" s="33" t="s">
        <v>27</v>
      </c>
      <c r="C258" s="141" t="s">
        <v>28</v>
      </c>
      <c r="D258" s="141"/>
      <c r="E258" s="141"/>
      <c r="F258" s="141"/>
      <c r="G258" s="141"/>
      <c r="H258" s="141"/>
      <c r="I258" s="141"/>
      <c r="J258" s="141"/>
      <c r="K258" s="141"/>
      <c r="L258" s="150"/>
      <c r="M258" s="106"/>
      <c r="EX258" s="20"/>
      <c r="EY258" s="29"/>
      <c r="EZ258" s="29"/>
      <c r="FA258" s="29"/>
      <c r="FC258" s="3" t="s">
        <v>28</v>
      </c>
      <c r="FG258" s="29"/>
    </row>
    <row r="259" spans="1:164" customFormat="1" ht="23.25" x14ac:dyDescent="0.25">
      <c r="A259" s="32"/>
      <c r="B259" s="33" t="s">
        <v>29</v>
      </c>
      <c r="C259" s="141" t="s">
        <v>30</v>
      </c>
      <c r="D259" s="141"/>
      <c r="E259" s="141"/>
      <c r="F259" s="141"/>
      <c r="G259" s="141"/>
      <c r="H259" s="141"/>
      <c r="I259" s="141"/>
      <c r="J259" s="141"/>
      <c r="K259" s="141"/>
      <c r="L259" s="150"/>
      <c r="M259" s="106"/>
      <c r="N259" s="118" t="s">
        <v>324</v>
      </c>
      <c r="EX259" s="20"/>
      <c r="EY259" s="29"/>
      <c r="EZ259" s="29"/>
      <c r="FA259" s="29"/>
      <c r="FC259" s="3" t="s">
        <v>30</v>
      </c>
      <c r="FG259" s="29"/>
    </row>
    <row r="260" spans="1:164" customFormat="1" ht="15" x14ac:dyDescent="0.25">
      <c r="A260" s="34"/>
      <c r="B260" s="33" t="s">
        <v>22</v>
      </c>
      <c r="C260" s="146" t="s">
        <v>31</v>
      </c>
      <c r="D260" s="146"/>
      <c r="E260" s="146"/>
      <c r="F260" s="35"/>
      <c r="G260" s="36"/>
      <c r="H260" s="36"/>
      <c r="I260" s="36"/>
      <c r="J260" s="39">
        <v>213.57</v>
      </c>
      <c r="K260" s="38">
        <v>1.3225</v>
      </c>
      <c r="L260" s="42">
        <f>G256*J260*K260</f>
        <v>45.191412</v>
      </c>
      <c r="M260" s="106">
        <v>49.45</v>
      </c>
      <c r="N260" s="112">
        <f>J260*M260*K260</f>
        <v>13966.97077125</v>
      </c>
      <c r="O260" s="113">
        <v>29441.342799999999</v>
      </c>
      <c r="P260" s="105">
        <f>G264</f>
        <v>22.72</v>
      </c>
      <c r="Q260" s="105">
        <f>O260/P260*8</f>
        <v>10366.67</v>
      </c>
      <c r="R260" s="105">
        <f>Q260*22</f>
        <v>228066.74</v>
      </c>
      <c r="S260" s="105">
        <f>R260*(1-0.43)</f>
        <v>129998.04180000001</v>
      </c>
      <c r="EX260" s="20"/>
      <c r="EY260" s="29"/>
      <c r="EZ260" s="29"/>
      <c r="FA260" s="29"/>
      <c r="FD260" s="3" t="s">
        <v>31</v>
      </c>
      <c r="FG260" s="29"/>
    </row>
    <row r="261" spans="1:164" customFormat="1" ht="15" x14ac:dyDescent="0.25">
      <c r="A261" s="34"/>
      <c r="B261" s="33" t="s">
        <v>32</v>
      </c>
      <c r="C261" s="146" t="s">
        <v>33</v>
      </c>
      <c r="D261" s="146"/>
      <c r="E261" s="146"/>
      <c r="F261" s="35"/>
      <c r="G261" s="36"/>
      <c r="H261" s="36"/>
      <c r="I261" s="36"/>
      <c r="J261" s="39">
        <v>144.37</v>
      </c>
      <c r="K261" s="38">
        <v>1.4375</v>
      </c>
      <c r="L261" s="42">
        <f>G256*J261*K261</f>
        <v>33.205100000000002</v>
      </c>
      <c r="M261" s="106">
        <v>14.53</v>
      </c>
      <c r="N261" s="112">
        <f>J261*M261*K261</f>
        <v>3015.4381437500001</v>
      </c>
      <c r="O261" s="113">
        <v>57.5</v>
      </c>
      <c r="P261" s="105">
        <f>G265</f>
        <v>0.02</v>
      </c>
      <c r="Q261" s="105">
        <f>O261/P261*8</f>
        <v>23000</v>
      </c>
      <c r="EX261" s="20"/>
      <c r="EY261" s="29"/>
      <c r="EZ261" s="29"/>
      <c r="FA261" s="29"/>
      <c r="FD261" s="3" t="s">
        <v>33</v>
      </c>
      <c r="FG261" s="29"/>
    </row>
    <row r="262" spans="1:164" customFormat="1" ht="15" x14ac:dyDescent="0.25">
      <c r="A262" s="34"/>
      <c r="B262" s="33" t="s">
        <v>34</v>
      </c>
      <c r="C262" s="146" t="s">
        <v>35</v>
      </c>
      <c r="D262" s="146"/>
      <c r="E262" s="146"/>
      <c r="F262" s="35"/>
      <c r="G262" s="36"/>
      <c r="H262" s="36"/>
      <c r="I262" s="36"/>
      <c r="J262" s="39">
        <v>0.26</v>
      </c>
      <c r="K262" s="38">
        <v>1.4375</v>
      </c>
      <c r="L262" s="42">
        <f>G256*J262*K262</f>
        <v>5.9800000000000006E-2</v>
      </c>
      <c r="M262" s="106"/>
      <c r="EX262" s="20"/>
      <c r="EY262" s="29"/>
      <c r="EZ262" s="29"/>
      <c r="FA262" s="29"/>
      <c r="FD262" s="3" t="s">
        <v>35</v>
      </c>
      <c r="FG262" s="29"/>
    </row>
    <row r="263" spans="1:164" customFormat="1" ht="15" x14ac:dyDescent="0.25">
      <c r="A263" s="34"/>
      <c r="B263" s="33" t="s">
        <v>36</v>
      </c>
      <c r="C263" s="146" t="s">
        <v>37</v>
      </c>
      <c r="D263" s="146"/>
      <c r="E263" s="146"/>
      <c r="F263" s="35"/>
      <c r="G263" s="36"/>
      <c r="H263" s="36"/>
      <c r="I263" s="36"/>
      <c r="J263" s="39">
        <v>50.53</v>
      </c>
      <c r="K263" s="36"/>
      <c r="L263" s="42">
        <f>G256*J263</f>
        <v>8.0847999999999995</v>
      </c>
      <c r="M263" s="106"/>
      <c r="EX263" s="20"/>
      <c r="EY263" s="29"/>
      <c r="EZ263" s="29"/>
      <c r="FA263" s="29"/>
      <c r="FD263" s="3" t="s">
        <v>37</v>
      </c>
      <c r="FG263" s="29"/>
    </row>
    <row r="264" spans="1:164" customFormat="1" ht="15" x14ac:dyDescent="0.25">
      <c r="A264" s="43"/>
      <c r="B264" s="33"/>
      <c r="C264" s="146" t="s">
        <v>38</v>
      </c>
      <c r="D264" s="146"/>
      <c r="E264" s="146"/>
      <c r="F264" s="35" t="s">
        <v>39</v>
      </c>
      <c r="G264" s="40">
        <v>22.72</v>
      </c>
      <c r="H264" s="38">
        <v>1.3225</v>
      </c>
      <c r="I264" s="60">
        <v>4.8075520000000003</v>
      </c>
      <c r="J264" s="45"/>
      <c r="K264" s="36"/>
      <c r="L264" s="46"/>
      <c r="M264" s="106"/>
      <c r="EX264" s="20"/>
      <c r="EY264" s="29"/>
      <c r="EZ264" s="29"/>
      <c r="FA264" s="29"/>
      <c r="FE264" s="3" t="s">
        <v>38</v>
      </c>
      <c r="FG264" s="29"/>
    </row>
    <row r="265" spans="1:164" customFormat="1" ht="15" x14ac:dyDescent="0.25">
      <c r="A265" s="43"/>
      <c r="B265" s="33"/>
      <c r="C265" s="146" t="s">
        <v>40</v>
      </c>
      <c r="D265" s="146"/>
      <c r="E265" s="146"/>
      <c r="F265" s="35" t="s">
        <v>39</v>
      </c>
      <c r="G265" s="40">
        <v>0.02</v>
      </c>
      <c r="H265" s="38">
        <v>1.4375</v>
      </c>
      <c r="I265" s="38">
        <v>4.5999999999999999E-3</v>
      </c>
      <c r="J265" s="45"/>
      <c r="K265" s="36"/>
      <c r="L265" s="46"/>
      <c r="M265" s="106"/>
      <c r="EX265" s="20"/>
      <c r="EY265" s="29"/>
      <c r="EZ265" s="29"/>
      <c r="FA265" s="29"/>
      <c r="FE265" s="3" t="s">
        <v>40</v>
      </c>
      <c r="FG265" s="29"/>
    </row>
    <row r="266" spans="1:164" customFormat="1" ht="15" x14ac:dyDescent="0.25">
      <c r="A266" s="30"/>
      <c r="B266" s="33"/>
      <c r="C266" s="151" t="s">
        <v>41</v>
      </c>
      <c r="D266" s="151"/>
      <c r="E266" s="151"/>
      <c r="F266" s="47"/>
      <c r="G266" s="48"/>
      <c r="H266" s="48"/>
      <c r="I266" s="48"/>
      <c r="J266" s="62">
        <v>408.47</v>
      </c>
      <c r="K266" s="48"/>
      <c r="L266" s="66">
        <f>L260+L261+L263</f>
        <v>86.481312000000003</v>
      </c>
      <c r="M266" s="106"/>
      <c r="EX266" s="20"/>
      <c r="EY266" s="29"/>
      <c r="EZ266" s="29"/>
      <c r="FA266" s="29"/>
      <c r="FF266" s="3" t="s">
        <v>41</v>
      </c>
      <c r="FG266" s="29"/>
    </row>
    <row r="267" spans="1:164" customFormat="1" ht="15" x14ac:dyDescent="0.25">
      <c r="A267" s="43"/>
      <c r="B267" s="33"/>
      <c r="C267" s="146" t="s">
        <v>42</v>
      </c>
      <c r="D267" s="146"/>
      <c r="E267" s="146"/>
      <c r="F267" s="35"/>
      <c r="G267" s="36"/>
      <c r="H267" s="36"/>
      <c r="I267" s="36"/>
      <c r="J267" s="45"/>
      <c r="K267" s="36"/>
      <c r="L267" s="42">
        <f>L260+L262</f>
        <v>45.251212000000002</v>
      </c>
      <c r="M267" s="106"/>
      <c r="EX267" s="20"/>
      <c r="EY267" s="29"/>
      <c r="EZ267" s="29"/>
      <c r="FA267" s="29"/>
      <c r="FE267" s="3" t="s">
        <v>42</v>
      </c>
      <c r="FG267" s="29"/>
    </row>
    <row r="268" spans="1:164" customFormat="1" ht="23.25" x14ac:dyDescent="0.25">
      <c r="A268" s="43"/>
      <c r="B268" s="33" t="s">
        <v>72</v>
      </c>
      <c r="C268" s="146" t="s">
        <v>73</v>
      </c>
      <c r="D268" s="146"/>
      <c r="E268" s="146"/>
      <c r="F268" s="35" t="s">
        <v>45</v>
      </c>
      <c r="G268" s="51">
        <v>97</v>
      </c>
      <c r="H268" s="36"/>
      <c r="I268" s="51">
        <v>97</v>
      </c>
      <c r="J268" s="45"/>
      <c r="K268" s="36"/>
      <c r="L268" s="42">
        <f>L267*I268%</f>
        <v>43.893675639999998</v>
      </c>
      <c r="M268" s="106"/>
      <c r="EX268" s="20"/>
      <c r="EY268" s="29"/>
      <c r="EZ268" s="29"/>
      <c r="FA268" s="29"/>
      <c r="FE268" s="3" t="s">
        <v>73</v>
      </c>
      <c r="FG268" s="29"/>
    </row>
    <row r="269" spans="1:164" customFormat="1" ht="23.25" x14ac:dyDescent="0.25">
      <c r="A269" s="43"/>
      <c r="B269" s="33" t="s">
        <v>74</v>
      </c>
      <c r="C269" s="146" t="s">
        <v>75</v>
      </c>
      <c r="D269" s="146"/>
      <c r="E269" s="146"/>
      <c r="F269" s="35" t="s">
        <v>45</v>
      </c>
      <c r="G269" s="51">
        <v>51</v>
      </c>
      <c r="H269" s="36"/>
      <c r="I269" s="51">
        <v>51</v>
      </c>
      <c r="J269" s="45"/>
      <c r="K269" s="36"/>
      <c r="L269" s="42">
        <f>L267*I269%</f>
        <v>23.078118120000003</v>
      </c>
      <c r="M269" s="106"/>
      <c r="EX269" s="20"/>
      <c r="EY269" s="29"/>
      <c r="EZ269" s="29"/>
      <c r="FA269" s="29"/>
      <c r="FE269" s="3" t="s">
        <v>75</v>
      </c>
      <c r="FG269" s="29"/>
    </row>
    <row r="270" spans="1:164" customFormat="1" ht="15" x14ac:dyDescent="0.25">
      <c r="A270" s="52"/>
      <c r="B270" s="53"/>
      <c r="C270" s="148" t="s">
        <v>48</v>
      </c>
      <c r="D270" s="148"/>
      <c r="E270" s="148"/>
      <c r="F270" s="23"/>
      <c r="G270" s="24"/>
      <c r="H270" s="24"/>
      <c r="I270" s="24"/>
      <c r="J270" s="27"/>
      <c r="K270" s="24"/>
      <c r="L270" s="99">
        <f>L266+L268+L269</f>
        <v>153.45310576</v>
      </c>
      <c r="M270" s="106"/>
      <c r="EX270" s="20"/>
      <c r="EY270" s="29"/>
      <c r="EZ270" s="29"/>
      <c r="FA270" s="29"/>
      <c r="FG270" s="29" t="s">
        <v>48</v>
      </c>
    </row>
    <row r="271" spans="1:164" customFormat="1" ht="45" x14ac:dyDescent="0.25">
      <c r="A271" s="21" t="s">
        <v>184</v>
      </c>
      <c r="B271" s="22" t="s">
        <v>185</v>
      </c>
      <c r="C271" s="148" t="s">
        <v>186</v>
      </c>
      <c r="D271" s="148"/>
      <c r="E271" s="148"/>
      <c r="F271" s="23" t="s">
        <v>51</v>
      </c>
      <c r="G271" s="24">
        <v>16</v>
      </c>
      <c r="H271" s="25">
        <v>1</v>
      </c>
      <c r="I271" s="25">
        <v>16</v>
      </c>
      <c r="J271" s="56">
        <f>5100/1.2</f>
        <v>4250</v>
      </c>
      <c r="K271" s="26">
        <v>1.04236</v>
      </c>
      <c r="L271" s="55">
        <f>G271*J271*K271</f>
        <v>70880.479999999996</v>
      </c>
      <c r="M271" s="106"/>
      <c r="EX271" s="20"/>
      <c r="EY271" s="29" t="s">
        <v>186</v>
      </c>
      <c r="EZ271" s="29" t="s">
        <v>0</v>
      </c>
      <c r="FA271" s="29" t="s">
        <v>0</v>
      </c>
      <c r="FG271" s="29"/>
    </row>
    <row r="272" spans="1:164" customFormat="1" ht="15" x14ac:dyDescent="0.25">
      <c r="A272" s="30"/>
      <c r="B272" s="31"/>
      <c r="C272" s="152" t="s">
        <v>306</v>
      </c>
      <c r="D272" s="146"/>
      <c r="E272" s="146"/>
      <c r="F272" s="146"/>
      <c r="G272" s="146"/>
      <c r="H272" s="146"/>
      <c r="I272" s="146"/>
      <c r="J272" s="146"/>
      <c r="K272" s="146"/>
      <c r="L272" s="149"/>
      <c r="M272" s="106"/>
      <c r="EX272" s="20"/>
      <c r="EY272" s="29"/>
      <c r="EZ272" s="29"/>
      <c r="FA272" s="29"/>
      <c r="FG272" s="29"/>
      <c r="FH272" s="3" t="s">
        <v>187</v>
      </c>
    </row>
    <row r="273" spans="1:163" customFormat="1" ht="15" x14ac:dyDescent="0.25">
      <c r="A273" s="32"/>
      <c r="B273" s="33"/>
      <c r="C273" s="141" t="s">
        <v>54</v>
      </c>
      <c r="D273" s="141"/>
      <c r="E273" s="141"/>
      <c r="F273" s="141"/>
      <c r="G273" s="141"/>
      <c r="H273" s="141"/>
      <c r="I273" s="141"/>
      <c r="J273" s="141"/>
      <c r="K273" s="141"/>
      <c r="L273" s="150"/>
      <c r="M273" s="106"/>
      <c r="EX273" s="20"/>
      <c r="EY273" s="29"/>
      <c r="EZ273" s="29"/>
      <c r="FA273" s="29"/>
      <c r="FC273" s="3" t="s">
        <v>54</v>
      </c>
      <c r="FG273" s="29"/>
    </row>
    <row r="274" spans="1:163" customFormat="1" ht="15" x14ac:dyDescent="0.25">
      <c r="A274" s="32"/>
      <c r="B274" s="33"/>
      <c r="C274" s="141" t="s">
        <v>55</v>
      </c>
      <c r="D274" s="141"/>
      <c r="E274" s="141"/>
      <c r="F274" s="141"/>
      <c r="G274" s="141"/>
      <c r="H274" s="141"/>
      <c r="I274" s="141"/>
      <c r="J274" s="141"/>
      <c r="K274" s="141"/>
      <c r="L274" s="150"/>
      <c r="M274" s="106"/>
      <c r="EX274" s="20"/>
      <c r="EY274" s="29"/>
      <c r="EZ274" s="29"/>
      <c r="FA274" s="29"/>
      <c r="FC274" s="3" t="s">
        <v>55</v>
      </c>
      <c r="FG274" s="29"/>
    </row>
    <row r="275" spans="1:163" customFormat="1" ht="15" x14ac:dyDescent="0.25">
      <c r="A275" s="52"/>
      <c r="B275" s="53"/>
      <c r="C275" s="148" t="s">
        <v>48</v>
      </c>
      <c r="D275" s="148"/>
      <c r="E275" s="148"/>
      <c r="F275" s="23"/>
      <c r="G275" s="24"/>
      <c r="H275" s="24"/>
      <c r="I275" s="24"/>
      <c r="J275" s="27"/>
      <c r="K275" s="24"/>
      <c r="L275" s="96">
        <f>L271</f>
        <v>70880.479999999996</v>
      </c>
      <c r="M275" s="106"/>
      <c r="EX275" s="20"/>
      <c r="EY275" s="29"/>
      <c r="EZ275" s="29"/>
      <c r="FA275" s="29"/>
      <c r="FG275" s="29" t="s">
        <v>48</v>
      </c>
    </row>
    <row r="276" spans="1:163" customFormat="1" ht="45.75" x14ac:dyDescent="0.25">
      <c r="A276" s="21" t="s">
        <v>188</v>
      </c>
      <c r="B276" s="138" t="s">
        <v>189</v>
      </c>
      <c r="C276" s="148" t="s">
        <v>190</v>
      </c>
      <c r="D276" s="148"/>
      <c r="E276" s="148"/>
      <c r="F276" s="23" t="s">
        <v>182</v>
      </c>
      <c r="G276" s="24">
        <v>6</v>
      </c>
      <c r="H276" s="25">
        <v>1</v>
      </c>
      <c r="I276" s="25">
        <v>6</v>
      </c>
      <c r="J276" s="27"/>
      <c r="K276" s="24"/>
      <c r="L276" s="28"/>
      <c r="M276" s="106"/>
      <c r="EX276" s="20"/>
      <c r="EY276" s="29" t="s">
        <v>190</v>
      </c>
      <c r="EZ276" s="29" t="s">
        <v>0</v>
      </c>
      <c r="FA276" s="29" t="s">
        <v>0</v>
      </c>
      <c r="FG276" s="29"/>
    </row>
    <row r="277" spans="1:163" customFormat="1" ht="15" x14ac:dyDescent="0.25">
      <c r="A277" s="30"/>
      <c r="B277" s="31"/>
      <c r="C277" s="146" t="s">
        <v>191</v>
      </c>
      <c r="D277" s="146"/>
      <c r="E277" s="146"/>
      <c r="F277" s="146"/>
      <c r="G277" s="146"/>
      <c r="H277" s="146"/>
      <c r="I277" s="146"/>
      <c r="J277" s="146"/>
      <c r="K277" s="146"/>
      <c r="L277" s="149"/>
      <c r="M277" s="106"/>
      <c r="EX277" s="20"/>
      <c r="EY277" s="29"/>
      <c r="EZ277" s="29"/>
      <c r="FA277" s="29"/>
      <c r="FB277" s="3" t="s">
        <v>191</v>
      </c>
      <c r="FG277" s="29"/>
    </row>
    <row r="278" spans="1:163" customFormat="1" ht="68.25" x14ac:dyDescent="0.25">
      <c r="A278" s="32"/>
      <c r="B278" s="33" t="s">
        <v>27</v>
      </c>
      <c r="C278" s="141" t="s">
        <v>28</v>
      </c>
      <c r="D278" s="141"/>
      <c r="E278" s="141"/>
      <c r="F278" s="141"/>
      <c r="G278" s="141"/>
      <c r="H278" s="141"/>
      <c r="I278" s="141"/>
      <c r="J278" s="141"/>
      <c r="K278" s="141"/>
      <c r="L278" s="150"/>
      <c r="M278" s="106"/>
      <c r="N278" s="118" t="s">
        <v>324</v>
      </c>
      <c r="EX278" s="20"/>
      <c r="EY278" s="29"/>
      <c r="EZ278" s="29"/>
      <c r="FA278" s="29"/>
      <c r="FC278" s="3" t="s">
        <v>28</v>
      </c>
      <c r="FG278" s="29"/>
    </row>
    <row r="279" spans="1:163" customFormat="1" ht="15" x14ac:dyDescent="0.25">
      <c r="A279" s="34"/>
      <c r="B279" s="33" t="s">
        <v>22</v>
      </c>
      <c r="C279" s="146" t="s">
        <v>31</v>
      </c>
      <c r="D279" s="146"/>
      <c r="E279" s="146"/>
      <c r="F279" s="35"/>
      <c r="G279" s="36"/>
      <c r="H279" s="36"/>
      <c r="I279" s="36"/>
      <c r="J279" s="39">
        <v>64.319999999999993</v>
      </c>
      <c r="K279" s="40">
        <v>1.1499999999999999</v>
      </c>
      <c r="L279" s="42">
        <f>G276*J279*K279</f>
        <v>443.80799999999994</v>
      </c>
      <c r="M279" s="106">
        <v>49.45</v>
      </c>
      <c r="N279" s="112">
        <f>J279*M279*K279</f>
        <v>3657.7175999999995</v>
      </c>
      <c r="O279" s="113">
        <v>9770.5864749999982</v>
      </c>
      <c r="P279" s="105">
        <f>G281</f>
        <v>7.54</v>
      </c>
      <c r="Q279" s="105">
        <f>O279/P279*8</f>
        <v>10366.669999999998</v>
      </c>
      <c r="R279" s="105">
        <f>Q279*22</f>
        <v>228066.73999999996</v>
      </c>
      <c r="S279" s="105">
        <f>R279*(1-0.43)</f>
        <v>129998.04179999999</v>
      </c>
      <c r="EX279" s="20"/>
      <c r="EY279" s="29"/>
      <c r="EZ279" s="29"/>
      <c r="FA279" s="29"/>
      <c r="FD279" s="3" t="s">
        <v>31</v>
      </c>
      <c r="FG279" s="29"/>
    </row>
    <row r="280" spans="1:163" customFormat="1" ht="15" x14ac:dyDescent="0.25">
      <c r="A280" s="34"/>
      <c r="B280" s="33" t="s">
        <v>32</v>
      </c>
      <c r="C280" s="146" t="s">
        <v>33</v>
      </c>
      <c r="D280" s="146"/>
      <c r="E280" s="146"/>
      <c r="F280" s="35"/>
      <c r="G280" s="36"/>
      <c r="H280" s="36"/>
      <c r="I280" s="36"/>
      <c r="J280" s="39">
        <v>7.8</v>
      </c>
      <c r="K280" s="40">
        <v>1.1499999999999999</v>
      </c>
      <c r="L280" s="42">
        <f>G276*J280*K280</f>
        <v>53.819999999999993</v>
      </c>
      <c r="M280" s="106"/>
      <c r="N280" s="112"/>
      <c r="O280" s="113"/>
      <c r="P280" s="105"/>
      <c r="Q280" s="105"/>
      <c r="EX280" s="20"/>
      <c r="EY280" s="29"/>
      <c r="EZ280" s="29"/>
      <c r="FA280" s="29"/>
      <c r="FD280" s="3" t="s">
        <v>33</v>
      </c>
      <c r="FG280" s="29"/>
    </row>
    <row r="281" spans="1:163" customFormat="1" ht="15" x14ac:dyDescent="0.25">
      <c r="A281" s="43"/>
      <c r="B281" s="33"/>
      <c r="C281" s="146" t="s">
        <v>38</v>
      </c>
      <c r="D281" s="146"/>
      <c r="E281" s="146"/>
      <c r="F281" s="35" t="s">
        <v>39</v>
      </c>
      <c r="G281" s="40">
        <v>7.54</v>
      </c>
      <c r="H281" s="40">
        <v>1.1499999999999999</v>
      </c>
      <c r="I281" s="67">
        <v>52.026000000000003</v>
      </c>
      <c r="J281" s="45"/>
      <c r="K281" s="36"/>
      <c r="L281" s="46"/>
      <c r="M281" s="106"/>
      <c r="EX281" s="20"/>
      <c r="EY281" s="29"/>
      <c r="EZ281" s="29"/>
      <c r="FA281" s="29"/>
      <c r="FE281" s="3" t="s">
        <v>38</v>
      </c>
      <c r="FG281" s="29"/>
    </row>
    <row r="282" spans="1:163" customFormat="1" ht="15" x14ac:dyDescent="0.25">
      <c r="A282" s="30"/>
      <c r="B282" s="33"/>
      <c r="C282" s="151" t="s">
        <v>41</v>
      </c>
      <c r="D282" s="151"/>
      <c r="E282" s="151"/>
      <c r="F282" s="47"/>
      <c r="G282" s="48"/>
      <c r="H282" s="48"/>
      <c r="I282" s="48"/>
      <c r="J282" s="62">
        <v>72.12</v>
      </c>
      <c r="K282" s="48"/>
      <c r="L282" s="66">
        <f>L279+L280</f>
        <v>497.62799999999993</v>
      </c>
      <c r="M282" s="106"/>
      <c r="EX282" s="20"/>
      <c r="EY282" s="29"/>
      <c r="EZ282" s="29"/>
      <c r="FA282" s="29"/>
      <c r="FF282" s="3" t="s">
        <v>41</v>
      </c>
      <c r="FG282" s="29"/>
    </row>
    <row r="283" spans="1:163" customFormat="1" ht="15" x14ac:dyDescent="0.25">
      <c r="A283" s="43"/>
      <c r="B283" s="33"/>
      <c r="C283" s="146" t="s">
        <v>42</v>
      </c>
      <c r="D283" s="146"/>
      <c r="E283" s="146"/>
      <c r="F283" s="35"/>
      <c r="G283" s="36"/>
      <c r="H283" s="36"/>
      <c r="I283" s="36"/>
      <c r="J283" s="45"/>
      <c r="K283" s="36"/>
      <c r="L283" s="42">
        <f>L279</f>
        <v>443.80799999999994</v>
      </c>
      <c r="M283" s="106"/>
      <c r="EX283" s="20"/>
      <c r="EY283" s="29"/>
      <c r="EZ283" s="29"/>
      <c r="FA283" s="29"/>
      <c r="FE283" s="3" t="s">
        <v>42</v>
      </c>
      <c r="FG283" s="29"/>
    </row>
    <row r="284" spans="1:163" customFormat="1" ht="45.75" x14ac:dyDescent="0.25">
      <c r="A284" s="43"/>
      <c r="B284" s="33" t="s">
        <v>149</v>
      </c>
      <c r="C284" s="146" t="s">
        <v>150</v>
      </c>
      <c r="D284" s="146"/>
      <c r="E284" s="146"/>
      <c r="F284" s="35" t="s">
        <v>45</v>
      </c>
      <c r="G284" s="51">
        <v>103</v>
      </c>
      <c r="H284" s="36"/>
      <c r="I284" s="51">
        <v>103</v>
      </c>
      <c r="J284" s="45"/>
      <c r="K284" s="36"/>
      <c r="L284" s="42">
        <f>L283*I284%</f>
        <v>457.12223999999992</v>
      </c>
      <c r="M284" s="106"/>
      <c r="EX284" s="20"/>
      <c r="EY284" s="29"/>
      <c r="EZ284" s="29"/>
      <c r="FA284" s="29"/>
      <c r="FE284" s="3" t="s">
        <v>150</v>
      </c>
      <c r="FG284" s="29"/>
    </row>
    <row r="285" spans="1:163" customFormat="1" ht="45.75" x14ac:dyDescent="0.25">
      <c r="A285" s="43"/>
      <c r="B285" s="33" t="s">
        <v>151</v>
      </c>
      <c r="C285" s="146" t="s">
        <v>152</v>
      </c>
      <c r="D285" s="146"/>
      <c r="E285" s="146"/>
      <c r="F285" s="35" t="s">
        <v>45</v>
      </c>
      <c r="G285" s="51">
        <v>59</v>
      </c>
      <c r="H285" s="36"/>
      <c r="I285" s="51">
        <v>59</v>
      </c>
      <c r="J285" s="45"/>
      <c r="K285" s="36"/>
      <c r="L285" s="42">
        <f>L283*I285%</f>
        <v>261.84671999999995</v>
      </c>
      <c r="M285" s="106"/>
      <c r="EX285" s="20"/>
      <c r="EY285" s="29"/>
      <c r="EZ285" s="29"/>
      <c r="FA285" s="29"/>
      <c r="FE285" s="3" t="s">
        <v>152</v>
      </c>
      <c r="FG285" s="29"/>
    </row>
    <row r="286" spans="1:163" customFormat="1" ht="15" x14ac:dyDescent="0.25">
      <c r="A286" s="52"/>
      <c r="B286" s="53"/>
      <c r="C286" s="148" t="s">
        <v>48</v>
      </c>
      <c r="D286" s="148"/>
      <c r="E286" s="148"/>
      <c r="F286" s="23"/>
      <c r="G286" s="24"/>
      <c r="H286" s="24"/>
      <c r="I286" s="24"/>
      <c r="J286" s="27"/>
      <c r="K286" s="24"/>
      <c r="L286" s="96">
        <f>L282+L284+L285</f>
        <v>1216.5969599999999</v>
      </c>
      <c r="M286" s="106"/>
      <c r="EX286" s="20"/>
      <c r="EY286" s="29"/>
      <c r="EZ286" s="29"/>
      <c r="FA286" s="29"/>
      <c r="FG286" s="29" t="s">
        <v>48</v>
      </c>
    </row>
    <row r="287" spans="1:163" customFormat="1" ht="34.5" x14ac:dyDescent="0.25">
      <c r="A287" s="21" t="s">
        <v>192</v>
      </c>
      <c r="B287" s="22" t="s">
        <v>193</v>
      </c>
      <c r="C287" s="148" t="s">
        <v>194</v>
      </c>
      <c r="D287" s="148"/>
      <c r="E287" s="148"/>
      <c r="F287" s="23" t="s">
        <v>182</v>
      </c>
      <c r="G287" s="24">
        <v>6</v>
      </c>
      <c r="H287" s="25">
        <v>1</v>
      </c>
      <c r="I287" s="25">
        <v>6</v>
      </c>
      <c r="J287" s="27"/>
      <c r="K287" s="24"/>
      <c r="L287" s="28"/>
      <c r="M287" s="106"/>
      <c r="EX287" s="20"/>
      <c r="EY287" s="29" t="s">
        <v>194</v>
      </c>
      <c r="EZ287" s="29" t="s">
        <v>0</v>
      </c>
      <c r="FA287" s="29" t="s">
        <v>0</v>
      </c>
      <c r="FG287" s="29"/>
    </row>
    <row r="288" spans="1:163" customFormat="1" ht="15" x14ac:dyDescent="0.25">
      <c r="A288" s="30"/>
      <c r="B288" s="31"/>
      <c r="C288" s="146" t="s">
        <v>191</v>
      </c>
      <c r="D288" s="146"/>
      <c r="E288" s="146"/>
      <c r="F288" s="146"/>
      <c r="G288" s="146"/>
      <c r="H288" s="146"/>
      <c r="I288" s="146"/>
      <c r="J288" s="146"/>
      <c r="K288" s="146"/>
      <c r="L288" s="149"/>
      <c r="M288" s="106"/>
      <c r="EX288" s="20"/>
      <c r="EY288" s="29"/>
      <c r="EZ288" s="29"/>
      <c r="FA288" s="29"/>
      <c r="FB288" s="3" t="s">
        <v>191</v>
      </c>
      <c r="FG288" s="29"/>
    </row>
    <row r="289" spans="1:164" customFormat="1" ht="68.25" x14ac:dyDescent="0.25">
      <c r="A289" s="32"/>
      <c r="B289" s="33" t="s">
        <v>27</v>
      </c>
      <c r="C289" s="141" t="s">
        <v>28</v>
      </c>
      <c r="D289" s="141"/>
      <c r="E289" s="141"/>
      <c r="F289" s="141"/>
      <c r="G289" s="141"/>
      <c r="H289" s="141"/>
      <c r="I289" s="141"/>
      <c r="J289" s="141"/>
      <c r="K289" s="141"/>
      <c r="L289" s="150"/>
      <c r="M289" s="106"/>
      <c r="N289" s="118" t="s">
        <v>324</v>
      </c>
      <c r="EX289" s="20"/>
      <c r="EY289" s="29"/>
      <c r="EZ289" s="29"/>
      <c r="FA289" s="29"/>
      <c r="FC289" s="3" t="s">
        <v>28</v>
      </c>
      <c r="FG289" s="29"/>
    </row>
    <row r="290" spans="1:164" customFormat="1" ht="15" x14ac:dyDescent="0.25">
      <c r="A290" s="34"/>
      <c r="B290" s="33" t="s">
        <v>22</v>
      </c>
      <c r="C290" s="146" t="s">
        <v>31</v>
      </c>
      <c r="D290" s="146"/>
      <c r="E290" s="146"/>
      <c r="F290" s="35"/>
      <c r="G290" s="36"/>
      <c r="H290" s="36"/>
      <c r="I290" s="36"/>
      <c r="J290" s="39">
        <v>6.06</v>
      </c>
      <c r="K290" s="40">
        <v>1.1499999999999999</v>
      </c>
      <c r="L290" s="42">
        <f>G287*J290*K290</f>
        <v>41.813999999999993</v>
      </c>
      <c r="M290" s="106">
        <v>49.45</v>
      </c>
      <c r="N290" s="112">
        <f>J290*M290*K290</f>
        <v>344.61704999999995</v>
      </c>
      <c r="O290" s="113">
        <v>920.04196250000018</v>
      </c>
      <c r="P290" s="105">
        <f>G292</f>
        <v>0.71</v>
      </c>
      <c r="Q290" s="105">
        <f>O290/P290*8</f>
        <v>10366.670000000002</v>
      </c>
      <c r="R290" s="105">
        <f>Q290*22</f>
        <v>228066.74000000005</v>
      </c>
      <c r="S290" s="105">
        <f>R290*(1-0.43)</f>
        <v>129998.04180000004</v>
      </c>
      <c r="EX290" s="20"/>
      <c r="EY290" s="29"/>
      <c r="EZ290" s="29"/>
      <c r="FA290" s="29"/>
      <c r="FD290" s="3" t="s">
        <v>31</v>
      </c>
      <c r="FG290" s="29"/>
    </row>
    <row r="291" spans="1:164" customFormat="1" ht="15" x14ac:dyDescent="0.25">
      <c r="A291" s="34"/>
      <c r="B291" s="33" t="s">
        <v>32</v>
      </c>
      <c r="C291" s="146" t="s">
        <v>33</v>
      </c>
      <c r="D291" s="146"/>
      <c r="E291" s="146"/>
      <c r="F291" s="35"/>
      <c r="G291" s="36"/>
      <c r="H291" s="36"/>
      <c r="I291" s="36"/>
      <c r="J291" s="39">
        <v>0.65</v>
      </c>
      <c r="K291" s="40">
        <v>1.1499999999999999</v>
      </c>
      <c r="L291" s="42">
        <f>G287*J291*K291</f>
        <v>4.4850000000000003</v>
      </c>
      <c r="M291" s="106"/>
      <c r="EX291" s="20"/>
      <c r="EY291" s="29"/>
      <c r="EZ291" s="29"/>
      <c r="FA291" s="29"/>
      <c r="FD291" s="3" t="s">
        <v>33</v>
      </c>
      <c r="FG291" s="29"/>
    </row>
    <row r="292" spans="1:164" customFormat="1" ht="15" x14ac:dyDescent="0.25">
      <c r="A292" s="43"/>
      <c r="B292" s="33"/>
      <c r="C292" s="146" t="s">
        <v>38</v>
      </c>
      <c r="D292" s="146"/>
      <c r="E292" s="146"/>
      <c r="F292" s="35" t="s">
        <v>39</v>
      </c>
      <c r="G292" s="40">
        <v>0.71</v>
      </c>
      <c r="H292" s="40">
        <v>1.1499999999999999</v>
      </c>
      <c r="I292" s="67">
        <v>4.899</v>
      </c>
      <c r="J292" s="45"/>
      <c r="K292" s="36"/>
      <c r="L292" s="46"/>
      <c r="M292" s="106"/>
      <c r="EX292" s="20"/>
      <c r="EY292" s="29"/>
      <c r="EZ292" s="29"/>
      <c r="FA292" s="29"/>
      <c r="FE292" s="3" t="s">
        <v>38</v>
      </c>
      <c r="FG292" s="29"/>
    </row>
    <row r="293" spans="1:164" customFormat="1" ht="15" x14ac:dyDescent="0.25">
      <c r="A293" s="30"/>
      <c r="B293" s="33"/>
      <c r="C293" s="151" t="s">
        <v>41</v>
      </c>
      <c r="D293" s="151"/>
      <c r="E293" s="151"/>
      <c r="F293" s="47"/>
      <c r="G293" s="48"/>
      <c r="H293" s="48"/>
      <c r="I293" s="48"/>
      <c r="J293" s="62">
        <v>6.71</v>
      </c>
      <c r="K293" s="48"/>
      <c r="L293" s="66">
        <f>L290+L291</f>
        <v>46.298999999999992</v>
      </c>
      <c r="M293" s="106"/>
      <c r="EX293" s="20"/>
      <c r="EY293" s="29"/>
      <c r="EZ293" s="29"/>
      <c r="FA293" s="29"/>
      <c r="FF293" s="3" t="s">
        <v>41</v>
      </c>
      <c r="FG293" s="29"/>
    </row>
    <row r="294" spans="1:164" customFormat="1" ht="15" x14ac:dyDescent="0.25">
      <c r="A294" s="43"/>
      <c r="B294" s="33"/>
      <c r="C294" s="146" t="s">
        <v>42</v>
      </c>
      <c r="D294" s="146"/>
      <c r="E294" s="146"/>
      <c r="F294" s="35"/>
      <c r="G294" s="36"/>
      <c r="H294" s="36"/>
      <c r="I294" s="36"/>
      <c r="J294" s="45"/>
      <c r="K294" s="36"/>
      <c r="L294" s="42">
        <f>L290</f>
        <v>41.813999999999993</v>
      </c>
      <c r="M294" s="106"/>
      <c r="EX294" s="20"/>
      <c r="EY294" s="29"/>
      <c r="EZ294" s="29"/>
      <c r="FA294" s="29"/>
      <c r="FE294" s="3" t="s">
        <v>42</v>
      </c>
      <c r="FG294" s="29"/>
    </row>
    <row r="295" spans="1:164" customFormat="1" ht="45.75" x14ac:dyDescent="0.25">
      <c r="A295" s="43"/>
      <c r="B295" s="33" t="s">
        <v>149</v>
      </c>
      <c r="C295" s="146" t="s">
        <v>150</v>
      </c>
      <c r="D295" s="146"/>
      <c r="E295" s="146"/>
      <c r="F295" s="35" t="s">
        <v>45</v>
      </c>
      <c r="G295" s="51">
        <v>103</v>
      </c>
      <c r="H295" s="36"/>
      <c r="I295" s="51">
        <v>103</v>
      </c>
      <c r="J295" s="45"/>
      <c r="K295" s="36"/>
      <c r="L295" s="42">
        <f>L294*I295%</f>
        <v>43.068419999999996</v>
      </c>
      <c r="M295" s="106"/>
      <c r="EX295" s="20"/>
      <c r="EY295" s="29"/>
      <c r="EZ295" s="29"/>
      <c r="FA295" s="29"/>
      <c r="FE295" s="3" t="s">
        <v>150</v>
      </c>
      <c r="FG295" s="29"/>
    </row>
    <row r="296" spans="1:164" customFormat="1" ht="45.75" x14ac:dyDescent="0.25">
      <c r="A296" s="43"/>
      <c r="B296" s="33" t="s">
        <v>151</v>
      </c>
      <c r="C296" s="146" t="s">
        <v>152</v>
      </c>
      <c r="D296" s="146"/>
      <c r="E296" s="146"/>
      <c r="F296" s="35" t="s">
        <v>45</v>
      </c>
      <c r="G296" s="51">
        <v>59</v>
      </c>
      <c r="H296" s="36"/>
      <c r="I296" s="51">
        <v>59</v>
      </c>
      <c r="J296" s="45"/>
      <c r="K296" s="36"/>
      <c r="L296" s="42">
        <f>L294*I296%</f>
        <v>24.670259999999995</v>
      </c>
      <c r="M296" s="106"/>
      <c r="EX296" s="20"/>
      <c r="EY296" s="29"/>
      <c r="EZ296" s="29"/>
      <c r="FA296" s="29"/>
      <c r="FE296" s="3" t="s">
        <v>152</v>
      </c>
      <c r="FG296" s="29"/>
    </row>
    <row r="297" spans="1:164" customFormat="1" ht="15" x14ac:dyDescent="0.25">
      <c r="A297" s="52"/>
      <c r="B297" s="53"/>
      <c r="C297" s="148" t="s">
        <v>48</v>
      </c>
      <c r="D297" s="148"/>
      <c r="E297" s="148"/>
      <c r="F297" s="23"/>
      <c r="G297" s="24"/>
      <c r="H297" s="24"/>
      <c r="I297" s="24"/>
      <c r="J297" s="27"/>
      <c r="K297" s="24"/>
      <c r="L297" s="99">
        <f>L293+L295+L296</f>
        <v>114.03767999999998</v>
      </c>
      <c r="M297" s="106"/>
      <c r="EX297" s="20"/>
      <c r="EY297" s="29"/>
      <c r="EZ297" s="29"/>
      <c r="FA297" s="29"/>
      <c r="FG297" s="29" t="s">
        <v>48</v>
      </c>
    </row>
    <row r="298" spans="1:164" customFormat="1" ht="23.25" x14ac:dyDescent="0.25">
      <c r="A298" s="21" t="s">
        <v>195</v>
      </c>
      <c r="B298" s="22" t="s">
        <v>196</v>
      </c>
      <c r="C298" s="148" t="s">
        <v>197</v>
      </c>
      <c r="D298" s="148"/>
      <c r="E298" s="148"/>
      <c r="F298" s="23" t="s">
        <v>182</v>
      </c>
      <c r="G298" s="24">
        <v>6</v>
      </c>
      <c r="H298" s="25">
        <v>1</v>
      </c>
      <c r="I298" s="25">
        <v>6</v>
      </c>
      <c r="J298" s="56">
        <v>2480.64</v>
      </c>
      <c r="K298" s="24"/>
      <c r="L298" s="55">
        <f>G298*J298</f>
        <v>14883.84</v>
      </c>
      <c r="M298" s="106"/>
      <c r="EX298" s="20"/>
      <c r="EY298" s="29" t="s">
        <v>197</v>
      </c>
      <c r="EZ298" s="29" t="s">
        <v>0</v>
      </c>
      <c r="FA298" s="29" t="s">
        <v>0</v>
      </c>
      <c r="FG298" s="29"/>
    </row>
    <row r="299" spans="1:164" customFormat="1" ht="15" x14ac:dyDescent="0.25">
      <c r="A299" s="30"/>
      <c r="B299" s="31"/>
      <c r="C299" s="146" t="s">
        <v>191</v>
      </c>
      <c r="D299" s="146"/>
      <c r="E299" s="146"/>
      <c r="F299" s="146"/>
      <c r="G299" s="146"/>
      <c r="H299" s="146"/>
      <c r="I299" s="146"/>
      <c r="J299" s="146"/>
      <c r="K299" s="146"/>
      <c r="L299" s="149"/>
      <c r="M299" s="106"/>
      <c r="EX299" s="20"/>
      <c r="EY299" s="29"/>
      <c r="EZ299" s="29"/>
      <c r="FA299" s="29"/>
      <c r="FB299" s="3" t="s">
        <v>191</v>
      </c>
      <c r="FG299" s="29"/>
    </row>
    <row r="300" spans="1:164" customFormat="1" ht="15" x14ac:dyDescent="0.25">
      <c r="A300" s="52"/>
      <c r="B300" s="53"/>
      <c r="C300" s="148" t="s">
        <v>48</v>
      </c>
      <c r="D300" s="148"/>
      <c r="E300" s="148"/>
      <c r="F300" s="23"/>
      <c r="G300" s="24"/>
      <c r="H300" s="24"/>
      <c r="I300" s="24"/>
      <c r="J300" s="27"/>
      <c r="K300" s="24"/>
      <c r="L300" s="96">
        <f>L298</f>
        <v>14883.84</v>
      </c>
      <c r="M300" s="106"/>
      <c r="EX300" s="20"/>
      <c r="EY300" s="29"/>
      <c r="EZ300" s="29"/>
      <c r="FA300" s="29"/>
      <c r="FG300" s="29" t="s">
        <v>48</v>
      </c>
    </row>
    <row r="301" spans="1:164" customFormat="1" ht="33.75" x14ac:dyDescent="0.25">
      <c r="A301" s="21" t="s">
        <v>198</v>
      </c>
      <c r="B301" s="22" t="s">
        <v>199</v>
      </c>
      <c r="C301" s="148" t="s">
        <v>200</v>
      </c>
      <c r="D301" s="148"/>
      <c r="E301" s="148"/>
      <c r="F301" s="23" t="s">
        <v>51</v>
      </c>
      <c r="G301" s="24">
        <v>5</v>
      </c>
      <c r="H301" s="25">
        <v>1</v>
      </c>
      <c r="I301" s="25">
        <v>5</v>
      </c>
      <c r="J301" s="56">
        <f>1192/1.2</f>
        <v>993.33333333333337</v>
      </c>
      <c r="K301" s="26">
        <v>1.04236</v>
      </c>
      <c r="L301" s="59">
        <f>G301*J301*K301</f>
        <v>5177.0546666666669</v>
      </c>
      <c r="M301" s="106"/>
      <c r="EX301" s="20"/>
      <c r="EY301" s="29" t="s">
        <v>200</v>
      </c>
      <c r="EZ301" s="29" t="s">
        <v>0</v>
      </c>
      <c r="FA301" s="29" t="s">
        <v>0</v>
      </c>
      <c r="FG301" s="29"/>
    </row>
    <row r="302" spans="1:164" customFormat="1" ht="15" x14ac:dyDescent="0.25">
      <c r="A302" s="30"/>
      <c r="B302" s="31"/>
      <c r="C302" s="152" t="s">
        <v>307</v>
      </c>
      <c r="D302" s="146"/>
      <c r="E302" s="146"/>
      <c r="F302" s="146"/>
      <c r="G302" s="146"/>
      <c r="H302" s="146"/>
      <c r="I302" s="146"/>
      <c r="J302" s="146"/>
      <c r="K302" s="146"/>
      <c r="L302" s="149"/>
      <c r="M302" s="106"/>
      <c r="EX302" s="20"/>
      <c r="EY302" s="29"/>
      <c r="EZ302" s="29"/>
      <c r="FA302" s="29"/>
      <c r="FG302" s="29"/>
      <c r="FH302" s="3" t="s">
        <v>201</v>
      </c>
    </row>
    <row r="303" spans="1:164" customFormat="1" ht="15" x14ac:dyDescent="0.25">
      <c r="A303" s="32"/>
      <c r="B303" s="33"/>
      <c r="C303" s="141" t="s">
        <v>54</v>
      </c>
      <c r="D303" s="141"/>
      <c r="E303" s="141"/>
      <c r="F303" s="141"/>
      <c r="G303" s="141"/>
      <c r="H303" s="141"/>
      <c r="I303" s="141"/>
      <c r="J303" s="141"/>
      <c r="K303" s="141"/>
      <c r="L303" s="150"/>
      <c r="M303" s="106"/>
      <c r="EX303" s="20"/>
      <c r="EY303" s="29"/>
      <c r="EZ303" s="29"/>
      <c r="FA303" s="29"/>
      <c r="FC303" s="3" t="s">
        <v>54</v>
      </c>
      <c r="FG303" s="29"/>
    </row>
    <row r="304" spans="1:164" customFormat="1" ht="15" x14ac:dyDescent="0.25">
      <c r="A304" s="32"/>
      <c r="B304" s="33"/>
      <c r="C304" s="141" t="s">
        <v>55</v>
      </c>
      <c r="D304" s="141"/>
      <c r="E304" s="141"/>
      <c r="F304" s="141"/>
      <c r="G304" s="141"/>
      <c r="H304" s="141"/>
      <c r="I304" s="141"/>
      <c r="J304" s="141"/>
      <c r="K304" s="141"/>
      <c r="L304" s="150"/>
      <c r="M304" s="106"/>
      <c r="EX304" s="20"/>
      <c r="EY304" s="29"/>
      <c r="EZ304" s="29"/>
      <c r="FA304" s="29"/>
      <c r="FC304" s="3" t="s">
        <v>55</v>
      </c>
      <c r="FG304" s="29"/>
    </row>
    <row r="305" spans="1:166" customFormat="1" ht="15" x14ac:dyDescent="0.25">
      <c r="A305" s="52"/>
      <c r="B305" s="53"/>
      <c r="C305" s="148" t="s">
        <v>48</v>
      </c>
      <c r="D305" s="148"/>
      <c r="E305" s="148"/>
      <c r="F305" s="23"/>
      <c r="G305" s="24"/>
      <c r="H305" s="24"/>
      <c r="I305" s="24"/>
      <c r="J305" s="27"/>
      <c r="K305" s="24"/>
      <c r="L305" s="99">
        <f>L301</f>
        <v>5177.0546666666669</v>
      </c>
      <c r="M305" s="106"/>
      <c r="EX305" s="20"/>
      <c r="EY305" s="29"/>
      <c r="EZ305" s="29"/>
      <c r="FA305" s="29"/>
      <c r="FG305" s="29" t="s">
        <v>48</v>
      </c>
    </row>
    <row r="306" spans="1:166" customFormat="1" ht="15" x14ac:dyDescent="0.25">
      <c r="A306" s="71"/>
      <c r="B306" s="72"/>
      <c r="C306" s="148" t="s">
        <v>202</v>
      </c>
      <c r="D306" s="148"/>
      <c r="E306" s="148"/>
      <c r="F306" s="148"/>
      <c r="G306" s="148"/>
      <c r="H306" s="148"/>
      <c r="I306" s="148"/>
      <c r="J306" s="148"/>
      <c r="K306" s="148"/>
      <c r="L306" s="100">
        <f>L32+L38+L44+L47+L50+L65+L71+L77+L82+L87+L92+L97+L113+L119+L134+L140+L155+L160+L165+L181+L196+L206+L217+L220+L235+L237+L252+L255+L270+L275+L286+L297+L300+L305</f>
        <v>3283334.1896483856</v>
      </c>
      <c r="M306" s="106"/>
      <c r="EX306" s="20"/>
      <c r="EY306" s="29"/>
      <c r="EZ306" s="29"/>
      <c r="FA306" s="29"/>
      <c r="FG306" s="29"/>
      <c r="FI306" s="29"/>
      <c r="FJ306" s="29" t="s">
        <v>202</v>
      </c>
    </row>
    <row r="307" spans="1:166" customFormat="1" ht="15" customHeight="1" x14ac:dyDescent="0.25">
      <c r="A307" s="90" t="s">
        <v>203</v>
      </c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2"/>
      <c r="M307" s="106"/>
      <c r="EX307" s="20" t="s">
        <v>203</v>
      </c>
      <c r="EY307" s="29"/>
      <c r="EZ307" s="29"/>
      <c r="FA307" s="29"/>
      <c r="FG307" s="29"/>
      <c r="FI307" s="29"/>
      <c r="FJ307" s="29"/>
    </row>
    <row r="308" spans="1:166" customFormat="1" ht="34.5" x14ac:dyDescent="0.25">
      <c r="A308" s="21" t="s">
        <v>204</v>
      </c>
      <c r="B308" s="22" t="s">
        <v>205</v>
      </c>
      <c r="C308" s="148" t="s">
        <v>206</v>
      </c>
      <c r="D308" s="148"/>
      <c r="E308" s="148"/>
      <c r="F308" s="23" t="s">
        <v>70</v>
      </c>
      <c r="G308" s="24">
        <v>24.02</v>
      </c>
      <c r="H308" s="25">
        <v>1</v>
      </c>
      <c r="I308" s="57">
        <v>24.02</v>
      </c>
      <c r="J308" s="27"/>
      <c r="K308" s="24"/>
      <c r="L308" s="28"/>
      <c r="M308" s="106"/>
      <c r="EX308" s="20"/>
      <c r="EY308" s="29" t="s">
        <v>206</v>
      </c>
      <c r="EZ308" s="29" t="s">
        <v>0</v>
      </c>
      <c r="FA308" s="29" t="s">
        <v>0</v>
      </c>
      <c r="FG308" s="29"/>
      <c r="FI308" s="29"/>
      <c r="FJ308" s="29"/>
    </row>
    <row r="309" spans="1:166" customFormat="1" ht="15" x14ac:dyDescent="0.25">
      <c r="A309" s="30"/>
      <c r="B309" s="31"/>
      <c r="C309" s="146" t="s">
        <v>207</v>
      </c>
      <c r="D309" s="146"/>
      <c r="E309" s="146"/>
      <c r="F309" s="146"/>
      <c r="G309" s="146"/>
      <c r="H309" s="146"/>
      <c r="I309" s="146"/>
      <c r="J309" s="146"/>
      <c r="K309" s="146"/>
      <c r="L309" s="149"/>
      <c r="M309" s="106"/>
      <c r="EX309" s="20"/>
      <c r="EY309" s="29"/>
      <c r="EZ309" s="29"/>
      <c r="FA309" s="29"/>
      <c r="FB309" s="3" t="s">
        <v>207</v>
      </c>
      <c r="FG309" s="29"/>
      <c r="FI309" s="29"/>
      <c r="FJ309" s="29"/>
    </row>
    <row r="310" spans="1:166" customFormat="1" ht="68.25" x14ac:dyDescent="0.25">
      <c r="A310" s="32"/>
      <c r="B310" s="33" t="s">
        <v>27</v>
      </c>
      <c r="C310" s="141" t="s">
        <v>28</v>
      </c>
      <c r="D310" s="141"/>
      <c r="E310" s="141"/>
      <c r="F310" s="141"/>
      <c r="G310" s="141"/>
      <c r="H310" s="141"/>
      <c r="I310" s="141"/>
      <c r="J310" s="141"/>
      <c r="K310" s="141"/>
      <c r="L310" s="150"/>
      <c r="M310" s="106"/>
      <c r="EX310" s="20"/>
      <c r="EY310" s="29"/>
      <c r="EZ310" s="29"/>
      <c r="FA310" s="29"/>
      <c r="FC310" s="3" t="s">
        <v>28</v>
      </c>
      <c r="FG310" s="29"/>
      <c r="FI310" s="29"/>
      <c r="FJ310" s="29"/>
    </row>
    <row r="311" spans="1:166" customFormat="1" ht="23.25" x14ac:dyDescent="0.25">
      <c r="A311" s="32"/>
      <c r="B311" s="33" t="s">
        <v>29</v>
      </c>
      <c r="C311" s="141" t="s">
        <v>30</v>
      </c>
      <c r="D311" s="141"/>
      <c r="E311" s="141"/>
      <c r="F311" s="141"/>
      <c r="G311" s="141"/>
      <c r="H311" s="141"/>
      <c r="I311" s="141"/>
      <c r="J311" s="141"/>
      <c r="K311" s="141"/>
      <c r="L311" s="150"/>
      <c r="M311" s="106"/>
      <c r="N311" s="118" t="s">
        <v>318</v>
      </c>
      <c r="EX311" s="20"/>
      <c r="EY311" s="29"/>
      <c r="EZ311" s="29"/>
      <c r="FA311" s="29"/>
      <c r="FC311" s="3" t="s">
        <v>30</v>
      </c>
      <c r="FG311" s="29"/>
      <c r="FI311" s="29"/>
      <c r="FJ311" s="29"/>
    </row>
    <row r="312" spans="1:166" customFormat="1" ht="15" x14ac:dyDescent="0.25">
      <c r="A312" s="34"/>
      <c r="B312" s="33" t="s">
        <v>22</v>
      </c>
      <c r="C312" s="146" t="s">
        <v>31</v>
      </c>
      <c r="D312" s="146"/>
      <c r="E312" s="146"/>
      <c r="F312" s="35"/>
      <c r="G312" s="36"/>
      <c r="H312" s="36"/>
      <c r="I312" s="36"/>
      <c r="J312" s="39">
        <v>278.99</v>
      </c>
      <c r="K312" s="38">
        <v>1.3225</v>
      </c>
      <c r="L312" s="41">
        <f>G308*J312*K312</f>
        <v>8862.5218855000003</v>
      </c>
      <c r="M312" s="106">
        <v>49.45</v>
      </c>
      <c r="N312" s="112">
        <f>J312*M312</f>
        <v>13796.0555</v>
      </c>
      <c r="O312" s="113">
        <v>38460.345700000005</v>
      </c>
      <c r="P312" s="105">
        <f>G316</f>
        <v>29.68</v>
      </c>
      <c r="Q312" s="105">
        <f>O312/P312*8</f>
        <v>10366.670000000002</v>
      </c>
      <c r="R312" s="105">
        <f>Q312*22</f>
        <v>228066.74000000005</v>
      </c>
      <c r="S312" s="105">
        <f>R312*(1-0.13)</f>
        <v>198418.06380000003</v>
      </c>
      <c r="EX312" s="20"/>
      <c r="EY312" s="29"/>
      <c r="EZ312" s="29"/>
      <c r="FA312" s="29"/>
      <c r="FD312" s="3" t="s">
        <v>31</v>
      </c>
      <c r="FG312" s="29"/>
      <c r="FI312" s="29"/>
      <c r="FJ312" s="29"/>
    </row>
    <row r="313" spans="1:166" customFormat="1" ht="15" x14ac:dyDescent="0.25">
      <c r="A313" s="34"/>
      <c r="B313" s="33" t="s">
        <v>32</v>
      </c>
      <c r="C313" s="146" t="s">
        <v>33</v>
      </c>
      <c r="D313" s="146"/>
      <c r="E313" s="146"/>
      <c r="F313" s="35"/>
      <c r="G313" s="36"/>
      <c r="H313" s="36"/>
      <c r="I313" s="36"/>
      <c r="J313" s="39">
        <v>90.04</v>
      </c>
      <c r="K313" s="38">
        <v>1.4375</v>
      </c>
      <c r="L313" s="41">
        <f>G308*J313*K313</f>
        <v>3108.9686499999998</v>
      </c>
      <c r="M313" s="106">
        <v>14.53</v>
      </c>
      <c r="N313" s="112">
        <f>J313*M313*K313</f>
        <v>1880.6542250000002</v>
      </c>
      <c r="O313" s="113">
        <v>1150</v>
      </c>
      <c r="P313" s="105">
        <f>G317</f>
        <v>0.4</v>
      </c>
      <c r="Q313" s="105">
        <f>O313/P313*8</f>
        <v>23000</v>
      </c>
      <c r="EX313" s="20"/>
      <c r="EY313" s="29"/>
      <c r="EZ313" s="29"/>
      <c r="FA313" s="29"/>
      <c r="FD313" s="3" t="s">
        <v>33</v>
      </c>
      <c r="FG313" s="29"/>
      <c r="FI313" s="29"/>
      <c r="FJ313" s="29"/>
    </row>
    <row r="314" spans="1:166" customFormat="1" ht="15" x14ac:dyDescent="0.25">
      <c r="A314" s="34"/>
      <c r="B314" s="33" t="s">
        <v>34</v>
      </c>
      <c r="C314" s="146" t="s">
        <v>35</v>
      </c>
      <c r="D314" s="146"/>
      <c r="E314" s="146"/>
      <c r="F314" s="35"/>
      <c r="G314" s="36"/>
      <c r="H314" s="36"/>
      <c r="I314" s="36"/>
      <c r="J314" s="39">
        <v>5.0199999999999996</v>
      </c>
      <c r="K314" s="38">
        <v>1.4375</v>
      </c>
      <c r="L314" s="42">
        <f>G308*J314*K314</f>
        <v>173.33432499999998</v>
      </c>
      <c r="M314" s="106"/>
      <c r="EX314" s="20"/>
      <c r="EY314" s="29"/>
      <c r="EZ314" s="29"/>
      <c r="FA314" s="29"/>
      <c r="FD314" s="3" t="s">
        <v>35</v>
      </c>
      <c r="FG314" s="29"/>
      <c r="FI314" s="29"/>
      <c r="FJ314" s="29"/>
    </row>
    <row r="315" spans="1:166" customFormat="1" ht="15" x14ac:dyDescent="0.25">
      <c r="A315" s="34"/>
      <c r="B315" s="33" t="s">
        <v>36</v>
      </c>
      <c r="C315" s="146" t="s">
        <v>37</v>
      </c>
      <c r="D315" s="146"/>
      <c r="E315" s="146"/>
      <c r="F315" s="35"/>
      <c r="G315" s="36"/>
      <c r="H315" s="36"/>
      <c r="I315" s="36"/>
      <c r="J315" s="39">
        <v>37.630000000000003</v>
      </c>
      <c r="K315" s="36"/>
      <c r="L315" s="42">
        <f>G308*J315</f>
        <v>903.87260000000003</v>
      </c>
      <c r="M315" s="106"/>
      <c r="EX315" s="20"/>
      <c r="EY315" s="29"/>
      <c r="EZ315" s="29"/>
      <c r="FA315" s="29"/>
      <c r="FD315" s="3" t="s">
        <v>37</v>
      </c>
      <c r="FG315" s="29"/>
      <c r="FI315" s="29"/>
      <c r="FJ315" s="29"/>
    </row>
    <row r="316" spans="1:166" customFormat="1" ht="15" x14ac:dyDescent="0.25">
      <c r="A316" s="43"/>
      <c r="B316" s="33"/>
      <c r="C316" s="146" t="s">
        <v>38</v>
      </c>
      <c r="D316" s="146"/>
      <c r="E316" s="146"/>
      <c r="F316" s="35" t="s">
        <v>39</v>
      </c>
      <c r="G316" s="40">
        <v>29.68</v>
      </c>
      <c r="H316" s="38">
        <v>1.3225</v>
      </c>
      <c r="I316" s="60">
        <v>942.82823599999995</v>
      </c>
      <c r="J316" s="45"/>
      <c r="K316" s="36"/>
      <c r="L316" s="46"/>
      <c r="M316" s="106">
        <f>1.15*1.15</f>
        <v>1.3224999999999998</v>
      </c>
      <c r="EX316" s="20"/>
      <c r="EY316" s="29"/>
      <c r="EZ316" s="29"/>
      <c r="FA316" s="29"/>
      <c r="FE316" s="3" t="s">
        <v>38</v>
      </c>
      <c r="FG316" s="29"/>
      <c r="FI316" s="29"/>
      <c r="FJ316" s="29"/>
    </row>
    <row r="317" spans="1:166" customFormat="1" ht="15" x14ac:dyDescent="0.25">
      <c r="A317" s="43"/>
      <c r="B317" s="33"/>
      <c r="C317" s="146" t="s">
        <v>40</v>
      </c>
      <c r="D317" s="146"/>
      <c r="E317" s="146"/>
      <c r="F317" s="35" t="s">
        <v>39</v>
      </c>
      <c r="G317" s="61">
        <v>0.4</v>
      </c>
      <c r="H317" s="38">
        <v>1.4375</v>
      </c>
      <c r="I317" s="38">
        <v>13.811500000000001</v>
      </c>
      <c r="J317" s="45"/>
      <c r="K317" s="36"/>
      <c r="L317" s="46"/>
      <c r="M317" s="106"/>
      <c r="EX317" s="20"/>
      <c r="EY317" s="29"/>
      <c r="EZ317" s="29"/>
      <c r="FA317" s="29"/>
      <c r="FE317" s="3" t="s">
        <v>40</v>
      </c>
      <c r="FG317" s="29"/>
      <c r="FI317" s="29"/>
      <c r="FJ317" s="29"/>
    </row>
    <row r="318" spans="1:166" customFormat="1" ht="15" x14ac:dyDescent="0.25">
      <c r="A318" s="30"/>
      <c r="B318" s="33"/>
      <c r="C318" s="151" t="s">
        <v>41</v>
      </c>
      <c r="D318" s="151"/>
      <c r="E318" s="151"/>
      <c r="F318" s="47"/>
      <c r="G318" s="48"/>
      <c r="H318" s="48"/>
      <c r="I318" s="48"/>
      <c r="J318" s="62">
        <v>406.66</v>
      </c>
      <c r="K318" s="48"/>
      <c r="L318" s="50">
        <f>L312+L313+L315</f>
        <v>12875.363135500002</v>
      </c>
      <c r="M318" s="106"/>
      <c r="EX318" s="20"/>
      <c r="EY318" s="29"/>
      <c r="EZ318" s="29"/>
      <c r="FA318" s="29"/>
      <c r="FF318" s="3" t="s">
        <v>41</v>
      </c>
      <c r="FG318" s="29"/>
      <c r="FI318" s="29"/>
      <c r="FJ318" s="29"/>
    </row>
    <row r="319" spans="1:166" customFormat="1" ht="15" x14ac:dyDescent="0.25">
      <c r="A319" s="43"/>
      <c r="B319" s="33"/>
      <c r="C319" s="146" t="s">
        <v>42</v>
      </c>
      <c r="D319" s="146"/>
      <c r="E319" s="146"/>
      <c r="F319" s="35"/>
      <c r="G319" s="36"/>
      <c r="H319" s="36"/>
      <c r="I319" s="36"/>
      <c r="J319" s="45"/>
      <c r="K319" s="36"/>
      <c r="L319" s="41">
        <f>L312+L314</f>
        <v>9035.8562105000001</v>
      </c>
      <c r="M319" s="106"/>
      <c r="EX319" s="20"/>
      <c r="EY319" s="29"/>
      <c r="EZ319" s="29"/>
      <c r="FA319" s="29"/>
      <c r="FE319" s="3" t="s">
        <v>42</v>
      </c>
      <c r="FG319" s="29"/>
      <c r="FI319" s="29"/>
      <c r="FJ319" s="29"/>
    </row>
    <row r="320" spans="1:166" customFormat="1" ht="23.25" x14ac:dyDescent="0.25">
      <c r="A320" s="43"/>
      <c r="B320" s="33" t="s">
        <v>72</v>
      </c>
      <c r="C320" s="146" t="s">
        <v>73</v>
      </c>
      <c r="D320" s="146"/>
      <c r="E320" s="146"/>
      <c r="F320" s="35" t="s">
        <v>45</v>
      </c>
      <c r="G320" s="51">
        <v>97</v>
      </c>
      <c r="H320" s="36"/>
      <c r="I320" s="51">
        <v>97</v>
      </c>
      <c r="J320" s="45"/>
      <c r="K320" s="36"/>
      <c r="L320" s="41">
        <f>L319*I320%</f>
        <v>8764.7805241850001</v>
      </c>
      <c r="M320" s="106"/>
      <c r="EX320" s="20"/>
      <c r="EY320" s="29"/>
      <c r="EZ320" s="29"/>
      <c r="FA320" s="29"/>
      <c r="FE320" s="3" t="s">
        <v>73</v>
      </c>
      <c r="FG320" s="29"/>
      <c r="FI320" s="29"/>
      <c r="FJ320" s="29"/>
    </row>
    <row r="321" spans="1:166" customFormat="1" ht="23.25" x14ac:dyDescent="0.25">
      <c r="A321" s="43"/>
      <c r="B321" s="33" t="s">
        <v>74</v>
      </c>
      <c r="C321" s="146" t="s">
        <v>75</v>
      </c>
      <c r="D321" s="146"/>
      <c r="E321" s="146"/>
      <c r="F321" s="35" t="s">
        <v>45</v>
      </c>
      <c r="G321" s="51">
        <v>51</v>
      </c>
      <c r="H321" s="36"/>
      <c r="I321" s="51">
        <v>51</v>
      </c>
      <c r="J321" s="45"/>
      <c r="K321" s="36"/>
      <c r="L321" s="41">
        <f>L319*I321%</f>
        <v>4608.2866673549997</v>
      </c>
      <c r="M321" s="106"/>
      <c r="EX321" s="20"/>
      <c r="EY321" s="29"/>
      <c r="EZ321" s="29"/>
      <c r="FA321" s="29"/>
      <c r="FE321" s="3" t="s">
        <v>75</v>
      </c>
      <c r="FG321" s="29"/>
      <c r="FI321" s="29"/>
      <c r="FJ321" s="29"/>
    </row>
    <row r="322" spans="1:166" customFormat="1" ht="15" x14ac:dyDescent="0.25">
      <c r="A322" s="52"/>
      <c r="B322" s="53"/>
      <c r="C322" s="148" t="s">
        <v>48</v>
      </c>
      <c r="D322" s="148"/>
      <c r="E322" s="148"/>
      <c r="F322" s="23"/>
      <c r="G322" s="24"/>
      <c r="H322" s="24"/>
      <c r="I322" s="24"/>
      <c r="J322" s="27"/>
      <c r="K322" s="24"/>
      <c r="L322" s="96">
        <f>L318+L320+L321</f>
        <v>26248.430327040005</v>
      </c>
      <c r="M322" s="106"/>
      <c r="EX322" s="20"/>
      <c r="EY322" s="29"/>
      <c r="EZ322" s="29"/>
      <c r="FA322" s="29"/>
      <c r="FG322" s="29" t="s">
        <v>48</v>
      </c>
      <c r="FI322" s="29"/>
      <c r="FJ322" s="29"/>
    </row>
    <row r="323" spans="1:166" customFormat="1" ht="45" x14ac:dyDescent="0.25">
      <c r="A323" s="21" t="s">
        <v>208</v>
      </c>
      <c r="B323" s="22" t="s">
        <v>209</v>
      </c>
      <c r="C323" s="148" t="s">
        <v>210</v>
      </c>
      <c r="D323" s="148"/>
      <c r="E323" s="148"/>
      <c r="F323" s="23" t="s">
        <v>172</v>
      </c>
      <c r="G323" s="24">
        <v>2450.04</v>
      </c>
      <c r="H323" s="25">
        <v>1</v>
      </c>
      <c r="I323" s="57">
        <v>2450.04</v>
      </c>
      <c r="J323" s="56">
        <f>1856.4/1.2</f>
        <v>1547.0000000000002</v>
      </c>
      <c r="K323" s="26">
        <v>1.04236</v>
      </c>
      <c r="L323" s="55">
        <f>G323*J323*K323</f>
        <v>3950765.2552368003</v>
      </c>
      <c r="M323" s="106"/>
      <c r="EX323" s="20"/>
      <c r="EY323" s="29" t="s">
        <v>210</v>
      </c>
      <c r="EZ323" s="29" t="s">
        <v>0</v>
      </c>
      <c r="FA323" s="29" t="s">
        <v>0</v>
      </c>
      <c r="FG323" s="29"/>
      <c r="FI323" s="29"/>
      <c r="FJ323" s="29"/>
    </row>
    <row r="324" spans="1:166" customFormat="1" ht="15" x14ac:dyDescent="0.25">
      <c r="A324" s="30"/>
      <c r="B324" s="31"/>
      <c r="C324" s="146" t="s">
        <v>211</v>
      </c>
      <c r="D324" s="146"/>
      <c r="E324" s="146"/>
      <c r="F324" s="146"/>
      <c r="G324" s="146"/>
      <c r="H324" s="146"/>
      <c r="I324" s="146"/>
      <c r="J324" s="146"/>
      <c r="K324" s="146"/>
      <c r="L324" s="149"/>
      <c r="M324" s="106"/>
      <c r="EX324" s="20"/>
      <c r="EY324" s="29"/>
      <c r="EZ324" s="29"/>
      <c r="FA324" s="29"/>
      <c r="FB324" s="3" t="s">
        <v>211</v>
      </c>
      <c r="FG324" s="29"/>
      <c r="FI324" s="29"/>
      <c r="FJ324" s="29"/>
    </row>
    <row r="325" spans="1:166" customFormat="1" ht="15" x14ac:dyDescent="0.25">
      <c r="A325" s="30"/>
      <c r="B325" s="31"/>
      <c r="C325" s="152" t="s">
        <v>308</v>
      </c>
      <c r="D325" s="146"/>
      <c r="E325" s="146"/>
      <c r="F325" s="146"/>
      <c r="G325" s="146"/>
      <c r="H325" s="146"/>
      <c r="I325" s="146"/>
      <c r="J325" s="146"/>
      <c r="K325" s="146"/>
      <c r="L325" s="149"/>
      <c r="M325" s="106"/>
      <c r="EX325" s="20"/>
      <c r="EY325" s="29"/>
      <c r="EZ325" s="29"/>
      <c r="FA325" s="29"/>
      <c r="FG325" s="29"/>
      <c r="FH325" s="3" t="s">
        <v>212</v>
      </c>
      <c r="FI325" s="29"/>
      <c r="FJ325" s="29"/>
    </row>
    <row r="326" spans="1:166" customFormat="1" ht="15" x14ac:dyDescent="0.25">
      <c r="A326" s="32"/>
      <c r="B326" s="33"/>
      <c r="C326" s="141" t="s">
        <v>54</v>
      </c>
      <c r="D326" s="141"/>
      <c r="E326" s="141"/>
      <c r="F326" s="141"/>
      <c r="G326" s="141"/>
      <c r="H326" s="141"/>
      <c r="I326" s="141"/>
      <c r="J326" s="141"/>
      <c r="K326" s="141"/>
      <c r="L326" s="150"/>
      <c r="M326" s="106"/>
      <c r="EX326" s="20"/>
      <c r="EY326" s="29"/>
      <c r="EZ326" s="29"/>
      <c r="FA326" s="29"/>
      <c r="FC326" s="3" t="s">
        <v>54</v>
      </c>
      <c r="FG326" s="29"/>
      <c r="FI326" s="29"/>
      <c r="FJ326" s="29"/>
    </row>
    <row r="327" spans="1:166" customFormat="1" ht="15" x14ac:dyDescent="0.25">
      <c r="A327" s="32"/>
      <c r="B327" s="33"/>
      <c r="C327" s="141" t="s">
        <v>55</v>
      </c>
      <c r="D327" s="141"/>
      <c r="E327" s="141"/>
      <c r="F327" s="141"/>
      <c r="G327" s="141"/>
      <c r="H327" s="141"/>
      <c r="I327" s="141"/>
      <c r="J327" s="141"/>
      <c r="K327" s="141"/>
      <c r="L327" s="150"/>
      <c r="M327" s="106"/>
      <c r="EX327" s="20"/>
      <c r="EY327" s="29"/>
      <c r="EZ327" s="29"/>
      <c r="FA327" s="29"/>
      <c r="FC327" s="3" t="s">
        <v>55</v>
      </c>
      <c r="FG327" s="29"/>
      <c r="FI327" s="29"/>
      <c r="FJ327" s="29"/>
    </row>
    <row r="328" spans="1:166" customFormat="1" ht="15" x14ac:dyDescent="0.25">
      <c r="A328" s="52"/>
      <c r="B328" s="53"/>
      <c r="C328" s="148" t="s">
        <v>48</v>
      </c>
      <c r="D328" s="148"/>
      <c r="E328" s="148"/>
      <c r="F328" s="23"/>
      <c r="G328" s="24"/>
      <c r="H328" s="24"/>
      <c r="I328" s="24"/>
      <c r="J328" s="27"/>
      <c r="K328" s="24"/>
      <c r="L328" s="96">
        <f>L323</f>
        <v>3950765.2552368003</v>
      </c>
      <c r="M328" s="106"/>
      <c r="EX328" s="20"/>
      <c r="EY328" s="29"/>
      <c r="EZ328" s="29"/>
      <c r="FA328" s="29"/>
      <c r="FG328" s="29" t="s">
        <v>48</v>
      </c>
      <c r="FI328" s="29"/>
      <c r="FJ328" s="29"/>
    </row>
    <row r="329" spans="1:166" customFormat="1" ht="34.5" x14ac:dyDescent="0.25">
      <c r="A329" s="21" t="s">
        <v>213</v>
      </c>
      <c r="B329" s="138" t="s">
        <v>214</v>
      </c>
      <c r="C329" s="148" t="s">
        <v>215</v>
      </c>
      <c r="D329" s="148"/>
      <c r="E329" s="148"/>
      <c r="F329" s="23" t="s">
        <v>70</v>
      </c>
      <c r="G329" s="24">
        <v>9.1</v>
      </c>
      <c r="H329" s="25">
        <v>1</v>
      </c>
      <c r="I329" s="65">
        <v>9.1</v>
      </c>
      <c r="J329" s="27"/>
      <c r="K329" s="24"/>
      <c r="L329" s="28"/>
      <c r="M329" s="106"/>
      <c r="EX329" s="20"/>
      <c r="EY329" s="29" t="s">
        <v>215</v>
      </c>
      <c r="EZ329" s="29" t="s">
        <v>0</v>
      </c>
      <c r="FA329" s="29" t="s">
        <v>0</v>
      </c>
      <c r="FG329" s="29"/>
      <c r="FI329" s="29"/>
      <c r="FJ329" s="29"/>
    </row>
    <row r="330" spans="1:166" customFormat="1" ht="15" x14ac:dyDescent="0.25">
      <c r="A330" s="30"/>
      <c r="B330" s="31"/>
      <c r="C330" s="146" t="s">
        <v>216</v>
      </c>
      <c r="D330" s="146"/>
      <c r="E330" s="146"/>
      <c r="F330" s="146"/>
      <c r="G330" s="146"/>
      <c r="H330" s="146"/>
      <c r="I330" s="146"/>
      <c r="J330" s="146"/>
      <c r="K330" s="146"/>
      <c r="L330" s="149"/>
      <c r="M330" s="106"/>
      <c r="EX330" s="20"/>
      <c r="EY330" s="29"/>
      <c r="EZ330" s="29"/>
      <c r="FA330" s="29"/>
      <c r="FB330" s="3" t="s">
        <v>216</v>
      </c>
      <c r="FG330" s="29"/>
      <c r="FI330" s="29"/>
      <c r="FJ330" s="29"/>
    </row>
    <row r="331" spans="1:166" customFormat="1" ht="68.25" x14ac:dyDescent="0.25">
      <c r="A331" s="32"/>
      <c r="B331" s="33" t="s">
        <v>27</v>
      </c>
      <c r="C331" s="141" t="s">
        <v>28</v>
      </c>
      <c r="D331" s="141"/>
      <c r="E331" s="141"/>
      <c r="F331" s="141"/>
      <c r="G331" s="141"/>
      <c r="H331" s="141"/>
      <c r="I331" s="141"/>
      <c r="J331" s="141"/>
      <c r="K331" s="141"/>
      <c r="L331" s="150"/>
      <c r="M331" s="106"/>
      <c r="EX331" s="20"/>
      <c r="EY331" s="29"/>
      <c r="EZ331" s="29"/>
      <c r="FA331" s="29"/>
      <c r="FC331" s="3" t="s">
        <v>28</v>
      </c>
      <c r="FG331" s="29"/>
      <c r="FI331" s="29"/>
      <c r="FJ331" s="29"/>
    </row>
    <row r="332" spans="1:166" customFormat="1" ht="15" x14ac:dyDescent="0.25">
      <c r="A332" s="32"/>
      <c r="B332" s="33" t="s">
        <v>105</v>
      </c>
      <c r="C332" s="141" t="s">
        <v>106</v>
      </c>
      <c r="D332" s="141"/>
      <c r="E332" s="141"/>
      <c r="F332" s="141"/>
      <c r="G332" s="141"/>
      <c r="H332" s="141"/>
      <c r="I332" s="141"/>
      <c r="J332" s="141"/>
      <c r="K332" s="141"/>
      <c r="L332" s="150"/>
      <c r="M332" s="106"/>
      <c r="EX332" s="20"/>
      <c r="EY332" s="29"/>
      <c r="EZ332" s="29"/>
      <c r="FA332" s="29"/>
      <c r="FC332" s="3" t="s">
        <v>106</v>
      </c>
      <c r="FG332" s="29"/>
      <c r="FI332" s="29"/>
      <c r="FJ332" s="29"/>
    </row>
    <row r="333" spans="1:166" customFormat="1" ht="23.25" x14ac:dyDescent="0.25">
      <c r="A333" s="32"/>
      <c r="B333" s="33" t="s">
        <v>29</v>
      </c>
      <c r="C333" s="141" t="s">
        <v>30</v>
      </c>
      <c r="D333" s="141"/>
      <c r="E333" s="141"/>
      <c r="F333" s="141"/>
      <c r="G333" s="141"/>
      <c r="H333" s="141"/>
      <c r="I333" s="141"/>
      <c r="J333" s="141"/>
      <c r="K333" s="141"/>
      <c r="L333" s="150"/>
      <c r="M333" s="106"/>
      <c r="N333" s="118" t="s">
        <v>318</v>
      </c>
      <c r="EX333" s="20"/>
      <c r="EY333" s="29"/>
      <c r="EZ333" s="29"/>
      <c r="FA333" s="29"/>
      <c r="FC333" s="3" t="s">
        <v>30</v>
      </c>
      <c r="FG333" s="29"/>
      <c r="FI333" s="29"/>
      <c r="FJ333" s="29"/>
    </row>
    <row r="334" spans="1:166" customFormat="1" ht="15" x14ac:dyDescent="0.25">
      <c r="A334" s="34"/>
      <c r="B334" s="33" t="s">
        <v>22</v>
      </c>
      <c r="C334" s="146" t="s">
        <v>31</v>
      </c>
      <c r="D334" s="146"/>
      <c r="E334" s="146"/>
      <c r="F334" s="35"/>
      <c r="G334" s="36"/>
      <c r="H334" s="36"/>
      <c r="I334" s="36"/>
      <c r="J334" s="39">
        <v>230.11</v>
      </c>
      <c r="K334" s="64">
        <v>1.45475</v>
      </c>
      <c r="L334" s="41">
        <f>G329*J334*K334</f>
        <v>3046.2479547500002</v>
      </c>
      <c r="M334" s="106">
        <v>49.45</v>
      </c>
      <c r="N334" s="112">
        <f>J334*M334*K334</f>
        <v>16553.512237625004</v>
      </c>
      <c r="O334" s="113">
        <v>31722.010199999993</v>
      </c>
      <c r="P334" s="105">
        <f>G338</f>
        <v>24.48</v>
      </c>
      <c r="Q334" s="105">
        <f>O334/P334*8</f>
        <v>10366.669999999998</v>
      </c>
      <c r="R334" s="105">
        <f>Q334*22</f>
        <v>228066.73999999996</v>
      </c>
      <c r="S334" s="105">
        <f>R334*(1-0.43)</f>
        <v>129998.04179999999</v>
      </c>
      <c r="EX334" s="20"/>
      <c r="EY334" s="29"/>
      <c r="EZ334" s="29"/>
      <c r="FA334" s="29"/>
      <c r="FD334" s="3" t="s">
        <v>31</v>
      </c>
      <c r="FG334" s="29"/>
      <c r="FI334" s="29"/>
      <c r="FJ334" s="29"/>
    </row>
    <row r="335" spans="1:166" customFormat="1" ht="15" x14ac:dyDescent="0.25">
      <c r="A335" s="34"/>
      <c r="B335" s="33" t="s">
        <v>32</v>
      </c>
      <c r="C335" s="146" t="s">
        <v>33</v>
      </c>
      <c r="D335" s="146"/>
      <c r="E335" s="146"/>
      <c r="F335" s="35"/>
      <c r="G335" s="36"/>
      <c r="H335" s="36"/>
      <c r="I335" s="36"/>
      <c r="J335" s="39">
        <v>842.61</v>
      </c>
      <c r="K335" s="38">
        <v>1.4375</v>
      </c>
      <c r="L335" s="41">
        <f>G329*J335*K335</f>
        <v>11022.392062500001</v>
      </c>
      <c r="M335" s="106">
        <v>14.53</v>
      </c>
      <c r="N335" s="112">
        <f>J335*M335*K335</f>
        <v>17599.48974375</v>
      </c>
      <c r="O335" s="113">
        <v>57385</v>
      </c>
      <c r="P335" s="105">
        <f>G339</f>
        <v>19.96</v>
      </c>
      <c r="Q335" s="105">
        <f>O335/P335*8</f>
        <v>23000</v>
      </c>
      <c r="EX335" s="20"/>
      <c r="EY335" s="29"/>
      <c r="EZ335" s="29"/>
      <c r="FA335" s="29"/>
      <c r="FD335" s="3" t="s">
        <v>33</v>
      </c>
      <c r="FG335" s="29"/>
      <c r="FI335" s="29"/>
      <c r="FJ335" s="29"/>
    </row>
    <row r="336" spans="1:166" customFormat="1" ht="15" x14ac:dyDescent="0.25">
      <c r="A336" s="34"/>
      <c r="B336" s="33" t="s">
        <v>34</v>
      </c>
      <c r="C336" s="146" t="s">
        <v>35</v>
      </c>
      <c r="D336" s="146"/>
      <c r="E336" s="146"/>
      <c r="F336" s="35"/>
      <c r="G336" s="36"/>
      <c r="H336" s="36"/>
      <c r="I336" s="36"/>
      <c r="J336" s="39">
        <v>216.58</v>
      </c>
      <c r="K336" s="38">
        <v>1.4375</v>
      </c>
      <c r="L336" s="41">
        <f>G329*J336*K336</f>
        <v>2833.1371249999997</v>
      </c>
      <c r="M336" s="106"/>
      <c r="EX336" s="20"/>
      <c r="EY336" s="29"/>
      <c r="EZ336" s="29"/>
      <c r="FA336" s="29"/>
      <c r="FD336" s="3" t="s">
        <v>35</v>
      </c>
      <c r="FG336" s="29"/>
      <c r="FI336" s="29"/>
      <c r="FJ336" s="29"/>
    </row>
    <row r="337" spans="1:166" customFormat="1" ht="15" x14ac:dyDescent="0.25">
      <c r="A337" s="34"/>
      <c r="B337" s="33" t="s">
        <v>36</v>
      </c>
      <c r="C337" s="146" t="s">
        <v>37</v>
      </c>
      <c r="D337" s="146"/>
      <c r="E337" s="146"/>
      <c r="F337" s="35"/>
      <c r="G337" s="36"/>
      <c r="H337" s="36"/>
      <c r="I337" s="36"/>
      <c r="J337" s="39">
        <v>42.16</v>
      </c>
      <c r="K337" s="36"/>
      <c r="L337" s="42">
        <f>G329*J337</f>
        <v>383.65599999999995</v>
      </c>
      <c r="M337" s="106"/>
      <c r="EX337" s="20"/>
      <c r="EY337" s="29"/>
      <c r="EZ337" s="29"/>
      <c r="FA337" s="29"/>
      <c r="FD337" s="3" t="s">
        <v>37</v>
      </c>
      <c r="FG337" s="29"/>
      <c r="FI337" s="29"/>
      <c r="FJ337" s="29"/>
    </row>
    <row r="338" spans="1:166" customFormat="1" ht="15" x14ac:dyDescent="0.25">
      <c r="A338" s="43"/>
      <c r="B338" s="33"/>
      <c r="C338" s="146" t="s">
        <v>38</v>
      </c>
      <c r="D338" s="146"/>
      <c r="E338" s="146"/>
      <c r="F338" s="35" t="s">
        <v>39</v>
      </c>
      <c r="G338" s="40">
        <v>24.48</v>
      </c>
      <c r="H338" s="64">
        <v>1.45475</v>
      </c>
      <c r="I338" s="60">
        <v>324.07174800000001</v>
      </c>
      <c r="J338" s="45"/>
      <c r="K338" s="36"/>
      <c r="L338" s="46"/>
      <c r="M338" s="106"/>
      <c r="EX338" s="20"/>
      <c r="EY338" s="29"/>
      <c r="EZ338" s="29"/>
      <c r="FA338" s="29"/>
      <c r="FE338" s="3" t="s">
        <v>38</v>
      </c>
      <c r="FG338" s="29"/>
      <c r="FI338" s="29"/>
      <c r="FJ338" s="29"/>
    </row>
    <row r="339" spans="1:166" customFormat="1" ht="15" x14ac:dyDescent="0.25">
      <c r="A339" s="43"/>
      <c r="B339" s="33"/>
      <c r="C339" s="146" t="s">
        <v>40</v>
      </c>
      <c r="D339" s="146"/>
      <c r="E339" s="146"/>
      <c r="F339" s="35" t="s">
        <v>39</v>
      </c>
      <c r="G339" s="40">
        <v>19.96</v>
      </c>
      <c r="H339" s="38">
        <v>1.4375</v>
      </c>
      <c r="I339" s="64">
        <v>261.10174999999998</v>
      </c>
      <c r="J339" s="45"/>
      <c r="K339" s="36"/>
      <c r="L339" s="46"/>
      <c r="M339" s="106"/>
      <c r="EX339" s="20"/>
      <c r="EY339" s="29"/>
      <c r="EZ339" s="29"/>
      <c r="FA339" s="29"/>
      <c r="FE339" s="3" t="s">
        <v>40</v>
      </c>
      <c r="FG339" s="29"/>
      <c r="FI339" s="29"/>
      <c r="FJ339" s="29"/>
    </row>
    <row r="340" spans="1:166" customFormat="1" ht="15" x14ac:dyDescent="0.25">
      <c r="A340" s="30"/>
      <c r="B340" s="33"/>
      <c r="C340" s="151" t="s">
        <v>41</v>
      </c>
      <c r="D340" s="151"/>
      <c r="E340" s="151"/>
      <c r="F340" s="47"/>
      <c r="G340" s="48"/>
      <c r="H340" s="48"/>
      <c r="I340" s="48"/>
      <c r="J340" s="49">
        <v>1114.8800000000001</v>
      </c>
      <c r="K340" s="48"/>
      <c r="L340" s="50">
        <f>L334+L335+L337</f>
        <v>14452.296017250002</v>
      </c>
      <c r="M340" s="106"/>
      <c r="EX340" s="20"/>
      <c r="EY340" s="29"/>
      <c r="EZ340" s="29"/>
      <c r="FA340" s="29"/>
      <c r="FF340" s="3" t="s">
        <v>41</v>
      </c>
      <c r="FG340" s="29"/>
      <c r="FI340" s="29"/>
      <c r="FJ340" s="29"/>
    </row>
    <row r="341" spans="1:166" customFormat="1" ht="15" x14ac:dyDescent="0.25">
      <c r="A341" s="43"/>
      <c r="B341" s="33"/>
      <c r="C341" s="146" t="s">
        <v>42</v>
      </c>
      <c r="D341" s="146"/>
      <c r="E341" s="146"/>
      <c r="F341" s="35"/>
      <c r="G341" s="36"/>
      <c r="H341" s="36"/>
      <c r="I341" s="36"/>
      <c r="J341" s="45"/>
      <c r="K341" s="36"/>
      <c r="L341" s="41">
        <f>L334+L336</f>
        <v>5879.3850797499999</v>
      </c>
      <c r="M341" s="106"/>
      <c r="EX341" s="20"/>
      <c r="EY341" s="29"/>
      <c r="EZ341" s="29"/>
      <c r="FA341" s="29"/>
      <c r="FE341" s="3" t="s">
        <v>42</v>
      </c>
      <c r="FG341" s="29"/>
      <c r="FI341" s="29"/>
      <c r="FJ341" s="29"/>
    </row>
    <row r="342" spans="1:166" customFormat="1" ht="23.25" x14ac:dyDescent="0.25">
      <c r="A342" s="43"/>
      <c r="B342" s="33" t="s">
        <v>72</v>
      </c>
      <c r="C342" s="146" t="s">
        <v>73</v>
      </c>
      <c r="D342" s="146"/>
      <c r="E342" s="146"/>
      <c r="F342" s="35" t="s">
        <v>45</v>
      </c>
      <c r="G342" s="51">
        <v>97</v>
      </c>
      <c r="H342" s="36"/>
      <c r="I342" s="51">
        <v>97</v>
      </c>
      <c r="J342" s="45"/>
      <c r="K342" s="36"/>
      <c r="L342" s="41">
        <f>L341*I342%</f>
        <v>5703.0035273574995</v>
      </c>
      <c r="M342" s="106"/>
      <c r="EX342" s="20"/>
      <c r="EY342" s="29"/>
      <c r="EZ342" s="29"/>
      <c r="FA342" s="29"/>
      <c r="FE342" s="3" t="s">
        <v>73</v>
      </c>
      <c r="FG342" s="29"/>
      <c r="FI342" s="29"/>
      <c r="FJ342" s="29"/>
    </row>
    <row r="343" spans="1:166" customFormat="1" ht="23.25" x14ac:dyDescent="0.25">
      <c r="A343" s="43"/>
      <c r="B343" s="33" t="s">
        <v>74</v>
      </c>
      <c r="C343" s="146" t="s">
        <v>75</v>
      </c>
      <c r="D343" s="146"/>
      <c r="E343" s="146"/>
      <c r="F343" s="35" t="s">
        <v>45</v>
      </c>
      <c r="G343" s="51">
        <v>51</v>
      </c>
      <c r="H343" s="36"/>
      <c r="I343" s="51">
        <v>51</v>
      </c>
      <c r="J343" s="45"/>
      <c r="K343" s="36"/>
      <c r="L343" s="41">
        <f>L341*I343%</f>
        <v>2998.4863906725</v>
      </c>
      <c r="M343" s="106"/>
      <c r="EX343" s="20"/>
      <c r="EY343" s="29"/>
      <c r="EZ343" s="29"/>
      <c r="FA343" s="29"/>
      <c r="FE343" s="3" t="s">
        <v>75</v>
      </c>
      <c r="FG343" s="29"/>
      <c r="FI343" s="29"/>
      <c r="FJ343" s="29"/>
    </row>
    <row r="344" spans="1:166" customFormat="1" ht="15" x14ac:dyDescent="0.25">
      <c r="A344" s="52"/>
      <c r="B344" s="53"/>
      <c r="C344" s="148" t="s">
        <v>48</v>
      </c>
      <c r="D344" s="148"/>
      <c r="E344" s="148"/>
      <c r="F344" s="23"/>
      <c r="G344" s="24"/>
      <c r="H344" s="24"/>
      <c r="I344" s="24"/>
      <c r="J344" s="27"/>
      <c r="K344" s="24"/>
      <c r="L344" s="96">
        <f>L340+L342+L343</f>
        <v>23153.785935280001</v>
      </c>
      <c r="M344" s="106"/>
      <c r="EX344" s="20"/>
      <c r="EY344" s="29"/>
      <c r="EZ344" s="29"/>
      <c r="FA344" s="29"/>
      <c r="FG344" s="29" t="s">
        <v>48</v>
      </c>
      <c r="FI344" s="29"/>
      <c r="FJ344" s="29"/>
    </row>
    <row r="345" spans="1:166" customFormat="1" ht="45" x14ac:dyDescent="0.25">
      <c r="A345" s="21" t="s">
        <v>217</v>
      </c>
      <c r="B345" s="22" t="s">
        <v>209</v>
      </c>
      <c r="C345" s="148" t="s">
        <v>210</v>
      </c>
      <c r="D345" s="148"/>
      <c r="E345" s="148"/>
      <c r="F345" s="23" t="s">
        <v>172</v>
      </c>
      <c r="G345" s="24">
        <v>928.2</v>
      </c>
      <c r="H345" s="25">
        <v>1</v>
      </c>
      <c r="I345" s="65">
        <v>2450.04</v>
      </c>
      <c r="J345" s="56">
        <f>1856.4/1.2</f>
        <v>1547.0000000000002</v>
      </c>
      <c r="K345" s="26">
        <v>1.04236</v>
      </c>
      <c r="L345" s="55">
        <f>G345*J345*K345</f>
        <v>1496751.1999440002</v>
      </c>
      <c r="M345" s="106"/>
      <c r="EX345" s="20"/>
      <c r="EY345" s="29" t="s">
        <v>210</v>
      </c>
      <c r="EZ345" s="29" t="s">
        <v>0</v>
      </c>
      <c r="FA345" s="29" t="s">
        <v>0</v>
      </c>
      <c r="FG345" s="29"/>
      <c r="FI345" s="29"/>
      <c r="FJ345" s="29"/>
    </row>
    <row r="346" spans="1:166" customFormat="1" ht="15" x14ac:dyDescent="0.25">
      <c r="A346" s="30"/>
      <c r="B346" s="31"/>
      <c r="C346" s="146" t="s">
        <v>218</v>
      </c>
      <c r="D346" s="146"/>
      <c r="E346" s="146"/>
      <c r="F346" s="146"/>
      <c r="G346" s="146"/>
      <c r="H346" s="146"/>
      <c r="I346" s="146"/>
      <c r="J346" s="146"/>
      <c r="K346" s="146"/>
      <c r="L346" s="149"/>
      <c r="M346" s="106"/>
      <c r="EX346" s="20"/>
      <c r="EY346" s="29"/>
      <c r="EZ346" s="29"/>
      <c r="FA346" s="29"/>
      <c r="FB346" s="3" t="s">
        <v>218</v>
      </c>
      <c r="FG346" s="29"/>
      <c r="FI346" s="29"/>
      <c r="FJ346" s="29"/>
    </row>
    <row r="347" spans="1:166" customFormat="1" ht="15" x14ac:dyDescent="0.25">
      <c r="A347" s="30"/>
      <c r="B347" s="31"/>
      <c r="C347" s="152" t="s">
        <v>308</v>
      </c>
      <c r="D347" s="146"/>
      <c r="E347" s="146"/>
      <c r="F347" s="146"/>
      <c r="G347" s="146"/>
      <c r="H347" s="146"/>
      <c r="I347" s="146"/>
      <c r="J347" s="146"/>
      <c r="K347" s="146"/>
      <c r="L347" s="149"/>
      <c r="M347" s="106"/>
      <c r="EX347" s="20"/>
      <c r="EY347" s="29"/>
      <c r="EZ347" s="29"/>
      <c r="FA347" s="29"/>
      <c r="FG347" s="29"/>
      <c r="FH347" s="3" t="s">
        <v>212</v>
      </c>
      <c r="FI347" s="29"/>
      <c r="FJ347" s="29"/>
    </row>
    <row r="348" spans="1:166" customFormat="1" ht="15" x14ac:dyDescent="0.25">
      <c r="A348" s="32"/>
      <c r="B348" s="33"/>
      <c r="C348" s="141" t="s">
        <v>54</v>
      </c>
      <c r="D348" s="141"/>
      <c r="E348" s="141"/>
      <c r="F348" s="141"/>
      <c r="G348" s="141"/>
      <c r="H348" s="141"/>
      <c r="I348" s="141"/>
      <c r="J348" s="141"/>
      <c r="K348" s="141"/>
      <c r="L348" s="150"/>
      <c r="M348" s="106"/>
      <c r="EX348" s="20"/>
      <c r="EY348" s="29"/>
      <c r="EZ348" s="29"/>
      <c r="FA348" s="29"/>
      <c r="FC348" s="3" t="s">
        <v>54</v>
      </c>
      <c r="FG348" s="29"/>
      <c r="FI348" s="29"/>
      <c r="FJ348" s="29"/>
    </row>
    <row r="349" spans="1:166" customFormat="1" ht="15" x14ac:dyDescent="0.25">
      <c r="A349" s="32"/>
      <c r="B349" s="33"/>
      <c r="C349" s="141" t="s">
        <v>55</v>
      </c>
      <c r="D349" s="141"/>
      <c r="E349" s="141"/>
      <c r="F349" s="141"/>
      <c r="G349" s="141"/>
      <c r="H349" s="141"/>
      <c r="I349" s="141"/>
      <c r="J349" s="141"/>
      <c r="K349" s="141"/>
      <c r="L349" s="150"/>
      <c r="M349" s="106"/>
      <c r="EX349" s="20"/>
      <c r="EY349" s="29"/>
      <c r="EZ349" s="29"/>
      <c r="FA349" s="29"/>
      <c r="FC349" s="3" t="s">
        <v>55</v>
      </c>
      <c r="FG349" s="29"/>
      <c r="FI349" s="29"/>
      <c r="FJ349" s="29"/>
    </row>
    <row r="350" spans="1:166" customFormat="1" ht="15" x14ac:dyDescent="0.25">
      <c r="A350" s="52"/>
      <c r="B350" s="53"/>
      <c r="C350" s="148" t="s">
        <v>48</v>
      </c>
      <c r="D350" s="148"/>
      <c r="E350" s="148"/>
      <c r="F350" s="23"/>
      <c r="G350" s="24"/>
      <c r="H350" s="24"/>
      <c r="I350" s="24"/>
      <c r="J350" s="27"/>
      <c r="K350" s="24"/>
      <c r="L350" s="96">
        <f>L345</f>
        <v>1496751.1999440002</v>
      </c>
      <c r="M350" s="106"/>
      <c r="EX350" s="20"/>
      <c r="EY350" s="29"/>
      <c r="EZ350" s="29"/>
      <c r="FA350" s="29"/>
      <c r="FG350" s="29" t="s">
        <v>48</v>
      </c>
      <c r="FI350" s="29"/>
      <c r="FJ350" s="29"/>
    </row>
    <row r="351" spans="1:166" customFormat="1" ht="23.25" x14ac:dyDescent="0.25">
      <c r="A351" s="21" t="s">
        <v>219</v>
      </c>
      <c r="B351" s="138" t="s">
        <v>220</v>
      </c>
      <c r="C351" s="148" t="s">
        <v>221</v>
      </c>
      <c r="D351" s="148"/>
      <c r="E351" s="148"/>
      <c r="F351" s="23" t="s">
        <v>134</v>
      </c>
      <c r="G351" s="24">
        <v>0.95799999999999996</v>
      </c>
      <c r="H351" s="25">
        <v>1</v>
      </c>
      <c r="I351" s="58">
        <v>0.95799999999999996</v>
      </c>
      <c r="J351" s="27"/>
      <c r="K351" s="24"/>
      <c r="L351" s="28"/>
      <c r="M351" s="106"/>
      <c r="EX351" s="20"/>
      <c r="EY351" s="29" t="s">
        <v>221</v>
      </c>
      <c r="EZ351" s="29" t="s">
        <v>0</v>
      </c>
      <c r="FA351" s="29" t="s">
        <v>0</v>
      </c>
      <c r="FG351" s="29"/>
      <c r="FI351" s="29"/>
      <c r="FJ351" s="29"/>
    </row>
    <row r="352" spans="1:166" customFormat="1" ht="15" x14ac:dyDescent="0.25">
      <c r="A352" s="30"/>
      <c r="B352" s="31"/>
      <c r="C352" s="146" t="s">
        <v>222</v>
      </c>
      <c r="D352" s="146"/>
      <c r="E352" s="146"/>
      <c r="F352" s="146"/>
      <c r="G352" s="146"/>
      <c r="H352" s="146"/>
      <c r="I352" s="146"/>
      <c r="J352" s="146"/>
      <c r="K352" s="146"/>
      <c r="L352" s="149"/>
      <c r="M352" s="106"/>
      <c r="EX352" s="20"/>
      <c r="EY352" s="29"/>
      <c r="EZ352" s="29"/>
      <c r="FA352" s="29"/>
      <c r="FB352" s="3" t="s">
        <v>222</v>
      </c>
      <c r="FG352" s="29"/>
      <c r="FI352" s="29"/>
      <c r="FJ352" s="29"/>
    </row>
    <row r="353" spans="1:166" customFormat="1" ht="68.25" x14ac:dyDescent="0.25">
      <c r="A353" s="32"/>
      <c r="B353" s="33" t="s">
        <v>27</v>
      </c>
      <c r="C353" s="141" t="s">
        <v>28</v>
      </c>
      <c r="D353" s="141"/>
      <c r="E353" s="141"/>
      <c r="F353" s="141"/>
      <c r="G353" s="141"/>
      <c r="H353" s="141"/>
      <c r="I353" s="141"/>
      <c r="J353" s="141"/>
      <c r="K353" s="141"/>
      <c r="L353" s="150"/>
      <c r="M353" s="106"/>
      <c r="EX353" s="20"/>
      <c r="EY353" s="29"/>
      <c r="EZ353" s="29"/>
      <c r="FA353" s="29"/>
      <c r="FC353" s="3" t="s">
        <v>28</v>
      </c>
      <c r="FG353" s="29"/>
      <c r="FI353" s="29"/>
      <c r="FJ353" s="29"/>
    </row>
    <row r="354" spans="1:166" customFormat="1" ht="23.25" x14ac:dyDescent="0.25">
      <c r="A354" s="32"/>
      <c r="B354" s="33" t="s">
        <v>29</v>
      </c>
      <c r="C354" s="141" t="s">
        <v>30</v>
      </c>
      <c r="D354" s="141"/>
      <c r="E354" s="141"/>
      <c r="F354" s="141"/>
      <c r="G354" s="141"/>
      <c r="H354" s="141"/>
      <c r="I354" s="141"/>
      <c r="J354" s="141"/>
      <c r="K354" s="141"/>
      <c r="L354" s="150"/>
      <c r="M354" s="106"/>
      <c r="N354" s="118" t="s">
        <v>322</v>
      </c>
      <c r="EX354" s="20"/>
      <c r="EY354" s="29"/>
      <c r="EZ354" s="29"/>
      <c r="FA354" s="29"/>
      <c r="FC354" s="3" t="s">
        <v>30</v>
      </c>
      <c r="FG354" s="29"/>
      <c r="FI354" s="29"/>
      <c r="FJ354" s="29"/>
    </row>
    <row r="355" spans="1:166" customFormat="1" ht="15" x14ac:dyDescent="0.25">
      <c r="A355" s="34"/>
      <c r="B355" s="33" t="s">
        <v>22</v>
      </c>
      <c r="C355" s="146" t="s">
        <v>31</v>
      </c>
      <c r="D355" s="146"/>
      <c r="E355" s="146"/>
      <c r="F355" s="35"/>
      <c r="G355" s="36"/>
      <c r="H355" s="36"/>
      <c r="I355" s="36"/>
      <c r="J355" s="39">
        <v>566.05999999999995</v>
      </c>
      <c r="K355" s="38">
        <v>1.3225</v>
      </c>
      <c r="L355" s="42">
        <f>G351*J355*K355</f>
        <v>717.17254729999991</v>
      </c>
      <c r="M355" s="106">
        <v>49.45</v>
      </c>
      <c r="N355" s="112">
        <f>J355*M355*K355</f>
        <v>37018.979607499998</v>
      </c>
      <c r="O355" s="113">
        <v>80872.984337499991</v>
      </c>
      <c r="P355" s="105">
        <f>G359</f>
        <v>62.41</v>
      </c>
      <c r="Q355" s="105">
        <f>O355/P355*8</f>
        <v>10366.67</v>
      </c>
      <c r="R355" s="105">
        <f>Q355*22</f>
        <v>228066.74</v>
      </c>
      <c r="S355" s="105">
        <f>R355*(1-0.43)</f>
        <v>129998.04180000001</v>
      </c>
      <c r="EX355" s="20"/>
      <c r="EY355" s="29"/>
      <c r="EZ355" s="29"/>
      <c r="FA355" s="29"/>
      <c r="FD355" s="3" t="s">
        <v>31</v>
      </c>
      <c r="FG355" s="29"/>
      <c r="FI355" s="29"/>
      <c r="FJ355" s="29"/>
    </row>
    <row r="356" spans="1:166" customFormat="1" ht="15" x14ac:dyDescent="0.25">
      <c r="A356" s="34"/>
      <c r="B356" s="33" t="s">
        <v>32</v>
      </c>
      <c r="C356" s="146" t="s">
        <v>33</v>
      </c>
      <c r="D356" s="146"/>
      <c r="E356" s="146"/>
      <c r="F356" s="35"/>
      <c r="G356" s="36"/>
      <c r="H356" s="36"/>
      <c r="I356" s="36"/>
      <c r="J356" s="39">
        <v>188.94</v>
      </c>
      <c r="K356" s="38">
        <v>1.4375</v>
      </c>
      <c r="L356" s="42">
        <f>G351*J356*K356</f>
        <v>260.19399749999997</v>
      </c>
      <c r="M356" s="106">
        <v>14.53</v>
      </c>
      <c r="N356" s="112">
        <f>J356*M356*K356</f>
        <v>3946.3661624999995</v>
      </c>
      <c r="O356" s="113">
        <v>747.5</v>
      </c>
      <c r="P356" s="105">
        <f>G360</f>
        <v>0.26</v>
      </c>
      <c r="Q356" s="105">
        <f>O356/P356*8</f>
        <v>23000</v>
      </c>
      <c r="EX356" s="20"/>
      <c r="EY356" s="29"/>
      <c r="EZ356" s="29"/>
      <c r="FA356" s="29"/>
      <c r="FD356" s="3" t="s">
        <v>33</v>
      </c>
      <c r="FG356" s="29"/>
      <c r="FI356" s="29"/>
      <c r="FJ356" s="29"/>
    </row>
    <row r="357" spans="1:166" customFormat="1" ht="15" x14ac:dyDescent="0.25">
      <c r="A357" s="34"/>
      <c r="B357" s="33" t="s">
        <v>34</v>
      </c>
      <c r="C357" s="146" t="s">
        <v>35</v>
      </c>
      <c r="D357" s="146"/>
      <c r="E357" s="146"/>
      <c r="F357" s="35"/>
      <c r="G357" s="36"/>
      <c r="H357" s="36"/>
      <c r="I357" s="36"/>
      <c r="J357" s="39">
        <v>3.02</v>
      </c>
      <c r="K357" s="38">
        <v>1.4375</v>
      </c>
      <c r="L357" s="42">
        <f>G351*J357*K357</f>
        <v>4.1589175000000003</v>
      </c>
      <c r="M357" s="106"/>
      <c r="EX357" s="20"/>
      <c r="EY357" s="29"/>
      <c r="EZ357" s="29"/>
      <c r="FA357" s="29"/>
      <c r="FD357" s="3" t="s">
        <v>35</v>
      </c>
      <c r="FG357" s="29"/>
      <c r="FI357" s="29"/>
      <c r="FJ357" s="29"/>
    </row>
    <row r="358" spans="1:166" customFormat="1" ht="15" x14ac:dyDescent="0.25">
      <c r="A358" s="34"/>
      <c r="B358" s="33" t="s">
        <v>36</v>
      </c>
      <c r="C358" s="146" t="s">
        <v>37</v>
      </c>
      <c r="D358" s="146"/>
      <c r="E358" s="146"/>
      <c r="F358" s="35"/>
      <c r="G358" s="36"/>
      <c r="H358" s="36"/>
      <c r="I358" s="36"/>
      <c r="J358" s="39">
        <v>63.71</v>
      </c>
      <c r="K358" s="36"/>
      <c r="L358" s="42">
        <f>G351*J358</f>
        <v>61.034179999999999</v>
      </c>
      <c r="M358" s="106"/>
      <c r="EX358" s="20"/>
      <c r="EY358" s="29"/>
      <c r="EZ358" s="29"/>
      <c r="FA358" s="29"/>
      <c r="FD358" s="3" t="s">
        <v>37</v>
      </c>
      <c r="FG358" s="29"/>
      <c r="FI358" s="29"/>
      <c r="FJ358" s="29"/>
    </row>
    <row r="359" spans="1:166" customFormat="1" ht="15" x14ac:dyDescent="0.25">
      <c r="A359" s="43"/>
      <c r="B359" s="33"/>
      <c r="C359" s="146" t="s">
        <v>38</v>
      </c>
      <c r="D359" s="146"/>
      <c r="E359" s="146"/>
      <c r="F359" s="35" t="s">
        <v>39</v>
      </c>
      <c r="G359" s="40">
        <v>62.41</v>
      </c>
      <c r="H359" s="38">
        <v>1.3225</v>
      </c>
      <c r="I359" s="44">
        <v>79.070661599999994</v>
      </c>
      <c r="J359" s="45"/>
      <c r="K359" s="36"/>
      <c r="L359" s="46"/>
      <c r="M359" s="106"/>
      <c r="EX359" s="20"/>
      <c r="EY359" s="29"/>
      <c r="EZ359" s="29"/>
      <c r="FA359" s="29"/>
      <c r="FE359" s="3" t="s">
        <v>38</v>
      </c>
      <c r="FG359" s="29"/>
      <c r="FI359" s="29"/>
      <c r="FJ359" s="29"/>
    </row>
    <row r="360" spans="1:166" customFormat="1" ht="15" x14ac:dyDescent="0.25">
      <c r="A360" s="43"/>
      <c r="B360" s="33"/>
      <c r="C360" s="146" t="s">
        <v>40</v>
      </c>
      <c r="D360" s="146"/>
      <c r="E360" s="146"/>
      <c r="F360" s="35" t="s">
        <v>39</v>
      </c>
      <c r="G360" s="40">
        <v>0.26</v>
      </c>
      <c r="H360" s="38">
        <v>1.4375</v>
      </c>
      <c r="I360" s="44">
        <v>0.3580525</v>
      </c>
      <c r="J360" s="45"/>
      <c r="K360" s="36"/>
      <c r="L360" s="46"/>
      <c r="M360" s="106"/>
      <c r="EX360" s="20"/>
      <c r="EY360" s="29"/>
      <c r="EZ360" s="29"/>
      <c r="FA360" s="29"/>
      <c r="FE360" s="3" t="s">
        <v>40</v>
      </c>
      <c r="FG360" s="29"/>
      <c r="FI360" s="29"/>
      <c r="FJ360" s="29"/>
    </row>
    <row r="361" spans="1:166" customFormat="1" ht="15" x14ac:dyDescent="0.25">
      <c r="A361" s="30"/>
      <c r="B361" s="33"/>
      <c r="C361" s="151" t="s">
        <v>41</v>
      </c>
      <c r="D361" s="151"/>
      <c r="E361" s="151"/>
      <c r="F361" s="47"/>
      <c r="G361" s="48"/>
      <c r="H361" s="48"/>
      <c r="I361" s="48"/>
      <c r="J361" s="62">
        <v>818.71</v>
      </c>
      <c r="K361" s="48"/>
      <c r="L361" s="50">
        <f>L355+L356+L358</f>
        <v>1038.4007248</v>
      </c>
      <c r="M361" s="106"/>
      <c r="EX361" s="20"/>
      <c r="EY361" s="29"/>
      <c r="EZ361" s="29"/>
      <c r="FA361" s="29"/>
      <c r="FF361" s="3" t="s">
        <v>41</v>
      </c>
      <c r="FG361" s="29"/>
      <c r="FI361" s="29"/>
      <c r="FJ361" s="29"/>
    </row>
    <row r="362" spans="1:166" customFormat="1" ht="15" x14ac:dyDescent="0.25">
      <c r="A362" s="43"/>
      <c r="B362" s="33"/>
      <c r="C362" s="146" t="s">
        <v>42</v>
      </c>
      <c r="D362" s="146"/>
      <c r="E362" s="146"/>
      <c r="F362" s="35"/>
      <c r="G362" s="36"/>
      <c r="H362" s="36"/>
      <c r="I362" s="36"/>
      <c r="J362" s="45"/>
      <c r="K362" s="36"/>
      <c r="L362" s="42">
        <f>L355+L357</f>
        <v>721.33146479999994</v>
      </c>
      <c r="M362" s="106"/>
      <c r="EX362" s="20"/>
      <c r="EY362" s="29"/>
      <c r="EZ362" s="29"/>
      <c r="FA362" s="29"/>
      <c r="FE362" s="3" t="s">
        <v>42</v>
      </c>
      <c r="FG362" s="29"/>
      <c r="FI362" s="29"/>
      <c r="FJ362" s="29"/>
    </row>
    <row r="363" spans="1:166" customFormat="1" ht="15" x14ac:dyDescent="0.25">
      <c r="A363" s="43"/>
      <c r="B363" s="33" t="s">
        <v>223</v>
      </c>
      <c r="C363" s="146" t="s">
        <v>224</v>
      </c>
      <c r="D363" s="146"/>
      <c r="E363" s="146"/>
      <c r="F363" s="35" t="s">
        <v>45</v>
      </c>
      <c r="G363" s="51">
        <v>97</v>
      </c>
      <c r="H363" s="36"/>
      <c r="I363" s="51">
        <v>97</v>
      </c>
      <c r="J363" s="45"/>
      <c r="K363" s="36"/>
      <c r="L363" s="42">
        <f>L362*I363%</f>
        <v>699.6915208559999</v>
      </c>
      <c r="M363" s="106"/>
      <c r="EX363" s="20"/>
      <c r="EY363" s="29"/>
      <c r="EZ363" s="29"/>
      <c r="FA363" s="29"/>
      <c r="FE363" s="3" t="s">
        <v>224</v>
      </c>
      <c r="FG363" s="29"/>
      <c r="FI363" s="29"/>
      <c r="FJ363" s="29"/>
    </row>
    <row r="364" spans="1:166" customFormat="1" ht="22.5" x14ac:dyDescent="0.25">
      <c r="A364" s="43"/>
      <c r="B364" s="33" t="s">
        <v>225</v>
      </c>
      <c r="C364" s="146" t="s">
        <v>226</v>
      </c>
      <c r="D364" s="146"/>
      <c r="E364" s="146"/>
      <c r="F364" s="35" t="s">
        <v>45</v>
      </c>
      <c r="G364" s="51">
        <v>55</v>
      </c>
      <c r="H364" s="40">
        <v>0.85</v>
      </c>
      <c r="I364" s="40">
        <v>46.75</v>
      </c>
      <c r="J364" s="45"/>
      <c r="K364" s="36"/>
      <c r="L364" s="42">
        <f>L362*I364%</f>
        <v>337.22245979399997</v>
      </c>
      <c r="M364" s="106"/>
      <c r="EX364" s="20"/>
      <c r="EY364" s="29"/>
      <c r="EZ364" s="29"/>
      <c r="FA364" s="29"/>
      <c r="FE364" s="3" t="s">
        <v>226</v>
      </c>
      <c r="FG364" s="29"/>
      <c r="FI364" s="29"/>
      <c r="FJ364" s="29"/>
    </row>
    <row r="365" spans="1:166" customFormat="1" ht="15" x14ac:dyDescent="0.25">
      <c r="A365" s="52"/>
      <c r="B365" s="53"/>
      <c r="C365" s="148" t="s">
        <v>48</v>
      </c>
      <c r="D365" s="148"/>
      <c r="E365" s="148"/>
      <c r="F365" s="23"/>
      <c r="G365" s="24"/>
      <c r="H365" s="24"/>
      <c r="I365" s="24"/>
      <c r="J365" s="27"/>
      <c r="K365" s="24"/>
      <c r="L365" s="96">
        <f>L361+L363+L364</f>
        <v>2075.31470545</v>
      </c>
      <c r="M365" s="106"/>
      <c r="EX365" s="20"/>
      <c r="EY365" s="29"/>
      <c r="EZ365" s="29"/>
      <c r="FA365" s="29"/>
      <c r="FG365" s="29" t="s">
        <v>48</v>
      </c>
      <c r="FI365" s="29"/>
      <c r="FJ365" s="29"/>
    </row>
    <row r="366" spans="1:166" customFormat="1" ht="33.75" x14ac:dyDescent="0.25">
      <c r="A366" s="21" t="s">
        <v>227</v>
      </c>
      <c r="B366" s="22" t="s">
        <v>228</v>
      </c>
      <c r="C366" s="148" t="s">
        <v>229</v>
      </c>
      <c r="D366" s="148"/>
      <c r="E366" s="148"/>
      <c r="F366" s="23" t="s">
        <v>230</v>
      </c>
      <c r="G366" s="24">
        <v>143.69999999999999</v>
      </c>
      <c r="H366" s="25">
        <v>1</v>
      </c>
      <c r="I366" s="65">
        <v>143.69999999999999</v>
      </c>
      <c r="J366" s="56">
        <f>1915/1.2</f>
        <v>1595.8333333333335</v>
      </c>
      <c r="K366" s="26">
        <v>1.04236</v>
      </c>
      <c r="L366" s="55">
        <f>G366*J366*K366</f>
        <v>239035.29814999999</v>
      </c>
      <c r="M366" s="106"/>
      <c r="EX366" s="20"/>
      <c r="EY366" s="29" t="s">
        <v>229</v>
      </c>
      <c r="EZ366" s="29" t="s">
        <v>0</v>
      </c>
      <c r="FA366" s="29" t="s">
        <v>0</v>
      </c>
      <c r="FG366" s="29"/>
      <c r="FI366" s="29"/>
      <c r="FJ366" s="29"/>
    </row>
    <row r="367" spans="1:166" customFormat="1" ht="15" x14ac:dyDescent="0.25">
      <c r="A367" s="30"/>
      <c r="B367" s="31"/>
      <c r="C367" s="146" t="s">
        <v>231</v>
      </c>
      <c r="D367" s="146"/>
      <c r="E367" s="146"/>
      <c r="F367" s="146"/>
      <c r="G367" s="146"/>
      <c r="H367" s="146"/>
      <c r="I367" s="146"/>
      <c r="J367" s="146"/>
      <c r="K367" s="146"/>
      <c r="L367" s="149"/>
      <c r="M367" s="106"/>
      <c r="EX367" s="20"/>
      <c r="EY367" s="29"/>
      <c r="EZ367" s="29"/>
      <c r="FA367" s="29"/>
      <c r="FB367" s="3" t="s">
        <v>231</v>
      </c>
      <c r="FG367" s="29"/>
      <c r="FI367" s="29"/>
      <c r="FJ367" s="29"/>
    </row>
    <row r="368" spans="1:166" customFormat="1" ht="15" x14ac:dyDescent="0.25">
      <c r="A368" s="30"/>
      <c r="B368" s="31"/>
      <c r="C368" s="152" t="s">
        <v>309</v>
      </c>
      <c r="D368" s="146"/>
      <c r="E368" s="146"/>
      <c r="F368" s="146"/>
      <c r="G368" s="146"/>
      <c r="H368" s="146"/>
      <c r="I368" s="146"/>
      <c r="J368" s="146"/>
      <c r="K368" s="146"/>
      <c r="L368" s="149"/>
      <c r="M368" s="106"/>
      <c r="EX368" s="20"/>
      <c r="EY368" s="29"/>
      <c r="EZ368" s="29"/>
      <c r="FA368" s="29"/>
      <c r="FG368" s="29"/>
      <c r="FH368" s="3" t="s">
        <v>232</v>
      </c>
      <c r="FI368" s="29"/>
      <c r="FJ368" s="29"/>
    </row>
    <row r="369" spans="1:166" customFormat="1" ht="15" x14ac:dyDescent="0.25">
      <c r="A369" s="32"/>
      <c r="B369" s="33"/>
      <c r="C369" s="141" t="s">
        <v>54</v>
      </c>
      <c r="D369" s="141"/>
      <c r="E369" s="141"/>
      <c r="F369" s="141"/>
      <c r="G369" s="141"/>
      <c r="H369" s="141"/>
      <c r="I369" s="141"/>
      <c r="J369" s="141"/>
      <c r="K369" s="141"/>
      <c r="L369" s="150"/>
      <c r="M369" s="106"/>
      <c r="EX369" s="20"/>
      <c r="EY369" s="29"/>
      <c r="EZ369" s="29"/>
      <c r="FA369" s="29"/>
      <c r="FC369" s="3" t="s">
        <v>54</v>
      </c>
      <c r="FG369" s="29"/>
      <c r="FI369" s="29"/>
      <c r="FJ369" s="29"/>
    </row>
    <row r="370" spans="1:166" customFormat="1" ht="15" x14ac:dyDescent="0.25">
      <c r="A370" s="32"/>
      <c r="B370" s="33"/>
      <c r="C370" s="141" t="s">
        <v>55</v>
      </c>
      <c r="D370" s="141"/>
      <c r="E370" s="141"/>
      <c r="F370" s="141"/>
      <c r="G370" s="141"/>
      <c r="H370" s="141"/>
      <c r="I370" s="141"/>
      <c r="J370" s="141"/>
      <c r="K370" s="141"/>
      <c r="L370" s="150"/>
      <c r="M370" s="106"/>
      <c r="EX370" s="20"/>
      <c r="EY370" s="29"/>
      <c r="EZ370" s="29"/>
      <c r="FA370" s="29"/>
      <c r="FC370" s="3" t="s">
        <v>55</v>
      </c>
      <c r="FG370" s="29"/>
      <c r="FI370" s="29"/>
      <c r="FJ370" s="29"/>
    </row>
    <row r="371" spans="1:166" customFormat="1" ht="15" x14ac:dyDescent="0.25">
      <c r="A371" s="52"/>
      <c r="B371" s="53"/>
      <c r="C371" s="148" t="s">
        <v>48</v>
      </c>
      <c r="D371" s="148"/>
      <c r="E371" s="148"/>
      <c r="F371" s="23"/>
      <c r="G371" s="24"/>
      <c r="H371" s="24"/>
      <c r="I371" s="24"/>
      <c r="J371" s="27"/>
      <c r="K371" s="24"/>
      <c r="L371" s="96">
        <f>L366</f>
        <v>239035.29814999999</v>
      </c>
      <c r="M371" s="106"/>
      <c r="EX371" s="20"/>
      <c r="EY371" s="29"/>
      <c r="EZ371" s="29"/>
      <c r="FA371" s="29"/>
      <c r="FG371" s="29" t="s">
        <v>48</v>
      </c>
      <c r="FI371" s="29"/>
      <c r="FJ371" s="29"/>
    </row>
    <row r="372" spans="1:166" customFormat="1" ht="68.25" x14ac:dyDescent="0.25">
      <c r="A372" s="21" t="s">
        <v>233</v>
      </c>
      <c r="B372" s="138" t="s">
        <v>234</v>
      </c>
      <c r="C372" s="148" t="s">
        <v>235</v>
      </c>
      <c r="D372" s="148"/>
      <c r="E372" s="148"/>
      <c r="F372" s="23" t="s">
        <v>51</v>
      </c>
      <c r="G372" s="24">
        <v>16</v>
      </c>
      <c r="H372" s="25">
        <v>1</v>
      </c>
      <c r="I372" s="25">
        <v>16</v>
      </c>
      <c r="J372" s="27"/>
      <c r="K372" s="24"/>
      <c r="L372" s="28"/>
      <c r="M372" s="106"/>
      <c r="EX372" s="20"/>
      <c r="EY372" s="29" t="s">
        <v>235</v>
      </c>
      <c r="EZ372" s="29" t="s">
        <v>0</v>
      </c>
      <c r="FA372" s="29" t="s">
        <v>0</v>
      </c>
      <c r="FG372" s="29"/>
      <c r="FI372" s="29"/>
      <c r="FJ372" s="29"/>
    </row>
    <row r="373" spans="1:166" customFormat="1" ht="15" x14ac:dyDescent="0.25">
      <c r="A373" s="30"/>
      <c r="B373" s="31"/>
      <c r="C373" s="146" t="s">
        <v>236</v>
      </c>
      <c r="D373" s="146"/>
      <c r="E373" s="146"/>
      <c r="F373" s="146"/>
      <c r="G373" s="146"/>
      <c r="H373" s="146"/>
      <c r="I373" s="146"/>
      <c r="J373" s="146"/>
      <c r="K373" s="146"/>
      <c r="L373" s="149"/>
      <c r="M373" s="106"/>
      <c r="EX373" s="20"/>
      <c r="EY373" s="29"/>
      <c r="EZ373" s="29"/>
      <c r="FA373" s="29"/>
      <c r="FB373" s="3" t="s">
        <v>236</v>
      </c>
      <c r="FG373" s="29"/>
      <c r="FI373" s="29"/>
      <c r="FJ373" s="29"/>
    </row>
    <row r="374" spans="1:166" customFormat="1" ht="68.25" x14ac:dyDescent="0.25">
      <c r="A374" s="32"/>
      <c r="B374" s="33" t="s">
        <v>27</v>
      </c>
      <c r="C374" s="141" t="s">
        <v>28</v>
      </c>
      <c r="D374" s="141"/>
      <c r="E374" s="141"/>
      <c r="F374" s="141"/>
      <c r="G374" s="141"/>
      <c r="H374" s="141"/>
      <c r="I374" s="141"/>
      <c r="J374" s="141"/>
      <c r="K374" s="141"/>
      <c r="L374" s="150"/>
      <c r="M374" s="106"/>
      <c r="EX374" s="20"/>
      <c r="EY374" s="29"/>
      <c r="EZ374" s="29"/>
      <c r="FA374" s="29"/>
      <c r="FC374" s="3" t="s">
        <v>28</v>
      </c>
      <c r="FG374" s="29"/>
      <c r="FI374" s="29"/>
      <c r="FJ374" s="29"/>
    </row>
    <row r="375" spans="1:166" customFormat="1" ht="23.25" x14ac:dyDescent="0.25">
      <c r="A375" s="32"/>
      <c r="B375" s="33" t="s">
        <v>29</v>
      </c>
      <c r="C375" s="141" t="s">
        <v>30</v>
      </c>
      <c r="D375" s="141"/>
      <c r="E375" s="141"/>
      <c r="F375" s="141"/>
      <c r="G375" s="141"/>
      <c r="H375" s="141"/>
      <c r="I375" s="141"/>
      <c r="J375" s="141"/>
      <c r="K375" s="141"/>
      <c r="L375" s="150"/>
      <c r="M375" s="106"/>
      <c r="N375" s="118" t="s">
        <v>325</v>
      </c>
      <c r="EX375" s="20"/>
      <c r="EY375" s="29"/>
      <c r="EZ375" s="29"/>
      <c r="FA375" s="29"/>
      <c r="FC375" s="3" t="s">
        <v>30</v>
      </c>
      <c r="FG375" s="29"/>
      <c r="FI375" s="29"/>
      <c r="FJ375" s="29"/>
    </row>
    <row r="376" spans="1:166" customFormat="1" ht="15" x14ac:dyDescent="0.25">
      <c r="A376" s="34"/>
      <c r="B376" s="33" t="s">
        <v>22</v>
      </c>
      <c r="C376" s="146" t="s">
        <v>31</v>
      </c>
      <c r="D376" s="146"/>
      <c r="E376" s="146"/>
      <c r="F376" s="35"/>
      <c r="G376" s="36"/>
      <c r="H376" s="36"/>
      <c r="I376" s="36"/>
      <c r="J376" s="39">
        <v>12.97</v>
      </c>
      <c r="K376" s="38">
        <v>1.3225</v>
      </c>
      <c r="L376" s="42">
        <f>G372*J376*K376</f>
        <v>274.4452</v>
      </c>
      <c r="M376" s="106">
        <v>49.45</v>
      </c>
      <c r="N376" s="112">
        <f>J376*M376*K376</f>
        <v>848.20719625000015</v>
      </c>
      <c r="O376" s="113">
        <v>1788.2505749999982</v>
      </c>
      <c r="P376" s="105">
        <f>G378</f>
        <v>1.38</v>
      </c>
      <c r="Q376" s="105">
        <f>O376/P376*8</f>
        <v>10366.669999999991</v>
      </c>
      <c r="R376" s="105">
        <f>Q376*22</f>
        <v>228066.73999999982</v>
      </c>
      <c r="S376" s="105">
        <f>R376*(1-0.43)</f>
        <v>129998.0417999999</v>
      </c>
      <c r="EX376" s="20"/>
      <c r="EY376" s="29"/>
      <c r="EZ376" s="29"/>
      <c r="FA376" s="29"/>
      <c r="FD376" s="3" t="s">
        <v>31</v>
      </c>
      <c r="FG376" s="29"/>
      <c r="FI376" s="29"/>
      <c r="FJ376" s="29"/>
    </row>
    <row r="377" spans="1:166" customFormat="1" ht="15" x14ac:dyDescent="0.25">
      <c r="A377" s="34"/>
      <c r="B377" s="33" t="s">
        <v>36</v>
      </c>
      <c r="C377" s="146" t="s">
        <v>37</v>
      </c>
      <c r="D377" s="146"/>
      <c r="E377" s="146"/>
      <c r="F377" s="35"/>
      <c r="G377" s="36"/>
      <c r="H377" s="36"/>
      <c r="I377" s="36"/>
      <c r="J377" s="39">
        <v>4.0999999999999996</v>
      </c>
      <c r="K377" s="36"/>
      <c r="L377" s="42">
        <f>G372*J377</f>
        <v>65.599999999999994</v>
      </c>
      <c r="M377" s="106"/>
      <c r="N377" s="112"/>
      <c r="O377" s="113"/>
      <c r="P377" s="105"/>
      <c r="Q377" s="105"/>
      <c r="EX377" s="20"/>
      <c r="EY377" s="29"/>
      <c r="EZ377" s="29"/>
      <c r="FA377" s="29"/>
      <c r="FD377" s="3" t="s">
        <v>37</v>
      </c>
      <c r="FG377" s="29"/>
      <c r="FI377" s="29"/>
      <c r="FJ377" s="29"/>
    </row>
    <row r="378" spans="1:166" customFormat="1" ht="15" x14ac:dyDescent="0.25">
      <c r="A378" s="43"/>
      <c r="B378" s="33"/>
      <c r="C378" s="146" t="s">
        <v>38</v>
      </c>
      <c r="D378" s="146"/>
      <c r="E378" s="146"/>
      <c r="F378" s="35" t="s">
        <v>39</v>
      </c>
      <c r="G378" s="40">
        <v>1.38</v>
      </c>
      <c r="H378" s="38">
        <v>1.3225</v>
      </c>
      <c r="I378" s="38">
        <v>29.200800000000001</v>
      </c>
      <c r="J378" s="45"/>
      <c r="K378" s="36"/>
      <c r="L378" s="46"/>
      <c r="M378" s="106"/>
      <c r="EX378" s="20"/>
      <c r="EY378" s="29"/>
      <c r="EZ378" s="29"/>
      <c r="FA378" s="29"/>
      <c r="FE378" s="3" t="s">
        <v>38</v>
      </c>
      <c r="FG378" s="29"/>
      <c r="FI378" s="29"/>
      <c r="FJ378" s="29"/>
    </row>
    <row r="379" spans="1:166" customFormat="1" ht="15" x14ac:dyDescent="0.25">
      <c r="A379" s="30"/>
      <c r="B379" s="33"/>
      <c r="C379" s="151" t="s">
        <v>41</v>
      </c>
      <c r="D379" s="151"/>
      <c r="E379" s="151"/>
      <c r="F379" s="47"/>
      <c r="G379" s="48"/>
      <c r="H379" s="48"/>
      <c r="I379" s="48"/>
      <c r="J379" s="62">
        <v>17.07</v>
      </c>
      <c r="K379" s="48"/>
      <c r="L379" s="66">
        <f>L376+L377</f>
        <v>340.04520000000002</v>
      </c>
      <c r="M379" s="106"/>
      <c r="EX379" s="20"/>
      <c r="EY379" s="29"/>
      <c r="EZ379" s="29"/>
      <c r="FA379" s="29"/>
      <c r="FF379" s="3" t="s">
        <v>41</v>
      </c>
      <c r="FG379" s="29"/>
      <c r="FI379" s="29"/>
      <c r="FJ379" s="29"/>
    </row>
    <row r="380" spans="1:166" customFormat="1" ht="15" x14ac:dyDescent="0.25">
      <c r="A380" s="43"/>
      <c r="B380" s="33"/>
      <c r="C380" s="146" t="s">
        <v>42</v>
      </c>
      <c r="D380" s="146"/>
      <c r="E380" s="146"/>
      <c r="F380" s="35"/>
      <c r="G380" s="36"/>
      <c r="H380" s="36"/>
      <c r="I380" s="36"/>
      <c r="J380" s="45"/>
      <c r="K380" s="36"/>
      <c r="L380" s="42">
        <f>L376</f>
        <v>274.4452</v>
      </c>
      <c r="M380" s="106"/>
      <c r="EX380" s="20"/>
      <c r="EY380" s="29"/>
      <c r="EZ380" s="29"/>
      <c r="FA380" s="29"/>
      <c r="FE380" s="3" t="s">
        <v>42</v>
      </c>
      <c r="FG380" s="29"/>
      <c r="FI380" s="29"/>
      <c r="FJ380" s="29"/>
    </row>
    <row r="381" spans="1:166" customFormat="1" ht="23.25" x14ac:dyDescent="0.25">
      <c r="A381" s="43"/>
      <c r="B381" s="33" t="s">
        <v>72</v>
      </c>
      <c r="C381" s="146" t="s">
        <v>73</v>
      </c>
      <c r="D381" s="146"/>
      <c r="E381" s="146"/>
      <c r="F381" s="35" t="s">
        <v>45</v>
      </c>
      <c r="G381" s="51">
        <v>97</v>
      </c>
      <c r="H381" s="36"/>
      <c r="I381" s="51">
        <v>97</v>
      </c>
      <c r="J381" s="45"/>
      <c r="K381" s="36"/>
      <c r="L381" s="42">
        <f>L380*I381%</f>
        <v>266.21184399999999</v>
      </c>
      <c r="M381" s="106"/>
      <c r="EX381" s="20"/>
      <c r="EY381" s="29"/>
      <c r="EZ381" s="29"/>
      <c r="FA381" s="29"/>
      <c r="FE381" s="3" t="s">
        <v>73</v>
      </c>
      <c r="FG381" s="29"/>
      <c r="FI381" s="29"/>
      <c r="FJ381" s="29"/>
    </row>
    <row r="382" spans="1:166" customFormat="1" ht="23.25" x14ac:dyDescent="0.25">
      <c r="A382" s="43"/>
      <c r="B382" s="33" t="s">
        <v>74</v>
      </c>
      <c r="C382" s="146" t="s">
        <v>75</v>
      </c>
      <c r="D382" s="146"/>
      <c r="E382" s="146"/>
      <c r="F382" s="35" t="s">
        <v>45</v>
      </c>
      <c r="G382" s="51">
        <v>51</v>
      </c>
      <c r="H382" s="36"/>
      <c r="I382" s="51">
        <v>51</v>
      </c>
      <c r="J382" s="45"/>
      <c r="K382" s="36"/>
      <c r="L382" s="42">
        <f>L380*I382%</f>
        <v>139.967052</v>
      </c>
      <c r="M382" s="106"/>
      <c r="EX382" s="20"/>
      <c r="EY382" s="29"/>
      <c r="EZ382" s="29"/>
      <c r="FA382" s="29"/>
      <c r="FE382" s="3" t="s">
        <v>75</v>
      </c>
      <c r="FG382" s="29"/>
      <c r="FI382" s="29"/>
      <c r="FJ382" s="29"/>
    </row>
    <row r="383" spans="1:166" customFormat="1" ht="15" x14ac:dyDescent="0.25">
      <c r="A383" s="52"/>
      <c r="B383" s="53"/>
      <c r="C383" s="148" t="s">
        <v>48</v>
      </c>
      <c r="D383" s="148"/>
      <c r="E383" s="148"/>
      <c r="F383" s="23"/>
      <c r="G383" s="24"/>
      <c r="H383" s="24"/>
      <c r="I383" s="24"/>
      <c r="J383" s="27"/>
      <c r="K383" s="24"/>
      <c r="L383" s="99">
        <f>L379+L381+L382</f>
        <v>746.22409599999992</v>
      </c>
      <c r="M383" s="106"/>
      <c r="EX383" s="20"/>
      <c r="EY383" s="29"/>
      <c r="EZ383" s="29"/>
      <c r="FA383" s="29"/>
      <c r="FG383" s="29" t="s">
        <v>48</v>
      </c>
      <c r="FI383" s="29"/>
      <c r="FJ383" s="29"/>
    </row>
    <row r="384" spans="1:166" customFormat="1" ht="33.75" x14ac:dyDescent="0.25">
      <c r="A384" s="21" t="s">
        <v>237</v>
      </c>
      <c r="B384" s="22" t="s">
        <v>238</v>
      </c>
      <c r="C384" s="148" t="s">
        <v>239</v>
      </c>
      <c r="D384" s="148"/>
      <c r="E384" s="148"/>
      <c r="F384" s="23" t="s">
        <v>51</v>
      </c>
      <c r="G384" s="24">
        <v>16</v>
      </c>
      <c r="H384" s="25">
        <v>1</v>
      </c>
      <c r="I384" s="25">
        <v>16</v>
      </c>
      <c r="J384" s="56">
        <f>4935/1.2</f>
        <v>4112.5</v>
      </c>
      <c r="K384" s="26">
        <v>1.04236</v>
      </c>
      <c r="L384" s="55">
        <f>G384*J384*K384</f>
        <v>68587.288</v>
      </c>
      <c r="M384" s="106"/>
      <c r="EX384" s="20"/>
      <c r="EY384" s="29" t="s">
        <v>239</v>
      </c>
      <c r="EZ384" s="29" t="s">
        <v>0</v>
      </c>
      <c r="FA384" s="29" t="s">
        <v>0</v>
      </c>
      <c r="FG384" s="29"/>
      <c r="FI384" s="29"/>
      <c r="FJ384" s="29"/>
    </row>
    <row r="385" spans="1:166" customFormat="1" ht="15" x14ac:dyDescent="0.25">
      <c r="A385" s="30"/>
      <c r="B385" s="31"/>
      <c r="C385" s="146" t="s">
        <v>236</v>
      </c>
      <c r="D385" s="146"/>
      <c r="E385" s="146"/>
      <c r="F385" s="146"/>
      <c r="G385" s="146"/>
      <c r="H385" s="146"/>
      <c r="I385" s="146"/>
      <c r="J385" s="146"/>
      <c r="K385" s="146"/>
      <c r="L385" s="149"/>
      <c r="M385" s="106"/>
      <c r="EX385" s="20"/>
      <c r="EY385" s="29"/>
      <c r="EZ385" s="29"/>
      <c r="FA385" s="29"/>
      <c r="FB385" s="3" t="s">
        <v>236</v>
      </c>
      <c r="FG385" s="29"/>
      <c r="FI385" s="29"/>
      <c r="FJ385" s="29"/>
    </row>
    <row r="386" spans="1:166" customFormat="1" ht="15" x14ac:dyDescent="0.25">
      <c r="A386" s="30"/>
      <c r="B386" s="31"/>
      <c r="C386" s="152" t="s">
        <v>310</v>
      </c>
      <c r="D386" s="146"/>
      <c r="E386" s="146"/>
      <c r="F386" s="146"/>
      <c r="G386" s="146"/>
      <c r="H386" s="146"/>
      <c r="I386" s="146"/>
      <c r="J386" s="146"/>
      <c r="K386" s="146"/>
      <c r="L386" s="149"/>
      <c r="M386" s="106"/>
      <c r="EX386" s="20"/>
      <c r="EY386" s="29"/>
      <c r="EZ386" s="29"/>
      <c r="FA386" s="29"/>
      <c r="FG386" s="29"/>
      <c r="FH386" s="3" t="s">
        <v>240</v>
      </c>
      <c r="FI386" s="29"/>
      <c r="FJ386" s="29"/>
    </row>
    <row r="387" spans="1:166" customFormat="1" ht="15" x14ac:dyDescent="0.25">
      <c r="A387" s="32"/>
      <c r="B387" s="33"/>
      <c r="C387" s="141" t="s">
        <v>54</v>
      </c>
      <c r="D387" s="141"/>
      <c r="E387" s="141"/>
      <c r="F387" s="141"/>
      <c r="G387" s="141"/>
      <c r="H387" s="141"/>
      <c r="I387" s="141"/>
      <c r="J387" s="141"/>
      <c r="K387" s="141"/>
      <c r="L387" s="150"/>
      <c r="M387" s="106"/>
      <c r="EX387" s="20"/>
      <c r="EY387" s="29"/>
      <c r="EZ387" s="29"/>
      <c r="FA387" s="29"/>
      <c r="FC387" s="3" t="s">
        <v>54</v>
      </c>
      <c r="FG387" s="29"/>
      <c r="FI387" s="29"/>
      <c r="FJ387" s="29"/>
    </row>
    <row r="388" spans="1:166" customFormat="1" ht="15" x14ac:dyDescent="0.25">
      <c r="A388" s="32"/>
      <c r="B388" s="33"/>
      <c r="C388" s="141" t="s">
        <v>55</v>
      </c>
      <c r="D388" s="141"/>
      <c r="E388" s="141"/>
      <c r="F388" s="141"/>
      <c r="G388" s="141"/>
      <c r="H388" s="141"/>
      <c r="I388" s="141"/>
      <c r="J388" s="141"/>
      <c r="K388" s="141"/>
      <c r="L388" s="150"/>
      <c r="M388" s="106"/>
      <c r="EX388" s="20"/>
      <c r="EY388" s="29"/>
      <c r="EZ388" s="29"/>
      <c r="FA388" s="29"/>
      <c r="FC388" s="3" t="s">
        <v>55</v>
      </c>
      <c r="FG388" s="29"/>
      <c r="FI388" s="29"/>
      <c r="FJ388" s="29"/>
    </row>
    <row r="389" spans="1:166" customFormat="1" ht="15" x14ac:dyDescent="0.25">
      <c r="A389" s="52"/>
      <c r="B389" s="53"/>
      <c r="C389" s="148" t="s">
        <v>48</v>
      </c>
      <c r="D389" s="148"/>
      <c r="E389" s="148"/>
      <c r="F389" s="23"/>
      <c r="G389" s="24"/>
      <c r="H389" s="24"/>
      <c r="I389" s="24"/>
      <c r="J389" s="27"/>
      <c r="K389" s="24"/>
      <c r="L389" s="96">
        <f>L384</f>
        <v>68587.288</v>
      </c>
      <c r="M389" s="106"/>
      <c r="EX389" s="20"/>
      <c r="EY389" s="29"/>
      <c r="EZ389" s="29"/>
      <c r="FA389" s="29"/>
      <c r="FG389" s="29" t="s">
        <v>48</v>
      </c>
      <c r="FI389" s="29"/>
      <c r="FJ389" s="29"/>
    </row>
    <row r="390" spans="1:166" customFormat="1" ht="34.5" x14ac:dyDescent="0.25">
      <c r="A390" s="21" t="s">
        <v>241</v>
      </c>
      <c r="B390" s="138" t="s">
        <v>242</v>
      </c>
      <c r="C390" s="148" t="s">
        <v>243</v>
      </c>
      <c r="D390" s="148"/>
      <c r="E390" s="148"/>
      <c r="F390" s="23" t="s">
        <v>51</v>
      </c>
      <c r="G390" s="24">
        <v>2</v>
      </c>
      <c r="H390" s="25">
        <v>1</v>
      </c>
      <c r="I390" s="25">
        <v>2</v>
      </c>
      <c r="J390" s="27"/>
      <c r="K390" s="24"/>
      <c r="L390" s="28"/>
      <c r="M390" s="106"/>
      <c r="EX390" s="20"/>
      <c r="EY390" s="29" t="s">
        <v>243</v>
      </c>
      <c r="EZ390" s="29" t="s">
        <v>0</v>
      </c>
      <c r="FA390" s="29" t="s">
        <v>0</v>
      </c>
      <c r="FG390" s="29"/>
      <c r="FI390" s="29"/>
      <c r="FJ390" s="29"/>
    </row>
    <row r="391" spans="1:166" customFormat="1" ht="68.25" x14ac:dyDescent="0.25">
      <c r="A391" s="32"/>
      <c r="B391" s="33" t="s">
        <v>27</v>
      </c>
      <c r="C391" s="141" t="s">
        <v>28</v>
      </c>
      <c r="D391" s="141"/>
      <c r="E391" s="141"/>
      <c r="F391" s="141"/>
      <c r="G391" s="141"/>
      <c r="H391" s="141"/>
      <c r="I391" s="141"/>
      <c r="J391" s="141"/>
      <c r="K391" s="141"/>
      <c r="L391" s="150"/>
      <c r="M391" s="106"/>
      <c r="EX391" s="20"/>
      <c r="EY391" s="29"/>
      <c r="EZ391" s="29"/>
      <c r="FA391" s="29"/>
      <c r="FC391" s="3" t="s">
        <v>28</v>
      </c>
      <c r="FG391" s="29"/>
      <c r="FI391" s="29"/>
      <c r="FJ391" s="29"/>
    </row>
    <row r="392" spans="1:166" customFormat="1" ht="23.25" x14ac:dyDescent="0.25">
      <c r="A392" s="32"/>
      <c r="B392" s="33" t="s">
        <v>29</v>
      </c>
      <c r="C392" s="141" t="s">
        <v>30</v>
      </c>
      <c r="D392" s="141"/>
      <c r="E392" s="141"/>
      <c r="F392" s="141"/>
      <c r="G392" s="141"/>
      <c r="H392" s="141"/>
      <c r="I392" s="141"/>
      <c r="J392" s="141"/>
      <c r="K392" s="141"/>
      <c r="L392" s="150"/>
      <c r="M392" s="106"/>
      <c r="N392" s="118" t="s">
        <v>325</v>
      </c>
      <c r="EX392" s="20"/>
      <c r="EY392" s="29"/>
      <c r="EZ392" s="29"/>
      <c r="FA392" s="29"/>
      <c r="FC392" s="3" t="s">
        <v>30</v>
      </c>
      <c r="FG392" s="29"/>
      <c r="FI392" s="29"/>
      <c r="FJ392" s="29"/>
    </row>
    <row r="393" spans="1:166" customFormat="1" ht="15" x14ac:dyDescent="0.25">
      <c r="A393" s="34"/>
      <c r="B393" s="33" t="s">
        <v>22</v>
      </c>
      <c r="C393" s="146" t="s">
        <v>31</v>
      </c>
      <c r="D393" s="146"/>
      <c r="E393" s="146"/>
      <c r="F393" s="35"/>
      <c r="G393" s="36"/>
      <c r="H393" s="36"/>
      <c r="I393" s="36"/>
      <c r="J393" s="39">
        <v>70.12</v>
      </c>
      <c r="K393" s="38">
        <v>1.3225</v>
      </c>
      <c r="L393" s="42">
        <f>G390*J393*K393</f>
        <v>185.46740000000003</v>
      </c>
      <c r="M393" s="106">
        <v>49.45</v>
      </c>
      <c r="N393" s="112">
        <f>J393*M393*K393</f>
        <v>4585.6814650000006</v>
      </c>
      <c r="O393" s="113">
        <v>9666.9197750000021</v>
      </c>
      <c r="P393" s="105">
        <f>G397</f>
        <v>7.46</v>
      </c>
      <c r="Q393" s="105">
        <f>O393/P393*8</f>
        <v>10366.670000000002</v>
      </c>
      <c r="R393" s="105">
        <f>Q393*22</f>
        <v>228066.74000000005</v>
      </c>
      <c r="S393" s="105">
        <f>R393*(1-0.43)</f>
        <v>129998.04180000004</v>
      </c>
      <c r="EX393" s="20"/>
      <c r="EY393" s="29"/>
      <c r="EZ393" s="29"/>
      <c r="FA393" s="29"/>
      <c r="FD393" s="3" t="s">
        <v>31</v>
      </c>
      <c r="FG393" s="29"/>
      <c r="FI393" s="29"/>
      <c r="FJ393" s="29"/>
    </row>
    <row r="394" spans="1:166" customFormat="1" ht="15" x14ac:dyDescent="0.25">
      <c r="A394" s="34"/>
      <c r="B394" s="33" t="s">
        <v>32</v>
      </c>
      <c r="C394" s="146" t="s">
        <v>33</v>
      </c>
      <c r="D394" s="146"/>
      <c r="E394" s="146"/>
      <c r="F394" s="35"/>
      <c r="G394" s="36"/>
      <c r="H394" s="36"/>
      <c r="I394" s="36"/>
      <c r="J394" s="39">
        <v>1.81</v>
      </c>
      <c r="K394" s="38">
        <v>1.4375</v>
      </c>
      <c r="L394" s="42">
        <f>G390*J394*K394</f>
        <v>5.2037500000000003</v>
      </c>
      <c r="M394" s="106">
        <v>14.53</v>
      </c>
      <c r="N394" s="112">
        <f>J394*M394*K394</f>
        <v>37.805243749999995</v>
      </c>
      <c r="O394" s="113">
        <v>57.5</v>
      </c>
      <c r="P394" s="105">
        <f>G398</f>
        <v>0.02</v>
      </c>
      <c r="Q394" s="105">
        <f>O394/P394*8</f>
        <v>23000</v>
      </c>
      <c r="EX394" s="20"/>
      <c r="EY394" s="29"/>
      <c r="EZ394" s="29"/>
      <c r="FA394" s="29"/>
      <c r="FD394" s="3" t="s">
        <v>33</v>
      </c>
      <c r="FG394" s="29"/>
      <c r="FI394" s="29"/>
      <c r="FJ394" s="29"/>
    </row>
    <row r="395" spans="1:166" customFormat="1" ht="15" x14ac:dyDescent="0.25">
      <c r="A395" s="34"/>
      <c r="B395" s="33" t="s">
        <v>34</v>
      </c>
      <c r="C395" s="146" t="s">
        <v>35</v>
      </c>
      <c r="D395" s="146"/>
      <c r="E395" s="146"/>
      <c r="F395" s="35"/>
      <c r="G395" s="36"/>
      <c r="H395" s="36"/>
      <c r="I395" s="36"/>
      <c r="J395" s="39">
        <v>0.26</v>
      </c>
      <c r="K395" s="38">
        <v>1.4375</v>
      </c>
      <c r="L395" s="42">
        <f>G390*J395*K395</f>
        <v>0.74750000000000005</v>
      </c>
      <c r="M395" s="106"/>
      <c r="EX395" s="20"/>
      <c r="EY395" s="29"/>
      <c r="EZ395" s="29"/>
      <c r="FA395" s="29"/>
      <c r="FD395" s="3" t="s">
        <v>35</v>
      </c>
      <c r="FG395" s="29"/>
      <c r="FI395" s="29"/>
      <c r="FJ395" s="29"/>
    </row>
    <row r="396" spans="1:166" customFormat="1" ht="15" x14ac:dyDescent="0.25">
      <c r="A396" s="34"/>
      <c r="B396" s="33" t="s">
        <v>36</v>
      </c>
      <c r="C396" s="146" t="s">
        <v>37</v>
      </c>
      <c r="D396" s="146"/>
      <c r="E396" s="146"/>
      <c r="F396" s="35"/>
      <c r="G396" s="36"/>
      <c r="H396" s="36"/>
      <c r="I396" s="36"/>
      <c r="J396" s="39">
        <v>46.64</v>
      </c>
      <c r="K396" s="36"/>
      <c r="L396" s="42">
        <f>G390*J396</f>
        <v>93.28</v>
      </c>
      <c r="M396" s="106"/>
      <c r="EX396" s="20"/>
      <c r="EY396" s="29"/>
      <c r="EZ396" s="29"/>
      <c r="FA396" s="29"/>
      <c r="FD396" s="3" t="s">
        <v>37</v>
      </c>
      <c r="FG396" s="29"/>
      <c r="FI396" s="29"/>
      <c r="FJ396" s="29"/>
    </row>
    <row r="397" spans="1:166" customFormat="1" ht="15" x14ac:dyDescent="0.25">
      <c r="A397" s="43"/>
      <c r="B397" s="33"/>
      <c r="C397" s="146" t="s">
        <v>38</v>
      </c>
      <c r="D397" s="146"/>
      <c r="E397" s="146"/>
      <c r="F397" s="35" t="s">
        <v>39</v>
      </c>
      <c r="G397" s="40">
        <v>7.46</v>
      </c>
      <c r="H397" s="38">
        <v>1.3225</v>
      </c>
      <c r="I397" s="38">
        <v>19.7317</v>
      </c>
      <c r="J397" s="45"/>
      <c r="K397" s="36"/>
      <c r="L397" s="46"/>
      <c r="M397" s="106"/>
      <c r="EX397" s="20"/>
      <c r="EY397" s="29"/>
      <c r="EZ397" s="29"/>
      <c r="FA397" s="29"/>
      <c r="FE397" s="3" t="s">
        <v>38</v>
      </c>
      <c r="FG397" s="29"/>
      <c r="FI397" s="29"/>
      <c r="FJ397" s="29"/>
    </row>
    <row r="398" spans="1:166" customFormat="1" ht="15" x14ac:dyDescent="0.25">
      <c r="A398" s="43"/>
      <c r="B398" s="33"/>
      <c r="C398" s="146" t="s">
        <v>40</v>
      </c>
      <c r="D398" s="146"/>
      <c r="E398" s="146"/>
      <c r="F398" s="35" t="s">
        <v>39</v>
      </c>
      <c r="G398" s="40">
        <v>0.02</v>
      </c>
      <c r="H398" s="38">
        <v>1.4375</v>
      </c>
      <c r="I398" s="38">
        <v>5.7500000000000002E-2</v>
      </c>
      <c r="J398" s="45"/>
      <c r="K398" s="36"/>
      <c r="L398" s="46"/>
      <c r="M398" s="106"/>
      <c r="EX398" s="20"/>
      <c r="EY398" s="29"/>
      <c r="EZ398" s="29"/>
      <c r="FA398" s="29"/>
      <c r="FE398" s="3" t="s">
        <v>40</v>
      </c>
      <c r="FG398" s="29"/>
      <c r="FI398" s="29"/>
      <c r="FJ398" s="29"/>
    </row>
    <row r="399" spans="1:166" customFormat="1" ht="15" x14ac:dyDescent="0.25">
      <c r="A399" s="30"/>
      <c r="B399" s="33"/>
      <c r="C399" s="151" t="s">
        <v>41</v>
      </c>
      <c r="D399" s="151"/>
      <c r="E399" s="151"/>
      <c r="F399" s="47"/>
      <c r="G399" s="48"/>
      <c r="H399" s="48"/>
      <c r="I399" s="48"/>
      <c r="J399" s="62">
        <v>118.57</v>
      </c>
      <c r="K399" s="48"/>
      <c r="L399" s="66">
        <f>L393+L394+L396</f>
        <v>283.95115000000004</v>
      </c>
      <c r="M399" s="106"/>
      <c r="EX399" s="20"/>
      <c r="EY399" s="29"/>
      <c r="EZ399" s="29"/>
      <c r="FA399" s="29"/>
      <c r="FF399" s="3" t="s">
        <v>41</v>
      </c>
      <c r="FG399" s="29"/>
      <c r="FI399" s="29"/>
      <c r="FJ399" s="29"/>
    </row>
    <row r="400" spans="1:166" customFormat="1" ht="15" x14ac:dyDescent="0.25">
      <c r="A400" s="43"/>
      <c r="B400" s="33"/>
      <c r="C400" s="146" t="s">
        <v>42</v>
      </c>
      <c r="D400" s="146"/>
      <c r="E400" s="146"/>
      <c r="F400" s="35"/>
      <c r="G400" s="36"/>
      <c r="H400" s="36"/>
      <c r="I400" s="36"/>
      <c r="J400" s="45"/>
      <c r="K400" s="36"/>
      <c r="L400" s="42">
        <f>L393+L395</f>
        <v>186.21490000000003</v>
      </c>
      <c r="M400" s="106"/>
      <c r="EX400" s="20"/>
      <c r="EY400" s="29"/>
      <c r="EZ400" s="29"/>
      <c r="FA400" s="29"/>
      <c r="FE400" s="3" t="s">
        <v>42</v>
      </c>
      <c r="FG400" s="29"/>
      <c r="FI400" s="29"/>
      <c r="FJ400" s="29"/>
    </row>
    <row r="401" spans="1:166" customFormat="1" ht="23.25" x14ac:dyDescent="0.25">
      <c r="A401" s="43"/>
      <c r="B401" s="33" t="s">
        <v>72</v>
      </c>
      <c r="C401" s="146" t="s">
        <v>73</v>
      </c>
      <c r="D401" s="146"/>
      <c r="E401" s="146"/>
      <c r="F401" s="35" t="s">
        <v>45</v>
      </c>
      <c r="G401" s="51">
        <v>97</v>
      </c>
      <c r="H401" s="36"/>
      <c r="I401" s="51">
        <v>97</v>
      </c>
      <c r="J401" s="45"/>
      <c r="K401" s="36"/>
      <c r="L401" s="42">
        <f>L400*I401%</f>
        <v>180.62845300000004</v>
      </c>
      <c r="M401" s="106"/>
      <c r="EX401" s="20"/>
      <c r="EY401" s="29"/>
      <c r="EZ401" s="29"/>
      <c r="FA401" s="29"/>
      <c r="FE401" s="3" t="s">
        <v>73</v>
      </c>
      <c r="FG401" s="29"/>
      <c r="FI401" s="29"/>
      <c r="FJ401" s="29"/>
    </row>
    <row r="402" spans="1:166" customFormat="1" ht="23.25" x14ac:dyDescent="0.25">
      <c r="A402" s="43"/>
      <c r="B402" s="33" t="s">
        <v>74</v>
      </c>
      <c r="C402" s="146" t="s">
        <v>75</v>
      </c>
      <c r="D402" s="146"/>
      <c r="E402" s="146"/>
      <c r="F402" s="35" t="s">
        <v>45</v>
      </c>
      <c r="G402" s="51">
        <v>51</v>
      </c>
      <c r="H402" s="36"/>
      <c r="I402" s="51">
        <v>51</v>
      </c>
      <c r="J402" s="45"/>
      <c r="K402" s="36"/>
      <c r="L402" s="42">
        <f>L400*I402%</f>
        <v>94.969599000000017</v>
      </c>
      <c r="M402" s="106"/>
      <c r="EX402" s="20"/>
      <c r="EY402" s="29"/>
      <c r="EZ402" s="29"/>
      <c r="FA402" s="29"/>
      <c r="FE402" s="3" t="s">
        <v>75</v>
      </c>
      <c r="FG402" s="29"/>
      <c r="FI402" s="29"/>
      <c r="FJ402" s="29"/>
    </row>
    <row r="403" spans="1:166" customFormat="1" ht="15" x14ac:dyDescent="0.25">
      <c r="A403" s="52"/>
      <c r="B403" s="53"/>
      <c r="C403" s="148" t="s">
        <v>48</v>
      </c>
      <c r="D403" s="148"/>
      <c r="E403" s="148"/>
      <c r="F403" s="23"/>
      <c r="G403" s="24"/>
      <c r="H403" s="24"/>
      <c r="I403" s="24"/>
      <c r="J403" s="27"/>
      <c r="K403" s="24"/>
      <c r="L403" s="99">
        <f>L399+L401+L402</f>
        <v>559.54920200000015</v>
      </c>
      <c r="M403" s="106"/>
      <c r="EX403" s="20"/>
      <c r="EY403" s="29"/>
      <c r="EZ403" s="29"/>
      <c r="FA403" s="29"/>
      <c r="FG403" s="29" t="s">
        <v>48</v>
      </c>
      <c r="FI403" s="29"/>
      <c r="FJ403" s="29"/>
    </row>
    <row r="404" spans="1:166" customFormat="1" ht="34.5" x14ac:dyDescent="0.25">
      <c r="A404" s="21" t="s">
        <v>244</v>
      </c>
      <c r="B404" s="22" t="s">
        <v>245</v>
      </c>
      <c r="C404" s="148" t="s">
        <v>246</v>
      </c>
      <c r="D404" s="148"/>
      <c r="E404" s="148"/>
      <c r="F404" s="23" t="s">
        <v>51</v>
      </c>
      <c r="G404" s="24">
        <v>2</v>
      </c>
      <c r="H404" s="25">
        <v>1</v>
      </c>
      <c r="I404" s="25">
        <v>2</v>
      </c>
      <c r="J404" s="56">
        <f>9728.4/1.2</f>
        <v>8107</v>
      </c>
      <c r="K404" s="26">
        <v>1.04236</v>
      </c>
      <c r="L404" s="55">
        <f>G404*J404*K404</f>
        <v>16900.82504</v>
      </c>
      <c r="M404" s="106"/>
      <c r="EX404" s="20"/>
      <c r="EY404" s="29" t="s">
        <v>246</v>
      </c>
      <c r="EZ404" s="29" t="s">
        <v>0</v>
      </c>
      <c r="FA404" s="29" t="s">
        <v>0</v>
      </c>
      <c r="FG404" s="29"/>
      <c r="FI404" s="29"/>
      <c r="FJ404" s="29"/>
    </row>
    <row r="405" spans="1:166" customFormat="1" ht="15" x14ac:dyDescent="0.25">
      <c r="A405" s="30"/>
      <c r="B405" s="31"/>
      <c r="C405" s="152" t="s">
        <v>311</v>
      </c>
      <c r="D405" s="146"/>
      <c r="E405" s="146"/>
      <c r="F405" s="146"/>
      <c r="G405" s="146"/>
      <c r="H405" s="146"/>
      <c r="I405" s="146"/>
      <c r="J405" s="146"/>
      <c r="K405" s="146"/>
      <c r="L405" s="149"/>
      <c r="M405" s="106"/>
      <c r="EX405" s="20"/>
      <c r="EY405" s="29"/>
      <c r="EZ405" s="29"/>
      <c r="FA405" s="29"/>
      <c r="FG405" s="29"/>
      <c r="FH405" s="3" t="s">
        <v>247</v>
      </c>
      <c r="FI405" s="29"/>
      <c r="FJ405" s="29"/>
    </row>
    <row r="406" spans="1:166" customFormat="1" ht="15" x14ac:dyDescent="0.25">
      <c r="A406" s="32"/>
      <c r="B406" s="33"/>
      <c r="C406" s="141" t="s">
        <v>54</v>
      </c>
      <c r="D406" s="141"/>
      <c r="E406" s="141"/>
      <c r="F406" s="141"/>
      <c r="G406" s="141"/>
      <c r="H406" s="141"/>
      <c r="I406" s="141"/>
      <c r="J406" s="141"/>
      <c r="K406" s="141"/>
      <c r="L406" s="150"/>
      <c r="M406" s="106"/>
      <c r="EX406" s="20"/>
      <c r="EY406" s="29"/>
      <c r="EZ406" s="29"/>
      <c r="FA406" s="29"/>
      <c r="FC406" s="3" t="s">
        <v>54</v>
      </c>
      <c r="FG406" s="29"/>
      <c r="FI406" s="29"/>
      <c r="FJ406" s="29"/>
    </row>
    <row r="407" spans="1:166" customFormat="1" ht="15" x14ac:dyDescent="0.25">
      <c r="A407" s="32"/>
      <c r="B407" s="33"/>
      <c r="C407" s="141" t="s">
        <v>55</v>
      </c>
      <c r="D407" s="141"/>
      <c r="E407" s="141"/>
      <c r="F407" s="141"/>
      <c r="G407" s="141"/>
      <c r="H407" s="141"/>
      <c r="I407" s="141"/>
      <c r="J407" s="141"/>
      <c r="K407" s="141"/>
      <c r="L407" s="150"/>
      <c r="M407" s="106"/>
      <c r="EX407" s="20"/>
      <c r="EY407" s="29"/>
      <c r="EZ407" s="29"/>
      <c r="FA407" s="29"/>
      <c r="FC407" s="3" t="s">
        <v>55</v>
      </c>
      <c r="FG407" s="29"/>
      <c r="FI407" s="29"/>
      <c r="FJ407" s="29"/>
    </row>
    <row r="408" spans="1:166" customFormat="1" ht="15" x14ac:dyDescent="0.25">
      <c r="A408" s="52"/>
      <c r="B408" s="53"/>
      <c r="C408" s="148" t="s">
        <v>48</v>
      </c>
      <c r="D408" s="148"/>
      <c r="E408" s="148"/>
      <c r="F408" s="23"/>
      <c r="G408" s="24"/>
      <c r="H408" s="24"/>
      <c r="I408" s="24"/>
      <c r="J408" s="27"/>
      <c r="K408" s="24"/>
      <c r="L408" s="96">
        <f>L404</f>
        <v>16900.82504</v>
      </c>
      <c r="M408" s="106"/>
      <c r="EX408" s="20"/>
      <c r="EY408" s="29"/>
      <c r="EZ408" s="29"/>
      <c r="FA408" s="29"/>
      <c r="FG408" s="29" t="s">
        <v>48</v>
      </c>
      <c r="FI408" s="29"/>
      <c r="FJ408" s="29"/>
    </row>
    <row r="409" spans="1:166" customFormat="1" ht="34.5" x14ac:dyDescent="0.25">
      <c r="A409" s="21" t="s">
        <v>248</v>
      </c>
      <c r="B409" s="138" t="s">
        <v>249</v>
      </c>
      <c r="C409" s="148" t="s">
        <v>250</v>
      </c>
      <c r="D409" s="148"/>
      <c r="E409" s="148"/>
      <c r="F409" s="23" t="s">
        <v>51</v>
      </c>
      <c r="G409" s="24">
        <v>4</v>
      </c>
      <c r="H409" s="25">
        <v>1</v>
      </c>
      <c r="I409" s="25">
        <v>4</v>
      </c>
      <c r="J409" s="27"/>
      <c r="K409" s="24"/>
      <c r="L409" s="28"/>
      <c r="M409" s="106"/>
      <c r="EX409" s="20"/>
      <c r="EY409" s="29" t="s">
        <v>250</v>
      </c>
      <c r="EZ409" s="29" t="s">
        <v>0</v>
      </c>
      <c r="FA409" s="29" t="s">
        <v>0</v>
      </c>
      <c r="FG409" s="29"/>
      <c r="FI409" s="29"/>
      <c r="FJ409" s="29"/>
    </row>
    <row r="410" spans="1:166" customFormat="1" ht="15" x14ac:dyDescent="0.25">
      <c r="A410" s="30"/>
      <c r="B410" s="31"/>
      <c r="C410" s="146" t="s">
        <v>251</v>
      </c>
      <c r="D410" s="146"/>
      <c r="E410" s="146"/>
      <c r="F410" s="146"/>
      <c r="G410" s="146"/>
      <c r="H410" s="146"/>
      <c r="I410" s="146"/>
      <c r="J410" s="146"/>
      <c r="K410" s="146"/>
      <c r="L410" s="149"/>
      <c r="M410" s="106"/>
      <c r="EX410" s="20"/>
      <c r="EY410" s="29"/>
      <c r="EZ410" s="29"/>
      <c r="FA410" s="29"/>
      <c r="FB410" s="3" t="s">
        <v>251</v>
      </c>
      <c r="FG410" s="29"/>
      <c r="FI410" s="29"/>
      <c r="FJ410" s="29"/>
    </row>
    <row r="411" spans="1:166" customFormat="1" ht="68.25" x14ac:dyDescent="0.25">
      <c r="A411" s="32"/>
      <c r="B411" s="33" t="s">
        <v>27</v>
      </c>
      <c r="C411" s="141" t="s">
        <v>28</v>
      </c>
      <c r="D411" s="141"/>
      <c r="E411" s="141"/>
      <c r="F411" s="141"/>
      <c r="G411" s="141"/>
      <c r="H411" s="141"/>
      <c r="I411" s="141"/>
      <c r="J411" s="141"/>
      <c r="K411" s="141"/>
      <c r="L411" s="150"/>
      <c r="M411" s="106"/>
      <c r="EX411" s="20"/>
      <c r="EY411" s="29"/>
      <c r="EZ411" s="29"/>
      <c r="FA411" s="29"/>
      <c r="FC411" s="3" t="s">
        <v>28</v>
      </c>
      <c r="FG411" s="29"/>
      <c r="FI411" s="29"/>
      <c r="FJ411" s="29"/>
    </row>
    <row r="412" spans="1:166" customFormat="1" ht="23.25" x14ac:dyDescent="0.25">
      <c r="A412" s="32"/>
      <c r="B412" s="33" t="s">
        <v>29</v>
      </c>
      <c r="C412" s="141" t="s">
        <v>30</v>
      </c>
      <c r="D412" s="141"/>
      <c r="E412" s="141"/>
      <c r="F412" s="141"/>
      <c r="G412" s="141"/>
      <c r="H412" s="141"/>
      <c r="I412" s="141"/>
      <c r="J412" s="141"/>
      <c r="K412" s="141"/>
      <c r="L412" s="150"/>
      <c r="M412" s="106"/>
      <c r="N412" s="118" t="s">
        <v>326</v>
      </c>
      <c r="EX412" s="20"/>
      <c r="EY412" s="29"/>
      <c r="EZ412" s="29"/>
      <c r="FA412" s="29"/>
      <c r="FC412" s="3" t="s">
        <v>30</v>
      </c>
      <c r="FG412" s="29"/>
      <c r="FI412" s="29"/>
      <c r="FJ412" s="29"/>
    </row>
    <row r="413" spans="1:166" customFormat="1" ht="15" x14ac:dyDescent="0.25">
      <c r="A413" s="34"/>
      <c r="B413" s="33" t="s">
        <v>22</v>
      </c>
      <c r="C413" s="146" t="s">
        <v>31</v>
      </c>
      <c r="D413" s="146"/>
      <c r="E413" s="146"/>
      <c r="F413" s="35"/>
      <c r="G413" s="36"/>
      <c r="H413" s="36"/>
      <c r="I413" s="36"/>
      <c r="J413" s="39">
        <v>3.57</v>
      </c>
      <c r="K413" s="38">
        <v>1.3225</v>
      </c>
      <c r="L413" s="42">
        <f>G409*J413*K413</f>
        <v>18.885300000000001</v>
      </c>
      <c r="M413" s="106">
        <v>49.45</v>
      </c>
      <c r="N413" s="112">
        <f>J413*M413*K413</f>
        <v>233.46952124999999</v>
      </c>
      <c r="O413" s="113">
        <v>492.41682499999979</v>
      </c>
      <c r="P413" s="105">
        <f>G415</f>
        <v>0.38</v>
      </c>
      <c r="Q413" s="105">
        <f>O413/P413*8</f>
        <v>10366.669999999995</v>
      </c>
      <c r="R413" s="105">
        <f>Q413*22</f>
        <v>228066.73999999987</v>
      </c>
      <c r="S413" s="105">
        <f>R413*(1-0.43)</f>
        <v>129998.04179999995</v>
      </c>
      <c r="EX413" s="20"/>
      <c r="EY413" s="29"/>
      <c r="EZ413" s="29"/>
      <c r="FA413" s="29"/>
      <c r="FD413" s="3" t="s">
        <v>31</v>
      </c>
      <c r="FG413" s="29"/>
      <c r="FI413" s="29"/>
      <c r="FJ413" s="29"/>
    </row>
    <row r="414" spans="1:166" customFormat="1" ht="15" x14ac:dyDescent="0.25">
      <c r="A414" s="34"/>
      <c r="B414" s="33" t="s">
        <v>36</v>
      </c>
      <c r="C414" s="146" t="s">
        <v>37</v>
      </c>
      <c r="D414" s="146"/>
      <c r="E414" s="146"/>
      <c r="F414" s="35"/>
      <c r="G414" s="36"/>
      <c r="H414" s="36"/>
      <c r="I414" s="36"/>
      <c r="J414" s="39">
        <v>15.07</v>
      </c>
      <c r="K414" s="36"/>
      <c r="L414" s="42">
        <f>G409*J414</f>
        <v>60.28</v>
      </c>
      <c r="M414" s="106"/>
      <c r="N414" s="112"/>
      <c r="O414" s="113"/>
      <c r="P414" s="105"/>
      <c r="Q414" s="105"/>
      <c r="EX414" s="20"/>
      <c r="EY414" s="29"/>
      <c r="EZ414" s="29"/>
      <c r="FA414" s="29"/>
      <c r="FD414" s="3" t="s">
        <v>37</v>
      </c>
      <c r="FG414" s="29"/>
      <c r="FI414" s="29"/>
      <c r="FJ414" s="29"/>
    </row>
    <row r="415" spans="1:166" customFormat="1" ht="15" x14ac:dyDescent="0.25">
      <c r="A415" s="43"/>
      <c r="B415" s="33"/>
      <c r="C415" s="146" t="s">
        <v>38</v>
      </c>
      <c r="D415" s="146"/>
      <c r="E415" s="146"/>
      <c r="F415" s="35" t="s">
        <v>39</v>
      </c>
      <c r="G415" s="40">
        <v>0.38</v>
      </c>
      <c r="H415" s="38">
        <v>1.3225</v>
      </c>
      <c r="I415" s="38">
        <v>2.0102000000000002</v>
      </c>
      <c r="J415" s="45"/>
      <c r="K415" s="36"/>
      <c r="L415" s="46"/>
      <c r="M415" s="106"/>
      <c r="EX415" s="20"/>
      <c r="EY415" s="29"/>
      <c r="EZ415" s="29"/>
      <c r="FA415" s="29"/>
      <c r="FE415" s="3" t="s">
        <v>38</v>
      </c>
      <c r="FG415" s="29"/>
      <c r="FI415" s="29"/>
      <c r="FJ415" s="29"/>
    </row>
    <row r="416" spans="1:166" customFormat="1" ht="15" x14ac:dyDescent="0.25">
      <c r="A416" s="30"/>
      <c r="B416" s="33"/>
      <c r="C416" s="151" t="s">
        <v>41</v>
      </c>
      <c r="D416" s="151"/>
      <c r="E416" s="151"/>
      <c r="F416" s="47"/>
      <c r="G416" s="48"/>
      <c r="H416" s="48"/>
      <c r="I416" s="48"/>
      <c r="J416" s="62">
        <v>18.64</v>
      </c>
      <c r="K416" s="48"/>
      <c r="L416" s="66">
        <f>L413+L414</f>
        <v>79.165300000000002</v>
      </c>
      <c r="M416" s="106"/>
      <c r="EX416" s="20"/>
      <c r="EY416" s="29"/>
      <c r="EZ416" s="29"/>
      <c r="FA416" s="29"/>
      <c r="FF416" s="3" t="s">
        <v>41</v>
      </c>
      <c r="FG416" s="29"/>
      <c r="FI416" s="29"/>
      <c r="FJ416" s="29"/>
    </row>
    <row r="417" spans="1:166" customFormat="1" ht="15" x14ac:dyDescent="0.25">
      <c r="A417" s="43"/>
      <c r="B417" s="33"/>
      <c r="C417" s="146" t="s">
        <v>42</v>
      </c>
      <c r="D417" s="146"/>
      <c r="E417" s="146"/>
      <c r="F417" s="35"/>
      <c r="G417" s="36"/>
      <c r="H417" s="36"/>
      <c r="I417" s="36"/>
      <c r="J417" s="45"/>
      <c r="K417" s="36"/>
      <c r="L417" s="42">
        <f>L413</f>
        <v>18.885300000000001</v>
      </c>
      <c r="M417" s="106"/>
      <c r="EX417" s="20"/>
      <c r="EY417" s="29"/>
      <c r="EZ417" s="29"/>
      <c r="FA417" s="29"/>
      <c r="FE417" s="3" t="s">
        <v>42</v>
      </c>
      <c r="FG417" s="29"/>
      <c r="FI417" s="29"/>
      <c r="FJ417" s="29"/>
    </row>
    <row r="418" spans="1:166" customFormat="1" ht="23.25" x14ac:dyDescent="0.25">
      <c r="A418" s="43"/>
      <c r="B418" s="33" t="s">
        <v>72</v>
      </c>
      <c r="C418" s="146" t="s">
        <v>73</v>
      </c>
      <c r="D418" s="146"/>
      <c r="E418" s="146"/>
      <c r="F418" s="35" t="s">
        <v>45</v>
      </c>
      <c r="G418" s="51">
        <v>97</v>
      </c>
      <c r="H418" s="36"/>
      <c r="I418" s="51">
        <v>97</v>
      </c>
      <c r="J418" s="45"/>
      <c r="K418" s="36"/>
      <c r="L418" s="42">
        <f>L417*I418%</f>
        <v>18.318740999999999</v>
      </c>
      <c r="M418" s="106"/>
      <c r="EX418" s="20"/>
      <c r="EY418" s="29"/>
      <c r="EZ418" s="29"/>
      <c r="FA418" s="29"/>
      <c r="FE418" s="3" t="s">
        <v>73</v>
      </c>
      <c r="FG418" s="29"/>
      <c r="FI418" s="29"/>
      <c r="FJ418" s="29"/>
    </row>
    <row r="419" spans="1:166" customFormat="1" ht="23.25" x14ac:dyDescent="0.25">
      <c r="A419" s="43"/>
      <c r="B419" s="33" t="s">
        <v>74</v>
      </c>
      <c r="C419" s="146" t="s">
        <v>75</v>
      </c>
      <c r="D419" s="146"/>
      <c r="E419" s="146"/>
      <c r="F419" s="35" t="s">
        <v>45</v>
      </c>
      <c r="G419" s="51">
        <v>51</v>
      </c>
      <c r="H419" s="36"/>
      <c r="I419" s="51">
        <v>51</v>
      </c>
      <c r="J419" s="45"/>
      <c r="K419" s="36"/>
      <c r="L419" s="42">
        <f>L417*I419%</f>
        <v>9.6315030000000004</v>
      </c>
      <c r="M419" s="106"/>
      <c r="EX419" s="20"/>
      <c r="EY419" s="29"/>
      <c r="EZ419" s="29"/>
      <c r="FA419" s="29"/>
      <c r="FE419" s="3" t="s">
        <v>75</v>
      </c>
      <c r="FG419" s="29"/>
      <c r="FI419" s="29"/>
      <c r="FJ419" s="29"/>
    </row>
    <row r="420" spans="1:166" customFormat="1" ht="15" x14ac:dyDescent="0.25">
      <c r="A420" s="52"/>
      <c r="B420" s="53"/>
      <c r="C420" s="148" t="s">
        <v>48</v>
      </c>
      <c r="D420" s="148"/>
      <c r="E420" s="148"/>
      <c r="F420" s="23"/>
      <c r="G420" s="24"/>
      <c r="H420" s="24"/>
      <c r="I420" s="24"/>
      <c r="J420" s="27"/>
      <c r="K420" s="24"/>
      <c r="L420" s="99">
        <f>L416+L418+L419</f>
        <v>107.115544</v>
      </c>
      <c r="M420" s="106"/>
      <c r="EX420" s="20"/>
      <c r="EY420" s="29"/>
      <c r="EZ420" s="29"/>
      <c r="FA420" s="29"/>
      <c r="FG420" s="29" t="s">
        <v>48</v>
      </c>
      <c r="FI420" s="29"/>
      <c r="FJ420" s="29"/>
    </row>
    <row r="421" spans="1:166" customFormat="1" ht="33.75" x14ac:dyDescent="0.25">
      <c r="A421" s="21" t="s">
        <v>252</v>
      </c>
      <c r="B421" s="22" t="s">
        <v>253</v>
      </c>
      <c r="C421" s="148" t="s">
        <v>254</v>
      </c>
      <c r="D421" s="148"/>
      <c r="E421" s="148"/>
      <c r="F421" s="23" t="s">
        <v>51</v>
      </c>
      <c r="G421" s="24">
        <v>4</v>
      </c>
      <c r="H421" s="25">
        <v>1</v>
      </c>
      <c r="I421" s="25">
        <v>4</v>
      </c>
      <c r="J421" s="56">
        <f>6900/1.2</f>
        <v>5750</v>
      </c>
      <c r="K421" s="26">
        <v>1.04236</v>
      </c>
      <c r="L421" s="55">
        <f>G421*J421*K421</f>
        <v>23974.28</v>
      </c>
      <c r="M421" s="106"/>
      <c r="EX421" s="20"/>
      <c r="EY421" s="29" t="s">
        <v>254</v>
      </c>
      <c r="EZ421" s="29" t="s">
        <v>0</v>
      </c>
      <c r="FA421" s="29" t="s">
        <v>0</v>
      </c>
      <c r="FG421" s="29"/>
      <c r="FI421" s="29"/>
      <c r="FJ421" s="29"/>
    </row>
    <row r="422" spans="1:166" customFormat="1" ht="15" x14ac:dyDescent="0.25">
      <c r="A422" s="30"/>
      <c r="B422" s="31"/>
      <c r="C422" s="146" t="s">
        <v>251</v>
      </c>
      <c r="D422" s="146"/>
      <c r="E422" s="146"/>
      <c r="F422" s="146"/>
      <c r="G422" s="146"/>
      <c r="H422" s="146"/>
      <c r="I422" s="146"/>
      <c r="J422" s="146"/>
      <c r="K422" s="146"/>
      <c r="L422" s="149"/>
      <c r="M422" s="106"/>
      <c r="EX422" s="20"/>
      <c r="EY422" s="29"/>
      <c r="EZ422" s="29"/>
      <c r="FA422" s="29"/>
      <c r="FB422" s="3" t="s">
        <v>251</v>
      </c>
      <c r="FG422" s="29"/>
      <c r="FI422" s="29"/>
      <c r="FJ422" s="29"/>
    </row>
    <row r="423" spans="1:166" customFormat="1" ht="15" x14ac:dyDescent="0.25">
      <c r="A423" s="30"/>
      <c r="B423" s="31"/>
      <c r="C423" s="152" t="s">
        <v>312</v>
      </c>
      <c r="D423" s="146"/>
      <c r="E423" s="146"/>
      <c r="F423" s="146"/>
      <c r="G423" s="146"/>
      <c r="H423" s="146"/>
      <c r="I423" s="146"/>
      <c r="J423" s="146"/>
      <c r="K423" s="146"/>
      <c r="L423" s="149"/>
      <c r="M423" s="106"/>
      <c r="EX423" s="20"/>
      <c r="EY423" s="29"/>
      <c r="EZ423" s="29"/>
      <c r="FA423" s="29"/>
      <c r="FG423" s="29"/>
      <c r="FH423" s="3" t="s">
        <v>255</v>
      </c>
      <c r="FI423" s="29"/>
      <c r="FJ423" s="29"/>
    </row>
    <row r="424" spans="1:166" customFormat="1" ht="15" x14ac:dyDescent="0.25">
      <c r="A424" s="32"/>
      <c r="B424" s="33"/>
      <c r="C424" s="141" t="s">
        <v>54</v>
      </c>
      <c r="D424" s="141"/>
      <c r="E424" s="141"/>
      <c r="F424" s="141"/>
      <c r="G424" s="141"/>
      <c r="H424" s="141"/>
      <c r="I424" s="141"/>
      <c r="J424" s="141"/>
      <c r="K424" s="141"/>
      <c r="L424" s="150"/>
      <c r="M424" s="106"/>
      <c r="EX424" s="20"/>
      <c r="EY424" s="29"/>
      <c r="EZ424" s="29"/>
      <c r="FA424" s="29"/>
      <c r="FC424" s="3" t="s">
        <v>54</v>
      </c>
      <c r="FG424" s="29"/>
      <c r="FI424" s="29"/>
      <c r="FJ424" s="29"/>
    </row>
    <row r="425" spans="1:166" customFormat="1" ht="15" x14ac:dyDescent="0.25">
      <c r="A425" s="32"/>
      <c r="B425" s="33"/>
      <c r="C425" s="141" t="s">
        <v>55</v>
      </c>
      <c r="D425" s="141"/>
      <c r="E425" s="141"/>
      <c r="F425" s="141"/>
      <c r="G425" s="141"/>
      <c r="H425" s="141"/>
      <c r="I425" s="141"/>
      <c r="J425" s="141"/>
      <c r="K425" s="141"/>
      <c r="L425" s="150"/>
      <c r="M425" s="106"/>
      <c r="EX425" s="20"/>
      <c r="EY425" s="29"/>
      <c r="EZ425" s="29"/>
      <c r="FA425" s="29"/>
      <c r="FC425" s="3" t="s">
        <v>55</v>
      </c>
      <c r="FG425" s="29"/>
      <c r="FI425" s="29"/>
      <c r="FJ425" s="29"/>
    </row>
    <row r="426" spans="1:166" customFormat="1" ht="15" x14ac:dyDescent="0.25">
      <c r="A426" s="52"/>
      <c r="B426" s="53"/>
      <c r="C426" s="148" t="s">
        <v>48</v>
      </c>
      <c r="D426" s="148"/>
      <c r="E426" s="148"/>
      <c r="F426" s="23"/>
      <c r="G426" s="24"/>
      <c r="H426" s="24"/>
      <c r="I426" s="24"/>
      <c r="J426" s="27"/>
      <c r="K426" s="24"/>
      <c r="L426" s="96">
        <f>L421</f>
        <v>23974.28</v>
      </c>
      <c r="M426" s="106"/>
      <c r="EX426" s="20"/>
      <c r="EY426" s="29"/>
      <c r="EZ426" s="29"/>
      <c r="FA426" s="29"/>
      <c r="FG426" s="29" t="s">
        <v>48</v>
      </c>
      <c r="FI426" s="29"/>
      <c r="FJ426" s="29"/>
    </row>
    <row r="427" spans="1:166" customFormat="1" ht="15" x14ac:dyDescent="0.25">
      <c r="A427" s="52"/>
      <c r="B427" s="68"/>
      <c r="C427" s="68"/>
      <c r="D427" s="68"/>
      <c r="E427" s="68"/>
      <c r="F427" s="69"/>
      <c r="G427" s="69"/>
      <c r="H427" s="69"/>
      <c r="I427" s="69"/>
      <c r="J427" s="70"/>
      <c r="K427" s="69"/>
      <c r="L427" s="101"/>
      <c r="M427" s="106"/>
      <c r="EX427" s="20"/>
      <c r="EY427" s="29"/>
      <c r="EZ427" s="29"/>
      <c r="FA427" s="29"/>
      <c r="FG427" s="29"/>
      <c r="FI427" s="29"/>
      <c r="FJ427" s="29"/>
    </row>
    <row r="428" spans="1:166" customFormat="1" ht="15" x14ac:dyDescent="0.25">
      <c r="A428" s="71"/>
      <c r="B428" s="72"/>
      <c r="C428" s="148" t="s">
        <v>256</v>
      </c>
      <c r="D428" s="148"/>
      <c r="E428" s="148"/>
      <c r="F428" s="148"/>
      <c r="G428" s="148"/>
      <c r="H428" s="148"/>
      <c r="I428" s="148"/>
      <c r="J428" s="148"/>
      <c r="K428" s="148"/>
      <c r="L428" s="100">
        <f>L322+L328+L344+L350+L365+L371+L383+L389+L403+L408+L420+L426</f>
        <v>5848904.5661805701</v>
      </c>
      <c r="M428" s="106"/>
      <c r="EX428" s="20"/>
      <c r="EY428" s="29"/>
      <c r="EZ428" s="29"/>
      <c r="FA428" s="29"/>
      <c r="FG428" s="29"/>
      <c r="FI428" s="29"/>
      <c r="FJ428" s="29" t="s">
        <v>256</v>
      </c>
    </row>
    <row r="429" spans="1:166" customFormat="1" ht="15" customHeight="1" x14ac:dyDescent="0.25">
      <c r="A429" s="90" t="s">
        <v>257</v>
      </c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2"/>
      <c r="M429" s="106"/>
      <c r="EX429" s="20" t="s">
        <v>257</v>
      </c>
      <c r="EY429" s="29"/>
      <c r="EZ429" s="29"/>
      <c r="FA429" s="29"/>
      <c r="FG429" s="29"/>
      <c r="FI429" s="29"/>
      <c r="FJ429" s="29"/>
    </row>
    <row r="430" spans="1:166" customFormat="1" ht="23.25" x14ac:dyDescent="0.25">
      <c r="A430" s="21" t="s">
        <v>258</v>
      </c>
      <c r="B430" s="138" t="s">
        <v>259</v>
      </c>
      <c r="C430" s="148" t="s">
        <v>260</v>
      </c>
      <c r="D430" s="148"/>
      <c r="E430" s="148"/>
      <c r="F430" s="23" t="s">
        <v>261</v>
      </c>
      <c r="G430" s="24">
        <v>16</v>
      </c>
      <c r="H430" s="25">
        <v>1</v>
      </c>
      <c r="I430" s="25">
        <v>16</v>
      </c>
      <c r="J430" s="27"/>
      <c r="K430" s="24"/>
      <c r="L430" s="28"/>
      <c r="M430" s="106"/>
      <c r="EX430" s="20"/>
      <c r="EY430" s="29" t="s">
        <v>260</v>
      </c>
      <c r="EZ430" s="29" t="s">
        <v>0</v>
      </c>
      <c r="FA430" s="29" t="s">
        <v>0</v>
      </c>
      <c r="FG430" s="29"/>
      <c r="FI430" s="29"/>
      <c r="FJ430" s="29"/>
    </row>
    <row r="431" spans="1:166" customFormat="1" ht="15" x14ac:dyDescent="0.25">
      <c r="A431" s="30"/>
      <c r="B431" s="31"/>
      <c r="C431" s="146" t="s">
        <v>262</v>
      </c>
      <c r="D431" s="146"/>
      <c r="E431" s="146"/>
      <c r="F431" s="146"/>
      <c r="G431" s="146"/>
      <c r="H431" s="146"/>
      <c r="I431" s="146"/>
      <c r="J431" s="146"/>
      <c r="K431" s="146"/>
      <c r="L431" s="149"/>
      <c r="M431" s="106"/>
      <c r="EX431" s="20"/>
      <c r="EY431" s="29"/>
      <c r="EZ431" s="29"/>
      <c r="FA431" s="29"/>
      <c r="FB431" s="3" t="s">
        <v>262</v>
      </c>
      <c r="FG431" s="29"/>
      <c r="FI431" s="29"/>
      <c r="FJ431" s="29"/>
    </row>
    <row r="432" spans="1:166" customFormat="1" ht="68.25" x14ac:dyDescent="0.25">
      <c r="A432" s="32"/>
      <c r="B432" s="33" t="s">
        <v>27</v>
      </c>
      <c r="C432" s="141" t="s">
        <v>28</v>
      </c>
      <c r="D432" s="141"/>
      <c r="E432" s="141"/>
      <c r="F432" s="141"/>
      <c r="G432" s="141"/>
      <c r="H432" s="141"/>
      <c r="I432" s="141"/>
      <c r="J432" s="141"/>
      <c r="K432" s="141"/>
      <c r="L432" s="150"/>
      <c r="M432" s="106"/>
      <c r="EX432" s="20"/>
      <c r="EY432" s="29"/>
      <c r="EZ432" s="29"/>
      <c r="FA432" s="29"/>
      <c r="FC432" s="3" t="s">
        <v>28</v>
      </c>
      <c r="FG432" s="29"/>
      <c r="FI432" s="29"/>
      <c r="FJ432" s="29"/>
    </row>
    <row r="433" spans="1:166" customFormat="1" ht="23.25" x14ac:dyDescent="0.25">
      <c r="A433" s="32"/>
      <c r="B433" s="33" t="s">
        <v>29</v>
      </c>
      <c r="C433" s="141" t="s">
        <v>30</v>
      </c>
      <c r="D433" s="141"/>
      <c r="E433" s="141"/>
      <c r="F433" s="141"/>
      <c r="G433" s="141"/>
      <c r="H433" s="141"/>
      <c r="I433" s="141"/>
      <c r="J433" s="141"/>
      <c r="K433" s="141"/>
      <c r="L433" s="150"/>
      <c r="M433" s="106"/>
      <c r="N433" s="118" t="s">
        <v>327</v>
      </c>
      <c r="EX433" s="20"/>
      <c r="EY433" s="29"/>
      <c r="EZ433" s="29"/>
      <c r="FA433" s="29"/>
      <c r="FC433" s="3" t="s">
        <v>30</v>
      </c>
      <c r="FG433" s="29"/>
      <c r="FI433" s="29"/>
      <c r="FJ433" s="29"/>
    </row>
    <row r="434" spans="1:166" customFormat="1" ht="15" x14ac:dyDescent="0.25">
      <c r="A434" s="34"/>
      <c r="B434" s="33" t="s">
        <v>22</v>
      </c>
      <c r="C434" s="146" t="s">
        <v>31</v>
      </c>
      <c r="D434" s="146"/>
      <c r="E434" s="146"/>
      <c r="F434" s="35"/>
      <c r="G434" s="36"/>
      <c r="H434" s="36"/>
      <c r="I434" s="36"/>
      <c r="J434" s="39">
        <v>55.71</v>
      </c>
      <c r="K434" s="38">
        <v>1.3225</v>
      </c>
      <c r="L434" s="41">
        <f>G430*J434*K434</f>
        <v>1178.8235999999999</v>
      </c>
      <c r="M434" s="106">
        <v>49.45</v>
      </c>
      <c r="N434" s="112">
        <f>J434*M434*K434</f>
        <v>3643.3016887500003</v>
      </c>
      <c r="O434" s="113">
        <v>6297.7520250000007</v>
      </c>
      <c r="P434" s="105">
        <f>G435</f>
        <v>4.8600000000000003</v>
      </c>
      <c r="Q434" s="105">
        <f>O434/P434*8</f>
        <v>10366.67</v>
      </c>
      <c r="R434" s="105">
        <f>Q434*22</f>
        <v>228066.74</v>
      </c>
      <c r="S434" s="105">
        <f>R434*(1-0.43)</f>
        <v>129998.04180000001</v>
      </c>
      <c r="EX434" s="20"/>
      <c r="EY434" s="29"/>
      <c r="EZ434" s="29"/>
      <c r="FA434" s="29"/>
      <c r="FD434" s="3" t="s">
        <v>31</v>
      </c>
      <c r="FG434" s="29"/>
      <c r="FI434" s="29"/>
      <c r="FJ434" s="29"/>
    </row>
    <row r="435" spans="1:166" customFormat="1" ht="15" x14ac:dyDescent="0.25">
      <c r="A435" s="43"/>
      <c r="B435" s="33"/>
      <c r="C435" s="146" t="s">
        <v>38</v>
      </c>
      <c r="D435" s="146"/>
      <c r="E435" s="146"/>
      <c r="F435" s="35" t="s">
        <v>39</v>
      </c>
      <c r="G435" s="40">
        <v>4.8600000000000003</v>
      </c>
      <c r="H435" s="38">
        <v>1.3225</v>
      </c>
      <c r="I435" s="38">
        <v>102.83759999999999</v>
      </c>
      <c r="J435" s="45"/>
      <c r="K435" s="36"/>
      <c r="L435" s="46"/>
      <c r="M435" s="106"/>
      <c r="EX435" s="20"/>
      <c r="EY435" s="29"/>
      <c r="EZ435" s="29"/>
      <c r="FA435" s="29"/>
      <c r="FE435" s="3" t="s">
        <v>38</v>
      </c>
      <c r="FG435" s="29"/>
      <c r="FI435" s="29"/>
      <c r="FJ435" s="29"/>
    </row>
    <row r="436" spans="1:166" customFormat="1" ht="15" x14ac:dyDescent="0.25">
      <c r="A436" s="30"/>
      <c r="B436" s="33"/>
      <c r="C436" s="151" t="s">
        <v>41</v>
      </c>
      <c r="D436" s="151"/>
      <c r="E436" s="151"/>
      <c r="F436" s="47"/>
      <c r="G436" s="48"/>
      <c r="H436" s="48"/>
      <c r="I436" s="48"/>
      <c r="J436" s="62">
        <v>55.71</v>
      </c>
      <c r="K436" s="48"/>
      <c r="L436" s="50">
        <f>L434</f>
        <v>1178.8235999999999</v>
      </c>
      <c r="M436" s="106"/>
      <c r="EX436" s="20"/>
      <c r="EY436" s="29"/>
      <c r="EZ436" s="29"/>
      <c r="FA436" s="29"/>
      <c r="FF436" s="3" t="s">
        <v>41</v>
      </c>
      <c r="FG436" s="29"/>
      <c r="FI436" s="29"/>
      <c r="FJ436" s="29"/>
    </row>
    <row r="437" spans="1:166" customFormat="1" ht="15" x14ac:dyDescent="0.25">
      <c r="A437" s="43"/>
      <c r="B437" s="33"/>
      <c r="C437" s="146" t="s">
        <v>42</v>
      </c>
      <c r="D437" s="146"/>
      <c r="E437" s="146"/>
      <c r="F437" s="35"/>
      <c r="G437" s="36"/>
      <c r="H437" s="36"/>
      <c r="I437" s="36"/>
      <c r="J437" s="45"/>
      <c r="K437" s="36"/>
      <c r="L437" s="41">
        <f>L434</f>
        <v>1178.8235999999999</v>
      </c>
      <c r="M437" s="106"/>
      <c r="EX437" s="20"/>
      <c r="EY437" s="29"/>
      <c r="EZ437" s="29"/>
      <c r="FA437" s="29"/>
      <c r="FE437" s="3" t="s">
        <v>42</v>
      </c>
      <c r="FG437" s="29"/>
      <c r="FI437" s="29"/>
      <c r="FJ437" s="29"/>
    </row>
    <row r="438" spans="1:166" customFormat="1" ht="23.25" x14ac:dyDescent="0.25">
      <c r="A438" s="43"/>
      <c r="B438" s="33" t="s">
        <v>263</v>
      </c>
      <c r="C438" s="146" t="s">
        <v>264</v>
      </c>
      <c r="D438" s="146"/>
      <c r="E438" s="146"/>
      <c r="F438" s="35" t="s">
        <v>45</v>
      </c>
      <c r="G438" s="51">
        <v>74</v>
      </c>
      <c r="H438" s="36"/>
      <c r="I438" s="51">
        <v>74</v>
      </c>
      <c r="J438" s="45"/>
      <c r="K438" s="36"/>
      <c r="L438" s="42">
        <f>L437*I438%</f>
        <v>872.32946399999992</v>
      </c>
      <c r="M438" s="106"/>
      <c r="EX438" s="20"/>
      <c r="EY438" s="29"/>
      <c r="EZ438" s="29"/>
      <c r="FA438" s="29"/>
      <c r="FE438" s="3" t="s">
        <v>264</v>
      </c>
      <c r="FG438" s="29"/>
      <c r="FI438" s="29"/>
      <c r="FJ438" s="29"/>
    </row>
    <row r="439" spans="1:166" customFormat="1" ht="23.25" x14ac:dyDescent="0.25">
      <c r="A439" s="43"/>
      <c r="B439" s="33" t="s">
        <v>265</v>
      </c>
      <c r="C439" s="146" t="s">
        <v>266</v>
      </c>
      <c r="D439" s="146"/>
      <c r="E439" s="146"/>
      <c r="F439" s="35" t="s">
        <v>45</v>
      </c>
      <c r="G439" s="51">
        <v>36</v>
      </c>
      <c r="H439" s="36"/>
      <c r="I439" s="51">
        <v>36</v>
      </c>
      <c r="J439" s="45"/>
      <c r="K439" s="36"/>
      <c r="L439" s="42">
        <f>L437*I439%</f>
        <v>424.37649599999997</v>
      </c>
      <c r="M439" s="106"/>
      <c r="EX439" s="20"/>
      <c r="EY439" s="29"/>
      <c r="EZ439" s="29"/>
      <c r="FA439" s="29"/>
      <c r="FE439" s="3" t="s">
        <v>266</v>
      </c>
      <c r="FG439" s="29"/>
      <c r="FI439" s="29"/>
      <c r="FJ439" s="29"/>
    </row>
    <row r="440" spans="1:166" customFormat="1" ht="15" x14ac:dyDescent="0.25">
      <c r="A440" s="52"/>
      <c r="B440" s="53"/>
      <c r="C440" s="148" t="s">
        <v>48</v>
      </c>
      <c r="D440" s="148"/>
      <c r="E440" s="148"/>
      <c r="F440" s="23"/>
      <c r="G440" s="24"/>
      <c r="H440" s="24"/>
      <c r="I440" s="24"/>
      <c r="J440" s="27"/>
      <c r="K440" s="24"/>
      <c r="L440" s="96">
        <f>L436+L438+L439</f>
        <v>2475.5295599999999</v>
      </c>
      <c r="M440" s="106"/>
      <c r="EX440" s="20"/>
      <c r="EY440" s="29"/>
      <c r="EZ440" s="29"/>
      <c r="FA440" s="29"/>
      <c r="FG440" s="29" t="s">
        <v>48</v>
      </c>
      <c r="FI440" s="29"/>
      <c r="FJ440" s="29"/>
    </row>
    <row r="441" spans="1:166" customFormat="1" ht="34.5" x14ac:dyDescent="0.25">
      <c r="A441" s="21" t="s">
        <v>267</v>
      </c>
      <c r="B441" s="138" t="s">
        <v>268</v>
      </c>
      <c r="C441" s="148" t="s">
        <v>269</v>
      </c>
      <c r="D441" s="148"/>
      <c r="E441" s="148"/>
      <c r="F441" s="23" t="s">
        <v>51</v>
      </c>
      <c r="G441" s="24">
        <v>8</v>
      </c>
      <c r="H441" s="25">
        <v>1</v>
      </c>
      <c r="I441" s="25">
        <v>8</v>
      </c>
      <c r="J441" s="27"/>
      <c r="K441" s="24"/>
      <c r="L441" s="28"/>
      <c r="M441" s="106"/>
      <c r="EX441" s="20"/>
      <c r="EY441" s="29" t="s">
        <v>269</v>
      </c>
      <c r="EZ441" s="29" t="s">
        <v>0</v>
      </c>
      <c r="FA441" s="29" t="s">
        <v>0</v>
      </c>
      <c r="FG441" s="29"/>
      <c r="FI441" s="29"/>
      <c r="FJ441" s="29"/>
    </row>
    <row r="442" spans="1:166" customFormat="1" ht="15" x14ac:dyDescent="0.25">
      <c r="A442" s="30"/>
      <c r="B442" s="31"/>
      <c r="C442" s="146" t="s">
        <v>270</v>
      </c>
      <c r="D442" s="146"/>
      <c r="E442" s="146"/>
      <c r="F442" s="146"/>
      <c r="G442" s="146"/>
      <c r="H442" s="146"/>
      <c r="I442" s="146"/>
      <c r="J442" s="146"/>
      <c r="K442" s="146"/>
      <c r="L442" s="149"/>
      <c r="M442" s="106"/>
      <c r="EX442" s="20"/>
      <c r="EY442" s="29"/>
      <c r="EZ442" s="29"/>
      <c r="FA442" s="29"/>
      <c r="FB442" s="3" t="s">
        <v>270</v>
      </c>
      <c r="FG442" s="29"/>
      <c r="FI442" s="29"/>
      <c r="FJ442" s="29"/>
    </row>
    <row r="443" spans="1:166" customFormat="1" ht="68.25" x14ac:dyDescent="0.25">
      <c r="A443" s="32"/>
      <c r="B443" s="33" t="s">
        <v>27</v>
      </c>
      <c r="C443" s="141" t="s">
        <v>28</v>
      </c>
      <c r="D443" s="141"/>
      <c r="E443" s="141"/>
      <c r="F443" s="141"/>
      <c r="G443" s="141"/>
      <c r="H443" s="141"/>
      <c r="I443" s="141"/>
      <c r="J443" s="141"/>
      <c r="K443" s="141"/>
      <c r="L443" s="150"/>
      <c r="M443" s="106"/>
      <c r="EX443" s="20"/>
      <c r="EY443" s="29"/>
      <c r="EZ443" s="29"/>
      <c r="FA443" s="29"/>
      <c r="FC443" s="3" t="s">
        <v>28</v>
      </c>
      <c r="FG443" s="29"/>
      <c r="FI443" s="29"/>
      <c r="FJ443" s="29"/>
    </row>
    <row r="444" spans="1:166" customFormat="1" ht="23.25" x14ac:dyDescent="0.25">
      <c r="A444" s="32"/>
      <c r="B444" s="33" t="s">
        <v>29</v>
      </c>
      <c r="C444" s="141" t="s">
        <v>30</v>
      </c>
      <c r="D444" s="141"/>
      <c r="E444" s="141"/>
      <c r="F444" s="141"/>
      <c r="G444" s="141"/>
      <c r="H444" s="141"/>
      <c r="I444" s="141"/>
      <c r="J444" s="141"/>
      <c r="K444" s="141"/>
      <c r="L444" s="150"/>
      <c r="M444" s="106"/>
      <c r="N444" s="118" t="s">
        <v>325</v>
      </c>
      <c r="EX444" s="20"/>
      <c r="EY444" s="29"/>
      <c r="EZ444" s="29"/>
      <c r="FA444" s="29"/>
      <c r="FC444" s="3" t="s">
        <v>30</v>
      </c>
      <c r="FG444" s="29"/>
      <c r="FI444" s="29"/>
      <c r="FJ444" s="29"/>
    </row>
    <row r="445" spans="1:166" customFormat="1" ht="15" x14ac:dyDescent="0.25">
      <c r="A445" s="34"/>
      <c r="B445" s="33" t="s">
        <v>22</v>
      </c>
      <c r="C445" s="146" t="s">
        <v>31</v>
      </c>
      <c r="D445" s="146"/>
      <c r="E445" s="146"/>
      <c r="F445" s="35"/>
      <c r="G445" s="36"/>
      <c r="H445" s="36"/>
      <c r="I445" s="36"/>
      <c r="J445" s="39">
        <v>10.5</v>
      </c>
      <c r="K445" s="38">
        <v>1.3225</v>
      </c>
      <c r="L445" s="42">
        <f>G441*J445*K445</f>
        <v>111.09</v>
      </c>
      <c r="M445" s="106">
        <v>49.45</v>
      </c>
      <c r="N445" s="112">
        <f>J445*M445*K445</f>
        <v>686.67506250000008</v>
      </c>
      <c r="O445" s="113">
        <v>1062.5836750000001</v>
      </c>
      <c r="P445" s="105">
        <f>G446</f>
        <v>0.82</v>
      </c>
      <c r="Q445" s="105">
        <f>O445/P445*8</f>
        <v>10366.670000000002</v>
      </c>
      <c r="R445" s="105">
        <f>Q445*22</f>
        <v>228066.74000000005</v>
      </c>
      <c r="S445" s="105">
        <f>R445*(1-0.43)</f>
        <v>129998.04180000004</v>
      </c>
      <c r="EX445" s="20"/>
      <c r="EY445" s="29"/>
      <c r="EZ445" s="29"/>
      <c r="FA445" s="29"/>
      <c r="FD445" s="3" t="s">
        <v>31</v>
      </c>
      <c r="FG445" s="29"/>
      <c r="FI445" s="29"/>
      <c r="FJ445" s="29"/>
    </row>
    <row r="446" spans="1:166" customFormat="1" ht="15" x14ac:dyDescent="0.25">
      <c r="A446" s="43"/>
      <c r="B446" s="33"/>
      <c r="C446" s="146" t="s">
        <v>38</v>
      </c>
      <c r="D446" s="146"/>
      <c r="E446" s="146"/>
      <c r="F446" s="35" t="s">
        <v>39</v>
      </c>
      <c r="G446" s="40">
        <v>0.82</v>
      </c>
      <c r="H446" s="38">
        <v>1.3225</v>
      </c>
      <c r="I446" s="38">
        <v>8.6755999999999993</v>
      </c>
      <c r="J446" s="45"/>
      <c r="K446" s="36"/>
      <c r="L446" s="46"/>
      <c r="M446" s="106"/>
      <c r="EX446" s="20"/>
      <c r="EY446" s="29"/>
      <c r="EZ446" s="29"/>
      <c r="FA446" s="29"/>
      <c r="FE446" s="3" t="s">
        <v>38</v>
      </c>
      <c r="FG446" s="29"/>
      <c r="FI446" s="29"/>
      <c r="FJ446" s="29"/>
    </row>
    <row r="447" spans="1:166" customFormat="1" ht="15" x14ac:dyDescent="0.25">
      <c r="A447" s="30"/>
      <c r="B447" s="33"/>
      <c r="C447" s="151" t="s">
        <v>41</v>
      </c>
      <c r="D447" s="151"/>
      <c r="E447" s="151"/>
      <c r="F447" s="47"/>
      <c r="G447" s="48"/>
      <c r="H447" s="48"/>
      <c r="I447" s="48"/>
      <c r="J447" s="62">
        <v>10.5</v>
      </c>
      <c r="K447" s="48"/>
      <c r="L447" s="66">
        <f>L445</f>
        <v>111.09</v>
      </c>
      <c r="M447" s="106"/>
      <c r="EX447" s="20"/>
      <c r="EY447" s="29"/>
      <c r="EZ447" s="29"/>
      <c r="FA447" s="29"/>
      <c r="FF447" s="3" t="s">
        <v>41</v>
      </c>
      <c r="FG447" s="29"/>
      <c r="FI447" s="29"/>
      <c r="FJ447" s="29"/>
    </row>
    <row r="448" spans="1:166" customFormat="1" ht="15" x14ac:dyDescent="0.25">
      <c r="A448" s="43"/>
      <c r="B448" s="33"/>
      <c r="C448" s="146" t="s">
        <v>42</v>
      </c>
      <c r="D448" s="146"/>
      <c r="E448" s="146"/>
      <c r="F448" s="35"/>
      <c r="G448" s="36"/>
      <c r="H448" s="36"/>
      <c r="I448" s="36"/>
      <c r="J448" s="45"/>
      <c r="K448" s="36"/>
      <c r="L448" s="42">
        <f>L445</f>
        <v>111.09</v>
      </c>
      <c r="M448" s="106"/>
      <c r="EX448" s="20"/>
      <c r="EY448" s="29"/>
      <c r="EZ448" s="29"/>
      <c r="FA448" s="29"/>
      <c r="FE448" s="3" t="s">
        <v>42</v>
      </c>
      <c r="FG448" s="29"/>
      <c r="FI448" s="29"/>
      <c r="FJ448" s="29"/>
    </row>
    <row r="449" spans="1:169" customFormat="1" ht="23.25" x14ac:dyDescent="0.25">
      <c r="A449" s="43"/>
      <c r="B449" s="33" t="s">
        <v>263</v>
      </c>
      <c r="C449" s="146" t="s">
        <v>264</v>
      </c>
      <c r="D449" s="146"/>
      <c r="E449" s="146"/>
      <c r="F449" s="35" t="s">
        <v>45</v>
      </c>
      <c r="G449" s="51">
        <v>74</v>
      </c>
      <c r="H449" s="36"/>
      <c r="I449" s="51">
        <v>74</v>
      </c>
      <c r="J449" s="45"/>
      <c r="K449" s="36"/>
      <c r="L449" s="42">
        <f>L448*I449%</f>
        <v>82.206599999999995</v>
      </c>
      <c r="M449" s="106"/>
      <c r="EX449" s="20"/>
      <c r="EY449" s="29"/>
      <c r="EZ449" s="29"/>
      <c r="FA449" s="29"/>
      <c r="FE449" s="3" t="s">
        <v>264</v>
      </c>
      <c r="FG449" s="29"/>
      <c r="FI449" s="29"/>
      <c r="FJ449" s="29"/>
    </row>
    <row r="450" spans="1:169" customFormat="1" ht="23.25" x14ac:dyDescent="0.25">
      <c r="A450" s="43"/>
      <c r="B450" s="33" t="s">
        <v>265</v>
      </c>
      <c r="C450" s="146" t="s">
        <v>266</v>
      </c>
      <c r="D450" s="146"/>
      <c r="E450" s="146"/>
      <c r="F450" s="35" t="s">
        <v>45</v>
      </c>
      <c r="G450" s="51">
        <v>36</v>
      </c>
      <c r="H450" s="36"/>
      <c r="I450" s="51">
        <v>36</v>
      </c>
      <c r="J450" s="45"/>
      <c r="K450" s="36"/>
      <c r="L450" s="42">
        <f>L448*I450%</f>
        <v>39.992399999999996</v>
      </c>
      <c r="M450" s="106"/>
      <c r="EX450" s="20"/>
      <c r="EY450" s="29"/>
      <c r="EZ450" s="29"/>
      <c r="FA450" s="29"/>
      <c r="FE450" s="3" t="s">
        <v>266</v>
      </c>
      <c r="FG450" s="29"/>
      <c r="FI450" s="29"/>
      <c r="FJ450" s="29"/>
    </row>
    <row r="451" spans="1:169" customFormat="1" ht="15" x14ac:dyDescent="0.25">
      <c r="A451" s="52"/>
      <c r="B451" s="53"/>
      <c r="C451" s="148" t="s">
        <v>48</v>
      </c>
      <c r="D451" s="148"/>
      <c r="E451" s="148"/>
      <c r="F451" s="23"/>
      <c r="G451" s="24"/>
      <c r="H451" s="24"/>
      <c r="I451" s="24"/>
      <c r="J451" s="27"/>
      <c r="K451" s="24"/>
      <c r="L451" s="99">
        <f>L447+L449+L450</f>
        <v>233.28900000000002</v>
      </c>
      <c r="M451" s="106"/>
      <c r="EX451" s="20"/>
      <c r="EY451" s="29"/>
      <c r="EZ451" s="29"/>
      <c r="FA451" s="29"/>
      <c r="FG451" s="29" t="s">
        <v>48</v>
      </c>
      <c r="FI451" s="29"/>
      <c r="FJ451" s="29"/>
    </row>
    <row r="452" spans="1:169" customFormat="1" ht="15" x14ac:dyDescent="0.25">
      <c r="A452" s="52"/>
      <c r="B452" s="68"/>
      <c r="C452" s="68"/>
      <c r="D452" s="68"/>
      <c r="E452" s="68"/>
      <c r="F452" s="69"/>
      <c r="G452" s="69"/>
      <c r="H452" s="69"/>
      <c r="I452" s="69"/>
      <c r="J452" s="70"/>
      <c r="K452" s="69"/>
      <c r="L452" s="101"/>
      <c r="M452" s="106"/>
      <c r="EX452" s="20"/>
      <c r="EY452" s="29"/>
      <c r="EZ452" s="29"/>
      <c r="FA452" s="29"/>
      <c r="FG452" s="29"/>
      <c r="FI452" s="29"/>
      <c r="FJ452" s="29"/>
    </row>
    <row r="453" spans="1:169" customFormat="1" ht="15" x14ac:dyDescent="0.25">
      <c r="A453" s="71"/>
      <c r="B453" s="72"/>
      <c r="C453" s="148" t="s">
        <v>271</v>
      </c>
      <c r="D453" s="148"/>
      <c r="E453" s="148"/>
      <c r="F453" s="148"/>
      <c r="G453" s="148"/>
      <c r="H453" s="148"/>
      <c r="I453" s="148"/>
      <c r="J453" s="148"/>
      <c r="K453" s="148"/>
      <c r="L453" s="100">
        <f>L440+L451</f>
        <v>2708.8185600000002</v>
      </c>
      <c r="M453" s="106"/>
      <c r="EX453" s="20"/>
      <c r="EY453" s="29"/>
      <c r="EZ453" s="29"/>
      <c r="FA453" s="29"/>
      <c r="FG453" s="29"/>
      <c r="FI453" s="29"/>
      <c r="FJ453" s="29" t="s">
        <v>271</v>
      </c>
    </row>
    <row r="454" spans="1:169" customFormat="1" ht="11.25" hidden="1" customHeight="1" x14ac:dyDescent="0.25">
      <c r="A454" s="9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102"/>
      <c r="M454" s="106"/>
    </row>
    <row r="455" spans="1:169" customFormat="1" ht="15" x14ac:dyDescent="0.25">
      <c r="A455" s="71"/>
      <c r="B455" s="72"/>
      <c r="C455" s="148" t="s">
        <v>272</v>
      </c>
      <c r="D455" s="148"/>
      <c r="E455" s="148"/>
      <c r="F455" s="148"/>
      <c r="G455" s="148"/>
      <c r="H455" s="148"/>
      <c r="I455" s="148"/>
      <c r="J455" s="148"/>
      <c r="K455" s="148"/>
      <c r="L455" s="74"/>
      <c r="M455" s="106"/>
      <c r="FK455" s="29" t="s">
        <v>272</v>
      </c>
    </row>
    <row r="456" spans="1:169" customFormat="1" ht="16.5" x14ac:dyDescent="0.3">
      <c r="A456" s="75"/>
      <c r="B456" s="33"/>
      <c r="C456" s="146" t="s">
        <v>273</v>
      </c>
      <c r="D456" s="146"/>
      <c r="E456" s="146"/>
      <c r="F456" s="146"/>
      <c r="G456" s="146"/>
      <c r="H456" s="146"/>
      <c r="I456" s="146"/>
      <c r="J456" s="146"/>
      <c r="K456" s="146"/>
      <c r="L456" s="76">
        <f>L28+L61+L109+L130+L151+L177+L192+L202+L213+L231+L248+L266+L282+L293+L318+L340+L361+L379+L399+L416+L436+L447+L38+L44+L47+L50+L71+L77+L82+L87+L92+L97+L119+L140+L160+L165+L220+L237+L255+L275+L300+L305+L328+L350+L371+L389+L408+L426</f>
        <v>9099663.9811109956</v>
      </c>
      <c r="M456" s="109"/>
      <c r="N456" s="77"/>
      <c r="O456" s="77"/>
      <c r="FK456" s="29"/>
      <c r="FL456" s="3" t="s">
        <v>273</v>
      </c>
    </row>
    <row r="457" spans="1:169" customFormat="1" ht="16.5" x14ac:dyDescent="0.3">
      <c r="A457" s="75"/>
      <c r="B457" s="78"/>
      <c r="C457" s="145" t="s">
        <v>274</v>
      </c>
      <c r="D457" s="145"/>
      <c r="E457" s="145"/>
      <c r="F457" s="145"/>
      <c r="G457" s="145"/>
      <c r="H457" s="145"/>
      <c r="I457" s="145"/>
      <c r="J457" s="145"/>
      <c r="K457" s="145"/>
      <c r="L457" s="80">
        <f>L456+L459+L460</f>
        <v>9134947.5743889548</v>
      </c>
      <c r="M457" s="109"/>
      <c r="N457" s="77"/>
      <c r="O457" s="77"/>
      <c r="FK457" s="29"/>
      <c r="FM457" s="29" t="s">
        <v>274</v>
      </c>
    </row>
    <row r="458" spans="1:169" customFormat="1" ht="16.5" x14ac:dyDescent="0.3">
      <c r="A458" s="75"/>
      <c r="B458" s="33"/>
      <c r="C458" s="146" t="s">
        <v>275</v>
      </c>
      <c r="D458" s="146"/>
      <c r="E458" s="146"/>
      <c r="F458" s="146"/>
      <c r="G458" s="146"/>
      <c r="H458" s="146"/>
      <c r="I458" s="146"/>
      <c r="J458" s="146"/>
      <c r="K458" s="146"/>
      <c r="L458" s="76">
        <f>L29+L62+L110+L131+L152+L178+L193+L203+L214+L232+L249+L267+L283+L294+L319+L341+L362+L380+L400+L417+L437+L448</f>
        <v>23935.447538455253</v>
      </c>
      <c r="M458" s="109"/>
      <c r="N458" s="77"/>
      <c r="O458" s="77"/>
      <c r="FK458" s="29"/>
      <c r="FL458" s="3" t="s">
        <v>275</v>
      </c>
      <c r="FM458" s="29"/>
    </row>
    <row r="459" spans="1:169" customFormat="1" ht="16.5" x14ac:dyDescent="0.3">
      <c r="A459" s="75"/>
      <c r="B459" s="33"/>
      <c r="C459" s="146" t="s">
        <v>276</v>
      </c>
      <c r="D459" s="146"/>
      <c r="E459" s="146"/>
      <c r="F459" s="146"/>
      <c r="G459" s="146"/>
      <c r="H459" s="146"/>
      <c r="I459" s="146"/>
      <c r="J459" s="146"/>
      <c r="K459" s="146"/>
      <c r="L459" s="76">
        <f>L30+L63+L111+L132+L153+L179+L194+L204+L215+L233+L250+L268+L284+L295+L320+L342+L363+L381+L401+L418+L438+L449</f>
        <v>23045.842299760028</v>
      </c>
      <c r="M459" s="109"/>
      <c r="N459" s="77"/>
      <c r="O459" s="77"/>
      <c r="FK459" s="29"/>
      <c r="FL459" s="3" t="s">
        <v>276</v>
      </c>
      <c r="FM459" s="29"/>
    </row>
    <row r="460" spans="1:169" customFormat="1" ht="16.5" x14ac:dyDescent="0.3">
      <c r="A460" s="75"/>
      <c r="B460" s="33"/>
      <c r="C460" s="146" t="s">
        <v>277</v>
      </c>
      <c r="D460" s="146"/>
      <c r="E460" s="146"/>
      <c r="F460" s="146"/>
      <c r="G460" s="146"/>
      <c r="H460" s="146"/>
      <c r="I460" s="146"/>
      <c r="J460" s="146"/>
      <c r="K460" s="146"/>
      <c r="L460" s="76">
        <f>L31+L64+L112+L133+L154+L180+L195+L205+L216+L234+L251+L269+L285+L296+L321+L343+L364+L382+L402+L419+L439+L450</f>
        <v>12237.750978198874</v>
      </c>
      <c r="M460" s="109"/>
      <c r="N460" s="77"/>
      <c r="O460" s="77"/>
      <c r="FK460" s="29"/>
      <c r="FL460" s="3" t="s">
        <v>277</v>
      </c>
      <c r="FM460" s="29"/>
    </row>
    <row r="461" spans="1:169" customFormat="1" ht="16.5" x14ac:dyDescent="0.3">
      <c r="A461" s="75"/>
      <c r="B461" s="78"/>
      <c r="C461" s="145" t="s">
        <v>278</v>
      </c>
      <c r="D461" s="145"/>
      <c r="E461" s="145"/>
      <c r="F461" s="145"/>
      <c r="G461" s="145"/>
      <c r="H461" s="145"/>
      <c r="I461" s="145"/>
      <c r="J461" s="145"/>
      <c r="K461" s="145"/>
      <c r="L461" s="80">
        <f>L457-L453</f>
        <v>9132238.7558289543</v>
      </c>
      <c r="M461" s="109"/>
      <c r="N461" s="91"/>
      <c r="O461" s="77"/>
      <c r="FK461" s="29"/>
      <c r="FM461" s="29" t="s">
        <v>278</v>
      </c>
    </row>
    <row r="462" spans="1:169" customFormat="1" ht="16.5" x14ac:dyDescent="0.3">
      <c r="A462" s="75"/>
      <c r="B462" s="33"/>
      <c r="C462" s="146" t="s">
        <v>279</v>
      </c>
      <c r="D462" s="146"/>
      <c r="E462" s="146"/>
      <c r="F462" s="146"/>
      <c r="G462" s="146"/>
      <c r="H462" s="146"/>
      <c r="I462" s="146"/>
      <c r="J462" s="146"/>
      <c r="K462" s="146"/>
      <c r="L462" s="76">
        <f>L461*0.0224</f>
        <v>204562.14813056856</v>
      </c>
      <c r="M462" s="109"/>
      <c r="N462" s="77"/>
      <c r="O462" s="77"/>
      <c r="FK462" s="29"/>
      <c r="FL462" s="3" t="s">
        <v>279</v>
      </c>
      <c r="FM462" s="29"/>
    </row>
    <row r="463" spans="1:169" customFormat="1" ht="16.5" x14ac:dyDescent="0.3">
      <c r="A463" s="75"/>
      <c r="B463" s="78"/>
      <c r="C463" s="145" t="s">
        <v>274</v>
      </c>
      <c r="D463" s="145"/>
      <c r="E463" s="145"/>
      <c r="F463" s="145"/>
      <c r="G463" s="145"/>
      <c r="H463" s="145"/>
      <c r="I463" s="145"/>
      <c r="J463" s="145"/>
      <c r="K463" s="145"/>
      <c r="L463" s="80">
        <f>L461+L462</f>
        <v>9336800.903959522</v>
      </c>
      <c r="M463" s="109"/>
      <c r="N463" s="77"/>
      <c r="O463" s="77"/>
      <c r="FK463" s="29"/>
      <c r="FM463" s="29" t="s">
        <v>274</v>
      </c>
    </row>
    <row r="464" spans="1:169" customFormat="1" ht="16.5" x14ac:dyDescent="0.3">
      <c r="A464" s="75"/>
      <c r="B464" s="33"/>
      <c r="C464" s="146" t="s">
        <v>280</v>
      </c>
      <c r="D464" s="146"/>
      <c r="E464" s="146"/>
      <c r="F464" s="146"/>
      <c r="G464" s="146"/>
      <c r="H464" s="146"/>
      <c r="I464" s="146"/>
      <c r="J464" s="146"/>
      <c r="K464" s="146"/>
      <c r="L464" s="76">
        <f>L463*0.024</f>
        <v>224083.22169502854</v>
      </c>
      <c r="M464" s="109"/>
      <c r="N464" s="77"/>
      <c r="O464" s="77"/>
      <c r="FK464" s="29"/>
      <c r="FL464" s="3" t="s">
        <v>280</v>
      </c>
      <c r="FM464" s="29"/>
    </row>
    <row r="465" spans="1:233" customFormat="1" ht="16.5" x14ac:dyDescent="0.3">
      <c r="A465" s="75"/>
      <c r="B465" s="78"/>
      <c r="C465" s="145" t="s">
        <v>274</v>
      </c>
      <c r="D465" s="145"/>
      <c r="E465" s="145"/>
      <c r="F465" s="145"/>
      <c r="G465" s="145"/>
      <c r="H465" s="145"/>
      <c r="I465" s="145"/>
      <c r="J465" s="145"/>
      <c r="K465" s="145"/>
      <c r="L465" s="80">
        <f>L463+L464</f>
        <v>9560884.1256545503</v>
      </c>
      <c r="M465" s="109"/>
      <c r="N465" s="77"/>
      <c r="O465" s="77"/>
      <c r="FK465" s="29"/>
      <c r="FM465" s="29" t="s">
        <v>274</v>
      </c>
    </row>
    <row r="466" spans="1:233" customFormat="1" ht="16.5" x14ac:dyDescent="0.3">
      <c r="A466" s="75"/>
      <c r="B466" s="78"/>
      <c r="C466" s="145" t="s">
        <v>281</v>
      </c>
      <c r="D466" s="145"/>
      <c r="E466" s="145"/>
      <c r="F466" s="145"/>
      <c r="G466" s="145"/>
      <c r="H466" s="145"/>
      <c r="I466" s="145"/>
      <c r="J466" s="145"/>
      <c r="K466" s="145"/>
      <c r="L466" s="80">
        <f>L465+L453</f>
        <v>9563592.9442145508</v>
      </c>
      <c r="M466" s="109"/>
      <c r="N466" s="77"/>
      <c r="O466" s="77"/>
      <c r="FK466" s="29"/>
      <c r="FM466" s="29" t="s">
        <v>281</v>
      </c>
    </row>
    <row r="467" spans="1:233" customFormat="1" ht="16.5" x14ac:dyDescent="0.3">
      <c r="A467" s="75"/>
      <c r="B467" s="33"/>
      <c r="C467" s="146" t="s">
        <v>282</v>
      </c>
      <c r="D467" s="146"/>
      <c r="E467" s="146"/>
      <c r="F467" s="146"/>
      <c r="G467" s="146"/>
      <c r="H467" s="146"/>
      <c r="I467" s="146"/>
      <c r="J467" s="146"/>
      <c r="K467" s="146"/>
      <c r="L467" s="76">
        <f>L466*0.03</f>
        <v>286907.78832643654</v>
      </c>
      <c r="M467" s="109"/>
      <c r="N467" s="77"/>
      <c r="O467" s="77"/>
      <c r="FK467" s="29"/>
      <c r="FL467" s="3" t="s">
        <v>282</v>
      </c>
      <c r="FM467" s="29"/>
    </row>
    <row r="468" spans="1:233" customFormat="1" ht="16.5" x14ac:dyDescent="0.3">
      <c r="A468" s="75"/>
      <c r="B468" s="78"/>
      <c r="C468" s="145" t="s">
        <v>283</v>
      </c>
      <c r="D468" s="145"/>
      <c r="E468" s="145"/>
      <c r="F468" s="145"/>
      <c r="G468" s="145"/>
      <c r="H468" s="145"/>
      <c r="I468" s="145"/>
      <c r="J468" s="145"/>
      <c r="K468" s="145"/>
      <c r="L468" s="80">
        <f>L466+L467</f>
        <v>9850500.7325409874</v>
      </c>
      <c r="M468" s="109"/>
      <c r="N468" s="77"/>
      <c r="O468" s="77"/>
      <c r="FK468" s="29"/>
      <c r="FM468" s="29" t="s">
        <v>283</v>
      </c>
    </row>
    <row r="469" spans="1:233" customFormat="1" ht="16.5" x14ac:dyDescent="0.3">
      <c r="A469" s="75"/>
      <c r="B469" s="33"/>
      <c r="C469" s="146" t="s">
        <v>284</v>
      </c>
      <c r="D469" s="146"/>
      <c r="E469" s="146"/>
      <c r="F469" s="146"/>
      <c r="G469" s="146"/>
      <c r="H469" s="146"/>
      <c r="I469" s="146"/>
      <c r="J469" s="146"/>
      <c r="K469" s="146"/>
      <c r="L469" s="76">
        <f>L468*1.18</f>
        <v>11623590.864398364</v>
      </c>
      <c r="M469" s="109"/>
      <c r="N469" s="77"/>
      <c r="O469" s="77"/>
      <c r="FK469" s="29"/>
      <c r="FL469" s="3" t="s">
        <v>284</v>
      </c>
      <c r="FM469" s="29"/>
    </row>
    <row r="470" spans="1:233" customFormat="1" ht="16.5" x14ac:dyDescent="0.3">
      <c r="A470" s="75"/>
      <c r="B470" s="78"/>
      <c r="C470" s="145" t="s">
        <v>285</v>
      </c>
      <c r="D470" s="145"/>
      <c r="E470" s="145"/>
      <c r="F470" s="145"/>
      <c r="G470" s="145"/>
      <c r="H470" s="145"/>
      <c r="I470" s="145"/>
      <c r="J470" s="145"/>
      <c r="K470" s="145"/>
      <c r="L470" s="80">
        <f>L469</f>
        <v>11623590.864398364</v>
      </c>
      <c r="M470" s="109"/>
      <c r="N470" s="77"/>
      <c r="O470" s="77"/>
      <c r="FK470" s="29"/>
      <c r="FM470" s="29" t="s">
        <v>285</v>
      </c>
    </row>
    <row r="471" spans="1:233" customFormat="1" ht="16.5" x14ac:dyDescent="0.3">
      <c r="A471" s="75"/>
      <c r="B471" s="33"/>
      <c r="C471" s="146" t="s">
        <v>286</v>
      </c>
      <c r="D471" s="146"/>
      <c r="E471" s="146"/>
      <c r="F471" s="146"/>
      <c r="G471" s="146"/>
      <c r="H471" s="146"/>
      <c r="I471" s="146"/>
      <c r="J471" s="146"/>
      <c r="K471" s="146"/>
      <c r="L471" s="76">
        <f>L470*0.2</f>
        <v>2324718.1728796731</v>
      </c>
      <c r="M471" s="109"/>
      <c r="N471" s="77"/>
      <c r="O471" s="77"/>
      <c r="FK471" s="29"/>
      <c r="FM471" s="29"/>
      <c r="FN471" s="3" t="s">
        <v>286</v>
      </c>
    </row>
    <row r="472" spans="1:233" customFormat="1" ht="16.5" x14ac:dyDescent="0.3">
      <c r="A472" s="94"/>
      <c r="B472" s="95"/>
      <c r="C472" s="147" t="s">
        <v>287</v>
      </c>
      <c r="D472" s="147"/>
      <c r="E472" s="147"/>
      <c r="F472" s="147"/>
      <c r="G472" s="147"/>
      <c r="H472" s="147"/>
      <c r="I472" s="147"/>
      <c r="J472" s="147"/>
      <c r="K472" s="147"/>
      <c r="L472" s="103">
        <f>L470+L471</f>
        <v>13948309.037278038</v>
      </c>
      <c r="M472" s="109"/>
      <c r="N472" s="77"/>
      <c r="O472" s="77"/>
      <c r="FK472" s="29"/>
      <c r="FM472" s="29"/>
      <c r="FO472" s="29" t="s">
        <v>287</v>
      </c>
    </row>
    <row r="473" spans="1:233" customFormat="1" ht="1.5" customHeight="1" x14ac:dyDescent="0.25">
      <c r="B473" s="70"/>
      <c r="C473" s="68"/>
      <c r="D473" s="68"/>
      <c r="E473" s="68"/>
      <c r="F473" s="68"/>
      <c r="G473" s="68"/>
      <c r="H473" s="68"/>
      <c r="I473" s="68"/>
      <c r="J473" s="68"/>
      <c r="K473" s="68"/>
      <c r="L473" s="79"/>
      <c r="M473" s="106"/>
    </row>
    <row r="474" spans="1:233" customFormat="1" ht="26.25" customHeight="1" x14ac:dyDescent="0.25">
      <c r="A474" s="81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106"/>
    </row>
    <row r="475" spans="1:233" s="14" customFormat="1" ht="15" x14ac:dyDescent="0.25">
      <c r="A475" s="4"/>
      <c r="B475" s="83" t="s">
        <v>288</v>
      </c>
      <c r="C475" s="143"/>
      <c r="D475" s="143"/>
      <c r="E475" s="143"/>
      <c r="F475" s="143"/>
      <c r="G475" s="143"/>
      <c r="H475" s="144" t="s">
        <v>289</v>
      </c>
      <c r="I475" s="144"/>
      <c r="J475" s="144"/>
      <c r="K475" s="144"/>
      <c r="L475" s="144"/>
      <c r="M475" s="106"/>
      <c r="N475"/>
      <c r="O475"/>
      <c r="P475"/>
      <c r="Q475"/>
      <c r="R475"/>
      <c r="S475"/>
      <c r="T475"/>
      <c r="U475"/>
      <c r="V475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 t="s">
        <v>0</v>
      </c>
      <c r="FQ475" s="6" t="s">
        <v>0</v>
      </c>
      <c r="FR475" s="6" t="s">
        <v>0</v>
      </c>
      <c r="FS475" s="6" t="s">
        <v>0</v>
      </c>
      <c r="FT475" s="6" t="s">
        <v>0</v>
      </c>
      <c r="FU475" s="6" t="s">
        <v>289</v>
      </c>
      <c r="FV475" s="6" t="s">
        <v>0</v>
      </c>
      <c r="FW475" s="6" t="s">
        <v>0</v>
      </c>
      <c r="FX475" s="6" t="s">
        <v>0</v>
      </c>
      <c r="FY475" s="6" t="s">
        <v>0</v>
      </c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</row>
    <row r="476" spans="1:233" s="84" customFormat="1" ht="16.5" customHeight="1" x14ac:dyDescent="0.25">
      <c r="A476" s="5"/>
      <c r="B476" s="83"/>
      <c r="C476" s="142" t="s">
        <v>290</v>
      </c>
      <c r="D476" s="142"/>
      <c r="E476" s="142"/>
      <c r="F476" s="142"/>
      <c r="G476" s="142"/>
      <c r="H476" s="142"/>
      <c r="I476" s="142"/>
      <c r="J476" s="142"/>
      <c r="K476" s="142"/>
      <c r="L476" s="142"/>
      <c r="M476" s="110"/>
      <c r="W476" s="85"/>
      <c r="X476" s="85"/>
      <c r="Y476" s="85"/>
      <c r="Z476" s="85"/>
      <c r="AA476" s="85"/>
      <c r="AB476" s="85"/>
      <c r="AC476" s="85"/>
      <c r="AD476" s="85"/>
      <c r="AE476" s="85"/>
      <c r="AF476" s="85"/>
      <c r="AG476" s="85"/>
      <c r="AH476" s="85"/>
      <c r="AI476" s="85"/>
      <c r="AJ476" s="85"/>
      <c r="AK476" s="85"/>
      <c r="AL476" s="85"/>
      <c r="AM476" s="85"/>
      <c r="AN476" s="85"/>
      <c r="AO476" s="85"/>
      <c r="AP476" s="85"/>
      <c r="AQ476" s="85"/>
      <c r="AR476" s="85"/>
      <c r="AS476" s="85"/>
      <c r="AT476" s="85"/>
      <c r="AU476" s="85"/>
      <c r="AV476" s="85"/>
      <c r="AW476" s="85"/>
      <c r="AX476" s="85"/>
      <c r="AY476" s="85"/>
      <c r="AZ476" s="85"/>
      <c r="BA476" s="85"/>
      <c r="BB476" s="85"/>
      <c r="BC476" s="85"/>
      <c r="BD476" s="85"/>
      <c r="BE476" s="85"/>
      <c r="BF476" s="85"/>
      <c r="BG476" s="85"/>
      <c r="BH476" s="85"/>
      <c r="BI476" s="85"/>
      <c r="BJ476" s="85"/>
      <c r="BK476" s="85"/>
      <c r="BL476" s="85"/>
      <c r="BM476" s="85"/>
      <c r="BN476" s="85"/>
      <c r="BO476" s="85"/>
      <c r="BP476" s="85"/>
      <c r="BQ476" s="85"/>
      <c r="BR476" s="85"/>
      <c r="BS476" s="85"/>
      <c r="BT476" s="85"/>
      <c r="BU476" s="85"/>
      <c r="BV476" s="85"/>
      <c r="BW476" s="85"/>
      <c r="BX476" s="85"/>
      <c r="BY476" s="85"/>
      <c r="BZ476" s="85"/>
      <c r="CA476" s="85"/>
      <c r="CB476" s="85"/>
      <c r="CC476" s="85"/>
      <c r="CD476" s="85"/>
      <c r="CE476" s="85"/>
      <c r="CF476" s="85"/>
      <c r="CG476" s="85"/>
      <c r="CH476" s="85"/>
      <c r="CI476" s="85"/>
      <c r="CJ476" s="85"/>
      <c r="CK476" s="85"/>
      <c r="CL476" s="85"/>
      <c r="CM476" s="85"/>
      <c r="CN476" s="85"/>
      <c r="CO476" s="85"/>
      <c r="CP476" s="85"/>
      <c r="CQ476" s="85"/>
      <c r="CR476" s="85"/>
      <c r="CS476" s="85"/>
      <c r="CT476" s="85"/>
      <c r="CU476" s="85"/>
      <c r="CV476" s="85"/>
      <c r="CW476" s="85"/>
      <c r="CX476" s="85"/>
      <c r="CY476" s="85"/>
      <c r="CZ476" s="85"/>
      <c r="DA476" s="85"/>
      <c r="DB476" s="85"/>
      <c r="DC476" s="85"/>
      <c r="DD476" s="85"/>
      <c r="DE476" s="85"/>
      <c r="DF476" s="85"/>
      <c r="DG476" s="85"/>
      <c r="DH476" s="85"/>
      <c r="DI476" s="85"/>
      <c r="DJ476" s="85"/>
      <c r="DK476" s="85"/>
      <c r="DL476" s="85"/>
      <c r="DM476" s="85"/>
      <c r="DN476" s="85"/>
      <c r="DO476" s="85"/>
      <c r="DP476" s="85"/>
      <c r="DQ476" s="85"/>
      <c r="DR476" s="85"/>
      <c r="DS476" s="85"/>
      <c r="DT476" s="85"/>
      <c r="DU476" s="85"/>
      <c r="DV476" s="85"/>
      <c r="DW476" s="85"/>
      <c r="DX476" s="85"/>
      <c r="DY476" s="85"/>
      <c r="DZ476" s="85"/>
      <c r="EA476" s="85"/>
      <c r="EB476" s="85"/>
      <c r="EC476" s="85"/>
      <c r="ED476" s="85"/>
      <c r="EE476" s="85"/>
      <c r="EF476" s="85"/>
      <c r="EG476" s="85"/>
      <c r="EH476" s="85"/>
      <c r="EI476" s="85"/>
      <c r="EJ476" s="85"/>
      <c r="EK476" s="85"/>
      <c r="EL476" s="85"/>
      <c r="EM476" s="85"/>
      <c r="EN476" s="85"/>
      <c r="EO476" s="85"/>
      <c r="EP476" s="85"/>
      <c r="EQ476" s="85"/>
      <c r="ER476" s="85"/>
      <c r="ES476" s="85"/>
      <c r="ET476" s="85"/>
      <c r="EU476" s="85"/>
      <c r="EV476" s="85"/>
      <c r="EW476" s="85"/>
      <c r="EX476" s="85"/>
      <c r="EY476" s="85"/>
      <c r="EZ476" s="85"/>
      <c r="FA476" s="85"/>
      <c r="FB476" s="85"/>
      <c r="FC476" s="85"/>
      <c r="FD476" s="85"/>
      <c r="FE476" s="85"/>
      <c r="FF476" s="85"/>
      <c r="FG476" s="85"/>
      <c r="FH476" s="85"/>
      <c r="FI476" s="85"/>
      <c r="FJ476" s="85"/>
      <c r="FK476" s="85"/>
      <c r="FL476" s="85"/>
      <c r="FM476" s="85"/>
      <c r="FN476" s="85"/>
      <c r="FO476" s="85"/>
      <c r="FP476" s="85"/>
      <c r="FQ476" s="85"/>
      <c r="FR476" s="85"/>
      <c r="FS476" s="85"/>
      <c r="FT476" s="85"/>
      <c r="FU476" s="85"/>
      <c r="FV476" s="85"/>
      <c r="FW476" s="85"/>
      <c r="FX476" s="85"/>
      <c r="FY476" s="85"/>
      <c r="FZ476" s="85"/>
      <c r="GA476" s="85"/>
      <c r="GB476" s="85"/>
      <c r="GC476" s="85"/>
      <c r="GD476" s="85"/>
      <c r="GE476" s="85"/>
      <c r="GF476" s="85"/>
      <c r="GG476" s="85"/>
      <c r="GH476" s="85"/>
      <c r="GI476" s="85"/>
      <c r="GJ476" s="85"/>
      <c r="GK476" s="85"/>
      <c r="GL476" s="85"/>
      <c r="GM476" s="85"/>
      <c r="GN476" s="85"/>
      <c r="GO476" s="85"/>
      <c r="GP476" s="85"/>
      <c r="GQ476" s="85"/>
      <c r="GR476" s="85"/>
      <c r="GS476" s="85"/>
      <c r="GT476" s="85"/>
      <c r="GU476" s="85"/>
      <c r="GV476" s="85"/>
      <c r="GW476" s="85"/>
      <c r="GX476" s="85"/>
      <c r="GY476" s="85"/>
      <c r="GZ476" s="85"/>
      <c r="HA476" s="85"/>
      <c r="HB476" s="85"/>
      <c r="HC476" s="85"/>
      <c r="HD476" s="85"/>
      <c r="HE476" s="85"/>
      <c r="HF476" s="85"/>
      <c r="HG476" s="85"/>
      <c r="HH476" s="85"/>
      <c r="HI476" s="85"/>
      <c r="HJ476" s="85"/>
      <c r="HK476" s="85"/>
      <c r="HL476" s="85"/>
      <c r="HM476" s="85"/>
      <c r="HN476" s="85"/>
      <c r="HO476" s="85"/>
      <c r="HP476" s="85"/>
      <c r="HQ476" s="85"/>
      <c r="HR476" s="85"/>
      <c r="HS476" s="85"/>
      <c r="HT476" s="85"/>
      <c r="HU476" s="85"/>
      <c r="HV476" s="85"/>
      <c r="HW476" s="85"/>
      <c r="HX476" s="85"/>
      <c r="HY476" s="85"/>
    </row>
    <row r="477" spans="1:233" s="14" customFormat="1" ht="15" x14ac:dyDescent="0.25">
      <c r="A477" s="4"/>
      <c r="B477" s="83" t="s">
        <v>291</v>
      </c>
      <c r="C477" s="143"/>
      <c r="D477" s="143"/>
      <c r="E477" s="143"/>
      <c r="F477" s="143"/>
      <c r="G477" s="143"/>
      <c r="H477" s="144"/>
      <c r="I477" s="144"/>
      <c r="J477" s="144"/>
      <c r="K477" s="144"/>
      <c r="L477" s="144"/>
      <c r="M477" s="106"/>
      <c r="N477"/>
      <c r="O477"/>
      <c r="P477"/>
      <c r="Q477"/>
      <c r="R477"/>
      <c r="S477"/>
      <c r="T477"/>
      <c r="U477"/>
      <c r="V477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 t="s">
        <v>0</v>
      </c>
      <c r="GA477" s="6" t="s">
        <v>0</v>
      </c>
      <c r="GB477" s="6" t="s">
        <v>0</v>
      </c>
      <c r="GC477" s="6" t="s">
        <v>0</v>
      </c>
      <c r="GD477" s="6" t="s">
        <v>0</v>
      </c>
      <c r="GE477" s="6" t="s">
        <v>0</v>
      </c>
      <c r="GF477" s="6" t="s">
        <v>0</v>
      </c>
      <c r="GG477" s="6" t="s">
        <v>0</v>
      </c>
      <c r="GH477" s="6" t="s">
        <v>0</v>
      </c>
      <c r="GI477" s="6" t="s">
        <v>0</v>
      </c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</row>
    <row r="478" spans="1:233" s="84" customFormat="1" ht="16.5" customHeight="1" x14ac:dyDescent="0.25">
      <c r="A478" s="5"/>
      <c r="C478" s="142" t="s">
        <v>290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10"/>
      <c r="W478" s="85"/>
      <c r="X478" s="85"/>
      <c r="Y478" s="85"/>
      <c r="Z478" s="85"/>
      <c r="AA478" s="85"/>
      <c r="AB478" s="85"/>
      <c r="AC478" s="85"/>
      <c r="AD478" s="85"/>
      <c r="AE478" s="85"/>
      <c r="AF478" s="85"/>
      <c r="AG478" s="85"/>
      <c r="AH478" s="85"/>
      <c r="AI478" s="85"/>
      <c r="AJ478" s="85"/>
      <c r="AK478" s="85"/>
      <c r="AL478" s="85"/>
      <c r="AM478" s="85"/>
      <c r="AN478" s="85"/>
      <c r="AO478" s="85"/>
      <c r="AP478" s="85"/>
      <c r="AQ478" s="85"/>
      <c r="AR478" s="85"/>
      <c r="AS478" s="85"/>
      <c r="AT478" s="85"/>
      <c r="AU478" s="85"/>
      <c r="AV478" s="85"/>
      <c r="AW478" s="85"/>
      <c r="AX478" s="85"/>
      <c r="AY478" s="85"/>
      <c r="AZ478" s="85"/>
      <c r="BA478" s="85"/>
      <c r="BB478" s="85"/>
      <c r="BC478" s="85"/>
      <c r="BD478" s="85"/>
      <c r="BE478" s="85"/>
      <c r="BF478" s="85"/>
      <c r="BG478" s="85"/>
      <c r="BH478" s="85"/>
      <c r="BI478" s="85"/>
      <c r="BJ478" s="85"/>
      <c r="BK478" s="85"/>
      <c r="BL478" s="85"/>
      <c r="BM478" s="85"/>
      <c r="BN478" s="85"/>
      <c r="BO478" s="85"/>
      <c r="BP478" s="85"/>
      <c r="BQ478" s="85"/>
      <c r="BR478" s="85"/>
      <c r="BS478" s="85"/>
      <c r="BT478" s="85"/>
      <c r="BU478" s="85"/>
      <c r="BV478" s="85"/>
      <c r="BW478" s="85"/>
      <c r="BX478" s="85"/>
      <c r="BY478" s="85"/>
      <c r="BZ478" s="85"/>
      <c r="CA478" s="85"/>
      <c r="CB478" s="85"/>
      <c r="CC478" s="85"/>
      <c r="CD478" s="85"/>
      <c r="CE478" s="85"/>
      <c r="CF478" s="85"/>
      <c r="CG478" s="85"/>
      <c r="CH478" s="85"/>
      <c r="CI478" s="85"/>
      <c r="CJ478" s="85"/>
      <c r="CK478" s="85"/>
      <c r="CL478" s="85"/>
      <c r="CM478" s="85"/>
      <c r="CN478" s="85"/>
      <c r="CO478" s="85"/>
      <c r="CP478" s="85"/>
      <c r="CQ478" s="85"/>
      <c r="CR478" s="85"/>
      <c r="CS478" s="85"/>
      <c r="CT478" s="85"/>
      <c r="CU478" s="85"/>
      <c r="CV478" s="85"/>
      <c r="CW478" s="85"/>
      <c r="CX478" s="85"/>
      <c r="CY478" s="85"/>
      <c r="CZ478" s="85"/>
      <c r="DA478" s="85"/>
      <c r="DB478" s="85"/>
      <c r="DC478" s="85"/>
      <c r="DD478" s="85"/>
      <c r="DE478" s="85"/>
      <c r="DF478" s="85"/>
      <c r="DG478" s="85"/>
      <c r="DH478" s="85"/>
      <c r="DI478" s="85"/>
      <c r="DJ478" s="85"/>
      <c r="DK478" s="85"/>
      <c r="DL478" s="85"/>
      <c r="DM478" s="85"/>
      <c r="DN478" s="85"/>
      <c r="DO478" s="85"/>
      <c r="DP478" s="85"/>
      <c r="DQ478" s="85"/>
      <c r="DR478" s="85"/>
      <c r="DS478" s="85"/>
      <c r="DT478" s="85"/>
      <c r="DU478" s="85"/>
      <c r="DV478" s="85"/>
      <c r="DW478" s="85"/>
      <c r="DX478" s="85"/>
      <c r="DY478" s="85"/>
      <c r="DZ478" s="85"/>
      <c r="EA478" s="85"/>
      <c r="EB478" s="85"/>
      <c r="EC478" s="85"/>
      <c r="ED478" s="85"/>
      <c r="EE478" s="85"/>
      <c r="EF478" s="85"/>
      <c r="EG478" s="85"/>
      <c r="EH478" s="85"/>
      <c r="EI478" s="85"/>
      <c r="EJ478" s="85"/>
      <c r="EK478" s="85"/>
      <c r="EL478" s="85"/>
      <c r="EM478" s="85"/>
      <c r="EN478" s="85"/>
      <c r="EO478" s="85"/>
      <c r="EP478" s="85"/>
      <c r="EQ478" s="85"/>
      <c r="ER478" s="85"/>
      <c r="ES478" s="85"/>
      <c r="ET478" s="85"/>
      <c r="EU478" s="85"/>
      <c r="EV478" s="85"/>
      <c r="EW478" s="85"/>
      <c r="EX478" s="85"/>
      <c r="EY478" s="85"/>
      <c r="EZ478" s="85"/>
      <c r="FA478" s="85"/>
      <c r="FB478" s="85"/>
      <c r="FC478" s="85"/>
      <c r="FD478" s="85"/>
      <c r="FE478" s="85"/>
      <c r="FF478" s="85"/>
      <c r="FG478" s="85"/>
      <c r="FH478" s="85"/>
      <c r="FI478" s="85"/>
      <c r="FJ478" s="85"/>
      <c r="FK478" s="85"/>
      <c r="FL478" s="85"/>
      <c r="FM478" s="85"/>
      <c r="FN478" s="85"/>
      <c r="FO478" s="85"/>
      <c r="FP478" s="85"/>
      <c r="FQ478" s="85"/>
      <c r="FR478" s="85"/>
      <c r="FS478" s="85"/>
      <c r="FT478" s="85"/>
      <c r="FU478" s="85"/>
      <c r="FV478" s="85"/>
      <c r="FW478" s="85"/>
      <c r="FX478" s="85"/>
      <c r="FY478" s="85"/>
      <c r="FZ478" s="85"/>
      <c r="GA478" s="85"/>
      <c r="GB478" s="85"/>
      <c r="GC478" s="85"/>
      <c r="GD478" s="85"/>
      <c r="GE478" s="85"/>
      <c r="GF478" s="85"/>
      <c r="GG478" s="85"/>
      <c r="GH478" s="85"/>
      <c r="GI478" s="85"/>
      <c r="GJ478" s="85"/>
      <c r="GK478" s="85"/>
      <c r="GL478" s="85"/>
      <c r="GM478" s="85"/>
      <c r="GN478" s="85"/>
      <c r="GO478" s="85"/>
      <c r="GP478" s="85"/>
      <c r="GQ478" s="85"/>
      <c r="GR478" s="85"/>
      <c r="GS478" s="85"/>
      <c r="GT478" s="85"/>
      <c r="GU478" s="85"/>
      <c r="GV478" s="85"/>
      <c r="GW478" s="85"/>
      <c r="GX478" s="85"/>
      <c r="GY478" s="85"/>
      <c r="GZ478" s="85"/>
      <c r="HA478" s="85"/>
      <c r="HB478" s="85"/>
      <c r="HC478" s="85"/>
      <c r="HD478" s="85"/>
      <c r="HE478" s="85"/>
      <c r="HF478" s="85"/>
      <c r="HG478" s="85"/>
      <c r="HH478" s="85"/>
      <c r="HI478" s="85"/>
      <c r="HJ478" s="85"/>
      <c r="HK478" s="85"/>
      <c r="HL478" s="85"/>
      <c r="HM478" s="85"/>
      <c r="HN478" s="85"/>
      <c r="HO478" s="85"/>
      <c r="HP478" s="85"/>
      <c r="HQ478" s="85"/>
      <c r="HR478" s="85"/>
      <c r="HS478" s="85"/>
      <c r="HT478" s="85"/>
      <c r="HU478" s="85"/>
      <c r="HV478" s="85"/>
      <c r="HW478" s="85"/>
      <c r="HX478" s="85"/>
      <c r="HY478" s="85"/>
    </row>
    <row r="479" spans="1:233" customFormat="1" ht="21" customHeight="1" x14ac:dyDescent="0.25">
      <c r="M479" s="106"/>
    </row>
    <row r="480" spans="1:233" s="14" customFormat="1" ht="22.5" customHeight="1" x14ac:dyDescent="0.25">
      <c r="A480" s="141" t="s">
        <v>292</v>
      </c>
      <c r="B480" s="141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11"/>
      <c r="N480" s="73"/>
      <c r="O480"/>
      <c r="P480"/>
      <c r="Q480"/>
      <c r="R480"/>
      <c r="S480"/>
      <c r="T480"/>
      <c r="U480"/>
      <c r="V480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3" t="s">
        <v>292</v>
      </c>
      <c r="GK480" s="3" t="s">
        <v>0</v>
      </c>
      <c r="GL480" s="3" t="s">
        <v>0</v>
      </c>
      <c r="GM480" s="3" t="s">
        <v>0</v>
      </c>
      <c r="GN480" s="3" t="s">
        <v>0</v>
      </c>
      <c r="GO480" s="3" t="s">
        <v>0</v>
      </c>
      <c r="GP480" s="3" t="s">
        <v>0</v>
      </c>
      <c r="GQ480" s="3" t="s">
        <v>0</v>
      </c>
      <c r="GR480" s="3" t="s">
        <v>0</v>
      </c>
      <c r="GS480" s="3" t="s">
        <v>0</v>
      </c>
      <c r="GT480" s="3" t="s">
        <v>0</v>
      </c>
      <c r="GU480" s="3" t="s">
        <v>0</v>
      </c>
      <c r="GV480" s="3" t="s">
        <v>0</v>
      </c>
      <c r="GW480" s="3" t="s">
        <v>0</v>
      </c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</row>
    <row r="481" spans="1:233" s="14" customFormat="1" ht="11.25" customHeight="1" x14ac:dyDescent="0.25">
      <c r="A481" s="141" t="s">
        <v>293</v>
      </c>
      <c r="B481" s="141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11"/>
      <c r="N481" s="73"/>
      <c r="O481"/>
      <c r="P481"/>
      <c r="Q481"/>
      <c r="R481"/>
      <c r="S481"/>
      <c r="T481"/>
      <c r="U481"/>
      <c r="V481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3" t="s">
        <v>293</v>
      </c>
      <c r="GY481" s="3" t="s">
        <v>0</v>
      </c>
      <c r="GZ481" s="3" t="s">
        <v>0</v>
      </c>
      <c r="HA481" s="3" t="s">
        <v>0</v>
      </c>
      <c r="HB481" s="3" t="s">
        <v>0</v>
      </c>
      <c r="HC481" s="3" t="s">
        <v>0</v>
      </c>
      <c r="HD481" s="3" t="s">
        <v>0</v>
      </c>
      <c r="HE481" s="3" t="s">
        <v>0</v>
      </c>
      <c r="HF481" s="3" t="s">
        <v>0</v>
      </c>
      <c r="HG481" s="3" t="s">
        <v>0</v>
      </c>
      <c r="HH481" s="3" t="s">
        <v>0</v>
      </c>
      <c r="HI481" s="3" t="s">
        <v>0</v>
      </c>
      <c r="HJ481" s="3" t="s">
        <v>0</v>
      </c>
      <c r="HK481" s="3" t="s">
        <v>0</v>
      </c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</row>
    <row r="482" spans="1:233" s="14" customFormat="1" ht="15" x14ac:dyDescent="0.25">
      <c r="A482" s="141" t="s">
        <v>294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11"/>
      <c r="N482" s="73"/>
      <c r="O482"/>
      <c r="P482"/>
      <c r="Q482"/>
      <c r="R482"/>
      <c r="S482"/>
      <c r="T482"/>
      <c r="U482"/>
      <c r="V482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3" t="s">
        <v>294</v>
      </c>
      <c r="HM482" s="3" t="s">
        <v>0</v>
      </c>
      <c r="HN482" s="3" t="s">
        <v>0</v>
      </c>
      <c r="HO482" s="3" t="s">
        <v>0</v>
      </c>
      <c r="HP482" s="3" t="s">
        <v>0</v>
      </c>
      <c r="HQ482" s="3" t="s">
        <v>0</v>
      </c>
      <c r="HR482" s="3" t="s">
        <v>0</v>
      </c>
      <c r="HS482" s="3" t="s">
        <v>0</v>
      </c>
      <c r="HT482" s="3" t="s">
        <v>0</v>
      </c>
      <c r="HU482" s="3" t="s">
        <v>0</v>
      </c>
      <c r="HV482" s="3" t="s">
        <v>0</v>
      </c>
      <c r="HW482" s="3" t="s">
        <v>0</v>
      </c>
      <c r="HX482" s="3" t="s">
        <v>0</v>
      </c>
      <c r="HY482" s="3" t="s">
        <v>0</v>
      </c>
    </row>
    <row r="483" spans="1:233" s="14" customFormat="1" ht="20.25" customHeight="1" x14ac:dyDescent="0.25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111"/>
      <c r="N483" s="73"/>
      <c r="O483"/>
      <c r="P483"/>
      <c r="Q483"/>
      <c r="R483"/>
      <c r="S483"/>
      <c r="T483"/>
      <c r="U483"/>
      <c r="V483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</row>
    <row r="484" spans="1:233" customFormat="1" ht="15" x14ac:dyDescent="0.25">
      <c r="B484" s="86"/>
      <c r="D484" s="86"/>
      <c r="F484" s="86"/>
      <c r="M484" s="106"/>
    </row>
  </sheetData>
  <autoFilter ref="A15:L426" xr:uid="{00000000-0001-0000-0000-000000000000}"/>
  <mergeCells count="476">
    <mergeCell ref="A2:L2"/>
    <mergeCell ref="A3:L3"/>
    <mergeCell ref="A4:L4"/>
    <mergeCell ref="C16:E16"/>
    <mergeCell ref="C18:E18"/>
    <mergeCell ref="C19:L19"/>
    <mergeCell ref="A13:A15"/>
    <mergeCell ref="B13:B15"/>
    <mergeCell ref="C13:E15"/>
    <mergeCell ref="F13:F15"/>
    <mergeCell ref="J13:L14"/>
    <mergeCell ref="A6:L6"/>
    <mergeCell ref="A7:L7"/>
    <mergeCell ref="B8:F8"/>
    <mergeCell ref="B9:F9"/>
    <mergeCell ref="D11:F11"/>
    <mergeCell ref="C25:E25"/>
    <mergeCell ref="C26:E26"/>
    <mergeCell ref="C27:E27"/>
    <mergeCell ref="C28:E28"/>
    <mergeCell ref="C29:E29"/>
    <mergeCell ref="C20:L20"/>
    <mergeCell ref="C21:L21"/>
    <mergeCell ref="C22:E22"/>
    <mergeCell ref="C23:E23"/>
    <mergeCell ref="C24:E24"/>
    <mergeCell ref="C35:L35"/>
    <mergeCell ref="C36:L36"/>
    <mergeCell ref="C37:L37"/>
    <mergeCell ref="C38:E38"/>
    <mergeCell ref="C39:E39"/>
    <mergeCell ref="C30:E30"/>
    <mergeCell ref="C31:E31"/>
    <mergeCell ref="C32:E32"/>
    <mergeCell ref="C33:E33"/>
    <mergeCell ref="C34:L34"/>
    <mergeCell ref="C45:E45"/>
    <mergeCell ref="C46:L46"/>
    <mergeCell ref="C47:E47"/>
    <mergeCell ref="C48:E48"/>
    <mergeCell ref="C49:L49"/>
    <mergeCell ref="C40:L40"/>
    <mergeCell ref="C41:L41"/>
    <mergeCell ref="C42:L42"/>
    <mergeCell ref="C43:L43"/>
    <mergeCell ref="C44:E44"/>
    <mergeCell ref="C55:E55"/>
    <mergeCell ref="C56:E56"/>
    <mergeCell ref="C57:E57"/>
    <mergeCell ref="C58:E58"/>
    <mergeCell ref="C59:E59"/>
    <mergeCell ref="C50:E50"/>
    <mergeCell ref="C51:E51"/>
    <mergeCell ref="C52:L52"/>
    <mergeCell ref="C53:L53"/>
    <mergeCell ref="C54:L54"/>
    <mergeCell ref="C65:E65"/>
    <mergeCell ref="C66:E66"/>
    <mergeCell ref="C67:L67"/>
    <mergeCell ref="C68:L68"/>
    <mergeCell ref="C69:L69"/>
    <mergeCell ref="C60:E60"/>
    <mergeCell ref="C61:E61"/>
    <mergeCell ref="C62:E62"/>
    <mergeCell ref="C63:E63"/>
    <mergeCell ref="C64:E64"/>
    <mergeCell ref="C75:L75"/>
    <mergeCell ref="C76:L76"/>
    <mergeCell ref="C77:E77"/>
    <mergeCell ref="C78:E78"/>
    <mergeCell ref="C79:L79"/>
    <mergeCell ref="C70:L70"/>
    <mergeCell ref="C71:E71"/>
    <mergeCell ref="C72:E72"/>
    <mergeCell ref="C73:L73"/>
    <mergeCell ref="C74:L74"/>
    <mergeCell ref="C85:L85"/>
    <mergeCell ref="C86:L86"/>
    <mergeCell ref="C87:E87"/>
    <mergeCell ref="C88:E88"/>
    <mergeCell ref="C89:L89"/>
    <mergeCell ref="C80:L80"/>
    <mergeCell ref="C81:L81"/>
    <mergeCell ref="C82:E82"/>
    <mergeCell ref="C83:E83"/>
    <mergeCell ref="C84:L84"/>
    <mergeCell ref="C95:L95"/>
    <mergeCell ref="C96:L96"/>
    <mergeCell ref="C97:E97"/>
    <mergeCell ref="C98:E98"/>
    <mergeCell ref="C99:L99"/>
    <mergeCell ref="C90:L90"/>
    <mergeCell ref="C91:L91"/>
    <mergeCell ref="C92:E92"/>
    <mergeCell ref="C93:E93"/>
    <mergeCell ref="C94:L94"/>
    <mergeCell ref="C105:E105"/>
    <mergeCell ref="C106:E106"/>
    <mergeCell ref="C107:E107"/>
    <mergeCell ref="C108:E108"/>
    <mergeCell ref="C109:E109"/>
    <mergeCell ref="C100:L100"/>
    <mergeCell ref="C101:L101"/>
    <mergeCell ref="C102:L102"/>
    <mergeCell ref="C103:E103"/>
    <mergeCell ref="C104:E104"/>
    <mergeCell ref="C115:L115"/>
    <mergeCell ref="C116:L116"/>
    <mergeCell ref="C117:L117"/>
    <mergeCell ref="C118:L118"/>
    <mergeCell ref="C119:E119"/>
    <mergeCell ref="C110:E110"/>
    <mergeCell ref="C111:E111"/>
    <mergeCell ref="C112:E112"/>
    <mergeCell ref="C113:E113"/>
    <mergeCell ref="C114:E114"/>
    <mergeCell ref="C125:E125"/>
    <mergeCell ref="C126:E126"/>
    <mergeCell ref="C127:E127"/>
    <mergeCell ref="C128:E128"/>
    <mergeCell ref="C129:E129"/>
    <mergeCell ref="C120:E120"/>
    <mergeCell ref="C121:L121"/>
    <mergeCell ref="C122:L122"/>
    <mergeCell ref="C123:L123"/>
    <mergeCell ref="C124:E124"/>
    <mergeCell ref="C135:E135"/>
    <mergeCell ref="C136:L136"/>
    <mergeCell ref="C137:L137"/>
    <mergeCell ref="C138:L138"/>
    <mergeCell ref="C139:L139"/>
    <mergeCell ref="C130:E130"/>
    <mergeCell ref="C131:E131"/>
    <mergeCell ref="C132:E132"/>
    <mergeCell ref="C133:E133"/>
    <mergeCell ref="C134:E134"/>
    <mergeCell ref="C145:E145"/>
    <mergeCell ref="C146:E146"/>
    <mergeCell ref="C147:E147"/>
    <mergeCell ref="C148:E148"/>
    <mergeCell ref="C149:E149"/>
    <mergeCell ref="C140:E140"/>
    <mergeCell ref="C141:E141"/>
    <mergeCell ref="C142:L142"/>
    <mergeCell ref="C143:L143"/>
    <mergeCell ref="C144:L144"/>
    <mergeCell ref="C155:E155"/>
    <mergeCell ref="C156:E156"/>
    <mergeCell ref="C157:L157"/>
    <mergeCell ref="C158:L158"/>
    <mergeCell ref="C159:L159"/>
    <mergeCell ref="C150:E150"/>
    <mergeCell ref="C151:E151"/>
    <mergeCell ref="C152:E152"/>
    <mergeCell ref="C153:E153"/>
    <mergeCell ref="C154:E154"/>
    <mergeCell ref="C165:E165"/>
    <mergeCell ref="C166:E166"/>
    <mergeCell ref="C167:L167"/>
    <mergeCell ref="C168:L168"/>
    <mergeCell ref="C169:L169"/>
    <mergeCell ref="C160:E160"/>
    <mergeCell ref="C161:E161"/>
    <mergeCell ref="C162:L162"/>
    <mergeCell ref="C163:L163"/>
    <mergeCell ref="C164:L164"/>
    <mergeCell ref="C175:E175"/>
    <mergeCell ref="C176:E176"/>
    <mergeCell ref="C177:E177"/>
    <mergeCell ref="C178:E178"/>
    <mergeCell ref="C179:E179"/>
    <mergeCell ref="C170:L170"/>
    <mergeCell ref="C171:E171"/>
    <mergeCell ref="C172:E172"/>
    <mergeCell ref="C173:E173"/>
    <mergeCell ref="C174:E174"/>
    <mergeCell ref="C185:L185"/>
    <mergeCell ref="C186:E186"/>
    <mergeCell ref="C187:E187"/>
    <mergeCell ref="C188:E188"/>
    <mergeCell ref="C189:E189"/>
    <mergeCell ref="C180:E180"/>
    <mergeCell ref="C181:E181"/>
    <mergeCell ref="C182:E182"/>
    <mergeCell ref="C183:L183"/>
    <mergeCell ref="C184:L184"/>
    <mergeCell ref="C195:E195"/>
    <mergeCell ref="C196:E196"/>
    <mergeCell ref="C197:E197"/>
    <mergeCell ref="C198:L198"/>
    <mergeCell ref="C199:L199"/>
    <mergeCell ref="C190:E190"/>
    <mergeCell ref="C191:E191"/>
    <mergeCell ref="C192:E192"/>
    <mergeCell ref="C193:E193"/>
    <mergeCell ref="C194:E194"/>
    <mergeCell ref="C205:E205"/>
    <mergeCell ref="C206:E206"/>
    <mergeCell ref="C207:E207"/>
    <mergeCell ref="C208:L208"/>
    <mergeCell ref="C209:L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L219"/>
    <mergeCell ref="C210:L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L222"/>
    <mergeCell ref="C223:L223"/>
    <mergeCell ref="C224:L224"/>
    <mergeCell ref="C235:E235"/>
    <mergeCell ref="C236:E236"/>
    <mergeCell ref="C237:E237"/>
    <mergeCell ref="C238:E238"/>
    <mergeCell ref="C239:L239"/>
    <mergeCell ref="C230:E230"/>
    <mergeCell ref="C231:E231"/>
    <mergeCell ref="C232:E232"/>
    <mergeCell ref="C233:E233"/>
    <mergeCell ref="C234:E234"/>
    <mergeCell ref="C245:E245"/>
    <mergeCell ref="C246:E246"/>
    <mergeCell ref="C247:E247"/>
    <mergeCell ref="C248:E248"/>
    <mergeCell ref="C249:E249"/>
    <mergeCell ref="C240:L240"/>
    <mergeCell ref="C241:L241"/>
    <mergeCell ref="C242:E242"/>
    <mergeCell ref="C243:E243"/>
    <mergeCell ref="C244:E244"/>
    <mergeCell ref="C255:E255"/>
    <mergeCell ref="C256:E256"/>
    <mergeCell ref="C257:L257"/>
    <mergeCell ref="C258:L258"/>
    <mergeCell ref="C259:L259"/>
    <mergeCell ref="C250:E250"/>
    <mergeCell ref="C251:E251"/>
    <mergeCell ref="C252:E252"/>
    <mergeCell ref="C253:E253"/>
    <mergeCell ref="C254:L254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75:E275"/>
    <mergeCell ref="C276:E276"/>
    <mergeCell ref="C277:L277"/>
    <mergeCell ref="C278:L278"/>
    <mergeCell ref="C279:E279"/>
    <mergeCell ref="C270:E270"/>
    <mergeCell ref="C271:E271"/>
    <mergeCell ref="C272:L272"/>
    <mergeCell ref="C273:L273"/>
    <mergeCell ref="C274:L274"/>
    <mergeCell ref="C285:E285"/>
    <mergeCell ref="C286:E286"/>
    <mergeCell ref="C287:E287"/>
    <mergeCell ref="C288:L288"/>
    <mergeCell ref="C289:L289"/>
    <mergeCell ref="C280:E280"/>
    <mergeCell ref="C281:E281"/>
    <mergeCell ref="C282:E282"/>
    <mergeCell ref="C283:E283"/>
    <mergeCell ref="C284:E284"/>
    <mergeCell ref="C295:E295"/>
    <mergeCell ref="C296:E296"/>
    <mergeCell ref="C297:E297"/>
    <mergeCell ref="C298:E298"/>
    <mergeCell ref="C299:L299"/>
    <mergeCell ref="C290:E290"/>
    <mergeCell ref="C291:E291"/>
    <mergeCell ref="C292:E292"/>
    <mergeCell ref="C293:E293"/>
    <mergeCell ref="C294:E294"/>
    <mergeCell ref="C309:L309"/>
    <mergeCell ref="C310:L310"/>
    <mergeCell ref="C311:L311"/>
    <mergeCell ref="C312:E312"/>
    <mergeCell ref="C313:E313"/>
    <mergeCell ref="C305:E305"/>
    <mergeCell ref="C306:K306"/>
    <mergeCell ref="C308:E308"/>
    <mergeCell ref="C300:E300"/>
    <mergeCell ref="C301:E301"/>
    <mergeCell ref="C302:L302"/>
    <mergeCell ref="C303:L303"/>
    <mergeCell ref="C304:L304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C329:E329"/>
    <mergeCell ref="C330:L330"/>
    <mergeCell ref="C331:L331"/>
    <mergeCell ref="C332:L332"/>
    <mergeCell ref="C333:L333"/>
    <mergeCell ref="C324:L324"/>
    <mergeCell ref="C325:L325"/>
    <mergeCell ref="C326:L326"/>
    <mergeCell ref="C327:L327"/>
    <mergeCell ref="C328:E32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49:L349"/>
    <mergeCell ref="C350:E350"/>
    <mergeCell ref="C351:E351"/>
    <mergeCell ref="C352:L352"/>
    <mergeCell ref="C353:L353"/>
    <mergeCell ref="C344:E344"/>
    <mergeCell ref="C345:E345"/>
    <mergeCell ref="C346:L346"/>
    <mergeCell ref="C347:L347"/>
    <mergeCell ref="C348:L348"/>
    <mergeCell ref="C359:E359"/>
    <mergeCell ref="C360:E360"/>
    <mergeCell ref="C361:E361"/>
    <mergeCell ref="C362:E362"/>
    <mergeCell ref="C363:E363"/>
    <mergeCell ref="C354:L354"/>
    <mergeCell ref="C355:E355"/>
    <mergeCell ref="C356:E356"/>
    <mergeCell ref="C357:E357"/>
    <mergeCell ref="C358:E358"/>
    <mergeCell ref="C369:L369"/>
    <mergeCell ref="C370:L370"/>
    <mergeCell ref="C371:E371"/>
    <mergeCell ref="C372:E372"/>
    <mergeCell ref="C373:L373"/>
    <mergeCell ref="C364:E364"/>
    <mergeCell ref="C365:E365"/>
    <mergeCell ref="C366:E366"/>
    <mergeCell ref="C367:L367"/>
    <mergeCell ref="C368:L368"/>
    <mergeCell ref="C379:E379"/>
    <mergeCell ref="C380:E380"/>
    <mergeCell ref="C381:E381"/>
    <mergeCell ref="C382:E382"/>
    <mergeCell ref="C383:E383"/>
    <mergeCell ref="C374:L374"/>
    <mergeCell ref="C375:L375"/>
    <mergeCell ref="C376:E376"/>
    <mergeCell ref="C377:E377"/>
    <mergeCell ref="C378:E378"/>
    <mergeCell ref="C389:E389"/>
    <mergeCell ref="C390:E390"/>
    <mergeCell ref="C391:L391"/>
    <mergeCell ref="C392:L392"/>
    <mergeCell ref="C393:E393"/>
    <mergeCell ref="C384:E384"/>
    <mergeCell ref="C385:L385"/>
    <mergeCell ref="C386:L386"/>
    <mergeCell ref="C387:L387"/>
    <mergeCell ref="C388:L38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409:E409"/>
    <mergeCell ref="C410:L410"/>
    <mergeCell ref="C411:L411"/>
    <mergeCell ref="C412:L412"/>
    <mergeCell ref="C413:E413"/>
    <mergeCell ref="C404:E404"/>
    <mergeCell ref="C405:L405"/>
    <mergeCell ref="C406:L406"/>
    <mergeCell ref="C407:L407"/>
    <mergeCell ref="C408:E408"/>
    <mergeCell ref="C422:L422"/>
    <mergeCell ref="C423:L423"/>
    <mergeCell ref="C424:L424"/>
    <mergeCell ref="C425:L425"/>
    <mergeCell ref="C426:E426"/>
    <mergeCell ref="C419:E419"/>
    <mergeCell ref="C420:E420"/>
    <mergeCell ref="C421:E421"/>
    <mergeCell ref="C414:E414"/>
    <mergeCell ref="C415:E415"/>
    <mergeCell ref="C416:E416"/>
    <mergeCell ref="C417:E417"/>
    <mergeCell ref="C418:E418"/>
    <mergeCell ref="C433:L433"/>
    <mergeCell ref="C434:E434"/>
    <mergeCell ref="C435:E435"/>
    <mergeCell ref="C436:E436"/>
    <mergeCell ref="C437:E437"/>
    <mergeCell ref="C428:K428"/>
    <mergeCell ref="C430:E430"/>
    <mergeCell ref="C431:L431"/>
    <mergeCell ref="C432:L432"/>
    <mergeCell ref="C443:L443"/>
    <mergeCell ref="C444:L444"/>
    <mergeCell ref="C445:E445"/>
    <mergeCell ref="C446:E446"/>
    <mergeCell ref="C447:E447"/>
    <mergeCell ref="C438:E438"/>
    <mergeCell ref="C439:E439"/>
    <mergeCell ref="C440:E440"/>
    <mergeCell ref="C441:E441"/>
    <mergeCell ref="C442:L442"/>
    <mergeCell ref="C460:K460"/>
    <mergeCell ref="C461:K461"/>
    <mergeCell ref="C462:K462"/>
    <mergeCell ref="C457:K457"/>
    <mergeCell ref="C455:K455"/>
    <mergeCell ref="C456:K456"/>
    <mergeCell ref="C448:E448"/>
    <mergeCell ref="C449:E449"/>
    <mergeCell ref="C450:E450"/>
    <mergeCell ref="C451:E451"/>
    <mergeCell ref="C453:K453"/>
    <mergeCell ref="C478:L478"/>
    <mergeCell ref="A480:L480"/>
    <mergeCell ref="A481:L481"/>
    <mergeCell ref="A482:L482"/>
    <mergeCell ref="G13:G15"/>
    <mergeCell ref="H13:H15"/>
    <mergeCell ref="I13:I15"/>
    <mergeCell ref="C475:G475"/>
    <mergeCell ref="H475:L475"/>
    <mergeCell ref="C476:L476"/>
    <mergeCell ref="C477:G477"/>
    <mergeCell ref="H477:L477"/>
    <mergeCell ref="C468:K468"/>
    <mergeCell ref="C469:K469"/>
    <mergeCell ref="C470:K470"/>
    <mergeCell ref="C471:K471"/>
    <mergeCell ref="C472:K472"/>
    <mergeCell ref="C463:K463"/>
    <mergeCell ref="C464:K464"/>
    <mergeCell ref="C465:K465"/>
    <mergeCell ref="C466:K466"/>
    <mergeCell ref="C467:K467"/>
    <mergeCell ref="C458:K458"/>
    <mergeCell ref="C459:K45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A566E-81CE-4082-823D-5E9A5502540D}">
  <dimension ref="B2:K6"/>
  <sheetViews>
    <sheetView workbookViewId="0">
      <selection activeCell="G8" sqref="G8"/>
    </sheetView>
  </sheetViews>
  <sheetFormatPr defaultRowHeight="15" x14ac:dyDescent="0.25"/>
  <cols>
    <col min="1" max="1" width="14.140625" customWidth="1"/>
    <col min="2" max="2" width="24.28515625" customWidth="1"/>
    <col min="3" max="5" width="14.5703125" customWidth="1"/>
    <col min="6" max="6" width="12.5703125" customWidth="1"/>
    <col min="7" max="7" width="12.7109375" customWidth="1"/>
    <col min="8" max="9" width="19.42578125" customWidth="1"/>
    <col min="10" max="10" width="11.140625" customWidth="1"/>
    <col min="11" max="11" width="12" customWidth="1"/>
  </cols>
  <sheetData>
    <row r="2" spans="2:11" x14ac:dyDescent="0.25">
      <c r="I2">
        <v>164.9</v>
      </c>
    </row>
    <row r="3" spans="2:11" ht="56.25" x14ac:dyDescent="0.25">
      <c r="B3" s="107" t="s">
        <v>332</v>
      </c>
      <c r="C3" s="107" t="s">
        <v>331</v>
      </c>
      <c r="D3" s="107" t="s">
        <v>313</v>
      </c>
      <c r="E3" s="107" t="s">
        <v>330</v>
      </c>
      <c r="F3" s="107" t="s">
        <v>335</v>
      </c>
      <c r="G3" s="107" t="s">
        <v>333</v>
      </c>
      <c r="H3" s="107" t="s">
        <v>337</v>
      </c>
      <c r="I3" s="107" t="s">
        <v>336</v>
      </c>
      <c r="K3" s="104"/>
    </row>
    <row r="4" spans="2:11" x14ac:dyDescent="0.25">
      <c r="B4" s="119" t="s">
        <v>334</v>
      </c>
      <c r="C4" s="124">
        <v>278.99</v>
      </c>
      <c r="D4" s="124">
        <v>49.45</v>
      </c>
      <c r="E4" s="176">
        <f>1.15*1.15</f>
        <v>1.3224999999999998</v>
      </c>
      <c r="F4" s="121">
        <f>C4*D4*E4</f>
        <v>18245.283398749998</v>
      </c>
      <c r="G4" s="175">
        <v>29.68</v>
      </c>
      <c r="H4" s="125">
        <f>F4/G4*I2</f>
        <v>101369.51591825724</v>
      </c>
      <c r="I4" s="125">
        <f>H4*0.87</f>
        <v>88191.478848883795</v>
      </c>
      <c r="J4" s="124"/>
    </row>
    <row r="5" spans="2:11" x14ac:dyDescent="0.25">
      <c r="C5" s="106"/>
      <c r="D5" s="106"/>
      <c r="E5" s="176"/>
      <c r="F5" s="121">
        <f>H5/I2*G4</f>
        <v>30507.944208611276</v>
      </c>
      <c r="G5" s="175"/>
      <c r="H5" s="125">
        <f>150000*1.13</f>
        <v>169499.99999999997</v>
      </c>
      <c r="I5" s="125">
        <v>150000</v>
      </c>
    </row>
    <row r="6" spans="2:11" x14ac:dyDescent="0.25">
      <c r="C6" s="106"/>
      <c r="D6" s="106"/>
      <c r="E6" s="106"/>
      <c r="F6" s="126"/>
      <c r="H6" s="125"/>
      <c r="I6" s="125"/>
    </row>
  </sheetData>
  <mergeCells count="2">
    <mergeCell ref="G4:G5"/>
    <mergeCell ref="E4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обоснование</vt:lpstr>
      <vt:lpstr>Прокладка КЛ от ПС-106 _без коэ</vt:lpstr>
      <vt:lpstr>Прокладка КЛ от ПС-106 _рын (2)</vt:lpstr>
      <vt:lpstr>расч</vt:lpstr>
      <vt:lpstr>Лист1</vt:lpstr>
      <vt:lpstr>'Прокладка КЛ от ПС-106 _без коэ'!Заголовки_для_печати</vt:lpstr>
      <vt:lpstr>'Прокладка КЛ от ПС-106 _рын (2)'!Заголовки_для_печати</vt:lpstr>
      <vt:lpstr>расч!Заголовки_для_печати</vt:lpstr>
      <vt:lpstr>'Прокладка КЛ от ПС-106 _без коэ'!Область_печати</vt:lpstr>
      <vt:lpstr>'Прокладка КЛ от ПС-106 _рын (2)'!Область_печати</vt:lpstr>
      <vt:lpstr>расч!Область_печати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2024-12-23T18:37:59Z</dcterms:modified>
</cp:coreProperties>
</file>