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4 вар. 25.10\"/>
    </mc:Choice>
  </mc:AlternateContent>
  <xr:revisionPtr revIDLastSave="0" documentId="13_ncr:1_{86C4AAAF-5102-4BDC-AB6C-1F0F7A708323}" xr6:coauthVersionLast="47" xr6:coauthVersionMax="47" xr10:uidLastSave="{00000000-0000-0000-0000-000000000000}"/>
  <bookViews>
    <workbookView xWindow="-120" yWindow="-120" windowWidth="29040" windowHeight="15720" tabRatio="733" firstSheet="2" activeTab="2" xr2:uid="{FFA86EE9-2D57-4644-A65B-22E051DF5F38}"/>
  </bookViews>
  <sheets>
    <sheet name="!расчет по разделам (3)" sheetId="6" state="hidden" r:id="rId1"/>
    <sheet name="свод-компенс без НДС  (2)" sheetId="18" state="hidden" r:id="rId2"/>
    <sheet name="расчет Заказчика" sheetId="21" r:id="rId3"/>
    <sheet name="табл+пересчет сварки и УЗК" sheetId="19" state="hidden" r:id="rId4"/>
    <sheet name="для Андрея на 220 млн" sheetId="20" state="hidden" r:id="rId5"/>
    <sheet name="свод-компенс без НДС " sheetId="17" state="hidden" r:id="rId6"/>
    <sheet name="свод-компенс с НДС" sheetId="16" state="hidden" r:id="rId7"/>
    <sheet name="свод " sheetId="14" state="hidden" r:id="rId8"/>
    <sheet name="свод по ст" sheetId="13" state="hidden" r:id="rId9"/>
    <sheet name="!расчет (2 сценария)" sheetId="12" state="hidden" r:id="rId10"/>
    <sheet name="без настила" sheetId="1" state="hidden" r:id="rId11"/>
    <sheet name="+ЗУ+дефлятор" sheetId="8" state="hidden" r:id="rId12"/>
    <sheet name="!расчет по разделам" sheetId="4" state="hidden" r:id="rId13"/>
    <sheet name="+ЗУ + коэф.инфляции" sheetId="11" state="hidden" r:id="rId14"/>
    <sheet name="расчет дефлятора 2кв_1кв 26г." sheetId="7" state="hidden" r:id="rId15"/>
    <sheet name="Дефл год Базовый Сайт" sheetId="10" state="hidden" r:id="rId16"/>
    <sheet name="расчет по разделам" sheetId="3" state="hidden" r:id="rId17"/>
    <sheet name="с настилом" sheetId="2" state="hidden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xlnm._FilterDatabase" localSheetId="15" hidden="1">'Дефл год Базовый Сайт'!$A$4:$A$106</definedName>
    <definedName name="ColLastYearFB">[1]ФедД!$AH$17</definedName>
    <definedName name="ColLastYearFB1">[2]Управление!$AF$17</definedName>
    <definedName name="ColThisYearFB">[1]ФедД!$AG$17</definedName>
    <definedName name="PeriodLastYearName">[1]ФедД!$AH$20</definedName>
    <definedName name="PeriodThisYearName">[1]ФедД!$AG$20</definedName>
    <definedName name="short">[3]!short</definedName>
    <definedName name="title">'[4]Огл. Графиков'!$B$2:$B$31</definedName>
    <definedName name="Z_01CA8EBB_0C4C_4010_811F_073E57232CD7_.wvu.FilterData" localSheetId="15" hidden="1">'Дефл год Базовый Сайт'!$A$5:$A$106</definedName>
    <definedName name="Z_0ED5301B_3B9B_4028_A009_D402EF13F98D_.wvu.FilterData" localSheetId="15" hidden="1">'Дефл год Базовый Сайт'!$A$5:$A$100</definedName>
    <definedName name="Z_13B89219_28C6_4883_87AC_E0D1795AD51D_.wvu.FilterData" localSheetId="15" hidden="1">'Дефл год Базовый Сайт'!$A$5:$A$100</definedName>
    <definedName name="Z_268023C0_9BC0_40EB_A535_38BF110897FA_.wvu.FilterData" localSheetId="15" hidden="1">'Дефл год Базовый Сайт'!$A$5:$A$100</definedName>
    <definedName name="Z_3DEEBB3D_1270_47DE_834F_86032DB959D9_.wvu.FilterData" localSheetId="15" hidden="1">'Дефл год Базовый Сайт'!$A$5:$A$100</definedName>
    <definedName name="Z_4E2D07F0_76DB_4630_BC1D_F4D5A502B378_.wvu.FilterData" localSheetId="15" hidden="1">'Дефл год Базовый Сайт'!$A$5:$A$100</definedName>
    <definedName name="Z_572ABAB9_340C_418A_A9AD_B19F14213DA2_.wvu.FilterData" localSheetId="15" hidden="1">'Дефл год Базовый Сайт'!$A$5:$A$100</definedName>
    <definedName name="Z_ABD7BA35_04E1_43E0_AC75_033C3CA6FF3C_.wvu.Cols" localSheetId="15" hidden="1">'Дефл год Базовый Сайт'!#REF!,'Дефл год Базовый Сайт'!#REF!</definedName>
    <definedName name="Z_ABD7BA35_04E1_43E0_AC75_033C3CA6FF3C_.wvu.FilterData" localSheetId="15" hidden="1">'Дефл год Базовый Сайт'!$A$5:$A$100</definedName>
    <definedName name="Z_ABD7BA35_04E1_43E0_AC75_033C3CA6FF3C_.wvu.PrintArea" localSheetId="15" hidden="1">'Дефл год Базовый Сайт'!$A$5:$F$100</definedName>
    <definedName name="Z_C73CA27E_77B2_422A_A773_B235904BACA3_.wvu.Cols" localSheetId="15" hidden="1">'Дефл год Базовый Сайт'!#REF!,'Дефл год Базовый Сайт'!#REF!</definedName>
    <definedName name="Z_C73CA27E_77B2_422A_A773_B235904BACA3_.wvu.FilterData" localSheetId="15" hidden="1">'Дефл год Базовый Сайт'!$A$5:$A$100</definedName>
    <definedName name="Z_C73CA27E_77B2_422A_A773_B235904BACA3_.wvu.PrintArea" localSheetId="15" hidden="1">'Дефл год Базовый Сайт'!$A$5:$F$100</definedName>
    <definedName name="Z_D49940EF_113F_4789_B6E7_8353B816853A_.wvu.Cols" localSheetId="15" hidden="1">'Дефл год Базовый Сайт'!#REF!,'Дефл год Базовый Сайт'!#REF!</definedName>
    <definedName name="Z_D49940EF_113F_4789_B6E7_8353B816853A_.wvu.FilterData" localSheetId="15" hidden="1">'Дефл год Базовый Сайт'!$A$5:$A$100</definedName>
    <definedName name="Z_D49940EF_113F_4789_B6E7_8353B816853A_.wvu.PrintArea" localSheetId="15" hidden="1">'Дефл год Базовый Сайт'!$A$5:$F$100</definedName>
    <definedName name="Z_DCC68DFC_E4AF_484C_822A_D560C6D52926_.wvu.FilterData" localSheetId="15" hidden="1">'Дефл год Базовый Сайт'!$A$5:$A$100</definedName>
    <definedName name="Z_E55F6B6A_DBD3_4117_B149_A082390B8D13_.wvu.Cols" localSheetId="15" hidden="1">'Дефл год Базовый Сайт'!#REF!,'Дефл год Базовый Сайт'!#REF!</definedName>
    <definedName name="Z_E55F6B6A_DBD3_4117_B149_A082390B8D13_.wvu.FilterData" localSheetId="15" hidden="1">'Дефл год Базовый Сайт'!$A$5:$A$100</definedName>
    <definedName name="Z_E55F6B6A_DBD3_4117_B149_A082390B8D13_.wvu.PrintArea" localSheetId="15" hidden="1">'Дефл год Базовый Сайт'!$A$5:$F$100</definedName>
    <definedName name="Z_E9547856_3045_49CA_B3C7_618D2DA21087_.wvu.FilterData" localSheetId="15" hidden="1">'Дефл год Базовый Сайт'!$A$5:$A$100</definedName>
    <definedName name="Z_E9D4ABE5_580B_4EA1_8057_CB16EE65A5F9_.wvu.FilterData" localSheetId="15" hidden="1">'Дефл год Базовый Сайт'!$A$5:$A$100</definedName>
    <definedName name="Z_F49A5623_9435_4BAA_98DE_EAAB0061DE16_.wvu.FilterData" localSheetId="15" hidden="1">'Дефл год Базовый Сайт'!$A$5:$A$100</definedName>
    <definedName name="Вып_ОФ_с_пц">[4]рабочий!$Y$202:$AP$224</definedName>
    <definedName name="Вып_с_новых_ОФ">[4]рабочий!$Y$277:$AP$299</definedName>
    <definedName name="Выход">[2]Управление!$AF$20</definedName>
    <definedName name="год1">#REF!</definedName>
    <definedName name="График">"Диагр. 4"</definedName>
    <definedName name="Дефл_ц_пред_год">'[4]Текущие цены'!$AT$36:$BK$58</definedName>
    <definedName name="Дефлятор_годовой">'[4]Текущие цены'!$Y$4:$AP$27</definedName>
    <definedName name="Дефлятор_цепной">'[4]Текущие цены'!$Y$36:$AP$58</definedName>
    <definedName name="_xlnm.Print_Titles" localSheetId="15">'Дефл год Базовый Сайт'!$5:$6</definedName>
    <definedName name="новые_ОФ_2003">[4]рабочий!$F$305:$W$327</definedName>
    <definedName name="новые_ОФ_2004">[4]рабочий!$F$335:$W$357</definedName>
    <definedName name="новые_ОФ_а_всего">[4]рабочий!$F$767:$V$789</definedName>
    <definedName name="новые_ОФ_всего">[4]рабочий!$F$1331:$V$1353</definedName>
    <definedName name="новые_ОФ_п_всего">[4]рабочий!$F$1293:$V$1315</definedName>
    <definedName name="_xlnm.Print_Area" localSheetId="15">'Дефл год Базовый Сайт'!$A$1:$F$106</definedName>
    <definedName name="окраска_05">[4]окраска!$C$7:$Z$30</definedName>
    <definedName name="окраска_06">[4]окраска!$C$35:$Z$58</definedName>
    <definedName name="окраска_07">[4]окраска!$C$63:$Z$86</definedName>
    <definedName name="окраска_08">[4]окраска!$C$91:$Z$114</definedName>
    <definedName name="окраска_09">[4]окраска!$C$119:$Z$142</definedName>
    <definedName name="окраска_10">[4]окраска!$C$147:$Z$170</definedName>
    <definedName name="окраска_11">[4]окраска!$C$175:$Z$198</definedName>
    <definedName name="окраска_12">[4]окраска!$C$203:$Z$226</definedName>
    <definedName name="окраска_13">[4]окраска!$C$231:$Z$254</definedName>
    <definedName name="окраска_14">[4]окраска!$C$259:$Z$282</definedName>
    <definedName name="окраска_15">[4]окраска!$C$287:$Z$310</definedName>
    <definedName name="ОФ_а_с_пц">[4]рабочий!$CI$121:$CY$143</definedName>
    <definedName name="ПОКАЗАТЕЛИ_ДОЛГОСР.ПРОГНОЗА">'[5]2002(v2)'!#REF!</definedName>
    <definedName name="приб">[2]Управление!$AE$20</definedName>
    <definedName name="прибвб2">[2]Управление!$AF$20</definedName>
    <definedName name="Прогноз_Вып_пц">[4]рабочий!$Y$240:$AP$262</definedName>
    <definedName name="суда">[3]!суда</definedName>
    <definedName name="фо_а_н_пц">[4]рабочий!$AR$240:$BI$263</definedName>
    <definedName name="фо_а_с_пц">[4]рабочий!$AS$202:$BI$224</definedName>
    <definedName name="фо_н_03">[4]рабочий!$X$305:$X$327</definedName>
    <definedName name="фо_н_04">[4]рабочий!$X$335:$X$357</definedName>
    <definedName name="ыяпр">[3]!ыяпр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1" l="1"/>
  <c r="F3" i="21" l="1"/>
  <c r="H4" i="21"/>
  <c r="H5" i="21" s="1"/>
  <c r="H7" i="21" s="1"/>
  <c r="F27" i="19"/>
  <c r="AA28" i="19"/>
  <c r="AA13" i="19"/>
  <c r="AA4" i="19"/>
  <c r="AA3" i="19"/>
  <c r="F5" i="21" l="1"/>
  <c r="F7" i="21" s="1"/>
  <c r="F8" i="21" s="1"/>
  <c r="F9" i="21" s="1"/>
  <c r="H8" i="21"/>
  <c r="H9" i="21" s="1"/>
  <c r="F26" i="20"/>
  <c r="AA22" i="20"/>
  <c r="AA28" i="20" s="1"/>
  <c r="T22" i="20"/>
  <c r="T26" i="20" s="1"/>
  <c r="F22" i="20"/>
  <c r="AH21" i="20"/>
  <c r="AH22" i="20" s="1"/>
  <c r="AA21" i="20"/>
  <c r="T21" i="20"/>
  <c r="M21" i="20"/>
  <c r="M22" i="20" s="1"/>
  <c r="F21" i="20"/>
  <c r="AA17" i="20"/>
  <c r="AA18" i="20" s="1"/>
  <c r="AA19" i="20" s="1"/>
  <c r="AH16" i="20"/>
  <c r="AH17" i="20" s="1"/>
  <c r="AH18" i="20" s="1"/>
  <c r="AH19" i="20" s="1"/>
  <c r="T16" i="20"/>
  <c r="M16" i="20"/>
  <c r="AH15" i="20"/>
  <c r="AA15" i="20"/>
  <c r="T15" i="20"/>
  <c r="M15" i="20"/>
  <c r="AH13" i="20"/>
  <c r="T13" i="20"/>
  <c r="M13" i="20"/>
  <c r="K13" i="20"/>
  <c r="F13" i="20"/>
  <c r="F16" i="20" s="1"/>
  <c r="R12" i="20"/>
  <c r="K12" i="20"/>
  <c r="D12" i="20"/>
  <c r="AA4" i="20"/>
  <c r="AA13" i="20" s="1"/>
  <c r="Y4" i="20"/>
  <c r="T4" i="20"/>
  <c r="R4" i="20"/>
  <c r="M4" i="20"/>
  <c r="K4" i="20"/>
  <c r="F4" i="20"/>
  <c r="D4" i="20"/>
  <c r="D13" i="20" s="1"/>
  <c r="Y3" i="20"/>
  <c r="R3" i="20"/>
  <c r="R13" i="20" s="1"/>
  <c r="T28" i="20" s="1"/>
  <c r="K3" i="20"/>
  <c r="D3" i="20"/>
  <c r="F26" i="19"/>
  <c r="AH26" i="19"/>
  <c r="T26" i="19"/>
  <c r="AH22" i="19"/>
  <c r="AH21" i="19"/>
  <c r="AA21" i="19"/>
  <c r="AA22" i="19" s="1"/>
  <c r="AA26" i="19" s="1"/>
  <c r="T21" i="19"/>
  <c r="T22" i="19" s="1"/>
  <c r="M21" i="19"/>
  <c r="M22" i="19" s="1"/>
  <c r="F21" i="19"/>
  <c r="F22" i="19" s="1"/>
  <c r="AA17" i="19"/>
  <c r="AA18" i="19" s="1"/>
  <c r="AA19" i="19" s="1"/>
  <c r="AH16" i="19"/>
  <c r="AH15" i="19"/>
  <c r="AA15" i="19"/>
  <c r="T15" i="19"/>
  <c r="M15" i="19"/>
  <c r="AH13" i="19"/>
  <c r="T13" i="19"/>
  <c r="T16" i="19" s="1"/>
  <c r="R13" i="19"/>
  <c r="M13" i="19"/>
  <c r="M16" i="19" s="1"/>
  <c r="R12" i="19"/>
  <c r="K12" i="19"/>
  <c r="D12" i="19"/>
  <c r="Y4" i="19"/>
  <c r="T4" i="19"/>
  <c r="R4" i="19"/>
  <c r="M4" i="19"/>
  <c r="K4" i="19"/>
  <c r="F4" i="19"/>
  <c r="F13" i="19" s="1"/>
  <c r="F16" i="19" s="1"/>
  <c r="D4" i="19"/>
  <c r="Y3" i="19"/>
  <c r="R3" i="19"/>
  <c r="K3" i="19"/>
  <c r="K13" i="19" s="1"/>
  <c r="D3" i="19"/>
  <c r="D13" i="19" s="1"/>
  <c r="AH26" i="17"/>
  <c r="AE25" i="17"/>
  <c r="AE24" i="17"/>
  <c r="AA26" i="17"/>
  <c r="X25" i="17"/>
  <c r="X24" i="17"/>
  <c r="J25" i="17"/>
  <c r="J24" i="17"/>
  <c r="M21" i="17"/>
  <c r="M22" i="17" s="1"/>
  <c r="M15" i="17"/>
  <c r="K12" i="17"/>
  <c r="M4" i="17"/>
  <c r="M13" i="17" s="1"/>
  <c r="M16" i="17" s="1"/>
  <c r="K4" i="17"/>
  <c r="K3" i="17"/>
  <c r="K13" i="17" s="1"/>
  <c r="Q25" i="17"/>
  <c r="Q24" i="17"/>
  <c r="T21" i="17"/>
  <c r="T22" i="17" s="1"/>
  <c r="T15" i="17"/>
  <c r="R12" i="17"/>
  <c r="T4" i="17"/>
  <c r="T13" i="17" s="1"/>
  <c r="R4" i="17"/>
  <c r="R3" i="17"/>
  <c r="C25" i="18"/>
  <c r="C24" i="18"/>
  <c r="G22" i="18"/>
  <c r="U21" i="18"/>
  <c r="U22" i="18" s="1"/>
  <c r="U28" i="18" s="1"/>
  <c r="N21" i="18"/>
  <c r="N22" i="18" s="1"/>
  <c r="N28" i="18" s="1"/>
  <c r="F21" i="18"/>
  <c r="F22" i="18" s="1"/>
  <c r="N17" i="18"/>
  <c r="N18" i="18" s="1"/>
  <c r="N19" i="18" s="1"/>
  <c r="U15" i="18"/>
  <c r="N15" i="18"/>
  <c r="U13" i="18"/>
  <c r="U16" i="18" s="1"/>
  <c r="D12" i="18"/>
  <c r="N4" i="18"/>
  <c r="N13" i="18" s="1"/>
  <c r="L4" i="18"/>
  <c r="F4" i="18"/>
  <c r="F13" i="18" s="1"/>
  <c r="F16" i="18" s="1"/>
  <c r="D4" i="18"/>
  <c r="L3" i="18"/>
  <c r="D3" i="18"/>
  <c r="D13" i="18" s="1"/>
  <c r="C24" i="17"/>
  <c r="C25" i="17"/>
  <c r="H10" i="21" l="1"/>
  <c r="H11" i="21" s="1"/>
  <c r="F10" i="21"/>
  <c r="F11" i="21" s="1"/>
  <c r="F17" i="20"/>
  <c r="F18" i="20" s="1"/>
  <c r="M28" i="20"/>
  <c r="M26" i="20"/>
  <c r="AH26" i="20"/>
  <c r="F28" i="20"/>
  <c r="M17" i="20"/>
  <c r="M18" i="20" s="1"/>
  <c r="M19" i="20" s="1"/>
  <c r="T17" i="20"/>
  <c r="T18" i="20" s="1"/>
  <c r="T19" i="20" s="1"/>
  <c r="AA26" i="20"/>
  <c r="F28" i="19"/>
  <c r="M17" i="19"/>
  <c r="M18" i="19" s="1"/>
  <c r="M19" i="19" s="1"/>
  <c r="M28" i="19"/>
  <c r="M26" i="19"/>
  <c r="T28" i="19"/>
  <c r="F17" i="19"/>
  <c r="F18" i="19" s="1"/>
  <c r="T17" i="19"/>
  <c r="T18" i="19" s="1"/>
  <c r="T19" i="19" s="1"/>
  <c r="AH28" i="19"/>
  <c r="AH17" i="19"/>
  <c r="AH18" i="19" s="1"/>
  <c r="AH19" i="19" s="1"/>
  <c r="T16" i="17"/>
  <c r="T17" i="17" s="1"/>
  <c r="T18" i="17" s="1"/>
  <c r="T19" i="17" s="1"/>
  <c r="M17" i="17"/>
  <c r="M18" i="17" s="1"/>
  <c r="M19" i="17" s="1"/>
  <c r="M28" i="17"/>
  <c r="M26" i="17"/>
  <c r="R13" i="17"/>
  <c r="T28" i="17" s="1"/>
  <c r="T26" i="17"/>
  <c r="U17" i="18"/>
  <c r="U18" i="18" s="1"/>
  <c r="U19" i="18" s="1"/>
  <c r="F28" i="18"/>
  <c r="F26" i="18"/>
  <c r="F17" i="18"/>
  <c r="F18" i="18" s="1"/>
  <c r="AH15" i="17"/>
  <c r="AA15" i="17"/>
  <c r="AH21" i="17"/>
  <c r="AH22" i="17" s="1"/>
  <c r="AH28" i="17" s="1"/>
  <c r="AA21" i="17"/>
  <c r="AA22" i="17" s="1"/>
  <c r="AA28" i="17" s="1"/>
  <c r="F21" i="17"/>
  <c r="F22" i="17" s="1"/>
  <c r="F26" i="17" s="1"/>
  <c r="AA17" i="17"/>
  <c r="AA18" i="17" s="1"/>
  <c r="AA19" i="17" s="1"/>
  <c r="D12" i="17"/>
  <c r="AH13" i="17"/>
  <c r="AA4" i="17"/>
  <c r="AA13" i="17" s="1"/>
  <c r="Y4" i="17"/>
  <c r="F4" i="17"/>
  <c r="F13" i="17" s="1"/>
  <c r="D4" i="17"/>
  <c r="Y3" i="17"/>
  <c r="D3" i="17"/>
  <c r="D13" i="17" s="1"/>
  <c r="N4" i="16"/>
  <c r="L4" i="16"/>
  <c r="L3" i="16"/>
  <c r="H12" i="21" l="1"/>
  <c r="H13" i="21" s="1"/>
  <c r="F12" i="21"/>
  <c r="F13" i="21" s="1"/>
  <c r="AH16" i="17"/>
  <c r="AH17" i="17" s="1"/>
  <c r="AH18" i="17" s="1"/>
  <c r="AH19" i="17" s="1"/>
  <c r="F28" i="17"/>
  <c r="F16" i="17"/>
  <c r="F17" i="17" s="1"/>
  <c r="F19" i="21" l="1"/>
  <c r="F17" i="21"/>
  <c r="F18" i="17"/>
  <c r="N15" i="16"/>
  <c r="G22" i="16"/>
  <c r="F21" i="16"/>
  <c r="F22" i="16" s="1"/>
  <c r="F15" i="16"/>
  <c r="N21" i="16" l="1"/>
  <c r="N22" i="16" s="1"/>
  <c r="N25" i="16" s="1"/>
  <c r="N13" i="16"/>
  <c r="D12" i="16"/>
  <c r="F4" i="16"/>
  <c r="F13" i="16" s="1"/>
  <c r="F16" i="16" s="1"/>
  <c r="D4" i="16"/>
  <c r="D3" i="16"/>
  <c r="G15" i="7"/>
  <c r="AA20" i="14"/>
  <c r="AA21" i="14" s="1"/>
  <c r="AA13" i="14"/>
  <c r="AA15" i="14" s="1"/>
  <c r="Y13" i="14"/>
  <c r="X20" i="14"/>
  <c r="X21" i="14" s="1"/>
  <c r="X13" i="14"/>
  <c r="X15" i="14" s="1"/>
  <c r="V13" i="14"/>
  <c r="U20" i="14"/>
  <c r="U21" i="14" s="1"/>
  <c r="U13" i="14"/>
  <c r="U15" i="14" s="1"/>
  <c r="S13" i="14"/>
  <c r="R20" i="14"/>
  <c r="R21" i="14" s="1"/>
  <c r="R13" i="14"/>
  <c r="R15" i="14" s="1"/>
  <c r="P13" i="14"/>
  <c r="O20" i="14"/>
  <c r="O21" i="14" s="1"/>
  <c r="O13" i="14"/>
  <c r="M13" i="14"/>
  <c r="L20" i="14"/>
  <c r="L21" i="14" s="1"/>
  <c r="L13" i="14"/>
  <c r="J13" i="14"/>
  <c r="I4" i="14"/>
  <c r="I13" i="14" s="1"/>
  <c r="G4" i="14"/>
  <c r="G13" i="14" s="1"/>
  <c r="D12" i="14"/>
  <c r="F4" i="14"/>
  <c r="F13" i="14" s="1"/>
  <c r="F16" i="14" s="1"/>
  <c r="F17" i="14" s="1"/>
  <c r="D4" i="14"/>
  <c r="D3" i="14"/>
  <c r="H126" i="13"/>
  <c r="G126" i="13"/>
  <c r="I110" i="13"/>
  <c r="F125" i="13"/>
  <c r="F126" i="13" s="1"/>
  <c r="I126" i="13" s="1"/>
  <c r="F118" i="13"/>
  <c r="F120" i="13" s="1"/>
  <c r="D118" i="13"/>
  <c r="F109" i="13"/>
  <c r="F110" i="13" s="1"/>
  <c r="F102" i="13"/>
  <c r="F104" i="13" s="1"/>
  <c r="D102" i="13"/>
  <c r="F93" i="13"/>
  <c r="F94" i="13" s="1"/>
  <c r="F87" i="13"/>
  <c r="F89" i="13" s="1"/>
  <c r="D87" i="13"/>
  <c r="F74" i="13"/>
  <c r="F75" i="13" s="1"/>
  <c r="F78" i="13"/>
  <c r="F79" i="13" s="1"/>
  <c r="F72" i="13"/>
  <c r="D72" i="13"/>
  <c r="F63" i="13"/>
  <c r="F64" i="13" s="1"/>
  <c r="F59" i="13"/>
  <c r="D59" i="13"/>
  <c r="F50" i="13"/>
  <c r="F51" i="13" s="1"/>
  <c r="F46" i="13"/>
  <c r="D46" i="13"/>
  <c r="F37" i="13"/>
  <c r="F38" i="13" s="1"/>
  <c r="F23" i="13"/>
  <c r="F33" i="13" s="1"/>
  <c r="D23" i="13"/>
  <c r="D33" i="13" s="1"/>
  <c r="F4" i="13"/>
  <c r="D4" i="13"/>
  <c r="D12" i="13"/>
  <c r="F14" i="13"/>
  <c r="D3" i="13"/>
  <c r="N17" i="16" l="1"/>
  <c r="N18" i="16" s="1"/>
  <c r="N19" i="16" s="1"/>
  <c r="D13" i="16"/>
  <c r="F25" i="16" s="1"/>
  <c r="F17" i="16"/>
  <c r="F18" i="16" s="1"/>
  <c r="F19" i="16" s="1"/>
  <c r="R27" i="14"/>
  <c r="U27" i="14"/>
  <c r="L27" i="14"/>
  <c r="X27" i="14"/>
  <c r="O27" i="14"/>
  <c r="AA27" i="14"/>
  <c r="AA16" i="14"/>
  <c r="AA17" i="14"/>
  <c r="X16" i="14"/>
  <c r="X17" i="14" s="1"/>
  <c r="U16" i="14"/>
  <c r="U17" i="14" s="1"/>
  <c r="R16" i="14"/>
  <c r="R17" i="14" s="1"/>
  <c r="O16" i="14"/>
  <c r="O17" i="14" s="1"/>
  <c r="L16" i="14"/>
  <c r="L17" i="14" s="1"/>
  <c r="I20" i="14"/>
  <c r="I21" i="14" s="1"/>
  <c r="I27" i="14" s="1"/>
  <c r="I16" i="14"/>
  <c r="I17" i="14" s="1"/>
  <c r="D13" i="14"/>
  <c r="F27" i="14" s="1"/>
  <c r="F76" i="13"/>
  <c r="I94" i="13"/>
  <c r="F105" i="13"/>
  <c r="F106" i="13" s="1"/>
  <c r="F121" i="13"/>
  <c r="F122" i="13" s="1"/>
  <c r="F90" i="13"/>
  <c r="F91" i="13" s="1"/>
  <c r="I79" i="13"/>
  <c r="I64" i="13"/>
  <c r="F60" i="13"/>
  <c r="F61" i="13" s="1"/>
  <c r="I51" i="13"/>
  <c r="F47" i="13"/>
  <c r="F48" i="13" s="1"/>
  <c r="I38" i="13"/>
  <c r="F34" i="13"/>
  <c r="F35" i="13" s="1"/>
  <c r="D14" i="13"/>
  <c r="I19" i="13" s="1"/>
  <c r="F15" i="13"/>
  <c r="F16" i="13" s="1"/>
  <c r="D16" i="12" l="1"/>
  <c r="V19" i="8"/>
  <c r="U24" i="12" l="1"/>
  <c r="W16" i="12"/>
  <c r="V16" i="12"/>
  <c r="S16" i="12"/>
  <c r="S14" i="12"/>
  <c r="U13" i="12"/>
  <c r="U12" i="12"/>
  <c r="U16" i="12" s="1"/>
  <c r="W10" i="12"/>
  <c r="W9" i="12"/>
  <c r="W8" i="12"/>
  <c r="W7" i="12"/>
  <c r="W6" i="12"/>
  <c r="W5" i="12"/>
  <c r="W4" i="12"/>
  <c r="W3" i="12"/>
  <c r="O3" i="12"/>
  <c r="AC32" i="8"/>
  <c r="V32" i="8"/>
  <c r="AA3" i="8"/>
  <c r="R3" i="4"/>
  <c r="R16" i="4"/>
  <c r="T24" i="4" s="1"/>
  <c r="V21" i="11"/>
  <c r="T14" i="8"/>
  <c r="M26" i="4"/>
  <c r="M25" i="4"/>
  <c r="M24" i="4"/>
  <c r="D14" i="4"/>
  <c r="F13" i="4"/>
  <c r="F12" i="4"/>
  <c r="F10" i="4"/>
  <c r="F9" i="4"/>
  <c r="F8" i="4"/>
  <c r="F7" i="4"/>
  <c r="F6" i="4"/>
  <c r="F5" i="4"/>
  <c r="F4" i="4"/>
  <c r="D4" i="4"/>
  <c r="F3" i="4"/>
  <c r="F24" i="4" s="1"/>
  <c r="D3" i="4"/>
  <c r="D16" i="4" s="1"/>
  <c r="M4" i="12"/>
  <c r="M13" i="12"/>
  <c r="M12" i="12"/>
  <c r="O4" i="12"/>
  <c r="O5" i="12"/>
  <c r="M10" i="12"/>
  <c r="M9" i="12"/>
  <c r="M6" i="12"/>
  <c r="M5" i="12"/>
  <c r="M3" i="12"/>
  <c r="F25" i="12"/>
  <c r="F24" i="12"/>
  <c r="D4" i="12"/>
  <c r="F24" i="1"/>
  <c r="M8" i="12"/>
  <c r="M7" i="12"/>
  <c r="N16" i="12"/>
  <c r="O9" i="12"/>
  <c r="O10" i="12"/>
  <c r="O8" i="12"/>
  <c r="O7" i="12"/>
  <c r="O6" i="12"/>
  <c r="K14" i="12"/>
  <c r="G16" i="12"/>
  <c r="D14" i="12"/>
  <c r="F13" i="12"/>
  <c r="F12" i="12"/>
  <c r="F10" i="12"/>
  <c r="F9" i="12"/>
  <c r="F8" i="12"/>
  <c r="F7" i="12"/>
  <c r="F6" i="12"/>
  <c r="F5" i="12"/>
  <c r="F4" i="12"/>
  <c r="F3" i="12"/>
  <c r="D3" i="12"/>
  <c r="V19" i="11"/>
  <c r="U25" i="12" l="1"/>
  <c r="U17" i="12"/>
  <c r="U18" i="12" s="1"/>
  <c r="U19" i="12" s="1"/>
  <c r="U20" i="12" s="1"/>
  <c r="F16" i="4"/>
  <c r="M24" i="12"/>
  <c r="K16" i="12"/>
  <c r="M16" i="12"/>
  <c r="F16" i="12"/>
  <c r="F17" i="12"/>
  <c r="F18" i="12" s="1"/>
  <c r="F19" i="12" s="1"/>
  <c r="F20" i="12" s="1"/>
  <c r="T16" i="11"/>
  <c r="U21" i="12" l="1"/>
  <c r="U22" i="12" s="1"/>
  <c r="F25" i="4"/>
  <c r="F17" i="4"/>
  <c r="F18" i="4" s="1"/>
  <c r="F19" i="4" s="1"/>
  <c r="F20" i="4" s="1"/>
  <c r="M17" i="12"/>
  <c r="M18" i="12" s="1"/>
  <c r="M19" i="12" s="1"/>
  <c r="M20" i="12" s="1"/>
  <c r="M25" i="12"/>
  <c r="O16" i="12"/>
  <c r="F21" i="12"/>
  <c r="F22" i="12" s="1"/>
  <c r="F26" i="12" s="1"/>
  <c r="V16" i="11"/>
  <c r="AC19" i="11"/>
  <c r="N22" i="11"/>
  <c r="F22" i="11"/>
  <c r="G18" i="11"/>
  <c r="G17" i="11"/>
  <c r="AC16" i="11"/>
  <c r="AA16" i="11"/>
  <c r="N16" i="11"/>
  <c r="G16" i="11"/>
  <c r="AA14" i="11"/>
  <c r="T14" i="11"/>
  <c r="L14" i="11"/>
  <c r="D14" i="11"/>
  <c r="N13" i="11"/>
  <c r="F13" i="11"/>
  <c r="N12" i="11"/>
  <c r="N17" i="11" s="1"/>
  <c r="F12" i="11"/>
  <c r="F10" i="11"/>
  <c r="F9" i="11"/>
  <c r="F8" i="11"/>
  <c r="F7" i="11"/>
  <c r="F6" i="11"/>
  <c r="F5" i="11"/>
  <c r="L4" i="11"/>
  <c r="L18" i="11" s="1"/>
  <c r="F4" i="11"/>
  <c r="D4" i="11"/>
  <c r="D18" i="11" s="1"/>
  <c r="L3" i="11"/>
  <c r="F3" i="11"/>
  <c r="D3" i="11"/>
  <c r="D16" i="11" s="1"/>
  <c r="S1" i="11"/>
  <c r="U26" i="12" l="1"/>
  <c r="F21" i="4"/>
  <c r="F22" i="4" s="1"/>
  <c r="F26" i="4" s="1"/>
  <c r="M21" i="12"/>
  <c r="M22" i="12"/>
  <c r="M26" i="12" s="1"/>
  <c r="N22" i="12"/>
  <c r="V18" i="11"/>
  <c r="F18" i="11"/>
  <c r="F17" i="11"/>
  <c r="L16" i="11"/>
  <c r="N29" i="11"/>
  <c r="N28" i="11"/>
  <c r="N18" i="11"/>
  <c r="D17" i="11"/>
  <c r="N19" i="11"/>
  <c r="N20" i="11" s="1"/>
  <c r="N23" i="11" s="1"/>
  <c r="N24" i="11" s="1"/>
  <c r="L17" i="11"/>
  <c r="F16" i="11"/>
  <c r="AC17" i="11"/>
  <c r="AC18" i="11" s="1"/>
  <c r="AC16" i="8"/>
  <c r="AA16" i="8"/>
  <c r="AC26" i="8" s="1"/>
  <c r="AA14" i="8"/>
  <c r="V16" i="8"/>
  <c r="G17" i="8"/>
  <c r="G18" i="8"/>
  <c r="T16" i="8"/>
  <c r="V26" i="8" s="1"/>
  <c r="G16" i="8"/>
  <c r="L14" i="8"/>
  <c r="D14" i="8"/>
  <c r="N13" i="8"/>
  <c r="F13" i="8"/>
  <c r="N12" i="8"/>
  <c r="F12" i="8"/>
  <c r="F10" i="8"/>
  <c r="F9" i="8"/>
  <c r="F8" i="8"/>
  <c r="F7" i="8"/>
  <c r="F6" i="8"/>
  <c r="F5" i="8"/>
  <c r="L4" i="8"/>
  <c r="L18" i="8" s="1"/>
  <c r="F4" i="8"/>
  <c r="D4" i="8"/>
  <c r="D18" i="8" s="1"/>
  <c r="L3" i="8"/>
  <c r="F3" i="8"/>
  <c r="D3" i="8"/>
  <c r="D13" i="7"/>
  <c r="B6" i="7"/>
  <c r="C5" i="7"/>
  <c r="D5" i="7" s="1"/>
  <c r="D6" i="7" s="1"/>
  <c r="L17" i="8" l="1"/>
  <c r="V20" i="11"/>
  <c r="AC20" i="11"/>
  <c r="N25" i="11"/>
  <c r="N26" i="11" s="1"/>
  <c r="N30" i="11" s="1"/>
  <c r="F19" i="11"/>
  <c r="F20" i="11" s="1"/>
  <c r="F23" i="11" s="1"/>
  <c r="F24" i="11" s="1"/>
  <c r="AC17" i="8"/>
  <c r="AC18" i="8" s="1"/>
  <c r="AC27" i="8" s="1"/>
  <c r="D16" i="8"/>
  <c r="F17" i="8"/>
  <c r="N16" i="8"/>
  <c r="N19" i="8" s="1"/>
  <c r="N20" i="8" s="1"/>
  <c r="N21" i="8" s="1"/>
  <c r="N22" i="8" s="1"/>
  <c r="V18" i="8"/>
  <c r="D17" i="8"/>
  <c r="F18" i="8"/>
  <c r="N17" i="8"/>
  <c r="F16" i="8"/>
  <c r="F19" i="8" s="1"/>
  <c r="F20" i="8" s="1"/>
  <c r="F21" i="8" s="1"/>
  <c r="F22" i="8" s="1"/>
  <c r="N18" i="8"/>
  <c r="L16" i="8"/>
  <c r="N27" i="8" s="1"/>
  <c r="D7" i="7"/>
  <c r="D8" i="7" s="1"/>
  <c r="B7" i="7"/>
  <c r="B8" i="7" s="1"/>
  <c r="V20" i="8" l="1"/>
  <c r="V21" i="8" s="1"/>
  <c r="V22" i="8" s="1"/>
  <c r="V23" i="8" s="1"/>
  <c r="V24" i="8" s="1"/>
  <c r="V28" i="8" s="1"/>
  <c r="V27" i="8"/>
  <c r="AC19" i="8"/>
  <c r="AC20" i="8" s="1"/>
  <c r="AC21" i="8" s="1"/>
  <c r="AC22" i="8" s="1"/>
  <c r="AC23" i="8" s="1"/>
  <c r="AC24" i="8" s="1"/>
  <c r="AC28" i="8" s="1"/>
  <c r="V22" i="11"/>
  <c r="V23" i="11" s="1"/>
  <c r="V24" i="11" s="1"/>
  <c r="AC21" i="11"/>
  <c r="AC22" i="11" s="1"/>
  <c r="AC23" i="11" s="1"/>
  <c r="AC24" i="11" s="1"/>
  <c r="AC25" i="11" s="1"/>
  <c r="AC26" i="11" s="1"/>
  <c r="AC30" i="11" s="1"/>
  <c r="F25" i="11"/>
  <c r="F26" i="11" s="1"/>
  <c r="F30" i="11" s="1"/>
  <c r="N26" i="8"/>
  <c r="F23" i="8"/>
  <c r="F24" i="8" s="1"/>
  <c r="F28" i="8" s="1"/>
  <c r="F32" i="8" s="1"/>
  <c r="N23" i="8"/>
  <c r="N24" i="8" s="1"/>
  <c r="N28" i="8" s="1"/>
  <c r="N32" i="8" s="1"/>
  <c r="V12" i="6"/>
  <c r="V13" i="6"/>
  <c r="V24" i="6"/>
  <c r="T16" i="6"/>
  <c r="G16" i="6"/>
  <c r="D16" i="6"/>
  <c r="T14" i="6"/>
  <c r="L14" i="6"/>
  <c r="D14" i="6"/>
  <c r="N13" i="6"/>
  <c r="F13" i="6"/>
  <c r="N12" i="6"/>
  <c r="N16" i="6" s="1"/>
  <c r="F12" i="6"/>
  <c r="F10" i="6"/>
  <c r="F9" i="6"/>
  <c r="F8" i="6"/>
  <c r="F7" i="6"/>
  <c r="F6" i="6"/>
  <c r="F5" i="6"/>
  <c r="F16" i="6" s="1"/>
  <c r="L4" i="6"/>
  <c r="L16" i="6" s="1"/>
  <c r="F4" i="6"/>
  <c r="D4" i="6"/>
  <c r="V3" i="6"/>
  <c r="L3" i="6"/>
  <c r="F3" i="6"/>
  <c r="D3" i="6"/>
  <c r="R14" i="4"/>
  <c r="T16" i="4"/>
  <c r="T25" i="4" s="1"/>
  <c r="K14" i="4"/>
  <c r="M16" i="4"/>
  <c r="K4" i="4"/>
  <c r="K3" i="4"/>
  <c r="F23" i="3"/>
  <c r="G16" i="4"/>
  <c r="G15" i="3"/>
  <c r="F10" i="3"/>
  <c r="F9" i="3"/>
  <c r="F8" i="3"/>
  <c r="F7" i="3"/>
  <c r="F6" i="3"/>
  <c r="F5" i="3"/>
  <c r="F4" i="3"/>
  <c r="F3" i="3"/>
  <c r="D13" i="3"/>
  <c r="D4" i="3"/>
  <c r="D15" i="3" s="1"/>
  <c r="D3" i="3"/>
  <c r="E16" i="2"/>
  <c r="D18" i="2"/>
  <c r="F4" i="2"/>
  <c r="F5" i="2"/>
  <c r="F6" i="2"/>
  <c r="F7" i="2"/>
  <c r="F8" i="2"/>
  <c r="F9" i="2"/>
  <c r="F3" i="2"/>
  <c r="C12" i="2"/>
  <c r="E12" i="2"/>
  <c r="C15" i="2"/>
  <c r="D12" i="2"/>
  <c r="E11" i="2"/>
  <c r="E10" i="2"/>
  <c r="E4" i="2"/>
  <c r="E3" i="2"/>
  <c r="C27" i="1"/>
  <c r="C28" i="1" s="1"/>
  <c r="C31" i="1"/>
  <c r="D28" i="1"/>
  <c r="E26" i="1"/>
  <c r="E20" i="1"/>
  <c r="E19" i="1"/>
  <c r="E11" i="1"/>
  <c r="E10" i="1"/>
  <c r="E12" i="1" s="1"/>
  <c r="C15" i="1"/>
  <c r="D12" i="1"/>
  <c r="E4" i="1"/>
  <c r="E3" i="1"/>
  <c r="C12" i="1"/>
  <c r="V25" i="11" l="1"/>
  <c r="V26" i="11" s="1"/>
  <c r="V30" i="11" s="1"/>
  <c r="V16" i="6"/>
  <c r="N17" i="6"/>
  <c r="N18" i="6"/>
  <c r="N19" i="6" s="1"/>
  <c r="N20" i="6" s="1"/>
  <c r="N26" i="6"/>
  <c r="N24" i="6"/>
  <c r="F17" i="6"/>
  <c r="F18" i="6"/>
  <c r="F19" i="6" s="1"/>
  <c r="F20" i="6" s="1"/>
  <c r="T17" i="4"/>
  <c r="T18" i="4" s="1"/>
  <c r="T19" i="4" s="1"/>
  <c r="T20" i="4" s="1"/>
  <c r="K16" i="4"/>
  <c r="M17" i="4"/>
  <c r="M18" i="4" s="1"/>
  <c r="M19" i="4" s="1"/>
  <c r="M20" i="4" s="1"/>
  <c r="F15" i="3"/>
  <c r="F17" i="3"/>
  <c r="F18" i="3" s="1"/>
  <c r="F19" i="3" s="1"/>
  <c r="F20" i="3" s="1"/>
  <c r="F21" i="3" s="1"/>
  <c r="E27" i="1"/>
  <c r="E28" i="1" s="1"/>
  <c r="V18" i="6" l="1"/>
  <c r="V19" i="6" s="1"/>
  <c r="V20" i="6" s="1"/>
  <c r="V21" i="6" s="1"/>
  <c r="V22" i="6" s="1"/>
  <c r="F21" i="6"/>
  <c r="F22" i="6"/>
  <c r="F28" i="6" s="1"/>
  <c r="N21" i="6"/>
  <c r="N22" i="6" s="1"/>
  <c r="N28" i="6" s="1"/>
  <c r="T21" i="4"/>
  <c r="T22" i="4" s="1"/>
  <c r="T26" i="4" s="1"/>
  <c r="M21" i="4"/>
  <c r="H21" i="3"/>
  <c r="M22" i="4" l="1"/>
  <c r="V28" i="6"/>
  <c r="V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46493733-DE71-4CF2-99C9-19B6125ACBB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U14" authorId="0" shapeId="0" xr:uid="{7B4BE8DF-EAD6-411B-8272-8B30B23C51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5EA9A198-91C9-4696-B40B-4E78ED615ED0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8B443BDE-B6A4-42CE-83A7-810B39DA231D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3D11F1B6-4974-4B22-8AC0-565C88CCBE23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0088D25D-FC13-4882-A258-DA124AC71A6C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AA14" authorId="0" shapeId="0" xr:uid="{1FCC1661-FD87-4AA3-AC4C-38DFD6123037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AH14" authorId="0" shapeId="0" xr:uid="{73097DC4-C992-476A-B892-797B8BD7C8F4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N14" authorId="0" shapeId="0" xr:uid="{EFF3CB8B-B175-4F92-975B-DFFC64C11C91}">
      <text>
        <r>
          <rPr>
            <b/>
            <sz val="11"/>
            <color indexed="81"/>
            <rFont val="Tahoma"/>
            <family val="2"/>
            <charset val="204"/>
          </rPr>
          <t xml:space="preserve">ЛО, 3 зона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S17" authorId="0" shapeId="0" xr:uid="{3A51E301-39DF-430C-9103-64BD34A82A1E}">
      <text>
        <r>
          <rPr>
            <b/>
            <sz val="11"/>
            <color indexed="81"/>
            <rFont val="Tahoma"/>
            <family val="2"/>
            <charset val="204"/>
          </rPr>
          <t xml:space="preserve">ЗУ начисляется на материалы, а затем МАТЗАК вычитаются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V17" authorId="0" shapeId="0" xr:uid="{E0EAC72D-CF20-456A-BEBF-A3BE1A23BA6E}">
      <text>
        <r>
          <rPr>
            <b/>
            <sz val="11"/>
            <color indexed="81"/>
            <rFont val="Tahoma"/>
            <family val="2"/>
            <charset val="204"/>
          </rPr>
          <t xml:space="preserve">некорректно, 2,1% на всю ст-ть(включая дав. мат.)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  <comment ref="Z17" authorId="0" shapeId="0" xr:uid="{5EB14297-3A22-4A9C-934C-4CE663FA0AC8}">
      <text>
        <r>
          <rPr>
            <b/>
            <sz val="11"/>
            <color indexed="81"/>
            <rFont val="Tahoma"/>
            <family val="2"/>
            <charset val="204"/>
          </rPr>
          <t xml:space="preserve">ст-ть МАТЗАК обнулена, тогда ЗУ на мат-лы не начисляется, только на работы
</t>
        </r>
        <r>
          <rPr>
            <sz val="11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<sst xmlns="http://schemas.openxmlformats.org/spreadsheetml/2006/main" count="2056" uniqueCount="233">
  <si>
    <t>Колонны</t>
  </si>
  <si>
    <t>Стеновой фахверк</t>
  </si>
  <si>
    <t>Лестницы,площадки,огражд.</t>
  </si>
  <si>
    <t>Настил</t>
  </si>
  <si>
    <t>Опоры под оборуд.</t>
  </si>
  <si>
    <t>Профнастил крыша Н2</t>
  </si>
  <si>
    <t>Профнастил крыша Н3</t>
  </si>
  <si>
    <t>Балки перекрытий и фермы Ф1+прогоны перекрытия</t>
  </si>
  <si>
    <t>Связи горизонт. и вертик.+распорки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</si>
  <si>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</si>
  <si>
    <t>Сумма,руб. с НДС</t>
  </si>
  <si>
    <t>Итого, масса, тн.</t>
  </si>
  <si>
    <t>КМ(смета),тн.                                                                                     (подписано к Договору)</t>
  </si>
  <si>
    <t>КМ(смета),тн. РОМА</t>
  </si>
  <si>
    <t>КМД, тн.</t>
  </si>
  <si>
    <t>не участвует в расчете тоннажа</t>
  </si>
  <si>
    <r>
      <t xml:space="preserve">Наменование </t>
    </r>
    <r>
      <rPr>
        <b/>
        <u/>
        <sz val="14"/>
        <color rgb="FFFF0000"/>
        <rFont val="Calibri"/>
        <family val="2"/>
        <charset val="204"/>
        <scheme val="minor"/>
      </rPr>
      <t>работ</t>
    </r>
    <r>
      <rPr>
        <b/>
        <sz val="11"/>
        <color theme="1"/>
        <rFont val="Calibri"/>
        <family val="2"/>
        <charset val="204"/>
        <scheme val="minor"/>
      </rPr>
      <t xml:space="preserve"> </t>
    </r>
  </si>
  <si>
    <t>Антикоррозийная обработка</t>
  </si>
  <si>
    <t>Ед.изм.</t>
  </si>
  <si>
    <t>тн</t>
  </si>
  <si>
    <t>м2</t>
  </si>
  <si>
    <t>Объем</t>
  </si>
  <si>
    <t>Итого</t>
  </si>
  <si>
    <t>Непредвиденные расходы-3%</t>
  </si>
  <si>
    <t>давальч.мат.</t>
  </si>
  <si>
    <t>Балки перекрытий и фермы Ф1</t>
  </si>
  <si>
    <t>Балки и прогоны покрытия</t>
  </si>
  <si>
    <t>Профнастил H57-750-0,8</t>
  </si>
  <si>
    <t>Профнастил HC35-1000-0,7</t>
  </si>
  <si>
    <t>м2/тн</t>
  </si>
  <si>
    <t>6567,57/54</t>
  </si>
  <si>
    <t>5270/56,7</t>
  </si>
  <si>
    <t>Сумма, руб. без НДС</t>
  </si>
  <si>
    <t>НДС 20%</t>
  </si>
  <si>
    <t>Всего, с НДС</t>
  </si>
  <si>
    <t>Договорной коэффициент-1,20409902725</t>
  </si>
  <si>
    <t>Итого, с непредвиденными расходами</t>
  </si>
  <si>
    <t>№ п/п</t>
  </si>
  <si>
    <t xml:space="preserve">Наименование </t>
  </si>
  <si>
    <t>1т</t>
  </si>
  <si>
    <r>
      <t>Итого, за 1 тн, с Кдог , с НДС, без непредвиденных (</t>
    </r>
    <r>
      <rPr>
        <b/>
        <sz val="11"/>
        <color rgb="FFC00000"/>
        <rFont val="Calibri"/>
        <family val="2"/>
        <charset val="204"/>
      </rPr>
      <t>∑ пп.1-8)</t>
    </r>
  </si>
  <si>
    <r>
      <t>Итого, 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</si>
  <si>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</si>
  <si>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</si>
  <si>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t>Подписано</t>
  </si>
  <si>
    <t>Договорной коэффициент-0,8426392417</t>
  </si>
  <si>
    <t>Новая расценка</t>
  </si>
  <si>
    <t>Монтаж пролетных строений галерей с опорами: горизонтального типа</t>
  </si>
  <si>
    <t>Новая расценка+КМД</t>
  </si>
  <si>
    <t>Договорной коэффициент-0,9262863292</t>
  </si>
  <si>
    <t>Новая расценка, V по Договору</t>
  </si>
  <si>
    <t>Подписано, V по Договору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</si>
  <si>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</si>
  <si>
    <r>
      <t>Итого, руб.за 1 тн,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пп.1-8)</t>
    </r>
  </si>
  <si>
    <r>
      <t xml:space="preserve">Итого,руб. за 1 тн,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пп.1-11)</t>
    </r>
  </si>
  <si>
    <r>
      <t>Итого, руб.за 1 тн, с Кдог , с НДС,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пп.1-11)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</si>
  <si>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0,9262863292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</si>
  <si>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0,8426392417</t>
    </r>
  </si>
  <si>
    <t xml:space="preserve">№ </t>
  </si>
  <si>
    <t>Наименование работ и затрат</t>
  </si>
  <si>
    <t>Стоимость работ в ценах на дату формирования цены Договора 2 кв. 2025г.</t>
  </si>
  <si>
    <t>Индекс прогнозной инфляции на 4 кв. 2025г.</t>
  </si>
  <si>
    <t xml:space="preserve">Цена Договора с учетом индекса прогнозной инфляции </t>
  </si>
  <si>
    <t>Строительно-монтажные работы (2 кв.2025г.)</t>
  </si>
  <si>
    <t>Стоимость без учета НДС</t>
  </si>
  <si>
    <t>НДС (20%)</t>
  </si>
  <si>
    <t>Стоимость с НДС</t>
  </si>
  <si>
    <t>Расчет индекса прогнозной инфляции (путем равномерного распределения по кварталам):</t>
  </si>
  <si>
    <r>
      <t>на 2025 год</t>
    </r>
    <r>
      <rPr>
        <sz val="12"/>
        <rFont val="Arial Cyr"/>
        <charset val="204"/>
      </rPr>
      <t>, Д</t>
    </r>
    <r>
      <rPr>
        <vertAlign val="subscript"/>
        <sz val="12"/>
        <rFont val="Arial Cyr"/>
        <charset val="204"/>
      </rPr>
      <t>год</t>
    </r>
    <r>
      <rPr>
        <sz val="12"/>
        <rFont val="Arial Cyr"/>
        <charset val="204"/>
      </rPr>
      <t>.</t>
    </r>
  </si>
  <si>
    <t>РАСЧЕТ ЦЕНЫ Договора с учетом индекса прогнозной инфляции на 1 кв. 2026г.</t>
  </si>
  <si>
    <t>на март 26г.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</si>
  <si>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</t>
    </r>
  </si>
  <si>
    <t>Зимнее удорожание 2,1%</t>
  </si>
  <si>
    <t>Наименование  работ</t>
  </si>
  <si>
    <t>некорректный расчет</t>
  </si>
  <si>
    <t>правильный расчет</t>
  </si>
  <si>
    <t>Переход от 2 квартала 25г. к 1 кварталу 26г. из годового дефлятора:</t>
  </si>
  <si>
    <t>Министерство экономического развития
Российской Федерации</t>
  </si>
  <si>
    <r>
      <t>Прогноз индексов цен производителей</t>
    </r>
    <r>
      <rPr>
        <b/>
        <vertAlign val="superscript"/>
        <sz val="16"/>
        <color rgb="FF203277"/>
        <rFont val="Arial"/>
        <family val="2"/>
        <charset val="204"/>
      </rPr>
      <t>1</t>
    </r>
    <r>
      <rPr>
        <b/>
        <sz val="16"/>
        <color rgb="FF203277"/>
        <rFont val="Arial"/>
        <family val="2"/>
        <charset val="204"/>
      </rPr>
      <t xml:space="preserve"> и индексов-дефляторов
по видам экономической деятельности на период до 2028 года, в % г/г</t>
    </r>
  </si>
  <si>
    <t xml:space="preserve"> Базовый вариант</t>
  </si>
  <si>
    <r>
      <t>отчет</t>
    </r>
    <r>
      <rPr>
        <b/>
        <vertAlign val="superscript"/>
        <sz val="13"/>
        <rFont val="Arial"/>
        <family val="2"/>
        <charset val="204"/>
      </rPr>
      <t>2</t>
    </r>
  </si>
  <si>
    <t>оценка</t>
  </si>
  <si>
    <t>прогноз</t>
  </si>
  <si>
    <t>Промышленность (BCDE)</t>
  </si>
  <si>
    <t xml:space="preserve">  дефлятор</t>
  </si>
  <si>
    <t xml:space="preserve">  ИЦП</t>
  </si>
  <si>
    <t xml:space="preserve">   в т. ч.  без продукции ТЭКа (нефть, нефтепродукты, уголь, газ, энергетика)</t>
  </si>
  <si>
    <t>Добыча полезных ископаемых (Раздел B)</t>
  </si>
  <si>
    <t xml:space="preserve">Добыча топливно-энергетических полезных ископаемых (05, 06+09) </t>
  </si>
  <si>
    <t>Добыча угля (05)</t>
  </si>
  <si>
    <r>
      <t xml:space="preserve">  уголь энергетический каменный</t>
    </r>
    <r>
      <rPr>
        <i/>
        <vertAlign val="superscript"/>
        <sz val="13"/>
        <color indexed="8"/>
        <rFont val="Arial"/>
        <family val="2"/>
        <charset val="204"/>
      </rPr>
      <t>3</t>
    </r>
  </si>
  <si>
    <t>Добыча сырой нефти и природного газа (06+09)</t>
  </si>
  <si>
    <t xml:space="preserve">Добыча металлических руд и прочих полезных ископаемых (07, 08) </t>
  </si>
  <si>
    <t>Добыча металлических руд (07)</t>
  </si>
  <si>
    <t>Добыча прочих полезных ископаемых (08)</t>
  </si>
  <si>
    <t>Обрабатывающие производства (Раздел C)</t>
  </si>
  <si>
    <t>Производство пищевых продуктов, Производство напитков, Производство табачных изделий (10, 11, 12)</t>
  </si>
  <si>
    <t>Производство текстильных изделий, Производство одежды, Производство кожи и изделий из кожи (13, 14, 15)</t>
  </si>
  <si>
    <t>Обработка древесины и производство изделий из дерева и пробки, кроме мебели, производство изделий из соломки и материалов для плетения (16)</t>
  </si>
  <si>
    <t>Производство бумаги и бумажных изделий (17)</t>
  </si>
  <si>
    <t>Производство нефтепродуктов (19.2)</t>
  </si>
  <si>
    <t>Производство химических веществ и химических продуктов, Производство лекарственных средств и материалов, применяемых в медицинских целях, Производство резиновых и пластмассовых изделий (20, 21, 22)</t>
  </si>
  <si>
    <t>Производство прочей неметаллической минеральной продукции (23)</t>
  </si>
  <si>
    <t xml:space="preserve">Производство черных металлов (24.1, 24.2, 24.3, 24.5) </t>
  </si>
  <si>
    <t>Производство основных драгоценных металлов и прочих цветных металлов, производство ядерного топлива (24.4)</t>
  </si>
  <si>
    <t>Производство готовых металлических изделий, кроме машин и оборудования (25)</t>
  </si>
  <si>
    <t>Продукция машиностроения (26, 27, 28, 29, 30, 33)</t>
  </si>
  <si>
    <t>Прочие</t>
  </si>
  <si>
    <t>Обеспечение электрической энергией, газом и паром; кондиционирование воздуха (Раздел D)</t>
  </si>
  <si>
    <t>Водоснабжение; водоотведение, организация сбора и утилизация отходов, деятельность по ликвидации загрязнений (Раздел E)</t>
  </si>
  <si>
    <t>Сельское хозяйство</t>
  </si>
  <si>
    <t xml:space="preserve"> - растениеводство</t>
  </si>
  <si>
    <t xml:space="preserve"> - животноводство</t>
  </si>
  <si>
    <t xml:space="preserve">  индекс цен реализации продукции сельхозпроизводителями</t>
  </si>
  <si>
    <t>Транспорт, вкл. трубопроводный</t>
  </si>
  <si>
    <r>
      <t xml:space="preserve">  дефлятор</t>
    </r>
    <r>
      <rPr>
        <b/>
        <vertAlign val="superscript"/>
        <sz val="13"/>
        <color indexed="8"/>
        <rFont val="Arial"/>
        <family val="2"/>
        <charset val="204"/>
      </rPr>
      <t>4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</si>
  <si>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</si>
  <si>
    <r>
      <t xml:space="preserve">  ИЦП</t>
    </r>
    <r>
      <rPr>
        <vertAlign val="superscript"/>
        <sz val="13"/>
        <rFont val="Arial"/>
        <family val="2"/>
        <charset val="204"/>
      </rPr>
      <t>5</t>
    </r>
    <r>
      <rPr>
        <sz val="13"/>
        <rFont val="Arial"/>
        <family val="2"/>
        <charset val="204"/>
      </rPr>
      <t xml:space="preserve"> с исключением трубопроводного транспорта</t>
    </r>
  </si>
  <si>
    <r>
      <t>Инвестиции в основной капитал</t>
    </r>
    <r>
      <rPr>
        <b/>
        <vertAlign val="superscript"/>
        <sz val="13"/>
        <color indexed="8"/>
        <rFont val="Arial"/>
        <family val="2"/>
        <charset val="204"/>
      </rPr>
      <t xml:space="preserve"> 6</t>
    </r>
  </si>
  <si>
    <t xml:space="preserve">  индексы цен </t>
  </si>
  <si>
    <t>Строительство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</si>
  <si>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</si>
  <si>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</si>
  <si>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</si>
  <si>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</si>
  <si>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</si>
  <si>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1)</t>
    </r>
    <r>
      <rPr>
        <sz val="10"/>
        <color theme="1"/>
        <rFont val="Arial"/>
        <family val="2"/>
        <charset val="204"/>
      </rPr>
      <t xml:space="preserve"> На продукцию, реализованную на внутренний рынок.</t>
    </r>
  </si>
  <si>
    <r>
      <rPr>
        <vertAlign val="superscript"/>
        <sz val="10"/>
        <rFont val="Arial"/>
        <family val="2"/>
        <charset val="204"/>
      </rPr>
      <t>2)</t>
    </r>
    <r>
      <rPr>
        <sz val="10"/>
        <rFont val="Arial"/>
        <family val="2"/>
        <charset val="204"/>
      </rPr>
      <t xml:space="preserve"> Индексы-дефляторы, выделены курсивом - оценка.</t>
    </r>
  </si>
  <si>
    <r>
      <rPr>
        <vertAlign val="superscript"/>
        <sz val="10"/>
        <color theme="1"/>
        <rFont val="Arial"/>
        <family val="2"/>
        <charset val="204"/>
      </rPr>
      <t>3)</t>
    </r>
    <r>
      <rPr>
        <sz val="10"/>
        <color theme="1"/>
        <rFont val="Arial"/>
        <family val="2"/>
        <charset val="204"/>
      </rPr>
      <t xml:space="preserve">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(05.10.10.130).</t>
    </r>
  </si>
  <si>
    <r>
      <rPr>
        <vertAlign val="superscript"/>
        <sz val="10"/>
        <color theme="1"/>
        <rFont val="Arial"/>
        <family val="2"/>
        <charset val="204"/>
      </rPr>
      <t xml:space="preserve">4) </t>
    </r>
    <r>
      <rPr>
        <sz val="10"/>
        <color theme="1"/>
        <rFont val="Arial"/>
        <family val="2"/>
        <charset val="204"/>
      </rPr>
      <t>По виду деятельности "Транспортировка и хранение".</t>
    </r>
  </si>
  <si>
    <r>
      <rPr>
        <vertAlign val="superscript"/>
        <sz val="10"/>
        <color theme="1"/>
        <rFont val="Arial"/>
        <family val="2"/>
        <charset val="204"/>
      </rPr>
      <t xml:space="preserve">5) </t>
    </r>
    <r>
      <rPr>
        <sz val="10"/>
        <color theme="1"/>
        <rFont val="Arial"/>
        <family val="2"/>
        <charset val="204"/>
      </rPr>
      <t>Индекс тарифов на грузовые перевозки.</t>
    </r>
  </si>
  <si>
    <r>
      <rPr>
        <vertAlign val="superscript"/>
        <sz val="10"/>
        <color theme="1"/>
        <rFont val="Arial"/>
        <family val="2"/>
        <charset val="204"/>
      </rPr>
      <t xml:space="preserve">6) </t>
    </r>
    <r>
      <rPr>
        <sz val="10"/>
        <color theme="1"/>
        <rFont val="Arial"/>
        <family val="2"/>
        <charset val="204"/>
      </rPr>
      <t>За счет всех источников финансирования.</t>
    </r>
  </si>
  <si>
    <r>
      <rPr>
        <vertAlign val="superscript"/>
        <sz val="10"/>
        <color theme="1"/>
        <rFont val="Arial"/>
        <family val="2"/>
        <charset val="204"/>
      </rPr>
      <t xml:space="preserve">7) </t>
    </r>
    <r>
      <rPr>
        <sz val="10"/>
        <color theme="1"/>
        <rFont val="Arial"/>
        <family val="2"/>
        <charset val="204"/>
      </rPr>
      <t>С учетом НДС, косвенных налогов, торгово-транспортной наценки.</t>
    </r>
  </si>
  <si>
    <t>Годовой индекс-дефлятор (по письму Минэкономразвития России от 30.09.2025 №37099-ПК/Д03и, базовый вариант, отрасль «Строительство»):</t>
  </si>
  <si>
    <t>Индекс-дефлятор - 1,06</t>
  </si>
  <si>
    <r>
      <t xml:space="preserve">Новая расценка, V по </t>
    </r>
    <r>
      <rPr>
        <b/>
        <sz val="14"/>
        <color theme="1"/>
        <rFont val="Calibri"/>
        <family val="2"/>
        <charset val="204"/>
        <scheme val="minor"/>
      </rPr>
      <t>КМД</t>
    </r>
    <r>
      <rPr>
        <b/>
        <sz val="11"/>
        <color theme="1"/>
        <rFont val="Calibri"/>
        <family val="2"/>
        <charset val="204"/>
        <scheme val="minor"/>
      </rPr>
      <t xml:space="preserve"> + ЗУ 2,1% + Дефлятор</t>
    </r>
  </si>
  <si>
    <t>Профнастил H57-750-0,8 крыша</t>
  </si>
  <si>
    <t>Подписано к Договору, V по КМ</t>
  </si>
  <si>
    <r>
      <t xml:space="preserve">по той, что подписана к Договору,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</si>
  <si>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r>
      <rPr>
        <b/>
        <u/>
        <sz val="11"/>
        <color rgb="FFFF0000"/>
        <rFont val="Calibri"/>
        <family val="2"/>
        <charset val="204"/>
        <scheme val="minor"/>
      </rPr>
      <t>5 270</t>
    </r>
    <r>
      <rPr>
        <sz val="11"/>
        <color theme="1"/>
        <rFont val="Calibri"/>
        <family val="2"/>
        <charset val="204"/>
        <scheme val="minor"/>
      </rPr>
      <t>/56,7</t>
    </r>
  </si>
  <si>
    <r>
      <rPr>
        <b/>
        <u/>
        <sz val="11"/>
        <color rgb="FFFF0000"/>
        <rFont val="Calibri"/>
        <family val="2"/>
        <charset val="204"/>
        <scheme val="minor"/>
      </rPr>
      <t>6 110,76</t>
    </r>
    <r>
      <rPr>
        <sz val="11"/>
        <color rgb="FFFF0000"/>
        <rFont val="Calibri"/>
        <family val="2"/>
        <charset val="204"/>
        <scheme val="minor"/>
      </rPr>
      <t>/50,244</t>
    </r>
  </si>
  <si>
    <r>
      <rPr>
        <b/>
        <u/>
        <sz val="11"/>
        <color rgb="FFFF0000"/>
        <rFont val="Calibri"/>
        <family val="2"/>
        <charset val="204"/>
        <scheme val="minor"/>
      </rPr>
      <t>5 417,14</t>
    </r>
    <r>
      <rPr>
        <sz val="11"/>
        <color rgb="FFFF0000"/>
        <rFont val="Calibri"/>
        <family val="2"/>
        <charset val="204"/>
        <scheme val="minor"/>
      </rPr>
      <t>/53,088</t>
    </r>
  </si>
  <si>
    <r>
      <rPr>
        <b/>
        <u/>
        <sz val="11"/>
        <color rgb="FFFF0000"/>
        <rFont val="Calibri"/>
        <family val="2"/>
        <charset val="204"/>
        <scheme val="minor"/>
      </rPr>
      <t>6 567,57</t>
    </r>
    <r>
      <rPr>
        <sz val="11"/>
        <color theme="1"/>
        <rFont val="Calibri"/>
        <family val="2"/>
        <charset val="204"/>
        <scheme val="minor"/>
      </rPr>
      <t>/54</t>
    </r>
  </si>
  <si>
    <r>
      <t>Договорной коэффициент-</t>
    </r>
    <r>
      <rPr>
        <b/>
        <sz val="12"/>
        <color rgb="FFC00000"/>
        <rFont val="Calibri"/>
        <family val="2"/>
        <charset val="204"/>
        <scheme val="minor"/>
      </rPr>
      <t>0,9742040607</t>
    </r>
  </si>
  <si>
    <t>Новая расценка, V по КМД + ЗУ 2,1% + дефлятор</t>
  </si>
  <si>
    <t>смета №1</t>
  </si>
  <si>
    <t>смета №2</t>
  </si>
  <si>
    <t>смета №3</t>
  </si>
  <si>
    <t>смета №4</t>
  </si>
  <si>
    <t>Договорной коэффициент-0,8316817371</t>
  </si>
  <si>
    <t>смета №7</t>
  </si>
  <si>
    <r>
      <t xml:space="preserve">Единая расценка, V по </t>
    </r>
    <r>
      <rPr>
        <b/>
        <sz val="18"/>
        <color theme="1"/>
        <rFont val="Calibri"/>
        <family val="2"/>
        <charset val="204"/>
        <scheme val="minor"/>
      </rPr>
      <t>КМД</t>
    </r>
  </si>
  <si>
    <t>смета №8</t>
  </si>
  <si>
    <t>смета №9</t>
  </si>
  <si>
    <t xml:space="preserve">стоимость МАТЗАК вычитается </t>
  </si>
  <si>
    <t>Итого, с Кдог-1,20409902725</t>
  </si>
  <si>
    <t>без непредвиденных                                     (∑ пп.1-7)</t>
  </si>
  <si>
    <t xml:space="preserve"> без непредвиденных                     (∑ пп.1-10)</t>
  </si>
  <si>
    <t xml:space="preserve"> с непредвиденными                                 (∑ пп.1-10)</t>
  </si>
  <si>
    <t>Балки перекрытий и фермы Ф1+прогоны покрытия</t>
  </si>
  <si>
    <t>5 417,14/53,088</t>
  </si>
  <si>
    <t>6 110,76/50,244</t>
  </si>
  <si>
    <r>
      <rPr>
        <b/>
        <u/>
        <sz val="11"/>
        <rFont val="Calibri"/>
        <family val="2"/>
        <charset val="204"/>
        <scheme val="minor"/>
      </rPr>
      <t>5 270</t>
    </r>
    <r>
      <rPr>
        <b/>
        <sz val="11"/>
        <rFont val="Calibri"/>
        <family val="2"/>
        <charset val="204"/>
        <scheme val="minor"/>
      </rPr>
      <t>/56,7</t>
    </r>
  </si>
  <si>
    <r>
      <rPr>
        <b/>
        <u/>
        <sz val="11"/>
        <rFont val="Calibri"/>
        <family val="2"/>
        <charset val="204"/>
        <scheme val="minor"/>
      </rPr>
      <t>6 567,57</t>
    </r>
    <r>
      <rPr>
        <b/>
        <sz val="11"/>
        <rFont val="Calibri"/>
        <family val="2"/>
        <charset val="204"/>
        <scheme val="minor"/>
      </rPr>
      <t>/54</t>
    </r>
  </si>
  <si>
    <t>Стоимость, руб. за 1 тн, с Кдог , с НДС</t>
  </si>
  <si>
    <t>1.Смета к Договору, V по КМ (подписано)</t>
  </si>
  <si>
    <r>
      <t xml:space="preserve">2.Смета к Договору, V по </t>
    </r>
    <r>
      <rPr>
        <b/>
        <sz val="12"/>
        <color theme="0"/>
        <rFont val="Calibri"/>
        <family val="2"/>
        <charset val="204"/>
        <scheme val="minor"/>
      </rPr>
      <t>КМД</t>
    </r>
    <r>
      <rPr>
        <b/>
        <sz val="11"/>
        <color theme="0"/>
        <rFont val="Calibri"/>
        <family val="2"/>
        <charset val="204"/>
        <scheme val="minor"/>
      </rPr>
      <t xml:space="preserve"> </t>
    </r>
  </si>
  <si>
    <t>3.Смета с новой (единой) расценкй, V по КМД</t>
  </si>
  <si>
    <t>1-7</t>
  </si>
  <si>
    <t>Итого, с Кдог-0,8316817371</t>
  </si>
  <si>
    <t xml:space="preserve">4.Смета под сумму Договора с новой (единой) расценкй, V по КМД </t>
  </si>
  <si>
    <t>Итого, с Кдог-0,9742040607</t>
  </si>
  <si>
    <t>Зимнее удорожание-2,1%</t>
  </si>
  <si>
    <t>5.Смета с новой (единой) расценкй + ЗУ, V по КМД (165 млн + ЗУ)</t>
  </si>
  <si>
    <t>6.Смета под сумму Договора с новой (единой) расценкй, V по КМД  (191 млн. + ЗУ)</t>
  </si>
  <si>
    <t>7.Смета с новой (единой) расценкй + ЗУ+дефлятор, V по КМД (165 млн + ЗУ + дефлятор)</t>
  </si>
  <si>
    <t>8.Смета под сумму Договора с новой (единой) расценкй, V по КМД  (191 млн. + ЗУ + дефлятор)</t>
  </si>
  <si>
    <r>
      <t xml:space="preserve">Индекс инфляции (дефлятор) </t>
    </r>
    <r>
      <rPr>
        <i/>
        <sz val="11"/>
        <rFont val="Calibri"/>
        <family val="2"/>
        <charset val="204"/>
        <scheme val="minor"/>
      </rPr>
      <t>примерно 6%</t>
    </r>
  </si>
  <si>
    <t xml:space="preserve">2.Смета к Договору, V по КМД </t>
  </si>
  <si>
    <t>3.Смета с новой расценкой  (Монтаж пролетных строений галерей), V по КМД</t>
  </si>
  <si>
    <t xml:space="preserve">4.Смета под сумму Договора с новой расценкой, V по КМД </t>
  </si>
  <si>
    <t>5.Смета с новой расценкой + ЗУ, V по КМД (165 млн + ЗУ)</t>
  </si>
  <si>
    <t>6.Смета под сумму Договора с новой  расценкой, V по КМД  (191 млн. + ЗУ)</t>
  </si>
  <si>
    <t>7.Смета с новой расценкой + ЗУ+дефлятор, V по КМД (165 млн + ЗУ + дефлятор)</t>
  </si>
  <si>
    <t>8.Смета под сумму Договора с новой расценкой, V по КМД  (191 млн. + ЗУ + дефлятор)</t>
  </si>
  <si>
    <t>5 417,14/53,09</t>
  </si>
  <si>
    <t>6 110,76/50,24</t>
  </si>
  <si>
    <t>Профнастил H57-750-0,8 (крыша)</t>
  </si>
  <si>
    <r>
      <t>Ст-ть за 1 тн, руб. с Кдог , с НДС, без непредвиденных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пп.1-7)</t>
    </r>
  </si>
  <si>
    <r>
      <t xml:space="preserve">Ст-ть за 1 тн, руб. с Кдог , с НДС, без непредвиденных </t>
    </r>
    <r>
      <rPr>
        <b/>
        <sz val="14"/>
        <color rgb="FFC00000"/>
        <rFont val="Calibri"/>
        <family val="2"/>
        <charset val="204"/>
        <scheme val="minor"/>
      </rPr>
      <t>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</si>
  <si>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Ст-ть за 1 тн, руб. с Кдог , с НДС, </t>
    </r>
    <r>
      <rPr>
        <b/>
        <sz val="14"/>
        <color rgb="FFC00000"/>
        <rFont val="Calibri"/>
        <family val="2"/>
        <charset val="204"/>
        <scheme val="minor"/>
      </rPr>
      <t xml:space="preserve"> </t>
    </r>
    <r>
      <rPr>
        <b/>
        <u/>
        <sz val="14"/>
        <color rgb="FFC00000"/>
        <rFont val="Calibri"/>
        <family val="2"/>
        <charset val="204"/>
        <scheme val="minor"/>
      </rPr>
      <t>с непредвиденными</t>
    </r>
    <r>
      <rPr>
        <b/>
        <sz val="14"/>
        <color rgb="FFC00000"/>
        <rFont val="Calibri"/>
        <family val="2"/>
        <charset val="204"/>
        <scheme val="minor"/>
      </rPr>
      <t xml:space="preserve"> (</t>
    </r>
    <r>
      <rPr>
        <b/>
        <sz val="14"/>
        <color rgb="FFC00000"/>
        <rFont val="Calibri"/>
        <family val="2"/>
        <charset val="204"/>
      </rPr>
      <t>∑ пп.1-10)</t>
    </r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</si>
  <si>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6%) </t>
    </r>
  </si>
  <si>
    <r>
      <t xml:space="preserve">К </t>
    </r>
    <r>
      <rPr>
        <vertAlign val="subscript"/>
        <sz val="12"/>
        <rFont val="Arial Cyr"/>
        <charset val="204"/>
      </rPr>
      <t>(2кв25/1кв26)</t>
    </r>
    <r>
      <rPr>
        <sz val="12"/>
        <rFont val="Arial Cyr"/>
        <charset val="204"/>
      </rPr>
      <t xml:space="preserve"> =( Дгод.)</t>
    </r>
    <r>
      <rPr>
        <vertAlign val="superscript"/>
        <sz val="12"/>
        <rFont val="Arial Cyr"/>
        <charset val="204"/>
      </rPr>
      <t>0,42</t>
    </r>
  </si>
  <si>
    <r>
      <t>(1,081)</t>
    </r>
    <r>
      <rPr>
        <b/>
        <vertAlign val="superscript"/>
        <sz val="10"/>
        <color rgb="FFFF0000"/>
        <rFont val="Arial Cyr"/>
        <charset val="204"/>
      </rPr>
      <t>0,42</t>
    </r>
  </si>
  <si>
    <t>(+3,3%)</t>
  </si>
  <si>
    <t xml:space="preserve">(Берём периоды: октябрь 2025 → февраль 2026 ≈ 5 месяцев = 0,42 года)
</t>
  </si>
  <si>
    <t>Зимнее удорожание-построчно</t>
  </si>
  <si>
    <t>до +15%</t>
  </si>
  <si>
    <r>
      <t>Итого, с Кдог-</t>
    </r>
    <r>
      <rPr>
        <b/>
        <sz val="14"/>
        <color theme="4"/>
        <rFont val="Calibri"/>
        <family val="2"/>
        <charset val="204"/>
        <scheme val="minor"/>
      </rPr>
      <t>1,20409902725</t>
    </r>
  </si>
  <si>
    <t>М/к - 1,49%; антикорр.-0,42%</t>
  </si>
  <si>
    <t>Компенсация простоя (2 220 749,32руб.*4мес)</t>
  </si>
  <si>
    <t>1.Смета к Договору, V по КМ (подписано), давальческий одной строчкой, +ЗУ 2,1%,  + компенсация простоя, +3% непредвиденных, + 3,3% инфляции</t>
  </si>
  <si>
    <r>
      <t xml:space="preserve">Индекс инфляции 2кв.25г./1кв.26г. </t>
    </r>
    <r>
      <rPr>
        <i/>
        <sz val="11"/>
        <rFont val="Calibri"/>
        <family val="2"/>
        <charset val="204"/>
        <scheme val="minor"/>
      </rPr>
      <t xml:space="preserve">(октябрь 25г./февраль 26г., дефлятор, </t>
    </r>
    <r>
      <rPr>
        <i/>
        <sz val="11"/>
        <rFont val="Calibri"/>
        <family val="2"/>
        <charset val="204"/>
      </rPr>
      <t>±</t>
    </r>
    <r>
      <rPr>
        <i/>
        <sz val="11"/>
        <rFont val="Calibri"/>
        <family val="2"/>
        <charset val="204"/>
        <scheme val="minor"/>
      </rPr>
      <t xml:space="preserve"> 3,3%) </t>
    </r>
  </si>
  <si>
    <t xml:space="preserve">Индекс инфляции 2кв.25г./1кв.26г. (октябрь 25г./февраль 26г., дефлятор, ± 3,3%) </t>
  </si>
  <si>
    <t>Зимнее удорожание-2,1% (БЕЗ  начисления на материалы)</t>
  </si>
  <si>
    <t>ЗУ с начислением на материалы- 220 млн</t>
  </si>
  <si>
    <t>2..Смета к Договору, V по КМ (подписано), давальческий одной строчкой, +ЗУ 2,1%,  + компенсация простоя, +3% непредвиденных, + 3,3% инфляции</t>
  </si>
  <si>
    <t>Компенсация простоя (2 220 749,32 / 20% НДС руб.*4мес)</t>
  </si>
  <si>
    <t>3.Смета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</si>
  <si>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r>
      <t>Итого, с Кдог-</t>
    </r>
    <r>
      <rPr>
        <b/>
        <sz val="20"/>
        <color theme="4"/>
        <rFont val="Calibri"/>
        <family val="2"/>
        <charset val="204"/>
        <scheme val="minor"/>
      </rPr>
      <t>0,87</t>
    </r>
  </si>
  <si>
    <t>до суммы Договора+15%</t>
  </si>
  <si>
    <t>Сварка, тн (с непредвиденными и НДС)</t>
  </si>
  <si>
    <t>УЗК, м. шва (с непредвиденными и НДС)</t>
  </si>
  <si>
    <t>Доп.</t>
  </si>
  <si>
    <t>2.Смета к Договору, V по КМ (подписано), давальческий одной строчкой, +ЗУ 2,1%,  + компенсация простоя, +3% непредвиденных, + 3,3% инфляции</t>
  </si>
  <si>
    <t>3..Смета к Договору, V по КМ (подписано), давальческий одной строчкой, +ЗУ 2,1%,  + компенсация простоя, +3% непредвиденных, + 3,3% инфляции</t>
  </si>
  <si>
    <t>4.Смета с ЕДИНОЙ расценкой  (Монтаж пролетных строений галерей),  V по КМ (подписано), давальческий одной строчкой, +ЗУ 2,1%,  + компенсация простоя, +3% непредвиденных, + 3,3% инфляции</t>
  </si>
  <si>
    <t>Смета к Договору</t>
  </si>
  <si>
    <r>
      <t xml:space="preserve">Зимнее удорожание-2,1% </t>
    </r>
    <r>
      <rPr>
        <b/>
        <u/>
        <sz val="16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</si>
  <si>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Зимнее удорожание-2,1% (</t>
    </r>
    <r>
      <rPr>
        <b/>
        <sz val="22"/>
        <color rgb="FFC00000"/>
        <rFont val="Calibri"/>
        <family val="2"/>
        <charset val="204"/>
        <scheme val="minor"/>
      </rPr>
      <t>с</t>
    </r>
    <r>
      <rPr>
        <b/>
        <sz val="11"/>
        <color rgb="FFC00000"/>
        <rFont val="Calibri"/>
        <family val="2"/>
        <charset val="204"/>
        <scheme val="minor"/>
      </rPr>
      <t xml:space="preserve">  начислением на материалы)</t>
    </r>
  </si>
  <si>
    <r>
      <t>Зимнее удорожание</t>
    </r>
    <r>
      <rPr>
        <b/>
        <u/>
        <sz val="11"/>
        <color rgb="FFC00000"/>
        <rFont val="Calibri"/>
        <family val="2"/>
        <charset val="204"/>
        <scheme val="minor"/>
      </rPr>
      <t>-построчно</t>
    </r>
  </si>
  <si>
    <r>
      <t xml:space="preserve">Зимнее удорожание-2,1% </t>
    </r>
    <r>
      <rPr>
        <b/>
        <sz val="14"/>
        <color rgb="FFC00000"/>
        <rFont val="Calibri"/>
        <family val="2"/>
        <charset val="204"/>
        <scheme val="minor"/>
      </rPr>
      <t xml:space="preserve">(БЕЗ </t>
    </r>
    <r>
      <rPr>
        <b/>
        <sz val="11"/>
        <color rgb="FFC00000"/>
        <rFont val="Calibri"/>
        <family val="2"/>
        <charset val="204"/>
        <scheme val="minor"/>
      </rPr>
      <t xml:space="preserve"> начисления на материалы)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</si>
  <si>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0,826661479(новый)</t>
    </r>
  </si>
  <si>
    <r>
      <t>Итого, с Кдог-</t>
    </r>
    <r>
      <rPr>
        <b/>
        <sz val="16"/>
        <color theme="4"/>
        <rFont val="Calibri"/>
        <family val="2"/>
        <charset val="204"/>
        <scheme val="minor"/>
      </rPr>
      <t>0,87367715(новый)</t>
    </r>
  </si>
  <si>
    <r>
      <t xml:space="preserve">М/к - </t>
    </r>
    <r>
      <rPr>
        <b/>
        <u/>
        <sz val="16"/>
        <color rgb="FFFF0000"/>
        <rFont val="Calibri"/>
        <family val="2"/>
        <charset val="204"/>
        <scheme val="minor"/>
      </rPr>
      <t>2,48%</t>
    </r>
    <r>
      <rPr>
        <b/>
        <sz val="11"/>
        <rFont val="Calibri"/>
        <family val="2"/>
        <charset val="204"/>
        <scheme val="minor"/>
      </rPr>
      <t>; антикорр.-0,42%</t>
    </r>
  </si>
  <si>
    <t>3..Смета к Договору, V по КМ (подписано), давальческий одной строчкой, +ЗУпострочно,  + компенсация простоя, +3% непредвиденных, + 3,3% инфляции</t>
  </si>
  <si>
    <t>Содержание строит. Площадки и ИТР</t>
  </si>
  <si>
    <t>вместо компенсацтт</t>
  </si>
  <si>
    <t>Содержание строит. площадки и ИТР(2 220 749,32 / 20% НДС руб.*4мес)</t>
  </si>
  <si>
    <t>Стоимость выполнения комплекса работ по монтажу м/к (по КП, коэфф. дог. на СМР "сидит" внутри суммы)</t>
  </si>
  <si>
    <t>если 5,2%</t>
  </si>
  <si>
    <t>Очень похоже,что Заказчик путает значение ЗУ с ВЗиС. ВЗиСы - 5,2%</t>
  </si>
  <si>
    <t>Цена за 1 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</si>
</sst>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000"/>
    <numFmt numFmtId="166" formatCode="0.000"/>
    <numFmt numFmtId="167" formatCode="0_)"/>
    <numFmt numFmtId="168" formatCode="0.0_)"/>
  </numFmts>
  <fonts count="7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4"/>
      <color rgb="FFFF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b/>
      <sz val="11"/>
      <color theme="2" tint="-0.249977111117893"/>
      <name val="Calibri"/>
      <family val="2"/>
      <charset val="204"/>
      <scheme val="minor"/>
    </font>
    <font>
      <sz val="11"/>
      <color theme="2" tint="-0.249977111117893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2" tint="-0.24997711111789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</font>
    <font>
      <b/>
      <sz val="12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</font>
    <font>
      <b/>
      <u/>
      <sz val="14"/>
      <color rgb="FFC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rgb="FFFF0000"/>
      <name val="Arial Cyr"/>
      <charset val="204"/>
    </font>
    <font>
      <sz val="12"/>
      <name val="Arial Cyr"/>
      <charset val="204"/>
    </font>
    <font>
      <vertAlign val="subscript"/>
      <sz val="12"/>
      <name val="Arial Cyr"/>
      <charset val="204"/>
    </font>
    <font>
      <sz val="10"/>
      <color rgb="FFFF0000"/>
      <name val="Arial Cyr"/>
      <charset val="204"/>
    </font>
    <font>
      <vertAlign val="superscript"/>
      <sz val="12"/>
      <name val="Arial Cyr"/>
      <charset val="204"/>
    </font>
    <font>
      <vertAlign val="superscript"/>
      <sz val="10"/>
      <name val="Arial Cyr"/>
      <charset val="204"/>
    </font>
    <font>
      <b/>
      <vertAlign val="superscript"/>
      <sz val="10"/>
      <color rgb="FFFF0000"/>
      <name val="Arial Cyr"/>
      <charset val="204"/>
    </font>
    <font>
      <i/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b/>
      <sz val="16"/>
      <color rgb="FF203277"/>
      <name val="Arial"/>
      <family val="2"/>
      <charset val="204"/>
    </font>
    <font>
      <b/>
      <vertAlign val="superscript"/>
      <sz val="16"/>
      <color rgb="FF203277"/>
      <name val="Arial"/>
      <family val="2"/>
      <charset val="204"/>
    </font>
    <font>
      <b/>
      <sz val="16"/>
      <color rgb="FF2C2C84"/>
      <name val="Arial"/>
      <family val="2"/>
      <charset val="204"/>
    </font>
    <font>
      <sz val="10"/>
      <name val="Arial"/>
      <family val="2"/>
      <charset val="204"/>
    </font>
    <font>
      <sz val="10"/>
      <name val="Courier"/>
      <family val="1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2"/>
      <name val="Arial"/>
      <family val="2"/>
      <charset val="204"/>
    </font>
    <font>
      <b/>
      <vertAlign val="superscript"/>
      <sz val="13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03277"/>
      <name val="Arial"/>
      <family val="2"/>
      <charset val="204"/>
    </font>
    <font>
      <sz val="12"/>
      <color rgb="FF203277"/>
      <name val="Arial"/>
      <family val="2"/>
      <charset val="204"/>
    </font>
    <font>
      <sz val="12"/>
      <name val="Arial"/>
      <family val="2"/>
      <charset val="204"/>
    </font>
    <font>
      <i/>
      <sz val="12"/>
      <color indexed="8"/>
      <name val="Arial"/>
      <family val="2"/>
      <charset val="204"/>
    </font>
    <font>
      <i/>
      <vertAlign val="superscript"/>
      <sz val="13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vertAlign val="superscript"/>
      <sz val="13"/>
      <color indexed="8"/>
      <name val="Arial"/>
      <family val="2"/>
      <charset val="204"/>
    </font>
    <font>
      <vertAlign val="superscript"/>
      <sz val="13"/>
      <name val="Arial"/>
      <family val="2"/>
      <charset val="204"/>
    </font>
    <font>
      <sz val="13"/>
      <name val="Arial"/>
      <family val="2"/>
      <charset val="204"/>
    </font>
    <font>
      <sz val="10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u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20"/>
      <color theme="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u/>
      <sz val="11"/>
      <color rgb="FFC00000"/>
      <name val="Calibri"/>
      <family val="2"/>
      <charset val="204"/>
      <scheme val="minor"/>
    </font>
    <font>
      <b/>
      <u/>
      <sz val="16"/>
      <color rgb="FFC00000"/>
      <name val="Calibri"/>
      <family val="2"/>
      <charset val="204"/>
      <scheme val="minor"/>
    </font>
    <font>
      <b/>
      <sz val="22"/>
      <color rgb="FFC00000"/>
      <name val="Calibri"/>
      <family val="2"/>
      <charset val="204"/>
      <scheme val="minor"/>
    </font>
    <font>
      <b/>
      <sz val="16"/>
      <color theme="4"/>
      <name val="Calibri"/>
      <family val="2"/>
      <charset val="204"/>
      <scheme val="minor"/>
    </font>
    <font>
      <b/>
      <u/>
      <sz val="16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4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8" fillId="0" borderId="0"/>
    <xf numFmtId="167" fontId="34" fillId="0" borderId="0"/>
    <xf numFmtId="0" fontId="8" fillId="0" borderId="0"/>
  </cellStyleXfs>
  <cellXfs count="485">
    <xf numFmtId="0" fontId="0" fillId="0" borderId="0" xfId="0"/>
    <xf numFmtId="0" fontId="1" fillId="0" borderId="0" xfId="0" applyFont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4" xfId="0" applyBorder="1"/>
    <xf numFmtId="4" fontId="1" fillId="0" borderId="5" xfId="0" applyNumberFormat="1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wrapText="1"/>
    </xf>
    <xf numFmtId="4" fontId="0" fillId="0" borderId="12" xfId="0" applyNumberForma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1" fillId="0" borderId="13" xfId="0" applyFont="1" applyBorder="1"/>
    <xf numFmtId="0" fontId="4" fillId="0" borderId="7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9" xfId="0" applyFont="1" applyBorder="1" applyAlignment="1">
      <alignment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wrapText="1"/>
    </xf>
    <xf numFmtId="4" fontId="6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20" xfId="0" applyNumberFormat="1" applyFont="1" applyBorder="1" applyAlignment="1">
      <alignment horizontal="center" vertical="center"/>
    </xf>
    <xf numFmtId="4" fontId="1" fillId="0" borderId="2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 wrapText="1"/>
    </xf>
    <xf numFmtId="0" fontId="6" fillId="0" borderId="42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3" fillId="0" borderId="43" xfId="0" applyNumberFormat="1" applyFont="1" applyBorder="1" applyAlignment="1">
      <alignment vertical="center" wrapText="1"/>
    </xf>
    <xf numFmtId="2" fontId="3" fillId="0" borderId="45" xfId="0" applyNumberFormat="1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4" fontId="1" fillId="0" borderId="46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vertical="center" wrapText="1"/>
    </xf>
    <xf numFmtId="4" fontId="1" fillId="0" borderId="49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6" fillId="0" borderId="51" xfId="0" applyFont="1" applyBorder="1" applyAlignment="1">
      <alignment wrapText="1"/>
    </xf>
    <xf numFmtId="0" fontId="6" fillId="0" borderId="52" xfId="0" applyFont="1" applyBorder="1" applyAlignment="1">
      <alignment horizontal="center" vertical="center" wrapText="1"/>
    </xf>
    <xf numFmtId="4" fontId="6" fillId="0" borderId="55" xfId="0" applyNumberFormat="1" applyFont="1" applyBorder="1" applyAlignment="1">
      <alignment horizontal="center" vertical="center"/>
    </xf>
    <xf numFmtId="0" fontId="0" fillId="2" borderId="56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2" xfId="0" applyFill="1" applyBorder="1" applyAlignment="1">
      <alignment wrapText="1"/>
    </xf>
    <xf numFmtId="0" fontId="0" fillId="3" borderId="23" xfId="0" applyFill="1" applyBorder="1" applyAlignment="1">
      <alignment horizontal="center" vertical="center" wrapText="1"/>
    </xf>
    <xf numFmtId="164" fontId="0" fillId="3" borderId="24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wrapText="1"/>
    </xf>
    <xf numFmtId="0" fontId="0" fillId="3" borderId="17" xfId="0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 vertical="center"/>
    </xf>
    <xf numFmtId="0" fontId="0" fillId="3" borderId="41" xfId="0" applyFill="1" applyBorder="1" applyAlignment="1">
      <alignment wrapText="1"/>
    </xf>
    <xf numFmtId="0" fontId="0" fillId="3" borderId="18" xfId="0" applyFill="1" applyBorder="1" applyAlignment="1">
      <alignment horizontal="center" vertical="center" wrapText="1"/>
    </xf>
    <xf numFmtId="164" fontId="0" fillId="3" borderId="12" xfId="0" applyNumberForma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wrapText="1"/>
    </xf>
    <xf numFmtId="0" fontId="0" fillId="3" borderId="0" xfId="0" applyFill="1" applyBorder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57" xfId="0" applyNumberForma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1" fillId="4" borderId="39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6" fillId="0" borderId="0" xfId="1" applyAlignment="1">
      <alignment wrapText="1"/>
    </xf>
    <xf numFmtId="0" fontId="16" fillId="0" borderId="67" xfId="1" applyBorder="1" applyAlignment="1">
      <alignment horizontal="center" vertical="center" wrapText="1"/>
    </xf>
    <xf numFmtId="0" fontId="16" fillId="0" borderId="0" xfId="1" applyAlignment="1">
      <alignment horizontal="center" vertical="center" wrapText="1"/>
    </xf>
    <xf numFmtId="0" fontId="16" fillId="0" borderId="67" xfId="1" applyBorder="1" applyAlignment="1">
      <alignment wrapText="1"/>
    </xf>
    <xf numFmtId="4" fontId="16" fillId="0" borderId="67" xfId="1" applyNumberFormat="1" applyBorder="1" applyAlignment="1">
      <alignment wrapText="1"/>
    </xf>
    <xf numFmtId="164" fontId="16" fillId="0" borderId="0" xfId="1" applyNumberFormat="1"/>
    <xf numFmtId="4" fontId="16" fillId="0" borderId="0" xfId="1" applyNumberFormat="1"/>
    <xf numFmtId="0" fontId="17" fillId="0" borderId="67" xfId="1" applyFont="1" applyBorder="1" applyAlignment="1">
      <alignment horizontal="right" wrapText="1"/>
    </xf>
    <xf numFmtId="0" fontId="16" fillId="0" borderId="67" xfId="1" applyBorder="1" applyAlignment="1">
      <alignment horizontal="right" wrapText="1"/>
    </xf>
    <xf numFmtId="4" fontId="17" fillId="0" borderId="67" xfId="1" applyNumberFormat="1" applyFont="1" applyBorder="1" applyAlignment="1">
      <alignment wrapText="1"/>
    </xf>
    <xf numFmtId="4" fontId="17" fillId="5" borderId="67" xfId="1" applyNumberFormat="1" applyFont="1" applyFill="1" applyBorder="1" applyAlignment="1">
      <alignment wrapText="1"/>
    </xf>
    <xf numFmtId="4" fontId="16" fillId="0" borderId="0" xfId="1" applyNumberFormat="1" applyAlignment="1">
      <alignment wrapText="1"/>
    </xf>
    <xf numFmtId="0" fontId="17" fillId="0" borderId="0" xfId="1" applyFont="1" applyAlignment="1">
      <alignment wrapText="1"/>
    </xf>
    <xf numFmtId="0" fontId="1" fillId="0" borderId="0" xfId="1" applyFont="1"/>
    <xf numFmtId="0" fontId="16" fillId="0" borderId="0" xfId="1"/>
    <xf numFmtId="0" fontId="16" fillId="5" borderId="0" xfId="1" applyFill="1"/>
    <xf numFmtId="0" fontId="18" fillId="0" borderId="0" xfId="1" applyFont="1"/>
    <xf numFmtId="0" fontId="17" fillId="5" borderId="0" xfId="1" applyFont="1" applyFill="1" applyAlignment="1">
      <alignment horizontal="center"/>
    </xf>
    <xf numFmtId="0" fontId="16" fillId="5" borderId="0" xfId="1" applyFill="1" applyAlignment="1">
      <alignment horizontal="center" vertical="center"/>
    </xf>
    <xf numFmtId="0" fontId="18" fillId="5" borderId="0" xfId="1" applyFont="1" applyFill="1"/>
    <xf numFmtId="0" fontId="21" fillId="0" borderId="0" xfId="1" applyFont="1"/>
    <xf numFmtId="0" fontId="16" fillId="0" borderId="0" xfId="1" applyAlignment="1">
      <alignment horizontal="center" vertical="center"/>
    </xf>
    <xf numFmtId="49" fontId="19" fillId="0" borderId="0" xfId="1" applyNumberFormat="1" applyFont="1" applyAlignment="1">
      <alignment horizontal="left" vertical="center" wrapText="1"/>
    </xf>
    <xf numFmtId="49" fontId="23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16" fillId="0" borderId="0" xfId="1" applyAlignment="1">
      <alignment vertical="center"/>
    </xf>
    <xf numFmtId="0" fontId="17" fillId="4" borderId="0" xfId="1" applyFont="1" applyFill="1" applyAlignment="1">
      <alignment vertical="center" wrapText="1"/>
    </xf>
    <xf numFmtId="0" fontId="26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8" fillId="0" borderId="0" xfId="3"/>
    <xf numFmtId="0" fontId="33" fillId="0" borderId="0" xfId="2" applyFont="1"/>
    <xf numFmtId="167" fontId="35" fillId="0" borderId="58" xfId="5" applyFont="1" applyBorder="1" applyAlignment="1" applyProtection="1">
      <alignment horizontal="center" vertical="center"/>
      <protection locked="0"/>
    </xf>
    <xf numFmtId="167" fontId="36" fillId="0" borderId="6" xfId="5" applyFont="1" applyBorder="1" applyAlignment="1" applyProtection="1">
      <alignment horizontal="center" vertical="center" wrapText="1"/>
      <protection locked="0"/>
    </xf>
    <xf numFmtId="167" fontId="36" fillId="0" borderId="7" xfId="5" applyFont="1" applyBorder="1" applyAlignment="1" applyProtection="1">
      <alignment horizontal="center" vertical="center" wrapText="1"/>
      <protection locked="0"/>
    </xf>
    <xf numFmtId="167" fontId="36" fillId="0" borderId="8" xfId="5" applyFont="1" applyBorder="1" applyAlignment="1" applyProtection="1">
      <alignment horizontal="center" vertical="center" wrapText="1"/>
      <protection locked="0"/>
    </xf>
    <xf numFmtId="167" fontId="37" fillId="0" borderId="39" xfId="5" applyFont="1" applyBorder="1" applyAlignment="1" applyProtection="1">
      <alignment horizontal="center" vertical="center"/>
      <protection locked="0"/>
    </xf>
    <xf numFmtId="0" fontId="37" fillId="0" borderId="35" xfId="3" applyFont="1" applyBorder="1" applyAlignment="1">
      <alignment horizontal="center"/>
    </xf>
    <xf numFmtId="0" fontId="37" fillId="0" borderId="68" xfId="3" applyFont="1" applyBorder="1" applyAlignment="1">
      <alignment horizontal="center"/>
    </xf>
    <xf numFmtId="0" fontId="40" fillId="7" borderId="37" xfId="2" applyFont="1" applyFill="1" applyBorder="1" applyAlignment="1">
      <alignment horizontal="left" vertical="center" wrapText="1" indent="2"/>
    </xf>
    <xf numFmtId="1" fontId="41" fillId="7" borderId="69" xfId="2" applyNumberFormat="1" applyFont="1" applyFill="1" applyBorder="1" applyAlignment="1">
      <alignment horizontal="center" vertical="center"/>
    </xf>
    <xf numFmtId="1" fontId="41" fillId="7" borderId="16" xfId="2" applyNumberFormat="1" applyFont="1" applyFill="1" applyBorder="1" applyAlignment="1">
      <alignment horizontal="center" vertical="center"/>
    </xf>
    <xf numFmtId="0" fontId="40" fillId="7" borderId="26" xfId="2" applyFont="1" applyFill="1" applyBorder="1"/>
    <xf numFmtId="167" fontId="36" fillId="0" borderId="38" xfId="5" applyFont="1" applyBorder="1" applyAlignment="1">
      <alignment vertical="center"/>
    </xf>
    <xf numFmtId="168" fontId="37" fillId="0" borderId="47" xfId="5" applyNumberFormat="1" applyFont="1" applyBorder="1" applyAlignment="1">
      <alignment horizontal="center" vertical="center"/>
    </xf>
    <xf numFmtId="168" fontId="37" fillId="0" borderId="61" xfId="5" applyNumberFormat="1" applyFont="1" applyBorder="1" applyAlignment="1">
      <alignment horizontal="center" vertical="center"/>
    </xf>
    <xf numFmtId="168" fontId="37" fillId="0" borderId="57" xfId="5" applyNumberFormat="1" applyFont="1" applyBorder="1" applyAlignment="1">
      <alignment horizontal="center" vertical="center"/>
    </xf>
    <xf numFmtId="167" fontId="35" fillId="0" borderId="38" xfId="5" applyFont="1" applyBorder="1" applyAlignment="1">
      <alignment vertical="center"/>
    </xf>
    <xf numFmtId="168" fontId="42" fillId="0" borderId="47" xfId="5" applyNumberFormat="1" applyFont="1" applyBorder="1" applyAlignment="1">
      <alignment horizontal="center" vertical="center"/>
    </xf>
    <xf numFmtId="168" fontId="42" fillId="0" borderId="61" xfId="5" applyNumberFormat="1" applyFont="1" applyBorder="1" applyAlignment="1">
      <alignment horizontal="center" vertical="center"/>
    </xf>
    <xf numFmtId="168" fontId="42" fillId="0" borderId="57" xfId="5" applyNumberFormat="1" applyFont="1" applyBorder="1" applyAlignment="1">
      <alignment horizontal="center" vertical="center"/>
    </xf>
    <xf numFmtId="167" fontId="43" fillId="0" borderId="38" xfId="5" applyFont="1" applyBorder="1" applyAlignment="1">
      <alignment vertical="center" wrapText="1"/>
    </xf>
    <xf numFmtId="0" fontId="40" fillId="7" borderId="21" xfId="2" applyFont="1" applyFill="1" applyBorder="1" applyAlignment="1">
      <alignment horizontal="left" vertical="center" wrapText="1" indent="2"/>
    </xf>
    <xf numFmtId="1" fontId="42" fillId="7" borderId="70" xfId="2" applyNumberFormat="1" applyFont="1" applyFill="1" applyBorder="1" applyAlignment="1">
      <alignment horizontal="center" vertical="center"/>
    </xf>
    <xf numFmtId="1" fontId="42" fillId="7" borderId="17" xfId="2" applyNumberFormat="1" applyFont="1" applyFill="1" applyBorder="1" applyAlignment="1">
      <alignment horizontal="center" vertical="center"/>
    </xf>
    <xf numFmtId="0" fontId="37" fillId="7" borderId="28" xfId="2" applyFont="1" applyFill="1" applyBorder="1"/>
    <xf numFmtId="167" fontId="35" fillId="5" borderId="71" xfId="5" applyFont="1" applyFill="1" applyBorder="1" applyAlignment="1">
      <alignment vertical="center"/>
    </xf>
    <xf numFmtId="0" fontId="8" fillId="5" borderId="0" xfId="3" applyFill="1"/>
    <xf numFmtId="167" fontId="35" fillId="5" borderId="38" xfId="5" applyFont="1" applyFill="1" applyBorder="1" applyAlignment="1">
      <alignment vertical="center"/>
    </xf>
    <xf numFmtId="168" fontId="42" fillId="0" borderId="72" xfId="5" applyNumberFormat="1" applyFont="1" applyBorder="1" applyAlignment="1">
      <alignment horizontal="center" vertical="center"/>
    </xf>
    <xf numFmtId="168" fontId="42" fillId="0" borderId="24" xfId="5" applyNumberFormat="1" applyFont="1" applyBorder="1" applyAlignment="1">
      <alignment horizontal="center" vertical="center"/>
    </xf>
    <xf numFmtId="168" fontId="42" fillId="0" borderId="22" xfId="5" applyNumberFormat="1" applyFont="1" applyBorder="1" applyAlignment="1">
      <alignment horizontal="center" vertical="center"/>
    </xf>
    <xf numFmtId="0" fontId="40" fillId="7" borderId="71" xfId="2" applyFont="1" applyFill="1" applyBorder="1" applyAlignment="1">
      <alignment horizontal="left" vertical="center" wrapText="1" indent="2"/>
    </xf>
    <xf numFmtId="1" fontId="42" fillId="7" borderId="73" xfId="2" applyNumberFormat="1" applyFont="1" applyFill="1" applyBorder="1" applyAlignment="1">
      <alignment horizontal="center" vertical="center"/>
    </xf>
    <xf numFmtId="1" fontId="42" fillId="7" borderId="23" xfId="2" applyNumberFormat="1" applyFont="1" applyFill="1" applyBorder="1" applyAlignment="1">
      <alignment horizontal="center" vertical="center"/>
    </xf>
    <xf numFmtId="0" fontId="37" fillId="7" borderId="34" xfId="2" applyFont="1" applyFill="1" applyBorder="1"/>
    <xf numFmtId="0" fontId="41" fillId="7" borderId="21" xfId="2" applyFont="1" applyFill="1" applyBorder="1" applyAlignment="1">
      <alignment horizontal="left" vertical="center" wrapText="1" indent="2"/>
    </xf>
    <xf numFmtId="0" fontId="42" fillId="7" borderId="28" xfId="2" applyFont="1" applyFill="1" applyBorder="1"/>
    <xf numFmtId="167" fontId="35" fillId="0" borderId="39" xfId="5" applyFont="1" applyBorder="1" applyAlignment="1">
      <alignment vertical="center"/>
    </xf>
    <xf numFmtId="168" fontId="42" fillId="0" borderId="13" xfId="5" applyNumberFormat="1" applyFont="1" applyBorder="1" applyAlignment="1">
      <alignment horizontal="center" vertical="center"/>
    </xf>
    <xf numFmtId="168" fontId="42" fillId="0" borderId="14" xfId="5" applyNumberFormat="1" applyFont="1" applyBorder="1" applyAlignment="1">
      <alignment horizontal="center" vertical="center"/>
    </xf>
    <xf numFmtId="168" fontId="42" fillId="0" borderId="15" xfId="5" applyNumberFormat="1" applyFont="1" applyBorder="1" applyAlignment="1">
      <alignment horizontal="center" vertical="center"/>
    </xf>
    <xf numFmtId="0" fontId="41" fillId="7" borderId="37" xfId="2" applyFont="1" applyFill="1" applyBorder="1" applyAlignment="1">
      <alignment horizontal="left" vertical="center" wrapText="1" indent="2"/>
    </xf>
    <xf numFmtId="1" fontId="42" fillId="7" borderId="69" xfId="2" applyNumberFormat="1" applyFont="1" applyFill="1" applyBorder="1" applyAlignment="1">
      <alignment horizontal="center" vertical="center"/>
    </xf>
    <xf numFmtId="1" fontId="42" fillId="7" borderId="16" xfId="2" applyNumberFormat="1" applyFont="1" applyFill="1" applyBorder="1" applyAlignment="1">
      <alignment horizontal="center" vertical="center"/>
    </xf>
    <xf numFmtId="0" fontId="42" fillId="7" borderId="26" xfId="2" applyFont="1" applyFill="1" applyBorder="1"/>
    <xf numFmtId="167" fontId="35" fillId="0" borderId="71" xfId="5" applyFont="1" applyBorder="1" applyAlignment="1">
      <alignment vertical="center"/>
    </xf>
    <xf numFmtId="1" fontId="37" fillId="7" borderId="73" xfId="2" applyNumberFormat="1" applyFont="1" applyFill="1" applyBorder="1" applyAlignment="1">
      <alignment horizontal="center" vertical="center"/>
    </xf>
    <xf numFmtId="1" fontId="37" fillId="7" borderId="23" xfId="2" applyNumberFormat="1" applyFont="1" applyFill="1" applyBorder="1" applyAlignment="1">
      <alignment horizontal="center" vertical="center"/>
    </xf>
    <xf numFmtId="0" fontId="41" fillId="7" borderId="71" xfId="2" applyFont="1" applyFill="1" applyBorder="1" applyAlignment="1">
      <alignment horizontal="left" vertical="center" wrapText="1" indent="2"/>
    </xf>
    <xf numFmtId="0" fontId="42" fillId="7" borderId="34" xfId="2" applyFont="1" applyFill="1" applyBorder="1"/>
    <xf numFmtId="168" fontId="37" fillId="0" borderId="72" xfId="5" applyNumberFormat="1" applyFont="1" applyBorder="1" applyAlignment="1">
      <alignment horizontal="center" vertical="center"/>
    </xf>
    <xf numFmtId="168" fontId="37" fillId="0" borderId="24" xfId="5" applyNumberFormat="1" applyFont="1" applyBorder="1" applyAlignment="1">
      <alignment horizontal="center" vertical="center"/>
    </xf>
    <xf numFmtId="1" fontId="37" fillId="7" borderId="70" xfId="2" applyNumberFormat="1" applyFont="1" applyFill="1" applyBorder="1" applyAlignment="1">
      <alignment horizontal="center" vertical="center"/>
    </xf>
    <xf numFmtId="1" fontId="37" fillId="7" borderId="17" xfId="2" applyNumberFormat="1" applyFont="1" applyFill="1" applyBorder="1" applyAlignment="1">
      <alignment horizontal="center" vertical="center"/>
    </xf>
    <xf numFmtId="1" fontId="37" fillId="7" borderId="69" xfId="2" applyNumberFormat="1" applyFont="1" applyFill="1" applyBorder="1" applyAlignment="1">
      <alignment horizontal="center" vertical="center"/>
    </xf>
    <xf numFmtId="1" fontId="37" fillId="7" borderId="16" xfId="2" applyNumberFormat="1" applyFont="1" applyFill="1" applyBorder="1" applyAlignment="1">
      <alignment horizontal="center" vertical="center"/>
    </xf>
    <xf numFmtId="0" fontId="37" fillId="7" borderId="26" xfId="2" applyFont="1" applyFill="1" applyBorder="1"/>
    <xf numFmtId="168" fontId="45" fillId="0" borderId="47" xfId="5" applyNumberFormat="1" applyFont="1" applyBorder="1" applyAlignment="1">
      <alignment horizontal="center" vertical="center"/>
    </xf>
    <xf numFmtId="167" fontId="35" fillId="0" borderId="71" xfId="5" applyFont="1" applyBorder="1" applyAlignment="1">
      <alignment vertical="center" wrapText="1"/>
    </xf>
    <xf numFmtId="1" fontId="40" fillId="7" borderId="70" xfId="2" applyNumberFormat="1" applyFont="1" applyFill="1" applyBorder="1" applyAlignment="1">
      <alignment horizontal="center" vertical="center"/>
    </xf>
    <xf numFmtId="1" fontId="40" fillId="7" borderId="17" xfId="2" applyNumberFormat="1" applyFont="1" applyFill="1" applyBorder="1" applyAlignment="1">
      <alignment horizontal="center" vertical="center"/>
    </xf>
    <xf numFmtId="0" fontId="40" fillId="7" borderId="28" xfId="2" applyFont="1" applyFill="1" applyBorder="1"/>
    <xf numFmtId="167" fontId="42" fillId="0" borderId="38" xfId="5" applyFont="1" applyBorder="1" applyAlignment="1">
      <alignment vertical="center"/>
    </xf>
    <xf numFmtId="167" fontId="42" fillId="0" borderId="71" xfId="5" applyFont="1" applyBorder="1" applyAlignment="1">
      <alignment vertical="center" wrapText="1"/>
    </xf>
    <xf numFmtId="1" fontId="40" fillId="7" borderId="73" xfId="2" applyNumberFormat="1" applyFont="1" applyFill="1" applyBorder="1" applyAlignment="1">
      <alignment horizontal="center" vertical="center"/>
    </xf>
    <xf numFmtId="1" fontId="40" fillId="7" borderId="23" xfId="2" applyNumberFormat="1" applyFont="1" applyFill="1" applyBorder="1" applyAlignment="1">
      <alignment horizontal="center" vertical="center"/>
    </xf>
    <xf numFmtId="0" fontId="40" fillId="7" borderId="34" xfId="2" applyFont="1" applyFill="1" applyBorder="1"/>
    <xf numFmtId="0" fontId="49" fillId="0" borderId="0" xfId="6" applyFont="1" applyAlignment="1">
      <alignment horizontal="left"/>
    </xf>
    <xf numFmtId="168" fontId="42" fillId="0" borderId="0" xfId="5" applyNumberFormat="1" applyFont="1" applyAlignment="1">
      <alignment horizontal="center" vertical="center"/>
    </xf>
    <xf numFmtId="0" fontId="33" fillId="0" borderId="0" xfId="6" applyFont="1" applyAlignment="1">
      <alignment horizontal="left"/>
    </xf>
    <xf numFmtId="0" fontId="52" fillId="0" borderId="0" xfId="6" applyFont="1"/>
    <xf numFmtId="0" fontId="52" fillId="0" borderId="0" xfId="6" applyFont="1" applyAlignment="1">
      <alignment horizontal="left" wrapText="1"/>
    </xf>
    <xf numFmtId="166" fontId="52" fillId="0" borderId="0" xfId="6" applyNumberFormat="1" applyFont="1"/>
    <xf numFmtId="168" fontId="37" fillId="4" borderId="61" xfId="5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/>
    </xf>
    <xf numFmtId="2" fontId="3" fillId="4" borderId="48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/>
    </xf>
    <xf numFmtId="4" fontId="1" fillId="4" borderId="49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/>
    </xf>
    <xf numFmtId="4" fontId="1" fillId="4" borderId="38" xfId="0" applyNumberFormat="1" applyFont="1" applyFill="1" applyBorder="1" applyAlignment="1">
      <alignment horizontal="center" vertical="center"/>
    </xf>
    <xf numFmtId="2" fontId="3" fillId="0" borderId="74" xfId="0" applyNumberFormat="1" applyFont="1" applyBorder="1" applyAlignment="1">
      <alignment vertical="center" wrapText="1"/>
    </xf>
    <xf numFmtId="0" fontId="3" fillId="0" borderId="75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horizontal="center" vertical="center"/>
    </xf>
    <xf numFmtId="4" fontId="1" fillId="0" borderId="75" xfId="0" applyNumberFormat="1" applyFont="1" applyBorder="1" applyAlignment="1">
      <alignment horizontal="center" vertical="center"/>
    </xf>
    <xf numFmtId="4" fontId="1" fillId="0" borderId="58" xfId="0" applyNumberFormat="1" applyFont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2" fontId="3" fillId="4" borderId="43" xfId="0" applyNumberFormat="1" applyFont="1" applyFill="1" applyBorder="1" applyAlignment="1">
      <alignment vertical="center" wrapText="1"/>
    </xf>
    <xf numFmtId="0" fontId="3" fillId="4" borderId="20" xfId="0" applyFont="1" applyFill="1" applyBorder="1" applyAlignment="1">
      <alignment horizontal="center" vertical="center"/>
    </xf>
    <xf numFmtId="4" fontId="1" fillId="4" borderId="31" xfId="0" applyNumberFormat="1" applyFont="1" applyFill="1" applyBorder="1" applyAlignment="1">
      <alignment horizontal="center" vertical="center"/>
    </xf>
    <xf numFmtId="4" fontId="1" fillId="4" borderId="20" xfId="0" applyNumberFormat="1" applyFont="1" applyFill="1" applyBorder="1" applyAlignment="1">
      <alignment horizontal="center" vertical="center"/>
    </xf>
    <xf numFmtId="4" fontId="1" fillId="4" borderId="25" xfId="0" applyNumberFormat="1" applyFon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3" fillId="2" borderId="0" xfId="0" applyNumberFormat="1" applyFont="1" applyFill="1" applyAlignment="1">
      <alignment horizontal="center" vertical="center"/>
    </xf>
    <xf numFmtId="164" fontId="9" fillId="8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6" fillId="3" borderId="12" xfId="0" applyNumberFormat="1" applyFont="1" applyFill="1" applyBorder="1" applyAlignment="1">
      <alignment horizontal="center" vertical="center"/>
    </xf>
    <xf numFmtId="164" fontId="26" fillId="3" borderId="57" xfId="0" applyNumberFormat="1" applyFont="1" applyFill="1" applyBorder="1" applyAlignment="1">
      <alignment horizontal="center" vertical="center"/>
    </xf>
    <xf numFmtId="4" fontId="57" fillId="0" borderId="24" xfId="0" applyNumberFormat="1" applyFont="1" applyBorder="1" applyAlignment="1">
      <alignment horizontal="center" vertical="center"/>
    </xf>
    <xf numFmtId="4" fontId="57" fillId="0" borderId="10" xfId="0" applyNumberFormat="1" applyFont="1" applyBorder="1" applyAlignment="1">
      <alignment horizontal="center" vertical="center"/>
    </xf>
    <xf numFmtId="4" fontId="57" fillId="0" borderId="55" xfId="0" applyNumberFormat="1" applyFont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58" fillId="0" borderId="0" xfId="0" applyFont="1" applyAlignment="1">
      <alignment vertical="top" wrapText="1"/>
    </xf>
    <xf numFmtId="0" fontId="58" fillId="0" borderId="0" xfId="0" applyFont="1" applyAlignment="1">
      <alignment wrapText="1"/>
    </xf>
    <xf numFmtId="164" fontId="26" fillId="3" borderId="24" xfId="0" applyNumberFormat="1" applyFont="1" applyFill="1" applyBorder="1" applyAlignment="1">
      <alignment horizontal="center" vertical="center"/>
    </xf>
    <xf numFmtId="164" fontId="26" fillId="3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" fillId="0" borderId="76" xfId="0" applyNumberFormat="1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4" fontId="1" fillId="0" borderId="77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37" xfId="0" applyNumberFormat="1" applyFont="1" applyBorder="1" applyAlignment="1">
      <alignment horizontal="center" vertical="center"/>
    </xf>
    <xf numFmtId="4" fontId="1" fillId="4" borderId="46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 wrapText="1"/>
    </xf>
    <xf numFmtId="4" fontId="59" fillId="0" borderId="25" xfId="0" applyNumberFormat="1" applyFont="1" applyBorder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53" fillId="8" borderId="0" xfId="0" applyFont="1" applyFill="1"/>
    <xf numFmtId="0" fontId="9" fillId="8" borderId="0" xfId="0" applyFont="1" applyFill="1"/>
    <xf numFmtId="4" fontId="1" fillId="0" borderId="27" xfId="0" applyNumberFormat="1" applyFont="1" applyBorder="1" applyAlignment="1">
      <alignment horizontal="center" vertical="center"/>
    </xf>
    <xf numFmtId="49" fontId="0" fillId="3" borderId="80" xfId="0" applyNumberFormat="1" applyFill="1" applyBorder="1" applyAlignment="1">
      <alignment horizontal="center" vertical="center"/>
    </xf>
    <xf numFmtId="0" fontId="0" fillId="3" borderId="81" xfId="0" applyFill="1" applyBorder="1" applyAlignment="1">
      <alignment horizontal="left" vertical="center" wrapText="1"/>
    </xf>
    <xf numFmtId="0" fontId="0" fillId="3" borderId="81" xfId="0" applyFill="1" applyBorder="1" applyAlignment="1">
      <alignment horizontal="center" vertical="center" wrapText="1"/>
    </xf>
    <xf numFmtId="164" fontId="0" fillId="3" borderId="79" xfId="0" applyNumberForma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2" fontId="3" fillId="0" borderId="40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0" borderId="21" xfId="0" applyNumberFormat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4" fontId="0" fillId="0" borderId="39" xfId="0" applyNumberFormat="1" applyFont="1" applyBorder="1" applyAlignment="1">
      <alignment horizontal="center" vertical="center"/>
    </xf>
    <xf numFmtId="4" fontId="0" fillId="0" borderId="21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wrapText="1"/>
    </xf>
    <xf numFmtId="0" fontId="6" fillId="0" borderId="18" xfId="0" applyFont="1" applyBorder="1" applyAlignment="1">
      <alignment horizontal="center" vertical="center" wrapText="1"/>
    </xf>
    <xf numFmtId="0" fontId="0" fillId="0" borderId="88" xfId="0" applyBorder="1"/>
    <xf numFmtId="4" fontId="1" fillId="4" borderId="92" xfId="0" applyNumberFormat="1" applyFont="1" applyFill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/>
    </xf>
    <xf numFmtId="4" fontId="1" fillId="0" borderId="69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1" fillId="0" borderId="92" xfId="0" applyNumberFormat="1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6" fillId="3" borderId="22" xfId="0" applyFont="1" applyFill="1" applyBorder="1" applyAlignment="1">
      <alignment horizontal="center"/>
    </xf>
    <xf numFmtId="0" fontId="66" fillId="3" borderId="9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0" fontId="66" fillId="0" borderId="13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 vertical="center"/>
    </xf>
    <xf numFmtId="0" fontId="66" fillId="0" borderId="6" xfId="0" applyFont="1" applyBorder="1" applyAlignment="1">
      <alignment horizontal="center" vertical="center"/>
    </xf>
    <xf numFmtId="0" fontId="66" fillId="5" borderId="9" xfId="0" applyFont="1" applyFill="1" applyBorder="1" applyAlignment="1">
      <alignment horizontal="center" vertical="center"/>
    </xf>
    <xf numFmtId="0" fontId="66" fillId="0" borderId="47" xfId="0" applyFont="1" applyBorder="1" applyAlignment="1">
      <alignment horizontal="center" vertical="center"/>
    </xf>
    <xf numFmtId="0" fontId="66" fillId="0" borderId="0" xfId="0" applyFont="1"/>
    <xf numFmtId="2" fontId="3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horizontal="left" vertical="center" wrapText="1"/>
    </xf>
    <xf numFmtId="0" fontId="66" fillId="0" borderId="22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4" fontId="26" fillId="0" borderId="25" xfId="0" applyNumberFormat="1" applyFont="1" applyBorder="1" applyAlignment="1">
      <alignment horizontal="center" vertical="center"/>
    </xf>
    <xf numFmtId="4" fontId="26" fillId="0" borderId="56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2" fontId="18" fillId="0" borderId="0" xfId="1" applyNumberFormat="1" applyFont="1"/>
    <xf numFmtId="166" fontId="16" fillId="0" borderId="0" xfId="1" applyNumberFormat="1" applyAlignment="1">
      <alignment horizontal="center" vertical="center"/>
    </xf>
    <xf numFmtId="0" fontId="59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68" fillId="0" borderId="0" xfId="0" applyFont="1"/>
    <xf numFmtId="0" fontId="61" fillId="8" borderId="20" xfId="0" applyFont="1" applyFill="1" applyBorder="1" applyAlignment="1">
      <alignment horizontal="center" vertical="center"/>
    </xf>
    <xf numFmtId="4" fontId="26" fillId="0" borderId="25" xfId="0" applyNumberFormat="1" applyFont="1" applyBorder="1" applyAlignment="1">
      <alignment horizontal="center" vertical="center" wrapText="1"/>
    </xf>
    <xf numFmtId="4" fontId="1" fillId="0" borderId="70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61" fillId="8" borderId="20" xfId="0" applyFont="1" applyFill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0" fontId="66" fillId="5" borderId="3" xfId="0" applyFont="1" applyFill="1" applyBorder="1" applyAlignment="1">
      <alignment horizontal="center" vertical="center"/>
    </xf>
    <xf numFmtId="4" fontId="63" fillId="4" borderId="0" xfId="0" applyNumberFormat="1" applyFont="1" applyFill="1" applyAlignment="1">
      <alignment horizontal="center" vertical="center" wrapText="1"/>
    </xf>
    <xf numFmtId="4" fontId="1" fillId="0" borderId="9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2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25" xfId="0" applyNumberFormat="1" applyFont="1" applyBorder="1" applyAlignment="1">
      <alignment horizontal="center" vertical="center" wrapText="1"/>
    </xf>
    <xf numFmtId="164" fontId="54" fillId="3" borderId="24" xfId="0" applyNumberFormat="1" applyFont="1" applyFill="1" applyBorder="1" applyAlignment="1">
      <alignment horizontal="center" vertical="center"/>
    </xf>
    <xf numFmtId="164" fontId="54" fillId="3" borderId="10" xfId="0" applyNumberFormat="1" applyFont="1" applyFill="1" applyBorder="1" applyAlignment="1">
      <alignment horizontal="center" vertical="center"/>
    </xf>
    <xf numFmtId="164" fontId="54" fillId="3" borderId="12" xfId="0" applyNumberFormat="1" applyFont="1" applyFill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/>
    </xf>
    <xf numFmtId="0" fontId="0" fillId="3" borderId="41" xfId="0" applyFill="1" applyBorder="1" applyAlignment="1">
      <alignment vertical="center" wrapText="1"/>
    </xf>
    <xf numFmtId="0" fontId="66" fillId="3" borderId="9" xfId="0" applyFont="1" applyFill="1" applyBorder="1" applyAlignment="1">
      <alignment horizontal="center" vertical="center"/>
    </xf>
    <xf numFmtId="0" fontId="0" fillId="3" borderId="40" xfId="0" applyFill="1" applyBorder="1" applyAlignment="1">
      <alignment vertical="center" wrapText="1"/>
    </xf>
    <xf numFmtId="0" fontId="66" fillId="3" borderId="22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 wrapText="1"/>
    </xf>
    <xf numFmtId="4" fontId="0" fillId="0" borderId="0" xfId="0" applyNumberFormat="1" applyAlignment="1">
      <alignment vertical="center"/>
    </xf>
    <xf numFmtId="0" fontId="66" fillId="0" borderId="11" xfId="0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0" fillId="0" borderId="88" xfId="0" applyBorder="1" applyAlignment="1">
      <alignment vertical="center"/>
    </xf>
    <xf numFmtId="2" fontId="3" fillId="0" borderId="0" xfId="0" applyNumberFormat="1" applyFont="1" applyAlignment="1">
      <alignment horizontal="left" vertical="center" wrapText="1"/>
    </xf>
    <xf numFmtId="2" fontId="63" fillId="0" borderId="45" xfId="0" applyNumberFormat="1" applyFont="1" applyBorder="1" applyAlignment="1">
      <alignment vertical="center" wrapText="1"/>
    </xf>
    <xf numFmtId="4" fontId="3" fillId="0" borderId="39" xfId="0" applyNumberFormat="1" applyFont="1" applyBorder="1" applyAlignment="1">
      <alignment horizontal="center" vertical="center"/>
    </xf>
    <xf numFmtId="4" fontId="0" fillId="0" borderId="25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2" fontId="63" fillId="0" borderId="43" xfId="0" applyNumberFormat="1" applyFont="1" applyBorder="1" applyAlignment="1">
      <alignment vertical="center" wrapText="1"/>
    </xf>
    <xf numFmtId="0" fontId="77" fillId="0" borderId="13" xfId="0" applyFont="1" applyBorder="1" applyAlignment="1">
      <alignment horizontal="center" vertical="center"/>
    </xf>
    <xf numFmtId="10" fontId="0" fillId="0" borderId="0" xfId="0" applyNumberFormat="1"/>
    <xf numFmtId="4" fontId="3" fillId="0" borderId="94" xfId="0" applyNumberFormat="1" applyFont="1" applyBorder="1" applyAlignment="1">
      <alignment horizontal="center" vertical="center"/>
    </xf>
    <xf numFmtId="4" fontId="0" fillId="0" borderId="94" xfId="0" applyNumberFormat="1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4" fontId="0" fillId="0" borderId="32" xfId="0" applyNumberFormat="1" applyFont="1" applyBorder="1" applyAlignment="1">
      <alignment horizontal="center" vertical="center"/>
    </xf>
    <xf numFmtId="4" fontId="1" fillId="4" borderId="94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78" fillId="0" borderId="0" xfId="0" applyFont="1" applyAlignment="1">
      <alignment vertical="center"/>
    </xf>
    <xf numFmtId="4" fontId="1" fillId="5" borderId="39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164" fontId="0" fillId="3" borderId="33" xfId="0" applyNumberFormat="1" applyFill="1" applyBorder="1" applyAlignment="1">
      <alignment horizontal="center" vertical="center"/>
    </xf>
    <xf numFmtId="164" fontId="0" fillId="3" borderId="34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left" vertical="center" wrapText="1"/>
    </xf>
    <xf numFmtId="0" fontId="0" fillId="3" borderId="61" xfId="0" applyFill="1" applyBorder="1" applyAlignment="1">
      <alignment horizontal="left" vertical="center" wrapText="1"/>
    </xf>
    <xf numFmtId="0" fontId="0" fillId="3" borderId="62" xfId="0" applyFill="1" applyBorder="1" applyAlignment="1">
      <alignment horizontal="left" vertical="center" wrapText="1"/>
    </xf>
    <xf numFmtId="4" fontId="0" fillId="3" borderId="58" xfId="0" applyNumberFormat="1" applyFill="1" applyBorder="1" applyAlignment="1">
      <alignment horizontal="center" vertical="center"/>
    </xf>
    <xf numFmtId="4" fontId="0" fillId="3" borderId="38" xfId="0" applyNumberFormat="1" applyFill="1" applyBorder="1" applyAlignment="1">
      <alignment horizontal="center" vertical="center"/>
    </xf>
    <xf numFmtId="4" fontId="0" fillId="3" borderId="59" xfId="0" applyNumberFormat="1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62" xfId="0" applyFill="1" applyBorder="1" applyAlignment="1">
      <alignment horizontal="center" vertical="center" wrapText="1"/>
    </xf>
    <xf numFmtId="164" fontId="0" fillId="3" borderId="63" xfId="0" applyNumberFormat="1" applyFill="1" applyBorder="1" applyAlignment="1">
      <alignment horizontal="center" vertical="center"/>
    </xf>
    <xf numFmtId="164" fontId="0" fillId="3" borderId="64" xfId="0" applyNumberFormat="1" applyFill="1" applyBorder="1" applyAlignment="1">
      <alignment horizontal="center" vertical="center"/>
    </xf>
    <xf numFmtId="164" fontId="0" fillId="3" borderId="49" xfId="0" applyNumberFormat="1" applyFill="1" applyBorder="1" applyAlignment="1">
      <alignment horizontal="center" vertical="center"/>
    </xf>
    <xf numFmtId="164" fontId="0" fillId="3" borderId="44" xfId="0" applyNumberFormat="1" applyFill="1" applyBorder="1" applyAlignment="1">
      <alignment horizontal="center" vertical="center"/>
    </xf>
    <xf numFmtId="164" fontId="0" fillId="3" borderId="65" xfId="0" applyNumberFormat="1" applyFill="1" applyBorder="1" applyAlignment="1">
      <alignment horizontal="center" vertical="center"/>
    </xf>
    <xf numFmtId="164" fontId="0" fillId="3" borderId="66" xfId="0" applyNumberFormat="1" applyFill="1" applyBorder="1" applyAlignment="1">
      <alignment horizontal="center" vertical="center"/>
    </xf>
    <xf numFmtId="164" fontId="0" fillId="3" borderId="27" xfId="0" applyNumberFormat="1" applyFill="1" applyBorder="1" applyAlignment="1">
      <alignment horizontal="center" vertical="center"/>
    </xf>
    <xf numFmtId="164" fontId="0" fillId="3" borderId="28" xfId="0" applyNumberFormat="1" applyFill="1" applyBorder="1" applyAlignment="1">
      <alignment horizontal="center" vertical="center"/>
    </xf>
    <xf numFmtId="164" fontId="0" fillId="3" borderId="29" xfId="0" applyNumberFormat="1" applyFill="1" applyBorder="1" applyAlignment="1">
      <alignment horizontal="center" vertical="center"/>
    </xf>
    <xf numFmtId="164" fontId="0" fillId="3" borderId="30" xfId="0" applyNumberFormat="1" applyFill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4" fontId="0" fillId="0" borderId="34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4" fontId="0" fillId="0" borderId="53" xfId="0" applyNumberFormat="1" applyBorder="1" applyAlignment="1">
      <alignment horizontal="center" vertical="center"/>
    </xf>
    <xf numFmtId="4" fontId="0" fillId="0" borderId="54" xfId="0" applyNumberFormat="1" applyBorder="1" applyAlignment="1">
      <alignment horizontal="center" vertical="center"/>
    </xf>
    <xf numFmtId="4" fontId="0" fillId="0" borderId="29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2" fontId="3" fillId="0" borderId="95" xfId="0" applyNumberFormat="1" applyFont="1" applyBorder="1" applyAlignment="1">
      <alignment horizontal="center" vertical="center" wrapText="1"/>
    </xf>
    <xf numFmtId="2" fontId="3" fillId="0" borderId="8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left" vertical="center" wrapText="1"/>
    </xf>
    <xf numFmtId="4" fontId="63" fillId="0" borderId="33" xfId="0" applyNumberFormat="1" applyFont="1" applyBorder="1" applyAlignment="1">
      <alignment horizontal="center" vertical="center"/>
    </xf>
    <xf numFmtId="4" fontId="63" fillId="0" borderId="34" xfId="0" applyNumberFormat="1" applyFont="1" applyBorder="1" applyAlignment="1">
      <alignment horizontal="center" vertical="center"/>
    </xf>
    <xf numFmtId="4" fontId="1" fillId="0" borderId="93" xfId="0" applyNumberFormat="1" applyFont="1" applyBorder="1" applyAlignment="1">
      <alignment horizontal="center" vertical="center"/>
    </xf>
    <xf numFmtId="4" fontId="1" fillId="0" borderId="85" xfId="0" applyNumberFormat="1" applyFont="1" applyBorder="1" applyAlignment="1">
      <alignment horizontal="center" vertical="center"/>
    </xf>
    <xf numFmtId="4" fontId="63" fillId="0" borderId="27" xfId="0" applyNumberFormat="1" applyFont="1" applyBorder="1" applyAlignment="1">
      <alignment horizontal="center" vertical="center"/>
    </xf>
    <xf numFmtId="4" fontId="63" fillId="0" borderId="2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164" fontId="0" fillId="3" borderId="58" xfId="0" applyNumberFormat="1" applyFill="1" applyBorder="1" applyAlignment="1">
      <alignment horizontal="center" vertical="center"/>
    </xf>
    <xf numFmtId="164" fontId="0" fillId="3" borderId="38" xfId="0" applyNumberFormat="1" applyFill="1" applyBorder="1" applyAlignment="1">
      <alignment horizontal="center" vertical="center"/>
    </xf>
    <xf numFmtId="164" fontId="0" fillId="3" borderId="59" xfId="0" applyNumberFormat="1" applyFill="1" applyBorder="1" applyAlignment="1">
      <alignment horizontal="center" vertical="center"/>
    </xf>
    <xf numFmtId="0" fontId="0" fillId="3" borderId="6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65" xfId="0" applyFill="1" applyBorder="1" applyAlignment="1">
      <alignment horizontal="center" vertical="center" wrapText="1"/>
    </xf>
    <xf numFmtId="0" fontId="61" fillId="8" borderId="56" xfId="0" applyFont="1" applyFill="1" applyBorder="1" applyAlignment="1">
      <alignment horizontal="center" vertical="center" wrapText="1"/>
    </xf>
    <xf numFmtId="0" fontId="61" fillId="8" borderId="20" xfId="0" applyFont="1" applyFill="1" applyBorder="1" applyAlignment="1">
      <alignment horizontal="center" vertical="center" wrapText="1"/>
    </xf>
    <xf numFmtId="0" fontId="61" fillId="8" borderId="32" xfId="0" applyFont="1" applyFill="1" applyBorder="1" applyAlignment="1">
      <alignment horizontal="center" vertical="center" wrapText="1"/>
    </xf>
    <xf numFmtId="0" fontId="71" fillId="8" borderId="56" xfId="0" applyFont="1" applyFill="1" applyBorder="1" applyAlignment="1">
      <alignment horizontal="center" vertical="center" wrapText="1"/>
    </xf>
    <xf numFmtId="0" fontId="71" fillId="8" borderId="20" xfId="0" applyFont="1" applyFill="1" applyBorder="1" applyAlignment="1">
      <alignment horizontal="center" vertical="center" wrapText="1"/>
    </xf>
    <xf numFmtId="0" fontId="71" fillId="8" borderId="32" xfId="0" applyFont="1" applyFill="1" applyBorder="1" applyAlignment="1">
      <alignment horizontal="center" vertical="center" wrapText="1"/>
    </xf>
    <xf numFmtId="2" fontId="3" fillId="0" borderId="46" xfId="0" applyNumberFormat="1" applyFont="1" applyBorder="1" applyAlignment="1">
      <alignment horizontal="center" vertical="center" wrapText="1"/>
    </xf>
    <xf numFmtId="2" fontId="3" fillId="0" borderId="94" xfId="0" applyNumberFormat="1" applyFont="1" applyBorder="1" applyAlignment="1">
      <alignment horizontal="center" vertical="center" wrapText="1"/>
    </xf>
    <xf numFmtId="2" fontId="3" fillId="0" borderId="89" xfId="0" applyNumberFormat="1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4" fontId="1" fillId="0" borderId="91" xfId="0" applyNumberFormat="1" applyFont="1" applyBorder="1" applyAlignment="1">
      <alignment horizontal="center" vertical="center"/>
    </xf>
    <xf numFmtId="4" fontId="1" fillId="0" borderId="70" xfId="0" applyNumberFormat="1" applyFont="1" applyBorder="1" applyAlignment="1">
      <alignment horizontal="center" vertical="center"/>
    </xf>
    <xf numFmtId="4" fontId="0" fillId="0" borderId="86" xfId="0" applyNumberFormat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/>
    </xf>
    <xf numFmtId="0" fontId="53" fillId="8" borderId="20" xfId="0" applyFont="1" applyFill="1" applyBorder="1" applyAlignment="1">
      <alignment horizontal="center" vertical="center"/>
    </xf>
    <xf numFmtId="0" fontId="53" fillId="8" borderId="32" xfId="0" applyFont="1" applyFill="1" applyBorder="1" applyAlignment="1">
      <alignment horizontal="center" vertical="center"/>
    </xf>
    <xf numFmtId="164" fontId="0" fillId="3" borderId="69" xfId="0" applyNumberFormat="1" applyFill="1" applyBorder="1" applyAlignment="1">
      <alignment horizontal="center" vertical="center"/>
    </xf>
    <xf numFmtId="164" fontId="0" fillId="3" borderId="26" xfId="0" applyNumberFormat="1" applyFill="1" applyBorder="1" applyAlignment="1">
      <alignment horizontal="center" vertical="center"/>
    </xf>
    <xf numFmtId="164" fontId="0" fillId="3" borderId="70" xfId="0" applyNumberFormat="1" applyFill="1" applyBorder="1" applyAlignment="1">
      <alignment horizontal="center" vertical="center"/>
    </xf>
    <xf numFmtId="164" fontId="0" fillId="3" borderId="86" xfId="0" applyNumberFormat="1" applyFill="1" applyBorder="1" applyAlignment="1">
      <alignment horizontal="center" vertical="center"/>
    </xf>
    <xf numFmtId="164" fontId="0" fillId="3" borderId="90" xfId="0" applyNumberFormat="1" applyFill="1" applyBorder="1" applyAlignment="1">
      <alignment horizontal="center" vertical="center"/>
    </xf>
    <xf numFmtId="164" fontId="0" fillId="3" borderId="78" xfId="0" applyNumberFormat="1" applyFill="1" applyBorder="1" applyAlignment="1">
      <alignment horizontal="center" vertical="center"/>
    </xf>
    <xf numFmtId="164" fontId="0" fillId="3" borderId="87" xfId="0" applyNumberFormat="1" applyFill="1" applyBorder="1" applyAlignment="1">
      <alignment horizontal="center" vertical="center"/>
    </xf>
    <xf numFmtId="0" fontId="53" fillId="8" borderId="56" xfId="0" applyFont="1" applyFill="1" applyBorder="1" applyAlignment="1">
      <alignment horizontal="center" vertical="center" wrapText="1"/>
    </xf>
    <xf numFmtId="0" fontId="53" fillId="8" borderId="20" xfId="0" applyFont="1" applyFill="1" applyBorder="1" applyAlignment="1">
      <alignment horizontal="center" vertical="center" wrapText="1"/>
    </xf>
    <xf numFmtId="0" fontId="53" fillId="8" borderId="32" xfId="0" applyFont="1" applyFill="1" applyBorder="1" applyAlignment="1">
      <alignment horizontal="center" vertical="center" wrapText="1"/>
    </xf>
    <xf numFmtId="0" fontId="1" fillId="0" borderId="78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33" xfId="0" applyNumberFormat="1" applyFont="1" applyBorder="1" applyAlignment="1">
      <alignment horizontal="center" vertical="center"/>
    </xf>
    <xf numFmtId="4" fontId="1" fillId="0" borderId="34" xfId="0" applyNumberFormat="1" applyFont="1" applyBorder="1" applyAlignment="1">
      <alignment horizontal="center" vertical="center"/>
    </xf>
    <xf numFmtId="164" fontId="0" fillId="3" borderId="82" xfId="0" applyNumberFormat="1" applyFill="1" applyBorder="1" applyAlignment="1">
      <alignment horizontal="center" vertical="center"/>
    </xf>
    <xf numFmtId="164" fontId="0" fillId="3" borderId="83" xfId="0" applyNumberForma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4" fontId="0" fillId="3" borderId="63" xfId="0" applyNumberFormat="1" applyFill="1" applyBorder="1" applyAlignment="1">
      <alignment horizontal="center" vertical="center"/>
    </xf>
    <xf numFmtId="4" fontId="0" fillId="3" borderId="64" xfId="0" applyNumberFormat="1" applyFill="1" applyBorder="1" applyAlignment="1">
      <alignment horizontal="center" vertical="center"/>
    </xf>
    <xf numFmtId="4" fontId="0" fillId="3" borderId="49" xfId="0" applyNumberFormat="1" applyFill="1" applyBorder="1" applyAlignment="1">
      <alignment horizontal="center" vertical="center"/>
    </xf>
    <xf numFmtId="4" fontId="0" fillId="3" borderId="44" xfId="0" applyNumberFormat="1" applyFill="1" applyBorder="1" applyAlignment="1">
      <alignment horizontal="center" vertical="center"/>
    </xf>
    <xf numFmtId="4" fontId="0" fillId="3" borderId="65" xfId="0" applyNumberFormat="1" applyFill="1" applyBorder="1" applyAlignment="1">
      <alignment horizontal="center" vertical="center"/>
    </xf>
    <xf numFmtId="4" fontId="0" fillId="3" borderId="66" xfId="0" applyNumberFormat="1" applyFill="1" applyBorder="1" applyAlignment="1">
      <alignment horizontal="center" vertical="center"/>
    </xf>
    <xf numFmtId="4" fontId="54" fillId="0" borderId="33" xfId="0" applyNumberFormat="1" applyFont="1" applyBorder="1" applyAlignment="1">
      <alignment horizontal="center" vertical="center"/>
    </xf>
    <xf numFmtId="4" fontId="54" fillId="0" borderId="34" xfId="0" applyNumberFormat="1" applyFont="1" applyBorder="1" applyAlignment="1">
      <alignment horizontal="center" vertical="center"/>
    </xf>
    <xf numFmtId="4" fontId="54" fillId="0" borderId="27" xfId="0" applyNumberFormat="1" applyFont="1" applyBorder="1" applyAlignment="1">
      <alignment horizontal="center" vertical="center"/>
    </xf>
    <xf numFmtId="4" fontId="54" fillId="0" borderId="28" xfId="0" applyNumberFormat="1" applyFont="1" applyBorder="1" applyAlignment="1">
      <alignment horizontal="center" vertical="center"/>
    </xf>
    <xf numFmtId="4" fontId="0" fillId="3" borderId="33" xfId="0" applyNumberFormat="1" applyFill="1" applyBorder="1" applyAlignment="1">
      <alignment horizontal="center" vertical="center"/>
    </xf>
    <xf numFmtId="4" fontId="0" fillId="3" borderId="34" xfId="0" applyNumberFormat="1" applyFill="1" applyBorder="1" applyAlignment="1">
      <alignment horizontal="center" vertical="center"/>
    </xf>
    <xf numFmtId="4" fontId="0" fillId="3" borderId="27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164" fontId="26" fillId="3" borderId="27" xfId="0" applyNumberFormat="1" applyFont="1" applyFill="1" applyBorder="1" applyAlignment="1">
      <alignment horizontal="center" vertical="center"/>
    </xf>
    <xf numFmtId="164" fontId="26" fillId="3" borderId="28" xfId="0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6" fillId="0" borderId="0" xfId="1" applyAlignment="1">
      <alignment horizontal="left" wrapText="1"/>
    </xf>
    <xf numFmtId="0" fontId="30" fillId="7" borderId="0" xfId="2" applyFont="1" applyFill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2" fillId="0" borderId="19" xfId="4" applyFont="1" applyBorder="1" applyAlignment="1">
      <alignment horizontal="right" indent="1"/>
    </xf>
    <xf numFmtId="0" fontId="39" fillId="0" borderId="68" xfId="3" applyFont="1" applyBorder="1" applyAlignment="1">
      <alignment horizontal="center"/>
    </xf>
    <xf numFmtId="0" fontId="39" fillId="0" borderId="36" xfId="3" applyFont="1" applyBorder="1" applyAlignment="1">
      <alignment horizontal="center"/>
    </xf>
    <xf numFmtId="0" fontId="49" fillId="0" borderId="0" xfId="6" applyFont="1" applyAlignment="1">
      <alignment horizontal="left" wrapText="1"/>
    </xf>
    <xf numFmtId="0" fontId="52" fillId="0" borderId="0" xfId="6" applyFont="1" applyAlignment="1">
      <alignment horizontal="left" wrapText="1"/>
    </xf>
  </cellXfs>
  <cellStyles count="7">
    <cellStyle name="Обычный" xfId="0" builtinId="0"/>
    <cellStyle name="Обычный 100" xfId="2" xr:uid="{0350962E-FA96-4AD5-8741-EC6AA3B95E96}"/>
    <cellStyle name="Обычный 140 3 2" xfId="3" xr:uid="{F1777AFB-2D79-471C-A80F-142EECC05854}"/>
    <cellStyle name="Обычный 140 3 2 2" xfId="6" xr:uid="{07FED3FC-D651-4855-9B9A-AE4E8435E812}"/>
    <cellStyle name="Обычный 2 2" xfId="1" xr:uid="{E725D61D-EBE8-47A5-B550-4FE5CBEE5387}"/>
    <cellStyle name="Обычный 2 3" xfId="4" xr:uid="{C717881C-3E43-4E0C-A5F5-205AB664DBE6}"/>
    <cellStyle name="Обычный 25 2" xfId="5" xr:uid="{E84BE0EF-CE88-474D-90A2-CC95B7FCD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22412</xdr:colOff>
      <xdr:row>0</xdr:row>
      <xdr:rowOff>22412</xdr:rowOff>
    </xdr:from>
    <xdr:to>
      <xdr:col>5</xdr:col>
      <xdr:colOff>677342</xdr:colOff>
      <xdr:row>1</xdr:row>
      <xdr:rowOff>500451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AB1CCB3E-7024-45A8-8DAD-BC135F9B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6562" y="22412"/>
          <a:ext cx="654930" cy="668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55;&#1086;&#1103;&#1089;&#1085;&#1080;&#1090;&#1077;&#1083;&#1100;&#1085;&#1099;&#1077;%20&#1079;&#1072;&#1087;&#1080;&#1089;&#1082;&#1080;\4%20&#1072;&#1074;&#1075;&#1091;&#1089;&#1090;&#1072;%202006\Documents%20and%20Settings\Ustinov\Local%20Settings\Temporary%20Internet%20Files\OLK2B0\&#1054;&#1090;&#1087;&#1088;&#1072;&#1074;&#1083;&#1077;&#1085;&#1086;\brp\&#1043;&#1059;&#1060;&#1050;\GUF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povev\&#1073;&#1072;&#1079;&#1072;%20&#1076;&#1072;&#1085;&#1085;&#1099;&#1093;\&#1044;&#1086;&#1093;&#1086;&#1076;&#1099;\&#1053;&#1072;&#1083;&#1086;&#1075;&#1086;&#1074;&#1099;&#1077;%20&#1076;&#1086;&#1093;&#1086;&#1076;&#1099;\&#1053;&#1044;&#1057;\&#1054;&#1090;&#1087;&#1088;&#1072;&#1074;&#1083;&#1077;&#1085;&#1086;\27_03_06\Documents%20and%20Settings\&#1040;&#1076;&#1084;&#1080;&#1085;&#1080;&#1089;&#1090;&#1088;&#1072;&#1090;&#1086;&#1088;\&#1052;&#1086;&#1080;%20&#1076;&#1086;&#1082;&#1091;&#1084;&#1077;&#1085;&#1090;&#1099;\&#1043;.&#1052;.&#1043;&#1088;&#1077;&#1073;&#1077;&#1085;&#1100;\&#1044;&#1086;&#1093;&#1086;&#1076;&#1099;\&#1092;&#1077;&#1074;&#1088;06\DOCUME~1\Admin\LOCALS~1\Temp\OutPutReports\Media\TablesYearToYe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shinaon\Documents%20and%20Settings\Ievleva\Local%20Settings\Temporary%20Internet%20Files\Content.Outlook\XTAUZLZV\&#1072;&#1074;&#1075;-&#1089;&#1077;&#1085;&#1090;2011\&#1089;&#1088;&#1072;&#1074;&#1085;&#1077;&#1085;&#1080;&#1077;%20&#1080;&#1085;&#1074;&#1077;&#1089;&#1090;&#1087;&#1083;&#1072;&#1085;&#1086;&#1074;%20&#1082;&#1086;&#1084;&#1087;&#1072;&#1085;&#1080;&#1081;%20&#1058;&#1069;&#1050;&#1072;_10&#1072;&#1074;&#1075;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dep03n\&#1057;&#1077;&#1090;&#1077;&#1074;&#1086;&#1081;%20&#1076;&#1080;&#1089;&#1082;%20Z\portachev\&#1057;&#1090;&#1072;&#1090;&#1080;&#1089;&#1090;&#1080;&#1082;&#1072;%20&#1094;&#1077;&#1085;%20&#1080;%20&#1092;&#1080;&#1085;&#1072;&#1085;&#1089;&#1086;&#1074;\&#1052;&#1086;&#1080;%20&#1076;&#1086;&#1082;&#1091;&#1084;&#1077;&#1085;&#1090;&#1099;\&#1052;&#1054;&#1041;\06-03-06\Var2.7%20(version%201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rtachev\Analitzapiska\Documents%20and%20Settings\Nahimovskay\Local%20Settings\Temporary%20Internet%20Files\OLK35\&#1050;&#1086;&#1087;&#1080;&#1103;%20V2.200721&#1072;&#1087;&#1088;&#1077;&#1083;&#1103;&#1091;&#1090;&#1086;&#1095;&#108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Д"/>
      <sheetName val="ФедД"/>
      <sheetName val="РегД"/>
      <sheetName val="КонР"/>
      <sheetName val="ФедР"/>
      <sheetName val="РегР"/>
      <sheetName val="ФедИ"/>
      <sheetName val="РегИ"/>
      <sheetName val="Гр5(о)"/>
      <sheetName val="Control"/>
      <sheetName val="МЭР"/>
      <sheetName val="vec"/>
      <sheetName val="1999"/>
      <sheetName val="БДДС month _ф_"/>
      <sheetName val="БДДС month _п_"/>
      <sheetName val="Final_m"/>
      <sheetName val="Charts"/>
      <sheetName val="Переменные"/>
      <sheetName val="Огл. Графиков"/>
      <sheetName val="рабочий"/>
      <sheetName val="Текущие цены"/>
      <sheetName val="окрас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правление"/>
      <sheetName val="Итоги1"/>
      <sheetName val="Структура1"/>
      <sheetName val="Доходы (исполнение)1"/>
      <sheetName val="Расходы (исполнение)1"/>
      <sheetName val="Доходы (динамика)1"/>
      <sheetName val="Расходы (динамика)1"/>
      <sheetName val="Источники1"/>
      <sheetName val="Диаграммы1"/>
      <sheetName val="Итоги2"/>
      <sheetName val="Структура2"/>
      <sheetName val="Доходы (исполнение)2"/>
      <sheetName val="Расходы (исполнение)2"/>
      <sheetName val="Доходы (динамика)2"/>
      <sheetName val="Расходы (динамика)2"/>
      <sheetName val="Источники2"/>
      <sheetName val="Диаграммы2"/>
      <sheetName val="Итоги3"/>
      <sheetName val="Структура3"/>
      <sheetName val="Доходы (динамика)3"/>
      <sheetName val="Расходы (динамика)3"/>
      <sheetName val="Источники3"/>
      <sheetName val="ПРОГНОЗ_1"/>
      <sheetName val="ФедД"/>
      <sheetName val="Гр5(о)"/>
      <sheetName val="vec"/>
      <sheetName val="0_33"/>
      <sheetName val="TablesYearToYear"/>
      <sheetName val="1999"/>
      <sheetName val="ипц2002-2004"/>
    </sheetNames>
    <sheetDataSet>
      <sheetData sheetId="0" refreshError="1">
        <row r="17">
          <cell r="AE17">
            <v>8</v>
          </cell>
          <cell r="AF17">
            <v>7</v>
          </cell>
        </row>
        <row r="20">
          <cell r="AE20" t="str">
            <v>10 месяцев 2003 года</v>
          </cell>
          <cell r="AF20" t="str">
            <v>10 месяцев 2002 года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ЭК было-стало"/>
      <sheetName val="сравнение инвестпланов компаний"/>
      <sheetName val="VAT returns"/>
    </sheetNames>
    <definedNames>
      <definedName name="short" refersTo="#ССЫЛКА!"/>
      <definedName name="суда" refersTo="#ССЫЛКА!"/>
      <definedName name="ыяпр" refersTo="#ССЫЛКА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кущие цены"/>
      <sheetName val="рабочий"/>
      <sheetName val="окраска"/>
      <sheetName val="Огл. Графиков"/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Оглавление"/>
      <sheetName val="Печать Выпусков"/>
      <sheetName val="Печать ИОК"/>
      <sheetName val="Печать фондов"/>
      <sheetName val="Баланс ОФ"/>
      <sheetName val="Dealing_other bonds"/>
      <sheetName val="Проект"/>
      <sheetName val="Constants"/>
      <sheetName val="NIUs"/>
      <sheetName val="КлассНТМК"/>
      <sheetName val="Пр2"/>
      <sheetName val="Лист3"/>
      <sheetName val="Лист6"/>
      <sheetName val="факт возвр"/>
      <sheetName val="Лист20"/>
      <sheetName val="Лист8"/>
      <sheetName val="Лист16"/>
      <sheetName val="2010"/>
      <sheetName val="Лист17"/>
      <sheetName val="2010 (4)"/>
      <sheetName val="Лист18"/>
      <sheetName val="2010 (3)"/>
      <sheetName val="Лист14"/>
      <sheetName val="Лист19"/>
      <sheetName val="2010 (2)"/>
      <sheetName val="2011"/>
      <sheetName val="2012"/>
      <sheetName val="Лист22"/>
      <sheetName val="Лист21"/>
      <sheetName val="Лист23"/>
      <sheetName val="Лист25"/>
      <sheetName val="Лист24"/>
      <sheetName val="Лист26"/>
      <sheetName val="2002(v2)"/>
      <sheetName val="Гр5(о)"/>
      <sheetName val="Main"/>
      <sheetName val="ПРОГНОЗ_1"/>
      <sheetName val="rozvaha"/>
      <sheetName val="основн информ"/>
      <sheetName val="Переменные"/>
    </sheetNames>
    <sheetDataSet>
      <sheetData sheetId="0" refreshError="1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1" refreshError="1">
        <row r="121">
          <cell r="CI121">
            <v>1199.7543236906586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X305">
            <v>0.47882842736883524</v>
          </cell>
        </row>
        <row r="306">
          <cell r="X306">
            <v>1.990680034736596</v>
          </cell>
        </row>
        <row r="307">
          <cell r="X307">
            <v>7.8008447341311413</v>
          </cell>
        </row>
        <row r="308">
          <cell r="X308">
            <v>1.9709498469205404</v>
          </cell>
        </row>
        <row r="309">
          <cell r="X309">
            <v>0.27256702917581299</v>
          </cell>
        </row>
        <row r="310">
          <cell r="X310">
            <v>2.5559084912343706</v>
          </cell>
        </row>
        <row r="311">
          <cell r="X311">
            <v>3.0352589215630927</v>
          </cell>
        </row>
        <row r="312">
          <cell r="X312">
            <v>2.9631747768844696</v>
          </cell>
        </row>
        <row r="313">
          <cell r="X313">
            <v>3.0501431141168038</v>
          </cell>
        </row>
        <row r="314">
          <cell r="X314">
            <v>3.1724395660395981</v>
          </cell>
        </row>
        <row r="315">
          <cell r="X315">
            <v>4.2942158563236035</v>
          </cell>
        </row>
        <row r="316">
          <cell r="X316">
            <v>6.0602414813269059</v>
          </cell>
        </row>
        <row r="317">
          <cell r="X317">
            <v>4.5218919927725576</v>
          </cell>
        </row>
        <row r="318">
          <cell r="X318">
            <v>3.4680879074882145</v>
          </cell>
        </row>
        <row r="319">
          <cell r="X319">
            <v>5.824093989287964</v>
          </cell>
        </row>
        <row r="320">
          <cell r="X320">
            <v>2.6219865812864538</v>
          </cell>
        </row>
        <row r="321">
          <cell r="X321">
            <v>0.49666330878179943</v>
          </cell>
        </row>
        <row r="322">
          <cell r="X322">
            <v>32.61121292988657</v>
          </cell>
        </row>
        <row r="323">
          <cell r="X323">
            <v>7.2272592008065351</v>
          </cell>
        </row>
        <row r="324">
          <cell r="X324">
            <v>2.9415488738358175</v>
          </cell>
        </row>
        <row r="325">
          <cell r="X325">
            <v>0.74307864342814867</v>
          </cell>
        </row>
        <row r="326">
          <cell r="X326">
            <v>8.8850444441020642</v>
          </cell>
        </row>
        <row r="327">
          <cell r="X327">
            <v>2.4696259927089108</v>
          </cell>
        </row>
        <row r="335">
          <cell r="X335">
            <v>0.48840499591621195</v>
          </cell>
        </row>
        <row r="336">
          <cell r="X336">
            <v>2.0304936354313279</v>
          </cell>
        </row>
        <row r="337">
          <cell r="X337">
            <v>7.8008447341311413</v>
          </cell>
        </row>
        <row r="338">
          <cell r="X338">
            <v>2.0103688438589513</v>
          </cell>
        </row>
        <row r="339">
          <cell r="X339">
            <v>0.27801836975932925</v>
          </cell>
        </row>
        <row r="340">
          <cell r="X340">
            <v>2.607026661059058</v>
          </cell>
        </row>
        <row r="341">
          <cell r="X341">
            <v>3.0959640999943545</v>
          </cell>
        </row>
        <row r="342">
          <cell r="X342">
            <v>3.0224382724221592</v>
          </cell>
        </row>
        <row r="343">
          <cell r="X343">
            <v>3.1111459763991398</v>
          </cell>
        </row>
        <row r="344">
          <cell r="X344">
            <v>3.2358883573603903</v>
          </cell>
        </row>
        <row r="345">
          <cell r="X345">
            <v>4.3801001734500753</v>
          </cell>
        </row>
        <row r="346">
          <cell r="X346">
            <v>6.1814463109534445</v>
          </cell>
        </row>
        <row r="347">
          <cell r="X347">
            <v>4.6123298326280091</v>
          </cell>
        </row>
        <row r="348">
          <cell r="X348">
            <v>3.537449665637979</v>
          </cell>
        </row>
        <row r="349">
          <cell r="X349">
            <v>5.9405758690737231</v>
          </cell>
        </row>
        <row r="350">
          <cell r="X350">
            <v>2.6744263129121828</v>
          </cell>
        </row>
        <row r="351">
          <cell r="X351">
            <v>0.50659657495743537</v>
          </cell>
        </row>
        <row r="352">
          <cell r="X352">
            <v>33.263437188484303</v>
          </cell>
        </row>
        <row r="353">
          <cell r="X353">
            <v>7.3718043848226662</v>
          </cell>
        </row>
        <row r="354">
          <cell r="X354">
            <v>3.0003798513125339</v>
          </cell>
        </row>
        <row r="355">
          <cell r="X355">
            <v>0.7579402162967116</v>
          </cell>
        </row>
        <row r="356">
          <cell r="X356">
            <v>9.0627453329841057</v>
          </cell>
        </row>
        <row r="357">
          <cell r="X357">
            <v>2.5190185125630893</v>
          </cell>
        </row>
      </sheetData>
      <sheetData sheetId="2" refreshError="1"/>
      <sheetData sheetId="3" refreshError="1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4">
        <row r="4">
          <cell r="Y4">
            <v>1</v>
          </cell>
        </row>
      </sheetData>
      <sheetData sheetId="5">
        <row r="121">
          <cell r="CI121">
            <v>1199.7543236906586</v>
          </cell>
        </row>
      </sheetData>
      <sheetData sheetId="6">
        <row r="2">
          <cell r="B2" t="str">
            <v>Выпуски</v>
          </cell>
        </row>
      </sheetData>
      <sheetData sheetId="7">
        <row r="2">
          <cell r="B2" t="str">
            <v>Выпуски</v>
          </cell>
        </row>
      </sheetData>
      <sheetData sheetId="8">
        <row r="4">
          <cell r="Y4">
            <v>1</v>
          </cell>
        </row>
      </sheetData>
      <sheetData sheetId="9">
        <row r="121">
          <cell r="CI121">
            <v>1199.7543236906586</v>
          </cell>
        </row>
      </sheetData>
      <sheetData sheetId="10">
        <row r="7">
          <cell r="C7">
            <v>1</v>
          </cell>
        </row>
      </sheetData>
      <sheetData sheetId="11">
        <row r="4">
          <cell r="Y4">
            <v>1</v>
          </cell>
        </row>
      </sheetData>
      <sheetData sheetId="12">
        <row r="121">
          <cell r="CI121">
            <v>1199.7543236906586</v>
          </cell>
        </row>
      </sheetData>
      <sheetData sheetId="13">
        <row r="7">
          <cell r="C7">
            <v>1</v>
          </cell>
        </row>
      </sheetData>
      <sheetData sheetId="14">
        <row r="4">
          <cell r="Y4">
            <v>1</v>
          </cell>
        </row>
      </sheetData>
      <sheetData sheetId="15"/>
      <sheetData sheetId="16">
        <row r="121">
          <cell r="CI121">
            <v>1199.7543236906586</v>
          </cell>
        </row>
      </sheetData>
      <sheetData sheetId="17">
        <row r="4">
          <cell r="Y4">
            <v>1</v>
          </cell>
        </row>
      </sheetData>
      <sheetData sheetId="18"/>
      <sheetData sheetId="19">
        <row r="121">
          <cell r="CI121">
            <v>1199.7543236906586</v>
          </cell>
        </row>
      </sheetData>
      <sheetData sheetId="20">
        <row r="4">
          <cell r="Y4">
            <v>1</v>
          </cell>
        </row>
      </sheetData>
      <sheetData sheetId="21">
        <row r="2">
          <cell r="B2" t="str">
            <v>Выпуски</v>
          </cell>
        </row>
      </sheetData>
      <sheetData sheetId="22">
        <row r="121">
          <cell r="CI121">
            <v>1199.7543236906586</v>
          </cell>
        </row>
      </sheetData>
      <sheetData sheetId="23">
        <row r="4">
          <cell r="Y4">
            <v>1</v>
          </cell>
        </row>
      </sheetData>
      <sheetData sheetId="24">
        <row r="2">
          <cell r="B2" t="str">
            <v>Выпуски</v>
          </cell>
        </row>
      </sheetData>
      <sheetData sheetId="25">
        <row r="2">
          <cell r="B2" t="str">
            <v>Выпуски</v>
          </cell>
        </row>
      </sheetData>
      <sheetData sheetId="26">
        <row r="2">
          <cell r="B2" t="str">
            <v>Выпуски</v>
          </cell>
        </row>
      </sheetData>
      <sheetData sheetId="27">
        <row r="2">
          <cell r="B2" t="str">
            <v>Выпуски</v>
          </cell>
        </row>
      </sheetData>
      <sheetData sheetId="28">
        <row r="2">
          <cell r="B2" t="str">
            <v>Выпуски</v>
          </cell>
        </row>
      </sheetData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2,3)"/>
      <sheetName val="2009(2,3) (2)"/>
      <sheetName val="Печ40"/>
      <sheetName val="2002-03(2,3)"/>
      <sheetName val="I"/>
      <sheetName val="2002_v2_"/>
      <sheetName val="Гр5(о)"/>
      <sheetName val="Управление"/>
      <sheetName val="2009(2,3)_(2)"/>
      <sheetName val="Оценка DCF"/>
      <sheetName val="GKN (2)"/>
      <sheetName val="ПЕРЕЧЕНЬ"/>
      <sheetName val="Программа"/>
      <sheetName val="Лист2"/>
      <sheetName val="Предпр.-взвеш. оценка"/>
      <sheetName val="база_свод"/>
      <sheetName val="Сдача "/>
      <sheetName val="расход"/>
      <sheetName val="Док+Исх"/>
      <sheetName val="Inputs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свод"/>
      <sheetName val="17.1"/>
      <sheetName val="24"/>
      <sheetName val="25"/>
      <sheetName val="Справочники"/>
      <sheetName val="Регионы"/>
      <sheetName val="Исходные"/>
      <sheetName val="пл. 2001 цехов и УГС"/>
      <sheetName val="2002(v1)"/>
      <sheetName val="Списки"/>
      <sheetName val="Contents"/>
      <sheetName val="Настройки"/>
      <sheetName val="АА"/>
      <sheetName val="Содержание"/>
      <sheetName val="Налоги+Амортиз"/>
      <sheetName val="Энергия на СН"/>
      <sheetName val="НФИк"/>
      <sheetName val="Оценка_DCF"/>
      <sheetName val="GKN_(2)"/>
      <sheetName val="Нормы"/>
      <sheetName val="Пески сводный реестр"/>
      <sheetName val="Т-18-Инвестиции"/>
      <sheetName val="Морские поставки"/>
      <sheetName val="прим"/>
      <sheetName val="данные производственные"/>
      <sheetName val="данные капвложения"/>
      <sheetName val="данные стоимостные"/>
      <sheetName val="данные себестоимость"/>
      <sheetName val="0.Настройка"/>
      <sheetName val="Медслужба"/>
      <sheetName val="РМУ"/>
      <sheetName val="УКиСР"/>
      <sheetName val="приб. от экспорта"/>
      <sheetName val="Смета"/>
      <sheetName val="XLR_NoRangeSheet"/>
      <sheetName val=""/>
      <sheetName val="БД"/>
      <sheetName val="платежный календарь фин"/>
      <sheetName val="0_Настройка"/>
      <sheetName val="0_Настройка1"/>
      <sheetName val="выр__июль"/>
      <sheetName val="2009(2,3)_(2)1"/>
      <sheetName val="GKN_(2)1"/>
      <sheetName val="0_Настройка2"/>
      <sheetName val="2009(2,3)_(2)2"/>
      <sheetName val="GKN_(2)2"/>
      <sheetName val="0_Настройка3"/>
      <sheetName val="2009(2,3)_(2)3"/>
      <sheetName val="GKN_(2)3"/>
      <sheetName val="0_Настройка4"/>
      <sheetName val="2009(2,3)_(2)4"/>
      <sheetName val="GKN_(2)4"/>
      <sheetName val="0_Настройка5"/>
      <sheetName val="2009(2,3)_(2)5"/>
      <sheetName val="GKN_(2)5"/>
      <sheetName val="0_Настройка6"/>
      <sheetName val="2009(2,3)_(2)6"/>
      <sheetName val="GKN_(2)6"/>
      <sheetName val="0_Настройка7"/>
      <sheetName val="2009(2,3)_(2)7"/>
      <sheetName val="GKN_(2)7"/>
      <sheetName val="0_Настройка8"/>
      <sheetName val="2009(2,3)_(2)10"/>
      <sheetName val="GKN_(2)10"/>
      <sheetName val="0_Настройка11"/>
      <sheetName val="2009(2,3)_(2)8"/>
      <sheetName val="GKN_(2)8"/>
      <sheetName val="0_Настройка9"/>
      <sheetName val="2009(2,3)_(2)9"/>
      <sheetName val="GKN_(2)9"/>
      <sheetName val="0_Настройка10"/>
      <sheetName val="2009(2,3)_(2)12"/>
      <sheetName val="GKN_(2)12"/>
      <sheetName val="0_Настройка13"/>
      <sheetName val="2009(2,3)_(2)11"/>
      <sheetName val="GKN_(2)11"/>
      <sheetName val="0_Настройка12"/>
      <sheetName val="2009(2,3)_(2)15"/>
      <sheetName val="GKN_(2)15"/>
      <sheetName val="0_Настройка16"/>
      <sheetName val="2009(2,3)_(2)13"/>
      <sheetName val="GKN_(2)13"/>
      <sheetName val="0_Настройка14"/>
      <sheetName val="2009(2,3)_(2)14"/>
      <sheetName val="GKN_(2)14"/>
      <sheetName val="0_Настройка15"/>
      <sheetName val="АНАЛИТ"/>
      <sheetName val="Настройка"/>
      <sheetName val="поставка сравн13"/>
      <sheetName val="titre gap"/>
      <sheetName val="#ССЫЛКА"/>
      <sheetName val="Лист5"/>
      <sheetName val="Бюджет"/>
      <sheetName val="вводные данные систем"/>
      <sheetName val="Предпр_-взвеш__оценка"/>
      <sheetName val="Оценка_DCF1"/>
      <sheetName val="Предпр_-взвеш__оценка1"/>
      <sheetName val="план"/>
      <sheetName val="Расх."/>
      <sheetName val="Параметры"/>
      <sheetName val="1"/>
      <sheetName val="ВГ дох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C00-FC71-4339-B7CF-64B259735F94}">
  <dimension ref="A1:W28"/>
  <sheetViews>
    <sheetView topLeftCell="A5" workbookViewId="0">
      <selection activeCell="V26" sqref="V26"/>
    </sheetView>
  </sheetViews>
  <sheetFormatPr defaultRowHeight="15" x14ac:dyDescent="0.25"/>
  <cols>
    <col min="1" max="1" width="4.5703125" customWidth="1"/>
    <col min="2" max="2" width="27.8554687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4.7109375" style="35" hidden="1" customWidth="1"/>
    <col min="8" max="8" width="2.140625" style="35" customWidth="1"/>
    <col min="9" max="9" width="5.42578125" customWidth="1"/>
    <col min="10" max="10" width="27.85546875" customWidth="1"/>
    <col min="11" max="11" width="12" style="35" customWidth="1"/>
    <col min="12" max="12" width="8.28515625" customWidth="1"/>
    <col min="13" max="13" width="3" customWidth="1"/>
    <col min="14" max="14" width="23.28515625" customWidth="1"/>
    <col min="15" max="15" width="0.140625" customWidth="1"/>
    <col min="16" max="16" width="3.140625" customWidth="1"/>
    <col min="17" max="17" width="5.42578125" customWidth="1"/>
    <col min="18" max="18" width="27.85546875" customWidth="1"/>
    <col min="19" max="19" width="12" style="35" customWidth="1"/>
    <col min="20" max="20" width="8.28515625" customWidth="1"/>
    <col min="21" max="21" width="3" customWidth="1"/>
    <col min="22" max="22" width="23.28515625" customWidth="1"/>
    <col min="23" max="23" width="1.7109375" customWidth="1"/>
    <col min="24" max="24" width="10" bestFit="1" customWidth="1"/>
  </cols>
  <sheetData>
    <row r="1" spans="1:22" ht="15.75" thickBot="1" x14ac:dyDescent="0.3">
      <c r="F1" s="101" t="s">
        <v>44</v>
      </c>
      <c r="N1" s="101" t="s">
        <v>46</v>
      </c>
      <c r="V1" s="101" t="s">
        <v>48</v>
      </c>
    </row>
    <row r="2" spans="1:22" ht="15.75" thickBot="1" x14ac:dyDescent="0.3">
      <c r="A2" s="54" t="s">
        <v>37</v>
      </c>
      <c r="B2" s="55" t="s">
        <v>38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  <c r="H2" s="1"/>
      <c r="I2" s="54" t="s">
        <v>37</v>
      </c>
      <c r="J2" s="55" t="s">
        <v>38</v>
      </c>
      <c r="K2" s="56" t="s">
        <v>18</v>
      </c>
      <c r="L2" s="379" t="s">
        <v>21</v>
      </c>
      <c r="M2" s="380"/>
      <c r="N2" s="57" t="s">
        <v>32</v>
      </c>
      <c r="Q2" s="54" t="s">
        <v>37</v>
      </c>
      <c r="R2" s="55" t="s">
        <v>38</v>
      </c>
      <c r="S2" s="56" t="s">
        <v>18</v>
      </c>
      <c r="T2" s="379" t="s">
        <v>21</v>
      </c>
      <c r="U2" s="380"/>
      <c r="V2" s="57" t="s">
        <v>32</v>
      </c>
    </row>
    <row r="3" spans="1:22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36"/>
      <c r="I3" s="81">
        <v>1</v>
      </c>
      <c r="J3" s="383" t="s">
        <v>47</v>
      </c>
      <c r="K3" s="85" t="s">
        <v>19</v>
      </c>
      <c r="L3" s="381">
        <f>404.352+9.256</f>
        <v>413.60799999999995</v>
      </c>
      <c r="M3" s="382"/>
      <c r="N3" s="386">
        <v>164516389.53999999</v>
      </c>
      <c r="Q3" s="81">
        <v>1</v>
      </c>
      <c r="R3" s="383" t="s">
        <v>47</v>
      </c>
      <c r="S3" s="389" t="s">
        <v>19</v>
      </c>
      <c r="T3" s="392">
        <v>1893.4</v>
      </c>
      <c r="U3" s="393"/>
      <c r="V3" s="386">
        <f>441276518.44-(13211398.08+293476943.2)</f>
        <v>134588177.16000003</v>
      </c>
    </row>
    <row r="4" spans="1:22" ht="30" x14ac:dyDescent="0.25">
      <c r="A4" s="82">
        <v>2</v>
      </c>
      <c r="B4" s="87" t="s">
        <v>25</v>
      </c>
      <c r="C4" s="88" t="s">
        <v>19</v>
      </c>
      <c r="D4" s="398">
        <f>676.624</f>
        <v>676.62400000000002</v>
      </c>
      <c r="E4" s="399"/>
      <c r="F4" s="89">
        <f>77526903.96-G4</f>
        <v>28449520.749999993</v>
      </c>
      <c r="G4" s="36">
        <v>49077383.210000001</v>
      </c>
      <c r="H4" s="36"/>
      <c r="I4" s="82">
        <v>2</v>
      </c>
      <c r="J4" s="384"/>
      <c r="K4" s="88" t="s">
        <v>19</v>
      </c>
      <c r="L4" s="398">
        <f>676.624</f>
        <v>676.62400000000002</v>
      </c>
      <c r="M4" s="399"/>
      <c r="N4" s="387"/>
      <c r="Q4" s="82">
        <v>2</v>
      </c>
      <c r="R4" s="384"/>
      <c r="S4" s="390"/>
      <c r="T4" s="394"/>
      <c r="U4" s="395"/>
      <c r="V4" s="387"/>
    </row>
    <row r="5" spans="1:22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36"/>
      <c r="I5" s="82">
        <v>3</v>
      </c>
      <c r="J5" s="384"/>
      <c r="K5" s="88" t="s">
        <v>19</v>
      </c>
      <c r="L5" s="398">
        <v>295.15199999999999</v>
      </c>
      <c r="M5" s="399"/>
      <c r="N5" s="387"/>
      <c r="Q5" s="82">
        <v>3</v>
      </c>
      <c r="R5" s="384"/>
      <c r="S5" s="390"/>
      <c r="T5" s="394"/>
      <c r="U5" s="395"/>
      <c r="V5" s="387"/>
    </row>
    <row r="6" spans="1:22" ht="30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36"/>
      <c r="I6" s="82">
        <v>4</v>
      </c>
      <c r="J6" s="384"/>
      <c r="K6" s="88" t="s">
        <v>19</v>
      </c>
      <c r="L6" s="398">
        <v>284.85599999999999</v>
      </c>
      <c r="M6" s="399"/>
      <c r="N6" s="387"/>
      <c r="Q6" s="82">
        <v>4</v>
      </c>
      <c r="R6" s="384"/>
      <c r="S6" s="390"/>
      <c r="T6" s="394"/>
      <c r="U6" s="395"/>
      <c r="V6" s="387"/>
    </row>
    <row r="7" spans="1:22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36"/>
      <c r="I7" s="82">
        <v>5</v>
      </c>
      <c r="J7" s="384"/>
      <c r="K7" s="88" t="s">
        <v>19</v>
      </c>
      <c r="L7" s="398">
        <v>103.27200000000001</v>
      </c>
      <c r="M7" s="399"/>
      <c r="N7" s="387"/>
      <c r="Q7" s="82">
        <v>5</v>
      </c>
      <c r="R7" s="384"/>
      <c r="S7" s="390"/>
      <c r="T7" s="394"/>
      <c r="U7" s="395"/>
      <c r="V7" s="387"/>
    </row>
    <row r="8" spans="1:22" ht="30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36"/>
      <c r="I8" s="82">
        <v>6</v>
      </c>
      <c r="J8" s="384"/>
      <c r="K8" s="88" t="s">
        <v>19</v>
      </c>
      <c r="L8" s="398">
        <v>66.872</v>
      </c>
      <c r="M8" s="399"/>
      <c r="N8" s="387"/>
      <c r="Q8" s="82">
        <v>6</v>
      </c>
      <c r="R8" s="384"/>
      <c r="S8" s="390"/>
      <c r="T8" s="394"/>
      <c r="U8" s="395"/>
      <c r="V8" s="387"/>
    </row>
    <row r="9" spans="1:22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36"/>
      <c r="I9" s="82">
        <v>7</v>
      </c>
      <c r="J9" s="384"/>
      <c r="K9" s="88" t="s">
        <v>19</v>
      </c>
      <c r="L9" s="398">
        <v>233.27199999999999</v>
      </c>
      <c r="M9" s="399"/>
      <c r="N9" s="387"/>
      <c r="Q9" s="82">
        <v>7</v>
      </c>
      <c r="R9" s="384"/>
      <c r="S9" s="390"/>
      <c r="T9" s="394"/>
      <c r="U9" s="395"/>
      <c r="V9" s="387"/>
    </row>
    <row r="10" spans="1:22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36"/>
      <c r="I10" s="83">
        <v>8</v>
      </c>
      <c r="J10" s="385"/>
      <c r="K10" s="91" t="s">
        <v>19</v>
      </c>
      <c r="L10" s="400">
        <v>4.3680000000000003</v>
      </c>
      <c r="M10" s="401"/>
      <c r="N10" s="388"/>
      <c r="Q10" s="83">
        <v>8</v>
      </c>
      <c r="R10" s="385"/>
      <c r="S10" s="391"/>
      <c r="T10" s="396"/>
      <c r="U10" s="397"/>
      <c r="V10" s="388"/>
    </row>
    <row r="11" spans="1:22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</row>
    <row r="12" spans="1:22" x14ac:dyDescent="0.25">
      <c r="A12" s="53">
        <v>9</v>
      </c>
      <c r="B12" s="50" t="s">
        <v>27</v>
      </c>
      <c r="C12" s="42" t="s">
        <v>29</v>
      </c>
      <c r="D12" s="402" t="s">
        <v>31</v>
      </c>
      <c r="E12" s="403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402" t="s">
        <v>31</v>
      </c>
      <c r="M12" s="403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402" t="s">
        <v>31</v>
      </c>
      <c r="U12" s="403"/>
      <c r="V12" s="43">
        <f>9769288.11-W12</f>
        <v>9769288.1099999994</v>
      </c>
    </row>
    <row r="13" spans="1:22" x14ac:dyDescent="0.25">
      <c r="A13" s="52">
        <v>10</v>
      </c>
      <c r="B13" s="51" t="s">
        <v>28</v>
      </c>
      <c r="C13" s="40" t="s">
        <v>29</v>
      </c>
      <c r="D13" s="404" t="s">
        <v>30</v>
      </c>
      <c r="E13" s="405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404" t="s">
        <v>30</v>
      </c>
      <c r="M13" s="405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404" t="s">
        <v>30</v>
      </c>
      <c r="U13" s="405"/>
      <c r="V13" s="29">
        <f>22373496.67-W13</f>
        <v>22373496.670000002</v>
      </c>
    </row>
    <row r="14" spans="1:22" ht="15.75" thickBot="1" x14ac:dyDescent="0.3">
      <c r="A14" s="70">
        <v>11</v>
      </c>
      <c r="B14" s="71" t="s">
        <v>17</v>
      </c>
      <c r="C14" s="72" t="s">
        <v>20</v>
      </c>
      <c r="D14" s="406">
        <f>47.6596*100</f>
        <v>4765.96</v>
      </c>
      <c r="E14" s="407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406">
        <f>47.6596*100</f>
        <v>4765.96</v>
      </c>
      <c r="M14" s="407"/>
      <c r="N14" s="73">
        <v>1105733.3899999999</v>
      </c>
      <c r="Q14" s="70">
        <v>11</v>
      </c>
      <c r="R14" s="71" t="s">
        <v>17</v>
      </c>
      <c r="S14" s="72" t="s">
        <v>20</v>
      </c>
      <c r="T14" s="406">
        <f>47.6596*100</f>
        <v>4765.96</v>
      </c>
      <c r="U14" s="407"/>
      <c r="V14" s="73">
        <v>1105733.3899999999</v>
      </c>
    </row>
    <row r="15" spans="1:22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</row>
    <row r="16" spans="1:22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167836695.33000004</v>
      </c>
    </row>
    <row r="17" spans="1:23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I17" s="67">
        <v>13</v>
      </c>
      <c r="J17" s="58" t="s">
        <v>23</v>
      </c>
      <c r="K17" s="41"/>
      <c r="L17" s="45"/>
      <c r="M17" s="46"/>
      <c r="N17" s="47">
        <f>N16*0.03</f>
        <v>5932947.2312999992</v>
      </c>
      <c r="Q17" s="67">
        <v>13</v>
      </c>
      <c r="R17" s="58" t="s">
        <v>23</v>
      </c>
      <c r="S17" s="41"/>
      <c r="T17" s="45"/>
      <c r="U17" s="46"/>
      <c r="V17" s="47">
        <v>0</v>
      </c>
    </row>
    <row r="18" spans="1:23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36"/>
      <c r="I18" s="68">
        <v>14</v>
      </c>
      <c r="J18" s="64" t="s">
        <v>36</v>
      </c>
      <c r="K18" s="48"/>
      <c r="L18" s="65"/>
      <c r="M18" s="44"/>
      <c r="N18" s="66">
        <f>N16+N17</f>
        <v>203697854.94129997</v>
      </c>
      <c r="Q18" s="68">
        <v>14</v>
      </c>
      <c r="R18" s="64" t="s">
        <v>36</v>
      </c>
      <c r="S18" s="48"/>
      <c r="T18" s="65"/>
      <c r="U18" s="44"/>
      <c r="V18" s="66">
        <f>V16+V17</f>
        <v>167836695.33000004</v>
      </c>
    </row>
    <row r="19" spans="1:23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I19" s="67">
        <v>15</v>
      </c>
      <c r="J19" s="58" t="s">
        <v>45</v>
      </c>
      <c r="K19" s="41"/>
      <c r="L19" s="45"/>
      <c r="M19" s="46"/>
      <c r="N19" s="47">
        <f>N18*O19</f>
        <v>159709185.41999999</v>
      </c>
      <c r="O19" s="102">
        <v>0.78404942195401961</v>
      </c>
      <c r="Q19" s="67">
        <v>15</v>
      </c>
      <c r="R19" s="58" t="s">
        <v>49</v>
      </c>
      <c r="S19" s="41"/>
      <c r="T19" s="45"/>
      <c r="U19" s="46"/>
      <c r="V19" s="47">
        <f>V18*W19</f>
        <v>155057461.56148869</v>
      </c>
      <c r="W19" s="103">
        <v>0.92385911946499621</v>
      </c>
    </row>
    <row r="20" spans="1:23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I20" s="68">
        <v>16</v>
      </c>
      <c r="J20" s="64" t="s">
        <v>22</v>
      </c>
      <c r="K20" s="48"/>
      <c r="L20" s="65"/>
      <c r="M20" s="44"/>
      <c r="N20" s="66">
        <f>N19</f>
        <v>159709185.41999999</v>
      </c>
      <c r="Q20" s="68">
        <v>16</v>
      </c>
      <c r="R20" s="64" t="s">
        <v>22</v>
      </c>
      <c r="S20" s="48"/>
      <c r="T20" s="65"/>
      <c r="U20" s="44"/>
      <c r="V20" s="66">
        <f>V19</f>
        <v>155057461.56148869</v>
      </c>
    </row>
    <row r="21" spans="1:23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I21" s="67">
        <v>17</v>
      </c>
      <c r="J21" s="58" t="s">
        <v>33</v>
      </c>
      <c r="K21" s="41"/>
      <c r="L21" s="45"/>
      <c r="M21" s="46"/>
      <c r="N21" s="47">
        <f>N20*0.2</f>
        <v>31941837.083999999</v>
      </c>
      <c r="Q21" s="67">
        <v>17</v>
      </c>
      <c r="R21" s="58" t="s">
        <v>33</v>
      </c>
      <c r="S21" s="41"/>
      <c r="T21" s="45"/>
      <c r="U21" s="46"/>
      <c r="V21" s="47">
        <f>V20*0.2</f>
        <v>31011492.312297739</v>
      </c>
    </row>
    <row r="22" spans="1:23" ht="19.5" customHeight="1" thickBot="1" x14ac:dyDescent="0.3">
      <c r="A22" s="69">
        <v>18</v>
      </c>
      <c r="B22" s="59" t="s">
        <v>34</v>
      </c>
      <c r="C22" s="60"/>
      <c r="D22" s="61"/>
      <c r="E22" s="62"/>
      <c r="F22" s="63">
        <f>F20+F21</f>
        <v>191651022.49199998</v>
      </c>
      <c r="I22" s="69">
        <v>18</v>
      </c>
      <c r="J22" s="59" t="s">
        <v>34</v>
      </c>
      <c r="K22" s="60"/>
      <c r="L22" s="61"/>
      <c r="M22" s="62"/>
      <c r="N22" s="63">
        <f>N20+N21</f>
        <v>191651022.50399998</v>
      </c>
      <c r="Q22" s="69">
        <v>18</v>
      </c>
      <c r="R22" s="59" t="s">
        <v>34</v>
      </c>
      <c r="S22" s="60"/>
      <c r="T22" s="61"/>
      <c r="U22" s="62"/>
      <c r="V22" s="63">
        <f>V20+V21</f>
        <v>186068953.87378642</v>
      </c>
    </row>
    <row r="23" spans="1:23" x14ac:dyDescent="0.25">
      <c r="C23"/>
      <c r="G23" s="39"/>
      <c r="H23" s="39"/>
      <c r="K23"/>
      <c r="S23"/>
    </row>
    <row r="24" spans="1:23" ht="52.5" x14ac:dyDescent="0.25">
      <c r="B24" s="79" t="s">
        <v>41</v>
      </c>
      <c r="C24" s="80" t="s">
        <v>39</v>
      </c>
      <c r="D24" s="79"/>
      <c r="E24" s="79"/>
      <c r="F24" s="93">
        <v>75700.428816399144</v>
      </c>
      <c r="G24" s="39"/>
      <c r="H24" s="39"/>
      <c r="J24" s="79" t="s">
        <v>41</v>
      </c>
      <c r="K24" s="80" t="s">
        <v>39</v>
      </c>
      <c r="L24" s="79"/>
      <c r="M24" s="79"/>
      <c r="N24" s="93">
        <f>164516389.54/L16</f>
        <v>79169.629195812944</v>
      </c>
      <c r="R24" s="79" t="s">
        <v>41</v>
      </c>
      <c r="S24" s="80" t="s">
        <v>39</v>
      </c>
      <c r="T24" s="79"/>
      <c r="U24" s="79"/>
      <c r="V24" s="93">
        <f>164516389.54/T16</f>
        <v>86889.399778176812</v>
      </c>
    </row>
    <row r="25" spans="1:23" x14ac:dyDescent="0.25">
      <c r="C25"/>
      <c r="G25" s="39"/>
      <c r="H25" s="39"/>
      <c r="K25"/>
      <c r="S25"/>
    </row>
    <row r="26" spans="1:23" ht="52.5" x14ac:dyDescent="0.25">
      <c r="B26" s="79" t="s">
        <v>42</v>
      </c>
      <c r="C26" s="80" t="s">
        <v>39</v>
      </c>
      <c r="D26" s="79"/>
      <c r="E26" s="79"/>
      <c r="F26" s="93">
        <v>89541.292052319011</v>
      </c>
      <c r="G26" s="39"/>
      <c r="H26" s="39"/>
      <c r="J26" s="79" t="s">
        <v>42</v>
      </c>
      <c r="K26" s="80" t="s">
        <v>39</v>
      </c>
      <c r="L26" s="79"/>
      <c r="M26" s="79"/>
      <c r="N26" s="93">
        <f>185090075.82/L16</f>
        <v>89070.230093588907</v>
      </c>
      <c r="R26" s="79" t="s">
        <v>42</v>
      </c>
      <c r="S26" s="80" t="s">
        <v>39</v>
      </c>
      <c r="T26" s="79"/>
      <c r="U26" s="79"/>
      <c r="V26" s="93">
        <f>V22/T16</f>
        <v>98272.395623632838</v>
      </c>
    </row>
    <row r="28" spans="1:23" ht="56.25" x14ac:dyDescent="0.25">
      <c r="B28" s="94" t="s">
        <v>43</v>
      </c>
      <c r="C28" s="80" t="s">
        <v>39</v>
      </c>
      <c r="D28" s="79"/>
      <c r="E28" s="79"/>
      <c r="F28" s="93">
        <f>F22/D16</f>
        <v>92227.530813888574</v>
      </c>
      <c r="G28" s="39"/>
      <c r="H28" s="39"/>
      <c r="J28" s="94" t="s">
        <v>43</v>
      </c>
      <c r="K28" s="80" t="s">
        <v>39</v>
      </c>
      <c r="L28" s="79"/>
      <c r="M28" s="79"/>
      <c r="N28" s="93">
        <f>N22/L16</f>
        <v>92227.530819663283</v>
      </c>
      <c r="R28" s="94" t="s">
        <v>43</v>
      </c>
      <c r="S28" s="80" t="s">
        <v>39</v>
      </c>
      <c r="T28" s="79"/>
      <c r="U28" s="79"/>
      <c r="V28" s="93">
        <f>V22/T16</f>
        <v>98272.395623632838</v>
      </c>
    </row>
  </sheetData>
  <mergeCells count="34">
    <mergeCell ref="T12:U12"/>
    <mergeCell ref="D13:E13"/>
    <mergeCell ref="L13:M13"/>
    <mergeCell ref="T13:U13"/>
    <mergeCell ref="D14:E14"/>
    <mergeCell ref="L14:M14"/>
    <mergeCell ref="T14:U14"/>
    <mergeCell ref="D12:E12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L10:M10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5F6C6-80A5-480C-9D6B-04BC0827978E}">
  <sheetPr>
    <tabColor rgb="FFFFFF00"/>
  </sheetPr>
  <dimension ref="A1:W26"/>
  <sheetViews>
    <sheetView workbookViewId="0">
      <selection activeCell="F16" sqref="F16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.140625" style="35" customWidth="1"/>
    <col min="8" max="8" width="4.7109375" customWidth="1"/>
    <col min="9" max="9" width="27.85546875" customWidth="1"/>
    <col min="10" max="10" width="12" style="35" customWidth="1"/>
    <col min="11" max="11" width="12.28515625" customWidth="1"/>
    <col min="12" max="12" width="3.42578125" customWidth="1"/>
    <col min="13" max="13" width="23.28515625" customWidth="1"/>
    <col min="14" max="14" width="1.140625" style="35" customWidth="1"/>
    <col min="15" max="15" width="10" style="35" hidden="1" customWidth="1"/>
    <col min="16" max="16" width="4.7109375" customWidth="1"/>
    <col min="17" max="17" width="27.85546875" customWidth="1"/>
    <col min="18" max="18" width="12" style="35" customWidth="1"/>
    <col min="19" max="19" width="12.28515625" customWidth="1"/>
    <col min="20" max="20" width="3.42578125" customWidth="1"/>
    <col min="21" max="21" width="23.28515625" customWidth="1"/>
    <col min="22" max="22" width="1.42578125" style="35" customWidth="1"/>
    <col min="23" max="23" width="0.85546875" style="35" customWidth="1"/>
  </cols>
  <sheetData>
    <row r="1" spans="1:23" ht="38.25" customHeight="1" thickBot="1" x14ac:dyDescent="0.3">
      <c r="B1" s="257" t="s">
        <v>145</v>
      </c>
      <c r="F1" s="246" t="s">
        <v>137</v>
      </c>
      <c r="G1" s="105"/>
      <c r="I1" s="257" t="s">
        <v>146</v>
      </c>
      <c r="M1" s="246" t="s">
        <v>138</v>
      </c>
      <c r="N1" s="105"/>
      <c r="Q1" s="257" t="s">
        <v>150</v>
      </c>
      <c r="U1" s="246" t="s">
        <v>151</v>
      </c>
      <c r="V1" s="105"/>
    </row>
    <row r="2" spans="1:23" ht="15.75" thickBot="1" x14ac:dyDescent="0.3">
      <c r="A2" s="54" t="s">
        <v>58</v>
      </c>
      <c r="B2" s="55" t="s">
        <v>73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79" t="s">
        <v>21</v>
      </c>
      <c r="L2" s="380"/>
      <c r="M2" s="57" t="s">
        <v>32</v>
      </c>
      <c r="N2" s="1" t="s">
        <v>24</v>
      </c>
      <c r="P2" s="54" t="s">
        <v>58</v>
      </c>
      <c r="Q2" s="55" t="s">
        <v>73</v>
      </c>
      <c r="R2" s="56" t="s">
        <v>18</v>
      </c>
      <c r="S2" s="379" t="s">
        <v>21</v>
      </c>
      <c r="T2" s="380"/>
      <c r="U2" s="57" t="s">
        <v>32</v>
      </c>
      <c r="V2" s="1" t="s">
        <v>24</v>
      </c>
    </row>
    <row r="3" spans="1:23" ht="15" customHeight="1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81">
        <v>1</v>
      </c>
      <c r="I3" s="84" t="s">
        <v>0</v>
      </c>
      <c r="J3" s="85" t="s">
        <v>19</v>
      </c>
      <c r="K3" s="470">
        <v>292.42</v>
      </c>
      <c r="L3" s="471"/>
      <c r="M3" s="260">
        <f>37762102.01-N3</f>
        <v>7165777.4999999963</v>
      </c>
      <c r="N3" s="36">
        <v>30596324.510000002</v>
      </c>
      <c r="O3" s="36">
        <f>D3-K3</f>
        <v>121.18799999999993</v>
      </c>
      <c r="P3" s="81">
        <v>1</v>
      </c>
      <c r="Q3" s="84" t="s">
        <v>0</v>
      </c>
      <c r="R3" s="85" t="s">
        <v>19</v>
      </c>
      <c r="S3" s="460">
        <v>1791.6900000000003</v>
      </c>
      <c r="T3" s="461"/>
      <c r="U3" s="386">
        <v>139860049.75999999</v>
      </c>
      <c r="V3" s="249">
        <v>30596324.510000002</v>
      </c>
      <c r="W3" s="249">
        <f>L3-S3</f>
        <v>-1791.6900000000003</v>
      </c>
    </row>
    <row r="4" spans="1:23" ht="30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82">
        <v>2</v>
      </c>
      <c r="I4" s="87" t="s">
        <v>25</v>
      </c>
      <c r="J4" s="88" t="s">
        <v>19</v>
      </c>
      <c r="K4" s="472">
        <v>941.29</v>
      </c>
      <c r="L4" s="473"/>
      <c r="M4" s="260">
        <f>89009547.99-N4</f>
        <v>39932164.779999994</v>
      </c>
      <c r="N4" s="36">
        <v>49077383.210000001</v>
      </c>
      <c r="O4" s="249">
        <f t="shared" ref="O4:O5" si="0">D4-K4</f>
        <v>-264.66599999999994</v>
      </c>
      <c r="P4" s="82">
        <v>2</v>
      </c>
      <c r="Q4" s="87" t="s">
        <v>25</v>
      </c>
      <c r="R4" s="88" t="s">
        <v>19</v>
      </c>
      <c r="S4" s="462"/>
      <c r="T4" s="463"/>
      <c r="U4" s="387"/>
      <c r="V4" s="249">
        <v>49077383.210000001</v>
      </c>
      <c r="W4" s="249">
        <f t="shared" ref="W4:W5" si="1">L4-S4</f>
        <v>0</v>
      </c>
    </row>
    <row r="5" spans="1:23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82">
        <v>3</v>
      </c>
      <c r="I5" s="87" t="s">
        <v>26</v>
      </c>
      <c r="J5" s="88" t="s">
        <v>19</v>
      </c>
      <c r="K5" s="470">
        <v>53.14</v>
      </c>
      <c r="L5" s="471"/>
      <c r="M5" s="260">
        <f>25076874.41-N5</f>
        <v>2234339.1099999994</v>
      </c>
      <c r="N5" s="36">
        <v>22842535.300000001</v>
      </c>
      <c r="O5" s="249">
        <f t="shared" si="0"/>
        <v>242.012</v>
      </c>
      <c r="P5" s="82">
        <v>3</v>
      </c>
      <c r="Q5" s="87" t="s">
        <v>26</v>
      </c>
      <c r="R5" s="88" t="s">
        <v>19</v>
      </c>
      <c r="S5" s="462"/>
      <c r="T5" s="463"/>
      <c r="U5" s="387"/>
      <c r="V5" s="249">
        <v>22842535.300000001</v>
      </c>
      <c r="W5" s="249">
        <f t="shared" si="1"/>
        <v>0</v>
      </c>
    </row>
    <row r="6" spans="1:23" ht="30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82">
        <v>4</v>
      </c>
      <c r="I6" s="87" t="s">
        <v>8</v>
      </c>
      <c r="J6" s="88" t="s">
        <v>19</v>
      </c>
      <c r="K6" s="472">
        <v>213.17</v>
      </c>
      <c r="L6" s="473"/>
      <c r="M6" s="261">
        <f>46837060.14-N6</f>
        <v>22336213.16</v>
      </c>
      <c r="N6" s="36">
        <v>24500846.98</v>
      </c>
      <c r="O6" s="36">
        <f>D6-K6</f>
        <v>71.686000000000007</v>
      </c>
      <c r="P6" s="82">
        <v>4</v>
      </c>
      <c r="Q6" s="87" t="s">
        <v>8</v>
      </c>
      <c r="R6" s="88" t="s">
        <v>19</v>
      </c>
      <c r="S6" s="462"/>
      <c r="T6" s="463"/>
      <c r="U6" s="387"/>
      <c r="V6" s="249">
        <v>24500846.98</v>
      </c>
      <c r="W6" s="249">
        <f>L6-S6</f>
        <v>0</v>
      </c>
    </row>
    <row r="7" spans="1:23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82">
        <v>5</v>
      </c>
      <c r="I7" s="87" t="s">
        <v>1</v>
      </c>
      <c r="J7" s="88" t="s">
        <v>19</v>
      </c>
      <c r="K7" s="472">
        <v>61.69</v>
      </c>
      <c r="L7" s="473"/>
      <c r="M7" s="261">
        <f>12077264.9-N7</f>
        <v>3714903.1500000004</v>
      </c>
      <c r="N7" s="36">
        <v>8362361.75</v>
      </c>
      <c r="O7" s="36">
        <f>D7-K7</f>
        <v>41.582000000000008</v>
      </c>
      <c r="P7" s="82">
        <v>5</v>
      </c>
      <c r="Q7" s="87" t="s">
        <v>1</v>
      </c>
      <c r="R7" s="88" t="s">
        <v>19</v>
      </c>
      <c r="S7" s="462"/>
      <c r="T7" s="463"/>
      <c r="U7" s="387"/>
      <c r="V7" s="249">
        <v>8362361.75</v>
      </c>
      <c r="W7" s="249">
        <f>L7-S7</f>
        <v>0</v>
      </c>
    </row>
    <row r="8" spans="1:23" ht="30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82">
        <v>6</v>
      </c>
      <c r="I8" s="87" t="s">
        <v>2</v>
      </c>
      <c r="J8" s="88" t="s">
        <v>19</v>
      </c>
      <c r="K8" s="472">
        <v>41.95</v>
      </c>
      <c r="L8" s="473"/>
      <c r="M8" s="261">
        <f>7627692.25-N8</f>
        <v>2839000</v>
      </c>
      <c r="N8" s="36">
        <v>4788692.25</v>
      </c>
      <c r="O8" s="36">
        <f>D8-K8</f>
        <v>24.921999999999997</v>
      </c>
      <c r="P8" s="82">
        <v>6</v>
      </c>
      <c r="Q8" s="87" t="s">
        <v>2</v>
      </c>
      <c r="R8" s="88" t="s">
        <v>19</v>
      </c>
      <c r="S8" s="462"/>
      <c r="T8" s="463"/>
      <c r="U8" s="387"/>
      <c r="V8" s="249">
        <v>4788692.25</v>
      </c>
      <c r="W8" s="249">
        <f>L8-S8</f>
        <v>0</v>
      </c>
    </row>
    <row r="9" spans="1:23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82">
        <v>7</v>
      </c>
      <c r="I9" s="87" t="s">
        <v>3</v>
      </c>
      <c r="J9" s="88" t="s">
        <v>19</v>
      </c>
      <c r="K9" s="474">
        <v>182.95</v>
      </c>
      <c r="L9" s="475"/>
      <c r="M9" s="261">
        <f>30709409.94-N9</f>
        <v>13647239.470000003</v>
      </c>
      <c r="N9" s="36">
        <v>17062170.469999999</v>
      </c>
      <c r="O9" s="36">
        <f t="shared" ref="O9:O10" si="2">D9-K9</f>
        <v>50.322000000000003</v>
      </c>
      <c r="P9" s="82">
        <v>7</v>
      </c>
      <c r="Q9" s="87" t="s">
        <v>3</v>
      </c>
      <c r="R9" s="88" t="s">
        <v>19</v>
      </c>
      <c r="S9" s="462"/>
      <c r="T9" s="463"/>
      <c r="U9" s="387"/>
      <c r="V9" s="249">
        <v>17062170.469999999</v>
      </c>
      <c r="W9" s="249">
        <f t="shared" ref="W9:W10" si="3">L9-S9</f>
        <v>0</v>
      </c>
    </row>
    <row r="10" spans="1:23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83">
        <v>8</v>
      </c>
      <c r="I10" s="90" t="s">
        <v>4</v>
      </c>
      <c r="J10" s="91" t="s">
        <v>19</v>
      </c>
      <c r="K10" s="400">
        <v>5.08</v>
      </c>
      <c r="L10" s="401"/>
      <c r="M10" s="250">
        <f>1160321.19-N10</f>
        <v>831105.78</v>
      </c>
      <c r="N10" s="36">
        <v>329215.40999999997</v>
      </c>
      <c r="O10" s="36">
        <f t="shared" si="2"/>
        <v>-0.71199999999999974</v>
      </c>
      <c r="P10" s="83">
        <v>8</v>
      </c>
      <c r="Q10" s="90" t="s">
        <v>4</v>
      </c>
      <c r="R10" s="91" t="s">
        <v>19</v>
      </c>
      <c r="S10" s="464"/>
      <c r="T10" s="465"/>
      <c r="U10" s="388"/>
      <c r="V10" s="249">
        <v>329215.40999999997</v>
      </c>
      <c r="W10" s="249">
        <f t="shared" si="3"/>
        <v>0</v>
      </c>
    </row>
    <row r="11" spans="1:23" ht="2.25" customHeight="1" thickTop="1" x14ac:dyDescent="0.25">
      <c r="A11" s="95"/>
      <c r="B11" s="96"/>
      <c r="C11" s="97"/>
      <c r="D11" s="239"/>
      <c r="E11" s="240"/>
      <c r="F11" s="100"/>
      <c r="G11" s="36"/>
      <c r="H11" s="95"/>
      <c r="I11" s="96"/>
      <c r="J11" s="97"/>
      <c r="K11" s="239"/>
      <c r="L11" s="240"/>
      <c r="M11" s="251"/>
      <c r="N11" s="36"/>
      <c r="P11" s="95"/>
      <c r="Q11" s="96"/>
      <c r="R11" s="97"/>
      <c r="S11" s="255"/>
      <c r="T11" s="256"/>
      <c r="U11" s="251"/>
      <c r="V11" s="249"/>
    </row>
    <row r="12" spans="1:23" ht="19.5" customHeight="1" x14ac:dyDescent="0.25">
      <c r="A12" s="53">
        <v>9</v>
      </c>
      <c r="B12" s="50" t="s">
        <v>136</v>
      </c>
      <c r="C12" s="42" t="s">
        <v>29</v>
      </c>
      <c r="D12" s="402" t="s">
        <v>139</v>
      </c>
      <c r="E12" s="403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66" t="s">
        <v>141</v>
      </c>
      <c r="L12" s="467"/>
      <c r="M12" s="252">
        <f>3419291.82+388055.63</f>
        <v>3807347.4499999997</v>
      </c>
      <c r="N12" s="249">
        <v>5678876.6900000004</v>
      </c>
      <c r="P12" s="53">
        <v>9</v>
      </c>
      <c r="Q12" s="50" t="s">
        <v>27</v>
      </c>
      <c r="R12" s="42" t="s">
        <v>29</v>
      </c>
      <c r="S12" s="466" t="s">
        <v>141</v>
      </c>
      <c r="T12" s="467"/>
      <c r="U12" s="252">
        <f>3419291.82+388055.63</f>
        <v>3807347.4499999997</v>
      </c>
      <c r="V12" s="249">
        <v>5678876.6900000004</v>
      </c>
    </row>
    <row r="13" spans="1:23" x14ac:dyDescent="0.25">
      <c r="A13" s="52">
        <v>10</v>
      </c>
      <c r="B13" s="51" t="s">
        <v>28</v>
      </c>
      <c r="C13" s="40" t="s">
        <v>29</v>
      </c>
      <c r="D13" s="404" t="s">
        <v>142</v>
      </c>
      <c r="E13" s="405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68" t="s">
        <v>140</v>
      </c>
      <c r="L13" s="469"/>
      <c r="M13" s="253">
        <f>13237387.5+493072.33+437764.01</f>
        <v>14168223.84</v>
      </c>
      <c r="N13" s="36">
        <v>6649088.5499999998</v>
      </c>
      <c r="P13" s="52">
        <v>10</v>
      </c>
      <c r="Q13" s="51" t="s">
        <v>28</v>
      </c>
      <c r="R13" s="40" t="s">
        <v>29</v>
      </c>
      <c r="S13" s="468" t="s">
        <v>140</v>
      </c>
      <c r="T13" s="469"/>
      <c r="U13" s="253">
        <f>13237387.5+493072.33+437764.01</f>
        <v>14168223.84</v>
      </c>
      <c r="V13" s="249">
        <v>6649088.5499999998</v>
      </c>
    </row>
    <row r="14" spans="1:23" ht="15.75" thickBot="1" x14ac:dyDescent="0.3">
      <c r="A14" s="70">
        <v>11</v>
      </c>
      <c r="B14" s="71" t="s">
        <v>17</v>
      </c>
      <c r="C14" s="72" t="s">
        <v>20</v>
      </c>
      <c r="D14" s="406">
        <f>47.6596*100</f>
        <v>4765.96</v>
      </c>
      <c r="E14" s="407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406">
        <f>47.6596*100</f>
        <v>4765.96</v>
      </c>
      <c r="L14" s="407"/>
      <c r="M14" s="254">
        <v>1105733.3899999999</v>
      </c>
      <c r="N14" s="36"/>
      <c r="P14" s="70">
        <v>11</v>
      </c>
      <c r="Q14" s="71" t="s">
        <v>17</v>
      </c>
      <c r="R14" s="72" t="s">
        <v>20</v>
      </c>
      <c r="S14" s="406">
        <f>47.6596*100</f>
        <v>4765.96</v>
      </c>
      <c r="T14" s="407"/>
      <c r="U14" s="254">
        <v>1105733.3899999999</v>
      </c>
      <c r="V14" s="249"/>
    </row>
    <row r="15" spans="1:23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P15" s="74"/>
      <c r="Q15" s="75"/>
      <c r="R15" s="76"/>
      <c r="S15" s="77"/>
      <c r="T15" s="77"/>
      <c r="U15" s="78"/>
    </row>
    <row r="16" spans="1:23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K3+K4+K5+K6+K7+K8+K9+K10</f>
        <v>1791.6900000000003</v>
      </c>
      <c r="L16" s="62" t="s">
        <v>19</v>
      </c>
      <c r="M16" s="63">
        <f>SUM(M3:M14)</f>
        <v>111782047.63</v>
      </c>
      <c r="N16" s="245">
        <f>SUM(N3:N13)</f>
        <v>169887495.12</v>
      </c>
      <c r="O16" s="243">
        <f>D16-K16</f>
        <v>286.33399999999961</v>
      </c>
      <c r="P16" s="69">
        <v>12</v>
      </c>
      <c r="Q16" s="59" t="s">
        <v>22</v>
      </c>
      <c r="R16" s="60"/>
      <c r="S16" s="61">
        <f>S3+S4+S5+S6+S7+S8+S9+S10</f>
        <v>1791.6900000000003</v>
      </c>
      <c r="T16" s="62" t="s">
        <v>19</v>
      </c>
      <c r="U16" s="63">
        <f>SUM(U3:U14)</f>
        <v>158941354.43999997</v>
      </c>
      <c r="V16" s="245">
        <f>SUM(V3:V13)</f>
        <v>169887495.12</v>
      </c>
      <c r="W16" s="243" t="e">
        <f>L16-S16</f>
        <v>#VALUE!</v>
      </c>
    </row>
    <row r="17" spans="1:22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3353461.4288999997</v>
      </c>
      <c r="P17" s="67">
        <v>13</v>
      </c>
      <c r="Q17" s="58" t="s">
        <v>23</v>
      </c>
      <c r="R17" s="41"/>
      <c r="S17" s="45"/>
      <c r="T17" s="46"/>
      <c r="U17" s="47">
        <f>U16*0.03</f>
        <v>4768240.6331999991</v>
      </c>
    </row>
    <row r="18" spans="1:22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115135509.0589</v>
      </c>
      <c r="N18" s="36"/>
      <c r="P18" s="68">
        <v>14</v>
      </c>
      <c r="Q18" s="64" t="s">
        <v>36</v>
      </c>
      <c r="R18" s="48"/>
      <c r="S18" s="65"/>
      <c r="T18" s="44"/>
      <c r="U18" s="66">
        <f>U16+U17</f>
        <v>163709595.07319996</v>
      </c>
      <c r="V18" s="249"/>
    </row>
    <row r="19" spans="1:22" ht="30.7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142">
        <v>1.1961817972414666</v>
      </c>
      <c r="H19" s="67">
        <v>15</v>
      </c>
      <c r="I19" s="58" t="s">
        <v>35</v>
      </c>
      <c r="J19" s="41"/>
      <c r="K19" s="45"/>
      <c r="L19" s="46"/>
      <c r="M19" s="47">
        <f>M18*N19</f>
        <v>137606949.4666667</v>
      </c>
      <c r="N19" s="142">
        <v>1.1951738485498071</v>
      </c>
      <c r="P19" s="67">
        <v>15</v>
      </c>
      <c r="Q19" s="58" t="s">
        <v>149</v>
      </c>
      <c r="R19" s="41"/>
      <c r="S19" s="45"/>
      <c r="T19" s="46"/>
      <c r="U19" s="47">
        <f>U18*V19</f>
        <v>137606949.46666664</v>
      </c>
      <c r="V19" s="142">
        <v>0.84055518801532703</v>
      </c>
    </row>
    <row r="20" spans="1:22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137606949.4666667</v>
      </c>
      <c r="P20" s="68">
        <v>16</v>
      </c>
      <c r="Q20" s="64" t="s">
        <v>22</v>
      </c>
      <c r="R20" s="48"/>
      <c r="S20" s="65"/>
      <c r="T20" s="44"/>
      <c r="U20" s="66">
        <f>U19</f>
        <v>137606949.46666664</v>
      </c>
    </row>
    <row r="21" spans="1:22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27521389.893333342</v>
      </c>
      <c r="P21" s="67">
        <v>17</v>
      </c>
      <c r="Q21" s="58" t="s">
        <v>33</v>
      </c>
      <c r="R21" s="41"/>
      <c r="S21" s="45"/>
      <c r="T21" s="46"/>
      <c r="U21" s="47">
        <f>U20*0.2</f>
        <v>27521389.893333331</v>
      </c>
    </row>
    <row r="22" spans="1:22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</f>
        <v>165128339.36000004</v>
      </c>
      <c r="N22" s="244">
        <f>M22-F22</f>
        <v>-26522683.13199994</v>
      </c>
      <c r="P22" s="69">
        <v>18</v>
      </c>
      <c r="Q22" s="59" t="s">
        <v>34</v>
      </c>
      <c r="R22" s="60"/>
      <c r="S22" s="61"/>
      <c r="T22" s="62"/>
      <c r="U22" s="107">
        <f>U20+U21</f>
        <v>165128339.35999995</v>
      </c>
      <c r="V22" s="39"/>
    </row>
    <row r="23" spans="1:22" x14ac:dyDescent="0.25">
      <c r="C23"/>
      <c r="G23" s="39"/>
      <c r="J23"/>
      <c r="N23" s="39"/>
      <c r="R23"/>
      <c r="V23" s="39"/>
    </row>
    <row r="24" spans="1:22" ht="35.25" customHeight="1" x14ac:dyDescent="0.25">
      <c r="B24" s="459" t="s">
        <v>53</v>
      </c>
      <c r="C24" s="459"/>
      <c r="D24" s="459"/>
      <c r="E24" s="79"/>
      <c r="F24" s="93">
        <f>(F3+F4+F5+F6+F7+F8+F9+F10)*G19*1.2/D16</f>
        <v>75700.428816399144</v>
      </c>
      <c r="G24" s="39"/>
      <c r="I24" s="459" t="s">
        <v>53</v>
      </c>
      <c r="J24" s="459"/>
      <c r="K24" s="459"/>
      <c r="L24" s="79"/>
      <c r="M24" s="93">
        <f>(M3+M4+M5+M6+M7+M8+M9+M10)*N19*1.2/K16</f>
        <v>74204.915168345775</v>
      </c>
      <c r="N24" s="39"/>
      <c r="Q24" s="459" t="s">
        <v>53</v>
      </c>
      <c r="R24" s="459"/>
      <c r="S24" s="459"/>
      <c r="T24" s="79"/>
      <c r="U24" s="93">
        <f>(U3+U4+U5+U6+U7+U8+U9+U10)*V19*1.2/S16</f>
        <v>78736.895615993679</v>
      </c>
      <c r="V24" s="39"/>
    </row>
    <row r="25" spans="1:22" ht="30.75" customHeight="1" x14ac:dyDescent="0.25">
      <c r="B25" s="459" t="s">
        <v>54</v>
      </c>
      <c r="C25" s="459"/>
      <c r="D25" s="459"/>
      <c r="E25" s="79"/>
      <c r="F25" s="93">
        <f>F16*G19*1.2/D16</f>
        <v>89541.292052319011</v>
      </c>
      <c r="G25" s="39"/>
      <c r="I25" s="459" t="s">
        <v>54</v>
      </c>
      <c r="J25" s="459"/>
      <c r="K25" s="459"/>
      <c r="L25" s="79"/>
      <c r="M25" s="93">
        <f>M16*N19*1.2/K16</f>
        <v>89479.081804145753</v>
      </c>
      <c r="N25" s="39"/>
      <c r="Q25" s="459" t="s">
        <v>54</v>
      </c>
      <c r="R25" s="459"/>
      <c r="S25" s="459"/>
      <c r="T25" s="79"/>
      <c r="U25" s="93">
        <f>U16*V19*1.2/S16</f>
        <v>89479.081804145724</v>
      </c>
      <c r="V25" s="39"/>
    </row>
    <row r="26" spans="1:22" ht="37.5" customHeight="1" x14ac:dyDescent="0.25">
      <c r="B26" s="459" t="s">
        <v>55</v>
      </c>
      <c r="C26" s="459"/>
      <c r="D26" s="459"/>
      <c r="E26" s="79"/>
      <c r="F26" s="93">
        <f>F22/D16</f>
        <v>92227.530813888574</v>
      </c>
      <c r="G26" s="39"/>
      <c r="I26" s="459" t="s">
        <v>55</v>
      </c>
      <c r="J26" s="459"/>
      <c r="K26" s="459"/>
      <c r="L26" s="79"/>
      <c r="M26" s="93">
        <f>M22/K16</f>
        <v>92163.45425827014</v>
      </c>
      <c r="N26" s="39"/>
      <c r="Q26" s="459" t="s">
        <v>55</v>
      </c>
      <c r="R26" s="459"/>
      <c r="S26" s="459"/>
      <c r="T26" s="79"/>
      <c r="U26" s="93">
        <f>U22/S16</f>
        <v>92163.454258270081</v>
      </c>
      <c r="V26" s="39"/>
    </row>
  </sheetData>
  <mergeCells count="39">
    <mergeCell ref="D12:E12"/>
    <mergeCell ref="K12:L12"/>
    <mergeCell ref="B26:D26"/>
    <mergeCell ref="I26:K26"/>
    <mergeCell ref="B24:D24"/>
    <mergeCell ref="I24:K24"/>
    <mergeCell ref="B25:D25"/>
    <mergeCell ref="I25:K25"/>
    <mergeCell ref="D13:E13"/>
    <mergeCell ref="K13:L13"/>
    <mergeCell ref="D14:E14"/>
    <mergeCell ref="K14:L14"/>
    <mergeCell ref="K9:L9"/>
    <mergeCell ref="D10:E10"/>
    <mergeCell ref="K10:L10"/>
    <mergeCell ref="K8:L8"/>
    <mergeCell ref="D9:E9"/>
    <mergeCell ref="U3:U10"/>
    <mergeCell ref="S12:T12"/>
    <mergeCell ref="S13:T13"/>
    <mergeCell ref="D2:E2"/>
    <mergeCell ref="K2:L2"/>
    <mergeCell ref="D3:E3"/>
    <mergeCell ref="K3:L3"/>
    <mergeCell ref="D6:E6"/>
    <mergeCell ref="K6:L6"/>
    <mergeCell ref="K4:L4"/>
    <mergeCell ref="D4:E4"/>
    <mergeCell ref="D5:E5"/>
    <mergeCell ref="K5:L5"/>
    <mergeCell ref="D7:E7"/>
    <mergeCell ref="K7:L7"/>
    <mergeCell ref="D8:E8"/>
    <mergeCell ref="S14:T14"/>
    <mergeCell ref="Q24:S24"/>
    <mergeCell ref="Q25:S25"/>
    <mergeCell ref="Q26:S26"/>
    <mergeCell ref="S2:T2"/>
    <mergeCell ref="S3:T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CA12-3EC9-4078-BC2C-B13985820E58}">
  <dimension ref="B1:F31"/>
  <sheetViews>
    <sheetView topLeftCell="A11" workbookViewId="0">
      <selection activeCell="F25" sqref="F25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</cols>
  <sheetData>
    <row r="1" spans="2:6" ht="15.75" thickBot="1" x14ac:dyDescent="0.3"/>
    <row r="2" spans="2:6" ht="30" x14ac:dyDescent="0.25">
      <c r="B2" s="7" t="s">
        <v>9</v>
      </c>
      <c r="C2" s="8" t="s">
        <v>14</v>
      </c>
      <c r="D2" s="20" t="s">
        <v>13</v>
      </c>
      <c r="E2" s="9" t="s">
        <v>12</v>
      </c>
      <c r="F2" s="1"/>
    </row>
    <row r="3" spans="2:6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</row>
    <row r="4" spans="2:6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</row>
    <row r="5" spans="2:6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</row>
    <row r="6" spans="2:6" x14ac:dyDescent="0.25">
      <c r="B6" s="10" t="s">
        <v>1</v>
      </c>
      <c r="C6" s="2">
        <v>61.69</v>
      </c>
      <c r="D6" s="21">
        <v>99.3</v>
      </c>
      <c r="E6" s="11">
        <v>103.27200000000001</v>
      </c>
    </row>
    <row r="7" spans="2:6" x14ac:dyDescent="0.25">
      <c r="B7" s="10" t="s">
        <v>2</v>
      </c>
      <c r="C7" s="2">
        <v>41.95</v>
      </c>
      <c r="D7" s="21">
        <v>64.3</v>
      </c>
      <c r="E7" s="11">
        <v>66.872</v>
      </c>
    </row>
    <row r="8" spans="2:6" x14ac:dyDescent="0.25">
      <c r="B8" s="10" t="s">
        <v>3</v>
      </c>
      <c r="C8" s="2">
        <v>286.27999999999997</v>
      </c>
      <c r="D8" s="21">
        <v>335</v>
      </c>
      <c r="E8" s="11">
        <v>233.27199999999999</v>
      </c>
    </row>
    <row r="9" spans="2:6" x14ac:dyDescent="0.25">
      <c r="B9" s="10" t="s">
        <v>4</v>
      </c>
      <c r="C9" s="2">
        <v>5.08</v>
      </c>
      <c r="D9" s="21">
        <v>4.37</v>
      </c>
      <c r="E9" s="11">
        <v>4.3680000000000003</v>
      </c>
    </row>
    <row r="10" spans="2:6" x14ac:dyDescent="0.25">
      <c r="B10" s="10" t="s">
        <v>5</v>
      </c>
      <c r="C10" s="2">
        <v>56.7</v>
      </c>
      <c r="D10" s="22">
        <v>0</v>
      </c>
      <c r="E10" s="12">
        <f>C10</f>
        <v>56.7</v>
      </c>
    </row>
    <row r="11" spans="2:6" ht="15.75" thickBot="1" x14ac:dyDescent="0.3">
      <c r="B11" s="13" t="s">
        <v>6</v>
      </c>
      <c r="C11" s="3">
        <v>54</v>
      </c>
      <c r="D11" s="23">
        <v>0</v>
      </c>
      <c r="E11" s="14">
        <f>C11</f>
        <v>54</v>
      </c>
    </row>
    <row r="12" spans="2:6" ht="16.5" thickTop="1" thickBot="1" x14ac:dyDescent="0.3">
      <c r="B12" s="19" t="s">
        <v>11</v>
      </c>
      <c r="C12" s="15">
        <f>SUM(C3:C11)</f>
        <v>2004.1000000000001</v>
      </c>
      <c r="D12" s="24">
        <f>SUM(D3:D11)</f>
        <v>2108.9699999999998</v>
      </c>
      <c r="E12" s="16">
        <f>SUM(E3:E11)</f>
        <v>2188.7239999999997</v>
      </c>
    </row>
    <row r="13" spans="2:6" ht="3" customHeight="1" thickBot="1" x14ac:dyDescent="0.3">
      <c r="B13" s="17"/>
      <c r="C13" s="17"/>
      <c r="D13" s="17"/>
      <c r="E13" s="18"/>
    </row>
    <row r="14" spans="2:6" ht="15.75" thickBot="1" x14ac:dyDescent="0.3">
      <c r="B14" s="6" t="s">
        <v>10</v>
      </c>
      <c r="C14" s="5">
        <v>177481072.02000001</v>
      </c>
      <c r="D14" s="4"/>
      <c r="E14" s="5">
        <v>191651022.49000001</v>
      </c>
    </row>
    <row r="15" spans="2:6" x14ac:dyDescent="0.25">
      <c r="C15" s="25">
        <f>C14-E14</f>
        <v>-14169950.469999999</v>
      </c>
    </row>
    <row r="17" spans="2:6" ht="15.75" thickBot="1" x14ac:dyDescent="0.3"/>
    <row r="18" spans="2:6" ht="30" x14ac:dyDescent="0.25">
      <c r="B18" s="7" t="s">
        <v>9</v>
      </c>
      <c r="C18" s="8" t="s">
        <v>14</v>
      </c>
      <c r="D18" s="20" t="s">
        <v>13</v>
      </c>
      <c r="E18" s="9" t="s">
        <v>12</v>
      </c>
    </row>
    <row r="19" spans="2:6" x14ac:dyDescent="0.25">
      <c r="B19" s="10" t="s">
        <v>0</v>
      </c>
      <c r="C19" s="241">
        <v>290.81</v>
      </c>
      <c r="D19" s="21">
        <v>397.7</v>
      </c>
      <c r="E19" s="11">
        <f>404.352+9.256</f>
        <v>413.60799999999995</v>
      </c>
    </row>
    <row r="20" spans="2:6" ht="30" x14ac:dyDescent="0.25">
      <c r="B20" s="10" t="s">
        <v>7</v>
      </c>
      <c r="C20" s="241">
        <v>994.42</v>
      </c>
      <c r="D20" s="21">
        <v>934.4</v>
      </c>
      <c r="E20" s="11">
        <f>676.624+295.152</f>
        <v>971.77600000000007</v>
      </c>
    </row>
    <row r="21" spans="2:6" x14ac:dyDescent="0.25">
      <c r="B21" s="10" t="s">
        <v>8</v>
      </c>
      <c r="C21" s="241">
        <v>213.17</v>
      </c>
      <c r="D21" s="21">
        <v>273.89999999999998</v>
      </c>
      <c r="E21" s="11">
        <v>284.85599999999999</v>
      </c>
    </row>
    <row r="22" spans="2:6" x14ac:dyDescent="0.25">
      <c r="B22" s="10" t="s">
        <v>1</v>
      </c>
      <c r="C22" s="241">
        <v>61.69</v>
      </c>
      <c r="D22" s="21">
        <v>99.3</v>
      </c>
      <c r="E22" s="11">
        <v>103.27200000000001</v>
      </c>
    </row>
    <row r="23" spans="2:6" x14ac:dyDescent="0.25">
      <c r="B23" s="10" t="s">
        <v>2</v>
      </c>
      <c r="C23" s="241">
        <v>41.95</v>
      </c>
      <c r="D23" s="21">
        <v>64.3</v>
      </c>
      <c r="E23" s="11">
        <v>66.872</v>
      </c>
    </row>
    <row r="24" spans="2:6" x14ac:dyDescent="0.25">
      <c r="B24" s="10" t="s">
        <v>3</v>
      </c>
      <c r="C24" s="241">
        <v>286.27999999999997</v>
      </c>
      <c r="D24" s="21">
        <v>335</v>
      </c>
      <c r="E24" s="11">
        <v>233.27199999999999</v>
      </c>
      <c r="F24" s="38">
        <f>C24-E24</f>
        <v>53.007999999999981</v>
      </c>
    </row>
    <row r="25" spans="2:6" x14ac:dyDescent="0.25">
      <c r="B25" s="10" t="s">
        <v>4</v>
      </c>
      <c r="C25" s="241">
        <v>5.08</v>
      </c>
      <c r="D25" s="21">
        <v>4.37</v>
      </c>
      <c r="E25" s="11">
        <v>4.3680000000000003</v>
      </c>
    </row>
    <row r="26" spans="2:6" x14ac:dyDescent="0.25">
      <c r="B26" s="10" t="s">
        <v>5</v>
      </c>
      <c r="C26" s="241">
        <v>0</v>
      </c>
      <c r="D26" s="22">
        <v>0</v>
      </c>
      <c r="E26" s="12">
        <f>C26</f>
        <v>0</v>
      </c>
    </row>
    <row r="27" spans="2:6" ht="15.75" thickBot="1" x14ac:dyDescent="0.3">
      <c r="B27" s="13" t="s">
        <v>6</v>
      </c>
      <c r="C27" s="242">
        <f>C26</f>
        <v>0</v>
      </c>
      <c r="D27" s="23">
        <v>0</v>
      </c>
      <c r="E27" s="14">
        <f>C27</f>
        <v>0</v>
      </c>
    </row>
    <row r="28" spans="2:6" ht="16.5" thickTop="1" thickBot="1" x14ac:dyDescent="0.3">
      <c r="B28" s="19" t="s">
        <v>11</v>
      </c>
      <c r="C28" s="15">
        <f>SUM(C19:C27)</f>
        <v>1893.4</v>
      </c>
      <c r="D28" s="24">
        <f>SUM(D19:D27)</f>
        <v>2108.9699999999998</v>
      </c>
      <c r="E28" s="16">
        <f>SUM(E19:E27)</f>
        <v>2078.0239999999999</v>
      </c>
    </row>
    <row r="29" spans="2:6" ht="15.75" thickBot="1" x14ac:dyDescent="0.3">
      <c r="B29" s="17"/>
      <c r="C29" s="17"/>
      <c r="D29" s="17"/>
      <c r="E29" s="18"/>
    </row>
    <row r="30" spans="2:6" ht="15.75" thickBot="1" x14ac:dyDescent="0.3">
      <c r="B30" s="6" t="s">
        <v>10</v>
      </c>
      <c r="C30" s="5">
        <v>149747892.84999999</v>
      </c>
      <c r="D30" s="4"/>
      <c r="E30" s="5">
        <v>163917843.31</v>
      </c>
    </row>
    <row r="31" spans="2:6" x14ac:dyDescent="0.25">
      <c r="C31" s="25">
        <f>C30-E30</f>
        <v>-14169950.460000008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12D42-B61D-456F-85CC-A8C6C81AF872}">
  <sheetPr>
    <tabColor rgb="FFFF0000"/>
  </sheetPr>
  <dimension ref="A1:AE32"/>
  <sheetViews>
    <sheetView topLeftCell="O7" workbookViewId="0">
      <selection activeCell="Y17" sqref="Y17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30.14062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23.28515625" customWidth="1"/>
    <col min="30" max="30" width="2.42578125" customWidth="1"/>
    <col min="31" max="31" width="15.7109375" customWidth="1"/>
  </cols>
  <sheetData>
    <row r="1" spans="1:31" ht="34.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258" t="s">
        <v>152</v>
      </c>
      <c r="S1" s="144"/>
      <c r="T1" s="106"/>
      <c r="U1" s="106"/>
      <c r="V1" s="104" t="s">
        <v>71</v>
      </c>
      <c r="X1" s="106"/>
      <c r="Y1" s="258" t="s">
        <v>152</v>
      </c>
      <c r="Z1" s="105"/>
      <c r="AA1" s="106"/>
      <c r="AB1" s="106"/>
      <c r="AC1" s="104" t="s">
        <v>71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9" t="s">
        <v>21</v>
      </c>
      <c r="M2" s="380"/>
      <c r="N2" s="57" t="s">
        <v>32</v>
      </c>
      <c r="Q2" s="54" t="s">
        <v>58</v>
      </c>
      <c r="R2" s="55" t="s">
        <v>73</v>
      </c>
      <c r="S2" s="56" t="s">
        <v>18</v>
      </c>
      <c r="T2" s="379" t="s">
        <v>21</v>
      </c>
      <c r="U2" s="380"/>
      <c r="V2" s="57" t="s">
        <v>32</v>
      </c>
      <c r="X2" s="54" t="s">
        <v>58</v>
      </c>
      <c r="Y2" s="55" t="s">
        <v>73</v>
      </c>
      <c r="Z2" s="56" t="s">
        <v>18</v>
      </c>
      <c r="AA2" s="379" t="s">
        <v>21</v>
      </c>
      <c r="AB2" s="380"/>
      <c r="AC2" s="57" t="s">
        <v>32</v>
      </c>
    </row>
    <row r="3" spans="1:31" ht="15" customHeight="1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36"/>
      <c r="I3" s="81">
        <v>1</v>
      </c>
      <c r="J3" s="383" t="s">
        <v>47</v>
      </c>
      <c r="K3" s="85" t="s">
        <v>19</v>
      </c>
      <c r="L3" s="381">
        <f>404.352+9.256</f>
        <v>413.60799999999995</v>
      </c>
      <c r="M3" s="382"/>
      <c r="N3" s="386">
        <v>164516389.53999999</v>
      </c>
      <c r="Q3" s="81">
        <v>1</v>
      </c>
      <c r="R3" s="383" t="s">
        <v>47</v>
      </c>
      <c r="S3" s="389" t="s">
        <v>19</v>
      </c>
      <c r="T3" s="460">
        <v>1791.6900000000003</v>
      </c>
      <c r="U3" s="461"/>
      <c r="V3" s="386">
        <v>139860049.75999999</v>
      </c>
      <c r="X3" s="81">
        <v>1</v>
      </c>
      <c r="Y3" s="383" t="s">
        <v>47</v>
      </c>
      <c r="Z3" s="389" t="s">
        <v>19</v>
      </c>
      <c r="AA3" s="460">
        <f>T3</f>
        <v>1791.6900000000003</v>
      </c>
      <c r="AB3" s="461"/>
      <c r="AC3" s="386">
        <v>139860049.75999999</v>
      </c>
    </row>
    <row r="4" spans="1:31" ht="30" customHeight="1" x14ac:dyDescent="0.25">
      <c r="A4" s="82">
        <v>2</v>
      </c>
      <c r="B4" s="87" t="s">
        <v>25</v>
      </c>
      <c r="C4" s="88" t="s">
        <v>19</v>
      </c>
      <c r="D4" s="398">
        <f>676.624</f>
        <v>676.62400000000002</v>
      </c>
      <c r="E4" s="399"/>
      <c r="F4" s="89">
        <f>77526903.96-G4</f>
        <v>28449520.749999993</v>
      </c>
      <c r="G4" s="36">
        <v>49077383.210000001</v>
      </c>
      <c r="H4" s="36"/>
      <c r="I4" s="82">
        <v>2</v>
      </c>
      <c r="J4" s="384"/>
      <c r="K4" s="88" t="s">
        <v>19</v>
      </c>
      <c r="L4" s="398">
        <f>676.624</f>
        <v>676.62400000000002</v>
      </c>
      <c r="M4" s="399"/>
      <c r="N4" s="387"/>
      <c r="Q4" s="82">
        <v>2</v>
      </c>
      <c r="R4" s="384"/>
      <c r="S4" s="390"/>
      <c r="T4" s="462"/>
      <c r="U4" s="463"/>
      <c r="V4" s="387"/>
      <c r="X4" s="82">
        <v>2</v>
      </c>
      <c r="Y4" s="384"/>
      <c r="Z4" s="390"/>
      <c r="AA4" s="462"/>
      <c r="AB4" s="463"/>
      <c r="AC4" s="387"/>
    </row>
    <row r="5" spans="1:31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36"/>
      <c r="I5" s="82">
        <v>3</v>
      </c>
      <c r="J5" s="384"/>
      <c r="K5" s="88" t="s">
        <v>19</v>
      </c>
      <c r="L5" s="398">
        <v>295.15199999999999</v>
      </c>
      <c r="M5" s="399"/>
      <c r="N5" s="387"/>
      <c r="Q5" s="82">
        <v>3</v>
      </c>
      <c r="R5" s="384"/>
      <c r="S5" s="390"/>
      <c r="T5" s="462"/>
      <c r="U5" s="463"/>
      <c r="V5" s="387"/>
      <c r="X5" s="82">
        <v>3</v>
      </c>
      <c r="Y5" s="384"/>
      <c r="Z5" s="390"/>
      <c r="AA5" s="462"/>
      <c r="AB5" s="463"/>
      <c r="AC5" s="387"/>
    </row>
    <row r="6" spans="1:31" ht="30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36"/>
      <c r="I6" s="82">
        <v>4</v>
      </c>
      <c r="J6" s="384"/>
      <c r="K6" s="88" t="s">
        <v>19</v>
      </c>
      <c r="L6" s="398">
        <v>284.85599999999999</v>
      </c>
      <c r="M6" s="399"/>
      <c r="N6" s="387"/>
      <c r="Q6" s="82">
        <v>4</v>
      </c>
      <c r="R6" s="384"/>
      <c r="S6" s="390"/>
      <c r="T6" s="462"/>
      <c r="U6" s="463"/>
      <c r="V6" s="387"/>
      <c r="X6" s="82">
        <v>4</v>
      </c>
      <c r="Y6" s="384"/>
      <c r="Z6" s="390"/>
      <c r="AA6" s="462"/>
      <c r="AB6" s="463"/>
      <c r="AC6" s="387"/>
    </row>
    <row r="7" spans="1:31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36"/>
      <c r="I7" s="82">
        <v>5</v>
      </c>
      <c r="J7" s="384"/>
      <c r="K7" s="88" t="s">
        <v>19</v>
      </c>
      <c r="L7" s="398">
        <v>103.27200000000001</v>
      </c>
      <c r="M7" s="399"/>
      <c r="N7" s="387"/>
      <c r="Q7" s="82">
        <v>5</v>
      </c>
      <c r="R7" s="384"/>
      <c r="S7" s="390"/>
      <c r="T7" s="462"/>
      <c r="U7" s="463"/>
      <c r="V7" s="387"/>
      <c r="X7" s="82">
        <v>5</v>
      </c>
      <c r="Y7" s="384"/>
      <c r="Z7" s="390"/>
      <c r="AA7" s="462"/>
      <c r="AB7" s="463"/>
      <c r="AC7" s="387"/>
    </row>
    <row r="8" spans="1:31" ht="30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36"/>
      <c r="I8" s="82">
        <v>6</v>
      </c>
      <c r="J8" s="384"/>
      <c r="K8" s="88" t="s">
        <v>19</v>
      </c>
      <c r="L8" s="398">
        <v>66.872</v>
      </c>
      <c r="M8" s="399"/>
      <c r="N8" s="387"/>
      <c r="Q8" s="82">
        <v>6</v>
      </c>
      <c r="R8" s="384"/>
      <c r="S8" s="390"/>
      <c r="T8" s="462"/>
      <c r="U8" s="463"/>
      <c r="V8" s="387"/>
      <c r="X8" s="82">
        <v>6</v>
      </c>
      <c r="Y8" s="384"/>
      <c r="Z8" s="390"/>
      <c r="AA8" s="462"/>
      <c r="AB8" s="463"/>
      <c r="AC8" s="387"/>
    </row>
    <row r="9" spans="1:31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36"/>
      <c r="I9" s="82">
        <v>7</v>
      </c>
      <c r="J9" s="384"/>
      <c r="K9" s="88" t="s">
        <v>19</v>
      </c>
      <c r="L9" s="398">
        <v>233.27199999999999</v>
      </c>
      <c r="M9" s="399"/>
      <c r="N9" s="387"/>
      <c r="Q9" s="82">
        <v>7</v>
      </c>
      <c r="R9" s="384"/>
      <c r="S9" s="390"/>
      <c r="T9" s="462"/>
      <c r="U9" s="463"/>
      <c r="V9" s="387"/>
      <c r="X9" s="82">
        <v>7</v>
      </c>
      <c r="Y9" s="384"/>
      <c r="Z9" s="390"/>
      <c r="AA9" s="462"/>
      <c r="AB9" s="463"/>
      <c r="AC9" s="38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36"/>
      <c r="I10" s="83">
        <v>8</v>
      </c>
      <c r="J10" s="385"/>
      <c r="K10" s="91" t="s">
        <v>19</v>
      </c>
      <c r="L10" s="400">
        <v>4.3680000000000003</v>
      </c>
      <c r="M10" s="401"/>
      <c r="N10" s="388"/>
      <c r="Q10" s="83">
        <v>8</v>
      </c>
      <c r="R10" s="385"/>
      <c r="S10" s="391"/>
      <c r="T10" s="464"/>
      <c r="U10" s="465"/>
      <c r="V10" s="388"/>
      <c r="X10" s="83">
        <v>8</v>
      </c>
      <c r="Y10" s="385"/>
      <c r="Z10" s="391"/>
      <c r="AA10" s="464"/>
      <c r="AB10" s="465"/>
      <c r="AC10" s="38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247"/>
      <c r="U11" s="248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402" t="s">
        <v>31</v>
      </c>
      <c r="E12" s="403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402" t="s">
        <v>31</v>
      </c>
      <c r="M12" s="403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402" t="s">
        <v>31</v>
      </c>
      <c r="U12" s="403"/>
      <c r="V12" s="43">
        <v>3807347.4499999997</v>
      </c>
      <c r="X12" s="53">
        <v>9</v>
      </c>
      <c r="Y12" s="50" t="s">
        <v>27</v>
      </c>
      <c r="Z12" s="42" t="s">
        <v>29</v>
      </c>
      <c r="AA12" s="402" t="s">
        <v>31</v>
      </c>
      <c r="AB12" s="403"/>
      <c r="AC12" s="43">
        <v>3807347.4499999997</v>
      </c>
    </row>
    <row r="13" spans="1:31" x14ac:dyDescent="0.25">
      <c r="A13" s="52">
        <v>10</v>
      </c>
      <c r="B13" s="51" t="s">
        <v>28</v>
      </c>
      <c r="C13" s="40" t="s">
        <v>29</v>
      </c>
      <c r="D13" s="404" t="s">
        <v>30</v>
      </c>
      <c r="E13" s="405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404" t="s">
        <v>30</v>
      </c>
      <c r="M13" s="405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404" t="s">
        <v>30</v>
      </c>
      <c r="U13" s="405"/>
      <c r="V13" s="29">
        <v>14168223.84</v>
      </c>
      <c r="X13" s="52">
        <v>10</v>
      </c>
      <c r="Y13" s="51" t="s">
        <v>28</v>
      </c>
      <c r="Z13" s="40" t="s">
        <v>29</v>
      </c>
      <c r="AA13" s="404" t="s">
        <v>30</v>
      </c>
      <c r="AB13" s="405"/>
      <c r="AC13" s="29">
        <v>14168223.84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406">
        <f>47.6596*100</f>
        <v>4765.96</v>
      </c>
      <c r="E14" s="407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406">
        <f>47.6596*100</f>
        <v>4765.96</v>
      </c>
      <c r="M14" s="407"/>
      <c r="N14" s="73">
        <v>1105733.3899999999</v>
      </c>
      <c r="Q14" s="70">
        <v>11</v>
      </c>
      <c r="R14" s="71" t="s">
        <v>17</v>
      </c>
      <c r="S14" s="72" t="s">
        <v>20</v>
      </c>
      <c r="T14" s="406">
        <f>47.6596*100</f>
        <v>4765.96</v>
      </c>
      <c r="U14" s="407"/>
      <c r="V14" s="73">
        <v>1105733.3899999999</v>
      </c>
      <c r="X14" s="70">
        <v>11</v>
      </c>
      <c r="Y14" s="71" t="s">
        <v>17</v>
      </c>
      <c r="Z14" s="72" t="s">
        <v>20</v>
      </c>
      <c r="AA14" s="406">
        <f>47.6596*100</f>
        <v>4765.96</v>
      </c>
      <c r="AB14" s="407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1791.6900000000003</v>
      </c>
      <c r="U16" s="62" t="s">
        <v>19</v>
      </c>
      <c r="V16" s="63">
        <f>SUM(V3:V14)</f>
        <v>158941354.43999997</v>
      </c>
      <c r="X16" s="69">
        <v>12</v>
      </c>
      <c r="Y16" s="59" t="s">
        <v>22</v>
      </c>
      <c r="Z16" s="60"/>
      <c r="AA16" s="61">
        <f>SUM(AA3:AB10)</f>
        <v>1791.6900000000003</v>
      </c>
      <c r="AB16" s="62" t="s">
        <v>19</v>
      </c>
      <c r="AC16" s="63">
        <f>SUM(AC3:AC14)</f>
        <v>158941354.43999997</v>
      </c>
      <c r="AE16" s="25"/>
    </row>
    <row r="17" spans="1:31" ht="60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221" t="s">
        <v>154</v>
      </c>
      <c r="T17" s="61"/>
      <c r="U17" s="62"/>
      <c r="V17" s="63">
        <v>9428605.5600000005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3337768.4432399995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168369959.99999997</v>
      </c>
      <c r="X18" s="69">
        <v>12</v>
      </c>
      <c r="Y18" s="59" t="s">
        <v>22</v>
      </c>
      <c r="Z18" s="60"/>
      <c r="AA18" s="61"/>
      <c r="AB18" s="62"/>
      <c r="AC18" s="63">
        <f>AC16+AC17</f>
        <v>162279122.88323995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5051098.7999999989</v>
      </c>
      <c r="X19" s="67">
        <v>13</v>
      </c>
      <c r="Y19" s="58" t="s">
        <v>23</v>
      </c>
      <c r="Z19" s="41"/>
      <c r="AA19" s="45"/>
      <c r="AB19" s="46"/>
      <c r="AC19" s="47">
        <f>AC18*0.03</f>
        <v>4868373.6864971984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64" t="s">
        <v>36</v>
      </c>
      <c r="S20" s="48"/>
      <c r="T20" s="65"/>
      <c r="U20" s="44"/>
      <c r="V20" s="66">
        <f>V18+V19</f>
        <v>173421058.79999998</v>
      </c>
      <c r="X20" s="68">
        <v>14</v>
      </c>
      <c r="Y20" s="64" t="s">
        <v>36</v>
      </c>
      <c r="Z20" s="48"/>
      <c r="AA20" s="65"/>
      <c r="AB20" s="44"/>
      <c r="AC20" s="66">
        <f>AC18+AC19</f>
        <v>167147496.56973717</v>
      </c>
    </row>
    <row r="21" spans="1:31" ht="31.5" thickBot="1" x14ac:dyDescent="0.3">
      <c r="A21" s="67">
        <v>15</v>
      </c>
      <c r="B21" s="58" t="s">
        <v>35</v>
      </c>
      <c r="C21" s="41"/>
      <c r="D21" s="45"/>
      <c r="E21" s="46"/>
      <c r="F21" s="47">
        <f>F20*G21</f>
        <v>159709185.41</v>
      </c>
      <c r="G21" s="35">
        <v>1.1961817972414666</v>
      </c>
      <c r="I21" s="67">
        <v>15</v>
      </c>
      <c r="J21" s="58" t="s">
        <v>57</v>
      </c>
      <c r="K21" s="41"/>
      <c r="L21" s="45"/>
      <c r="M21" s="46"/>
      <c r="N21" s="47">
        <f>N20*O21</f>
        <v>159709185.41999999</v>
      </c>
      <c r="O21" s="102">
        <v>0.78404942195401961</v>
      </c>
      <c r="Q21" s="67">
        <v>15</v>
      </c>
      <c r="R21" s="58" t="s">
        <v>149</v>
      </c>
      <c r="S21" s="41"/>
      <c r="T21" s="45"/>
      <c r="U21" s="46"/>
      <c r="V21" s="47">
        <f>V20*W21</f>
        <v>147270803.00000003</v>
      </c>
      <c r="W21" s="142">
        <v>0.84920945598563047</v>
      </c>
      <c r="X21" s="67">
        <v>15</v>
      </c>
      <c r="Y21" s="58" t="s">
        <v>149</v>
      </c>
      <c r="Z21" s="41"/>
      <c r="AA21" s="45"/>
      <c r="AB21" s="46"/>
      <c r="AC21" s="47">
        <f>AC20*AD21</f>
        <v>141293341.89166665</v>
      </c>
      <c r="AD21" s="142">
        <v>0.84532131674922417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159709185.41</v>
      </c>
      <c r="I22" s="68">
        <v>16</v>
      </c>
      <c r="J22" s="64" t="s">
        <v>22</v>
      </c>
      <c r="K22" s="48"/>
      <c r="L22" s="65"/>
      <c r="M22" s="44"/>
      <c r="N22" s="66">
        <f>N21</f>
        <v>159709185.41999999</v>
      </c>
      <c r="Q22" s="68">
        <v>16</v>
      </c>
      <c r="R22" s="64" t="s">
        <v>22</v>
      </c>
      <c r="S22" s="48"/>
      <c r="T22" s="65"/>
      <c r="U22" s="44"/>
      <c r="V22" s="66">
        <f>V21</f>
        <v>147270803.00000003</v>
      </c>
      <c r="X22" s="68">
        <v>16</v>
      </c>
      <c r="Y22" s="64" t="s">
        <v>22</v>
      </c>
      <c r="Z22" s="48"/>
      <c r="AA22" s="65"/>
      <c r="AB22" s="44"/>
      <c r="AC22" s="66">
        <f>AC21</f>
        <v>141293341.89166665</v>
      </c>
    </row>
    <row r="23" spans="1:31" ht="19.5" customHeight="1" thickBot="1" x14ac:dyDescent="0.3">
      <c r="A23" s="67">
        <v>17</v>
      </c>
      <c r="B23" s="58" t="s">
        <v>33</v>
      </c>
      <c r="C23" s="41"/>
      <c r="D23" s="45"/>
      <c r="E23" s="46"/>
      <c r="F23" s="47">
        <f>F22*0.2</f>
        <v>31941837.082000002</v>
      </c>
      <c r="I23" s="67">
        <v>17</v>
      </c>
      <c r="J23" s="58" t="s">
        <v>33</v>
      </c>
      <c r="K23" s="41"/>
      <c r="L23" s="45"/>
      <c r="M23" s="46"/>
      <c r="N23" s="47">
        <f>N22*0.2</f>
        <v>31941837.083999999</v>
      </c>
      <c r="Q23" s="67">
        <v>17</v>
      </c>
      <c r="R23" s="58" t="s">
        <v>33</v>
      </c>
      <c r="S23" s="41"/>
      <c r="T23" s="45"/>
      <c r="U23" s="46"/>
      <c r="V23" s="47">
        <f>V22*0.2</f>
        <v>29454160.600000009</v>
      </c>
      <c r="X23" s="67">
        <v>17</v>
      </c>
      <c r="Y23" s="58" t="s">
        <v>33</v>
      </c>
      <c r="Z23" s="41"/>
      <c r="AA23" s="45"/>
      <c r="AB23" s="46"/>
      <c r="AC23" s="47">
        <f>AC22*0.2</f>
        <v>28258668.37833333</v>
      </c>
    </row>
    <row r="24" spans="1:31" ht="19.5" customHeight="1" thickBot="1" x14ac:dyDescent="0.3">
      <c r="A24" s="69">
        <v>18</v>
      </c>
      <c r="B24" s="59" t="s">
        <v>34</v>
      </c>
      <c r="C24" s="60"/>
      <c r="D24" s="61"/>
      <c r="E24" s="62"/>
      <c r="F24" s="107">
        <f>F22+F23</f>
        <v>191651022.49199998</v>
      </c>
      <c r="I24" s="69">
        <v>18</v>
      </c>
      <c r="J24" s="59" t="s">
        <v>34</v>
      </c>
      <c r="K24" s="60"/>
      <c r="L24" s="61"/>
      <c r="M24" s="62"/>
      <c r="N24" s="107">
        <f>N22+N23-0.01</f>
        <v>191651022.49399999</v>
      </c>
      <c r="Q24" s="69">
        <v>18</v>
      </c>
      <c r="R24" s="59" t="s">
        <v>34</v>
      </c>
      <c r="S24" s="60"/>
      <c r="T24" s="61"/>
      <c r="U24" s="62"/>
      <c r="V24" s="107">
        <f>V22+V23</f>
        <v>176724963.60000002</v>
      </c>
      <c r="X24" s="69">
        <v>18</v>
      </c>
      <c r="Y24" s="59" t="s">
        <v>34</v>
      </c>
      <c r="Z24" s="60"/>
      <c r="AA24" s="61"/>
      <c r="AB24" s="62"/>
      <c r="AC24" s="107">
        <f>AC22+AC23</f>
        <v>169552010.26999998</v>
      </c>
    </row>
    <row r="25" spans="1:31" x14ac:dyDescent="0.25">
      <c r="C25"/>
      <c r="G25" s="39"/>
      <c r="H25" s="39"/>
      <c r="K25"/>
      <c r="S25"/>
      <c r="Z25"/>
    </row>
    <row r="26" spans="1:31" ht="35.25" customHeight="1" x14ac:dyDescent="0.25">
      <c r="B26" s="459" t="s">
        <v>53</v>
      </c>
      <c r="C26" s="459"/>
      <c r="D26" s="459"/>
      <c r="E26" s="79"/>
      <c r="F26" s="93">
        <v>75700.428816399144</v>
      </c>
      <c r="G26" s="39"/>
      <c r="H26" s="39"/>
      <c r="J26" s="459" t="s">
        <v>53</v>
      </c>
      <c r="K26" s="459"/>
      <c r="L26" s="459"/>
      <c r="M26" s="79"/>
      <c r="N26" s="93">
        <f>164516389.54/L16</f>
        <v>79169.629195812944</v>
      </c>
      <c r="R26" s="459" t="s">
        <v>53</v>
      </c>
      <c r="S26" s="459"/>
      <c r="T26" s="459"/>
      <c r="U26" s="79"/>
      <c r="V26" s="93">
        <f>V3*W21*1.2/T16</f>
        <v>79547.562427080207</v>
      </c>
      <c r="Y26" s="459" t="s">
        <v>53</v>
      </c>
      <c r="Z26" s="459"/>
      <c r="AA26" s="459"/>
      <c r="AB26" s="79"/>
      <c r="AC26" s="93">
        <f>AC3*AD21*1.2/AA16</f>
        <v>79183.350751794234</v>
      </c>
    </row>
    <row r="27" spans="1:31" ht="30.75" customHeight="1" x14ac:dyDescent="0.25">
      <c r="B27" s="459" t="s">
        <v>54</v>
      </c>
      <c r="C27" s="459"/>
      <c r="D27" s="459"/>
      <c r="E27" s="79"/>
      <c r="F27" s="93">
        <v>89541.292052319011</v>
      </c>
      <c r="G27" s="39"/>
      <c r="H27" s="39"/>
      <c r="J27" s="459" t="s">
        <v>54</v>
      </c>
      <c r="K27" s="459"/>
      <c r="L27" s="459"/>
      <c r="M27" s="79"/>
      <c r="N27" s="93">
        <f>185090075.82/L16</f>
        <v>89070.230093588907</v>
      </c>
      <c r="R27" s="459" t="s">
        <v>54</v>
      </c>
      <c r="S27" s="459"/>
      <c r="T27" s="459"/>
      <c r="U27" s="79"/>
      <c r="V27" s="93">
        <f>V18*W21*1.2/T16</f>
        <v>95763.014005272547</v>
      </c>
      <c r="Y27" s="459" t="s">
        <v>54</v>
      </c>
      <c r="Z27" s="459"/>
      <c r="AA27" s="459"/>
      <c r="AB27" s="79"/>
      <c r="AC27" s="93">
        <f>AC18*AD21*1.2/AA16</f>
        <v>91876.162842837439</v>
      </c>
    </row>
    <row r="28" spans="1:31" ht="37.5" customHeight="1" x14ac:dyDescent="0.25">
      <c r="B28" s="459" t="s">
        <v>55</v>
      </c>
      <c r="C28" s="459"/>
      <c r="D28" s="459"/>
      <c r="E28" s="79"/>
      <c r="F28" s="93">
        <f>F24/D16</f>
        <v>92227.530813888574</v>
      </c>
      <c r="G28" s="39"/>
      <c r="H28" s="39"/>
      <c r="J28" s="459" t="s">
        <v>55</v>
      </c>
      <c r="K28" s="459"/>
      <c r="L28" s="459"/>
      <c r="M28" s="79"/>
      <c r="N28" s="93">
        <f>N24/L16</f>
        <v>92227.530814851038</v>
      </c>
      <c r="R28" s="459" t="s">
        <v>55</v>
      </c>
      <c r="S28" s="459"/>
      <c r="T28" s="459"/>
      <c r="U28" s="79"/>
      <c r="V28" s="93">
        <f>V24/T16</f>
        <v>98635.904425430737</v>
      </c>
      <c r="Y28" s="459" t="s">
        <v>55</v>
      </c>
      <c r="Z28" s="459"/>
      <c r="AA28" s="459"/>
      <c r="AB28" s="79"/>
      <c r="AC28" s="93">
        <f>AC24/AA16</f>
        <v>94632.447728122585</v>
      </c>
    </row>
    <row r="29" spans="1:31" ht="50.25" customHeight="1" thickBot="1" x14ac:dyDescent="0.3">
      <c r="R29" s="259" t="s">
        <v>153</v>
      </c>
      <c r="V29" s="104" t="s">
        <v>144</v>
      </c>
      <c r="Y29" s="259" t="s">
        <v>153</v>
      </c>
      <c r="AC29" s="104" t="s">
        <v>144</v>
      </c>
    </row>
    <row r="30" spans="1:31" ht="19.5" customHeight="1" thickBot="1" x14ac:dyDescent="0.3">
      <c r="A30" s="68"/>
      <c r="B30" s="64"/>
      <c r="C30" s="48"/>
      <c r="D30" s="65"/>
      <c r="E30" s="44"/>
      <c r="F30" s="66"/>
      <c r="I30" s="68"/>
      <c r="J30" s="64"/>
      <c r="K30" s="48"/>
      <c r="L30" s="65"/>
      <c r="M30" s="44"/>
      <c r="N30" s="66"/>
      <c r="Q30" s="233"/>
      <c r="R30" s="234" t="s">
        <v>134</v>
      </c>
      <c r="S30" s="235"/>
      <c r="T30" s="236"/>
      <c r="U30" s="237"/>
      <c r="V30" s="238">
        <v>189211279.96000001</v>
      </c>
      <c r="X30" s="233"/>
      <c r="Y30" s="234" t="s">
        <v>134</v>
      </c>
      <c r="Z30" s="235"/>
      <c r="AA30" s="236"/>
      <c r="AB30" s="237"/>
      <c r="AC30" s="238">
        <v>181605829.13</v>
      </c>
    </row>
    <row r="32" spans="1:31" ht="37.5" customHeight="1" x14ac:dyDescent="0.25">
      <c r="B32" s="459" t="s">
        <v>55</v>
      </c>
      <c r="C32" s="459"/>
      <c r="D32" s="459"/>
      <c r="E32" s="79"/>
      <c r="F32" s="93" t="e">
        <f>F28/D20</f>
        <v>#DIV/0!</v>
      </c>
      <c r="G32" s="39"/>
      <c r="H32" s="39"/>
      <c r="J32" s="459" t="s">
        <v>55</v>
      </c>
      <c r="K32" s="459"/>
      <c r="L32" s="459"/>
      <c r="M32" s="79"/>
      <c r="N32" s="93" t="e">
        <f>N28/L20</f>
        <v>#DIV/0!</v>
      </c>
      <c r="R32" s="459" t="s">
        <v>55</v>
      </c>
      <c r="S32" s="459"/>
      <c r="T32" s="459"/>
      <c r="U32" s="79"/>
      <c r="V32" s="93">
        <f>V30/T16</f>
        <v>105604.92047173338</v>
      </c>
      <c r="Y32" s="459" t="s">
        <v>55</v>
      </c>
      <c r="Z32" s="459"/>
      <c r="AA32" s="459"/>
      <c r="AB32" s="79"/>
      <c r="AC32" s="93">
        <f>AC30/AA16</f>
        <v>101360.07296463114</v>
      </c>
    </row>
  </sheetData>
  <mergeCells count="58">
    <mergeCell ref="AC3:AC10"/>
    <mergeCell ref="AA12:AB12"/>
    <mergeCell ref="AA13:AB13"/>
    <mergeCell ref="AA14:AB14"/>
    <mergeCell ref="Y26:AA26"/>
    <mergeCell ref="Y27:AA27"/>
    <mergeCell ref="B28:D28"/>
    <mergeCell ref="J28:L28"/>
    <mergeCell ref="R28:T28"/>
    <mergeCell ref="AA2:AB2"/>
    <mergeCell ref="Y3:Y10"/>
    <mergeCell ref="Z3:Z10"/>
    <mergeCell ref="AA3:AB10"/>
    <mergeCell ref="Y28:AA28"/>
    <mergeCell ref="B26:D26"/>
    <mergeCell ref="J26:L26"/>
    <mergeCell ref="R26:T26"/>
    <mergeCell ref="B27:D27"/>
    <mergeCell ref="J27:L27"/>
    <mergeCell ref="R27:T27"/>
    <mergeCell ref="T12:U12"/>
    <mergeCell ref="D13:E13"/>
    <mergeCell ref="L13:M13"/>
    <mergeCell ref="T13:U13"/>
    <mergeCell ref="D14:E14"/>
    <mergeCell ref="L14:M14"/>
    <mergeCell ref="T14:U14"/>
    <mergeCell ref="L12:M12"/>
    <mergeCell ref="V3:V10"/>
    <mergeCell ref="D4:E4"/>
    <mergeCell ref="L4:M4"/>
    <mergeCell ref="D5:E5"/>
    <mergeCell ref="L5:M5"/>
    <mergeCell ref="D6:E6"/>
    <mergeCell ref="L6:M6"/>
    <mergeCell ref="D7:E7"/>
    <mergeCell ref="L7:M7"/>
    <mergeCell ref="D8:E8"/>
    <mergeCell ref="L8:M8"/>
    <mergeCell ref="D9:E9"/>
    <mergeCell ref="L9:M9"/>
    <mergeCell ref="D10:E10"/>
    <mergeCell ref="B32:D32"/>
    <mergeCell ref="J32:L32"/>
    <mergeCell ref="R32:T32"/>
    <mergeCell ref="Y32:AA32"/>
    <mergeCell ref="D2:E2"/>
    <mergeCell ref="L2:M2"/>
    <mergeCell ref="T2:U2"/>
    <mergeCell ref="D3:E3"/>
    <mergeCell ref="J3:J10"/>
    <mergeCell ref="L3:M3"/>
    <mergeCell ref="N3:N10"/>
    <mergeCell ref="R3:R10"/>
    <mergeCell ref="S3:S10"/>
    <mergeCell ref="T3:U10"/>
    <mergeCell ref="L10:M10"/>
    <mergeCell ref="D12:E12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A416C-5570-4459-B598-66AB80177903}">
  <sheetPr>
    <tabColor rgb="FFFF0000"/>
  </sheetPr>
  <dimension ref="A1:U26"/>
  <sheetViews>
    <sheetView workbookViewId="0">
      <selection activeCell="R3" sqref="R3:T10"/>
    </sheetView>
  </sheetViews>
  <sheetFormatPr defaultRowHeight="15" x14ac:dyDescent="0.25"/>
  <cols>
    <col min="1" max="1" width="4.7109375" customWidth="1"/>
    <col min="2" max="2" width="27.85546875" customWidth="1"/>
    <col min="3" max="3" width="12" style="35" customWidth="1"/>
    <col min="4" max="4" width="8.28515625" customWidth="1"/>
    <col min="5" max="5" width="4.28515625" customWidth="1"/>
    <col min="6" max="6" width="23.28515625" customWidth="1"/>
    <col min="7" max="7" width="1" style="35" customWidth="1"/>
    <col min="8" max="8" width="5" customWidth="1"/>
    <col min="9" max="9" width="27.85546875" customWidth="1"/>
    <col min="10" max="10" width="12" style="35" customWidth="1"/>
    <col min="11" max="11" width="8.28515625" customWidth="1"/>
    <col min="12" max="12" width="3" customWidth="1"/>
    <col min="13" max="13" width="23.28515625" customWidth="1"/>
    <col min="14" max="14" width="1" style="140" customWidth="1"/>
    <col min="15" max="15" width="4.85546875" customWidth="1"/>
    <col min="16" max="16" width="27.85546875" customWidth="1"/>
    <col min="17" max="17" width="12" style="35" customWidth="1"/>
    <col min="18" max="18" width="8.28515625" customWidth="1"/>
    <col min="19" max="19" width="3" customWidth="1"/>
    <col min="20" max="20" width="23.28515625" customWidth="1"/>
    <col min="21" max="21" width="1.7109375" customWidth="1"/>
    <col min="22" max="22" width="10" bestFit="1" customWidth="1"/>
  </cols>
  <sheetData>
    <row r="1" spans="1:20" ht="38.25" customHeight="1" thickBot="1" x14ac:dyDescent="0.35">
      <c r="B1" s="257" t="s">
        <v>145</v>
      </c>
      <c r="F1" s="246" t="s">
        <v>137</v>
      </c>
      <c r="G1" s="105"/>
      <c r="H1" s="106"/>
      <c r="I1" s="258" t="s">
        <v>147</v>
      </c>
      <c r="J1" s="105"/>
      <c r="K1" s="106"/>
      <c r="L1" s="106"/>
      <c r="M1" s="104" t="s">
        <v>50</v>
      </c>
      <c r="N1" s="139"/>
      <c r="O1" s="106"/>
      <c r="P1" s="258" t="s">
        <v>148</v>
      </c>
      <c r="Q1" s="105"/>
      <c r="R1" s="106"/>
      <c r="S1" s="106"/>
      <c r="T1" s="104" t="s">
        <v>52</v>
      </c>
    </row>
    <row r="2" spans="1:20" ht="15.75" thickBot="1" x14ac:dyDescent="0.3">
      <c r="A2" s="54" t="s">
        <v>58</v>
      </c>
      <c r="B2" s="55" t="s">
        <v>73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  <c r="H2" s="54" t="s">
        <v>58</v>
      </c>
      <c r="I2" s="55" t="s">
        <v>73</v>
      </c>
      <c r="J2" s="56" t="s">
        <v>18</v>
      </c>
      <c r="K2" s="379" t="s">
        <v>21</v>
      </c>
      <c r="L2" s="380"/>
      <c r="M2" s="57" t="s">
        <v>32</v>
      </c>
      <c r="O2" s="54" t="s">
        <v>58</v>
      </c>
      <c r="P2" s="55" t="s">
        <v>73</v>
      </c>
      <c r="Q2" s="56" t="s">
        <v>18</v>
      </c>
      <c r="R2" s="379" t="s">
        <v>21</v>
      </c>
      <c r="S2" s="380"/>
      <c r="T2" s="57" t="s">
        <v>32</v>
      </c>
    </row>
    <row r="3" spans="1:20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81">
        <v>1</v>
      </c>
      <c r="I3" s="383" t="s">
        <v>47</v>
      </c>
      <c r="J3" s="85" t="s">
        <v>19</v>
      </c>
      <c r="K3" s="381">
        <f>404.352+9.256</f>
        <v>413.60799999999995</v>
      </c>
      <c r="L3" s="382"/>
      <c r="M3" s="386">
        <v>164516389.53999999</v>
      </c>
      <c r="O3" s="81">
        <v>1</v>
      </c>
      <c r="P3" s="383" t="s">
        <v>47</v>
      </c>
      <c r="Q3" s="389" t="s">
        <v>19</v>
      </c>
      <c r="R3" s="392">
        <f>'!расчет (2 сценария)'!K16</f>
        <v>1791.6900000000003</v>
      </c>
      <c r="S3" s="393"/>
      <c r="T3" s="386">
        <v>139860049.75999999</v>
      </c>
    </row>
    <row r="4" spans="1:20" ht="30" x14ac:dyDescent="0.25">
      <c r="A4" s="82">
        <v>2</v>
      </c>
      <c r="B4" s="87" t="s">
        <v>25</v>
      </c>
      <c r="C4" s="88" t="s">
        <v>19</v>
      </c>
      <c r="D4" s="381">
        <f>676.624</f>
        <v>676.62400000000002</v>
      </c>
      <c r="E4" s="382"/>
      <c r="F4" s="89">
        <f>77526903.96-G4</f>
        <v>28449520.749999993</v>
      </c>
      <c r="G4" s="36">
        <v>49077383.210000001</v>
      </c>
      <c r="H4" s="82">
        <v>2</v>
      </c>
      <c r="I4" s="384"/>
      <c r="J4" s="88" t="s">
        <v>19</v>
      </c>
      <c r="K4" s="398">
        <f>676.624</f>
        <v>676.62400000000002</v>
      </c>
      <c r="L4" s="399"/>
      <c r="M4" s="387"/>
      <c r="O4" s="82">
        <v>2</v>
      </c>
      <c r="P4" s="384"/>
      <c r="Q4" s="390"/>
      <c r="R4" s="394"/>
      <c r="S4" s="395"/>
      <c r="T4" s="387"/>
    </row>
    <row r="5" spans="1:20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82">
        <v>3</v>
      </c>
      <c r="I5" s="384"/>
      <c r="J5" s="88" t="s">
        <v>19</v>
      </c>
      <c r="K5" s="398">
        <v>295.15199999999999</v>
      </c>
      <c r="L5" s="399"/>
      <c r="M5" s="387"/>
      <c r="O5" s="82">
        <v>3</v>
      </c>
      <c r="P5" s="384"/>
      <c r="Q5" s="390"/>
      <c r="R5" s="394"/>
      <c r="S5" s="395"/>
      <c r="T5" s="387"/>
    </row>
    <row r="6" spans="1:20" ht="30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82">
        <v>4</v>
      </c>
      <c r="I6" s="384"/>
      <c r="J6" s="88" t="s">
        <v>19</v>
      </c>
      <c r="K6" s="398">
        <v>284.85599999999999</v>
      </c>
      <c r="L6" s="399"/>
      <c r="M6" s="387"/>
      <c r="O6" s="82">
        <v>4</v>
      </c>
      <c r="P6" s="384"/>
      <c r="Q6" s="390"/>
      <c r="R6" s="394"/>
      <c r="S6" s="395"/>
      <c r="T6" s="387"/>
    </row>
    <row r="7" spans="1:20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82">
        <v>5</v>
      </c>
      <c r="I7" s="384"/>
      <c r="J7" s="88" t="s">
        <v>19</v>
      </c>
      <c r="K7" s="398">
        <v>103.27200000000001</v>
      </c>
      <c r="L7" s="399"/>
      <c r="M7" s="387"/>
      <c r="O7" s="82">
        <v>5</v>
      </c>
      <c r="P7" s="384"/>
      <c r="Q7" s="390"/>
      <c r="R7" s="394"/>
      <c r="S7" s="395"/>
      <c r="T7" s="387"/>
    </row>
    <row r="8" spans="1:20" ht="30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82">
        <v>6</v>
      </c>
      <c r="I8" s="384"/>
      <c r="J8" s="88" t="s">
        <v>19</v>
      </c>
      <c r="K8" s="398">
        <v>66.872</v>
      </c>
      <c r="L8" s="399"/>
      <c r="M8" s="387"/>
      <c r="O8" s="82">
        <v>6</v>
      </c>
      <c r="P8" s="384"/>
      <c r="Q8" s="390"/>
      <c r="R8" s="394"/>
      <c r="S8" s="395"/>
      <c r="T8" s="387"/>
    </row>
    <row r="9" spans="1:20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82">
        <v>7</v>
      </c>
      <c r="I9" s="384"/>
      <c r="J9" s="88" t="s">
        <v>19</v>
      </c>
      <c r="K9" s="398">
        <v>233.27199999999999</v>
      </c>
      <c r="L9" s="399"/>
      <c r="M9" s="387"/>
      <c r="O9" s="82">
        <v>7</v>
      </c>
      <c r="P9" s="384"/>
      <c r="Q9" s="390"/>
      <c r="R9" s="394"/>
      <c r="S9" s="395"/>
      <c r="T9" s="387"/>
    </row>
    <row r="10" spans="1:20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83">
        <v>8</v>
      </c>
      <c r="I10" s="385"/>
      <c r="J10" s="91" t="s">
        <v>19</v>
      </c>
      <c r="K10" s="400">
        <v>4.3680000000000003</v>
      </c>
      <c r="L10" s="401"/>
      <c r="M10" s="388"/>
      <c r="O10" s="83">
        <v>8</v>
      </c>
      <c r="P10" s="385"/>
      <c r="Q10" s="391"/>
      <c r="R10" s="396"/>
      <c r="S10" s="397"/>
      <c r="T10" s="388"/>
    </row>
    <row r="11" spans="1:20" ht="2.25" customHeight="1" thickTop="1" x14ac:dyDescent="0.25">
      <c r="A11" s="95"/>
      <c r="B11" s="96"/>
      <c r="C11" s="97"/>
      <c r="D11" s="247"/>
      <c r="E11" s="248"/>
      <c r="F11" s="100"/>
      <c r="G11" s="36"/>
      <c r="H11" s="95"/>
      <c r="I11" s="96"/>
      <c r="J11" s="97"/>
      <c r="K11" s="98"/>
      <c r="L11" s="99"/>
      <c r="M11" s="100"/>
      <c r="O11" s="95"/>
      <c r="P11" s="96"/>
      <c r="Q11" s="97"/>
      <c r="R11" s="98"/>
      <c r="S11" s="99"/>
      <c r="T11" s="100"/>
    </row>
    <row r="12" spans="1:20" ht="26.25" x14ac:dyDescent="0.25">
      <c r="A12" s="53">
        <v>9</v>
      </c>
      <c r="B12" s="50" t="s">
        <v>136</v>
      </c>
      <c r="C12" s="42" t="s">
        <v>29</v>
      </c>
      <c r="D12" s="402" t="s">
        <v>139</v>
      </c>
      <c r="E12" s="403"/>
      <c r="F12" s="43">
        <f>9769288.11-G12</f>
        <v>3704032.4099999992</v>
      </c>
      <c r="G12" s="36">
        <v>6065255.7000000002</v>
      </c>
      <c r="H12" s="53">
        <v>9</v>
      </c>
      <c r="I12" s="50" t="s">
        <v>27</v>
      </c>
      <c r="J12" s="42" t="s">
        <v>29</v>
      </c>
      <c r="K12" s="402" t="s">
        <v>31</v>
      </c>
      <c r="L12" s="403"/>
      <c r="M12" s="43">
        <v>3704032.4099999992</v>
      </c>
      <c r="O12" s="53">
        <v>9</v>
      </c>
      <c r="P12" s="50" t="s">
        <v>27</v>
      </c>
      <c r="Q12" s="42" t="s">
        <v>29</v>
      </c>
      <c r="R12" s="402" t="s">
        <v>31</v>
      </c>
      <c r="S12" s="403"/>
      <c r="T12" s="43">
        <v>3807347.4499999997</v>
      </c>
    </row>
    <row r="13" spans="1:20" x14ac:dyDescent="0.25">
      <c r="A13" s="52">
        <v>10</v>
      </c>
      <c r="B13" s="51" t="s">
        <v>28</v>
      </c>
      <c r="C13" s="40" t="s">
        <v>29</v>
      </c>
      <c r="D13" s="404" t="s">
        <v>142</v>
      </c>
      <c r="E13" s="405"/>
      <c r="F13" s="29">
        <f>22373496.67-G13</f>
        <v>15227354.290000003</v>
      </c>
      <c r="G13" s="36">
        <v>7146142.3799999999</v>
      </c>
      <c r="H13" s="52">
        <v>10</v>
      </c>
      <c r="I13" s="51" t="s">
        <v>28</v>
      </c>
      <c r="J13" s="40" t="s">
        <v>29</v>
      </c>
      <c r="K13" s="404" t="s">
        <v>30</v>
      </c>
      <c r="L13" s="405"/>
      <c r="M13" s="29">
        <v>15227354.290000003</v>
      </c>
      <c r="O13" s="52">
        <v>10</v>
      </c>
      <c r="P13" s="51" t="s">
        <v>28</v>
      </c>
      <c r="Q13" s="40" t="s">
        <v>29</v>
      </c>
      <c r="R13" s="404" t="s">
        <v>30</v>
      </c>
      <c r="S13" s="405"/>
      <c r="T13" s="29">
        <v>14168223.84</v>
      </c>
    </row>
    <row r="14" spans="1:20" ht="15.75" thickBot="1" x14ac:dyDescent="0.3">
      <c r="A14" s="70">
        <v>11</v>
      </c>
      <c r="B14" s="71" t="s">
        <v>17</v>
      </c>
      <c r="C14" s="72" t="s">
        <v>20</v>
      </c>
      <c r="D14" s="406">
        <f>47.6596*100</f>
        <v>4765.96</v>
      </c>
      <c r="E14" s="407"/>
      <c r="F14" s="73">
        <v>1105733.3899999999</v>
      </c>
      <c r="G14" s="36"/>
      <c r="H14" s="70">
        <v>11</v>
      </c>
      <c r="I14" s="71" t="s">
        <v>17</v>
      </c>
      <c r="J14" s="72" t="s">
        <v>20</v>
      </c>
      <c r="K14" s="406">
        <f>47.6596*100</f>
        <v>4765.96</v>
      </c>
      <c r="L14" s="407"/>
      <c r="M14" s="73">
        <v>1105733.3899999999</v>
      </c>
      <c r="O14" s="70">
        <v>11</v>
      </c>
      <c r="P14" s="71" t="s">
        <v>17</v>
      </c>
      <c r="Q14" s="72" t="s">
        <v>20</v>
      </c>
      <c r="R14" s="406">
        <f>47.6596*100</f>
        <v>4765.96</v>
      </c>
      <c r="S14" s="407"/>
      <c r="T14" s="73">
        <v>1105733.3899999999</v>
      </c>
    </row>
    <row r="15" spans="1:20" ht="6" customHeight="1" thickBot="1" x14ac:dyDescent="0.3">
      <c r="A15" s="74"/>
      <c r="B15" s="75"/>
      <c r="C15" s="76"/>
      <c r="D15" s="77"/>
      <c r="E15" s="77"/>
      <c r="F15" s="78"/>
      <c r="H15" s="74"/>
      <c r="I15" s="75"/>
      <c r="J15" s="76"/>
      <c r="K15" s="77"/>
      <c r="L15" s="77"/>
      <c r="M15" s="78"/>
      <c r="O15" s="74"/>
      <c r="P15" s="75"/>
      <c r="Q15" s="76"/>
      <c r="R15" s="77"/>
      <c r="S15" s="77"/>
      <c r="T15" s="78"/>
    </row>
    <row r="16" spans="1:20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69">
        <v>12</v>
      </c>
      <c r="I16" s="59" t="s">
        <v>22</v>
      </c>
      <c r="J16" s="60"/>
      <c r="K16" s="61">
        <f>SUM(K3:L10)</f>
        <v>2078.0239999999999</v>
      </c>
      <c r="L16" s="62" t="s">
        <v>19</v>
      </c>
      <c r="M16" s="63">
        <f>SUM(M3:M14)</f>
        <v>184553509.62999997</v>
      </c>
      <c r="O16" s="69">
        <v>12</v>
      </c>
      <c r="P16" s="59" t="s">
        <v>22</v>
      </c>
      <c r="Q16" s="60"/>
      <c r="R16" s="61">
        <f>'!расчет (2 сценария)'!K16</f>
        <v>1791.6900000000003</v>
      </c>
      <c r="S16" s="62" t="s">
        <v>19</v>
      </c>
      <c r="T16" s="63">
        <f>SUM(T3:T14)</f>
        <v>158941354.43999997</v>
      </c>
    </row>
    <row r="17" spans="1:21" ht="30.75" thickBot="1" x14ac:dyDescent="0.3">
      <c r="A17" s="67">
        <v>13</v>
      </c>
      <c r="B17" s="58" t="s">
        <v>23</v>
      </c>
      <c r="C17" s="41"/>
      <c r="D17" s="45"/>
      <c r="E17" s="46"/>
      <c r="F17" s="47">
        <f>F16*0.03</f>
        <v>3888810.0935999998</v>
      </c>
      <c r="H17" s="67">
        <v>13</v>
      </c>
      <c r="I17" s="58" t="s">
        <v>23</v>
      </c>
      <c r="J17" s="41"/>
      <c r="K17" s="45"/>
      <c r="L17" s="46"/>
      <c r="M17" s="47">
        <f>M16*0.03</f>
        <v>5536605.2888999991</v>
      </c>
      <c r="O17" s="67">
        <v>13</v>
      </c>
      <c r="P17" s="58" t="s">
        <v>23</v>
      </c>
      <c r="Q17" s="41"/>
      <c r="R17" s="45"/>
      <c r="S17" s="46"/>
      <c r="T17" s="47">
        <f>T16*0.03</f>
        <v>4768240.6331999991</v>
      </c>
    </row>
    <row r="18" spans="1:21" ht="30.75" thickBot="1" x14ac:dyDescent="0.3">
      <c r="A18" s="68">
        <v>14</v>
      </c>
      <c r="B18" s="64" t="s">
        <v>36</v>
      </c>
      <c r="C18" s="48"/>
      <c r="D18" s="65"/>
      <c r="E18" s="44"/>
      <c r="F18" s="66">
        <f>F16+F17</f>
        <v>133515813.21360001</v>
      </c>
      <c r="G18" s="36"/>
      <c r="H18" s="68">
        <v>14</v>
      </c>
      <c r="I18" s="64" t="s">
        <v>36</v>
      </c>
      <c r="J18" s="48"/>
      <c r="K18" s="65"/>
      <c r="L18" s="44"/>
      <c r="M18" s="66">
        <f>M16+M17</f>
        <v>190090114.91889995</v>
      </c>
      <c r="O18" s="68">
        <v>14</v>
      </c>
      <c r="P18" s="64" t="s">
        <v>36</v>
      </c>
      <c r="Q18" s="48"/>
      <c r="R18" s="65"/>
      <c r="S18" s="44"/>
      <c r="T18" s="66">
        <f>T16+T17</f>
        <v>163709595.07319996</v>
      </c>
    </row>
    <row r="19" spans="1:21" ht="31.5" thickBot="1" x14ac:dyDescent="0.3">
      <c r="A19" s="67">
        <v>15</v>
      </c>
      <c r="B19" s="58" t="s">
        <v>35</v>
      </c>
      <c r="C19" s="41"/>
      <c r="D19" s="45"/>
      <c r="E19" s="46"/>
      <c r="F19" s="47">
        <f>F18*G19</f>
        <v>159709185.41</v>
      </c>
      <c r="G19" s="35">
        <v>1.1961817972414666</v>
      </c>
      <c r="H19" s="67">
        <v>15</v>
      </c>
      <c r="I19" s="58" t="s">
        <v>57</v>
      </c>
      <c r="J19" s="41"/>
      <c r="K19" s="45"/>
      <c r="L19" s="46"/>
      <c r="M19" s="47">
        <f>M18*N19</f>
        <v>159709185.41666669</v>
      </c>
      <c r="N19" s="141">
        <v>0.84017617373110121</v>
      </c>
      <c r="O19" s="67">
        <v>15</v>
      </c>
      <c r="P19" s="58" t="s">
        <v>143</v>
      </c>
      <c r="Q19" s="41"/>
      <c r="R19" s="45"/>
      <c r="S19" s="46"/>
      <c r="T19" s="47">
        <f>T18*U19</f>
        <v>159709185.40833333</v>
      </c>
      <c r="U19" s="142">
        <v>0.97556398778533471</v>
      </c>
    </row>
    <row r="20" spans="1:21" ht="19.5" customHeight="1" thickBot="1" x14ac:dyDescent="0.3">
      <c r="A20" s="68">
        <v>16</v>
      </c>
      <c r="B20" s="64" t="s">
        <v>22</v>
      </c>
      <c r="C20" s="48"/>
      <c r="D20" s="65"/>
      <c r="E20" s="44"/>
      <c r="F20" s="66">
        <f>F19</f>
        <v>159709185.41</v>
      </c>
      <c r="H20" s="68">
        <v>16</v>
      </c>
      <c r="I20" s="64" t="s">
        <v>22</v>
      </c>
      <c r="J20" s="48"/>
      <c r="K20" s="65"/>
      <c r="L20" s="44"/>
      <c r="M20" s="66">
        <f>M19</f>
        <v>159709185.41666669</v>
      </c>
      <c r="O20" s="68">
        <v>16</v>
      </c>
      <c r="P20" s="64" t="s">
        <v>22</v>
      </c>
      <c r="Q20" s="48"/>
      <c r="R20" s="65"/>
      <c r="S20" s="44"/>
      <c r="T20" s="66">
        <f>T19</f>
        <v>159709185.40833333</v>
      </c>
    </row>
    <row r="21" spans="1:21" ht="19.5" customHeight="1" thickBot="1" x14ac:dyDescent="0.3">
      <c r="A21" s="67">
        <v>17</v>
      </c>
      <c r="B21" s="58" t="s">
        <v>33</v>
      </c>
      <c r="C21" s="41"/>
      <c r="D21" s="45"/>
      <c r="E21" s="46"/>
      <c r="F21" s="47">
        <f>F20*0.2</f>
        <v>31941837.082000002</v>
      </c>
      <c r="H21" s="67">
        <v>17</v>
      </c>
      <c r="I21" s="58" t="s">
        <v>33</v>
      </c>
      <c r="J21" s="41"/>
      <c r="K21" s="45"/>
      <c r="L21" s="46"/>
      <c r="M21" s="47">
        <f>M20*0.2</f>
        <v>31941837.08333334</v>
      </c>
      <c r="O21" s="67">
        <v>17</v>
      </c>
      <c r="P21" s="58" t="s">
        <v>33</v>
      </c>
      <c r="Q21" s="41"/>
      <c r="R21" s="45"/>
      <c r="S21" s="46"/>
      <c r="T21" s="47">
        <f>T20*0.2</f>
        <v>31941837.081666667</v>
      </c>
    </row>
    <row r="22" spans="1:21" ht="19.5" customHeight="1" thickBot="1" x14ac:dyDescent="0.3">
      <c r="A22" s="69">
        <v>18</v>
      </c>
      <c r="B22" s="59" t="s">
        <v>34</v>
      </c>
      <c r="C22" s="60"/>
      <c r="D22" s="61"/>
      <c r="E22" s="62"/>
      <c r="F22" s="107">
        <f>F20+F21</f>
        <v>191651022.49199998</v>
      </c>
      <c r="H22" s="69">
        <v>18</v>
      </c>
      <c r="I22" s="59" t="s">
        <v>34</v>
      </c>
      <c r="J22" s="60"/>
      <c r="K22" s="61"/>
      <c r="L22" s="62"/>
      <c r="M22" s="107">
        <f>M20+M21-0.01</f>
        <v>191651022.49000004</v>
      </c>
      <c r="O22" s="69">
        <v>18</v>
      </c>
      <c r="P22" s="59" t="s">
        <v>34</v>
      </c>
      <c r="Q22" s="60"/>
      <c r="R22" s="61"/>
      <c r="S22" s="62"/>
      <c r="T22" s="107">
        <f>T20+T21</f>
        <v>191651022.49000001</v>
      </c>
    </row>
    <row r="23" spans="1:21" x14ac:dyDescent="0.25">
      <c r="C23"/>
      <c r="G23" s="39"/>
      <c r="J23"/>
      <c r="Q23"/>
    </row>
    <row r="24" spans="1:21" ht="35.25" customHeight="1" x14ac:dyDescent="0.25">
      <c r="B24" s="459" t="s">
        <v>53</v>
      </c>
      <c r="C24" s="459"/>
      <c r="D24" s="459"/>
      <c r="E24" s="79"/>
      <c r="F24" s="93">
        <f>(F3+F4+F5+F6+F7+F8+F9+F10)*G19*1.2/D16</f>
        <v>75700.428816399144</v>
      </c>
      <c r="G24" s="39"/>
      <c r="I24" s="459" t="s">
        <v>53</v>
      </c>
      <c r="J24" s="459"/>
      <c r="K24" s="459"/>
      <c r="L24" s="79"/>
      <c r="M24" s="93">
        <f>(M3+M4+M5+M6+M7+M8+M9+M10)*N19*1.2/K16</f>
        <v>79819.723360137839</v>
      </c>
      <c r="P24" s="459" t="s">
        <v>53</v>
      </c>
      <c r="Q24" s="459"/>
      <c r="R24" s="459"/>
      <c r="S24" s="79"/>
      <c r="T24" s="93">
        <f>(T3+T4+T5+T6+T7+T8+T9+T10)*U19*1.2/R16</f>
        <v>91383.505768779811</v>
      </c>
    </row>
    <row r="25" spans="1:21" ht="30.75" customHeight="1" x14ac:dyDescent="0.25">
      <c r="B25" s="459" t="s">
        <v>54</v>
      </c>
      <c r="C25" s="459"/>
      <c r="D25" s="459"/>
      <c r="E25" s="79"/>
      <c r="F25" s="93">
        <f>F16*G19*1.2/D16</f>
        <v>89541.292052319011</v>
      </c>
      <c r="G25" s="39"/>
      <c r="I25" s="459" t="s">
        <v>54</v>
      </c>
      <c r="J25" s="459"/>
      <c r="K25" s="459"/>
      <c r="L25" s="79"/>
      <c r="M25" s="93">
        <f>M16*N19*1.2/K16</f>
        <v>89541.2920560567</v>
      </c>
      <c r="P25" s="459" t="s">
        <v>54</v>
      </c>
      <c r="Q25" s="459"/>
      <c r="R25" s="459"/>
      <c r="S25" s="79"/>
      <c r="T25" s="93">
        <f>T16*U19*1.2/R16</f>
        <v>103851.08689214451</v>
      </c>
    </row>
    <row r="26" spans="1:21" ht="37.5" customHeight="1" x14ac:dyDescent="0.25">
      <c r="B26" s="459" t="s">
        <v>55</v>
      </c>
      <c r="C26" s="459"/>
      <c r="D26" s="459"/>
      <c r="E26" s="79"/>
      <c r="F26" s="93">
        <f>F22/D16</f>
        <v>92227.530813888574</v>
      </c>
      <c r="G26" s="39"/>
      <c r="I26" s="459" t="s">
        <v>55</v>
      </c>
      <c r="J26" s="459"/>
      <c r="K26" s="459"/>
      <c r="L26" s="79"/>
      <c r="M26" s="93">
        <f>M22/K16</f>
        <v>92227.530812926154</v>
      </c>
      <c r="P26" s="459" t="s">
        <v>55</v>
      </c>
      <c r="Q26" s="459"/>
      <c r="R26" s="459"/>
      <c r="S26" s="79"/>
      <c r="T26" s="93">
        <f>T22/R16</f>
        <v>106966.61949890884</v>
      </c>
    </row>
  </sheetData>
  <mergeCells count="43">
    <mergeCell ref="P25:R25"/>
    <mergeCell ref="P26:R26"/>
    <mergeCell ref="R14:S14"/>
    <mergeCell ref="Q3:Q10"/>
    <mergeCell ref="R3:S10"/>
    <mergeCell ref="P24:R24"/>
    <mergeCell ref="B24:D24"/>
    <mergeCell ref="B25:D25"/>
    <mergeCell ref="B26:D26"/>
    <mergeCell ref="I24:K24"/>
    <mergeCell ref="I25:K25"/>
    <mergeCell ref="I26:K26"/>
    <mergeCell ref="T3:T10"/>
    <mergeCell ref="K12:L12"/>
    <mergeCell ref="K13:L13"/>
    <mergeCell ref="K14:L14"/>
    <mergeCell ref="M3:M10"/>
    <mergeCell ref="I3:I10"/>
    <mergeCell ref="R2:S2"/>
    <mergeCell ref="P3:P10"/>
    <mergeCell ref="R12:S12"/>
    <mergeCell ref="R13:S1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D14:E1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2:E12"/>
    <mergeCell ref="D13:E1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2848-6F90-486F-AB25-668201FD3BCA}">
  <sheetPr>
    <tabColor rgb="FF00B0F0"/>
  </sheetPr>
  <dimension ref="A1:AE30"/>
  <sheetViews>
    <sheetView topLeftCell="O17" workbookViewId="0">
      <selection activeCell="V22" sqref="V22"/>
    </sheetView>
  </sheetViews>
  <sheetFormatPr defaultRowHeight="15" x14ac:dyDescent="0.25"/>
  <cols>
    <col min="1" max="1" width="4.7109375" hidden="1" customWidth="1"/>
    <col min="2" max="2" width="27.85546875" hidden="1" customWidth="1"/>
    <col min="3" max="3" width="12" style="35" hidden="1" customWidth="1"/>
    <col min="4" max="4" width="8.28515625" hidden="1" customWidth="1"/>
    <col min="5" max="5" width="3" hidden="1" customWidth="1"/>
    <col min="6" max="6" width="23.28515625" hidden="1" customWidth="1"/>
    <col min="7" max="7" width="14.7109375" style="35" hidden="1" customWidth="1"/>
    <col min="8" max="8" width="2.140625" style="35" hidden="1" customWidth="1"/>
    <col min="9" max="9" width="5" hidden="1" customWidth="1"/>
    <col min="10" max="10" width="27.85546875" hidden="1" customWidth="1"/>
    <col min="11" max="11" width="12" style="35" hidden="1" customWidth="1"/>
    <col min="12" max="12" width="8.28515625" hidden="1" customWidth="1"/>
    <col min="13" max="13" width="3" hidden="1" customWidth="1"/>
    <col min="14" max="14" width="23.28515625" hidden="1" customWidth="1"/>
    <col min="15" max="15" width="0.140625" customWidth="1"/>
    <col min="16" max="16" width="3.140625" customWidth="1"/>
    <col min="17" max="17" width="4.85546875" customWidth="1"/>
    <col min="18" max="18" width="27.85546875" customWidth="1"/>
    <col min="19" max="19" width="23.85546875" style="35" customWidth="1"/>
    <col min="20" max="20" width="8.28515625" customWidth="1"/>
    <col min="21" max="21" width="3" customWidth="1"/>
    <col min="22" max="22" width="23.28515625" customWidth="1"/>
    <col min="23" max="23" width="2.42578125" customWidth="1"/>
    <col min="24" max="24" width="4.85546875" customWidth="1"/>
    <col min="25" max="25" width="27.85546875" customWidth="1"/>
    <col min="26" max="26" width="20.42578125" style="35" customWidth="1"/>
    <col min="27" max="27" width="8.28515625" customWidth="1"/>
    <col min="28" max="28" width="3" customWidth="1"/>
    <col min="29" max="29" width="30.42578125" customWidth="1"/>
    <col min="30" max="30" width="2.42578125" customWidth="1"/>
    <col min="31" max="31" width="15.7109375" customWidth="1"/>
  </cols>
  <sheetData>
    <row r="1" spans="1:31" ht="38.25" thickBot="1" x14ac:dyDescent="0.35">
      <c r="F1" s="104" t="s">
        <v>51</v>
      </c>
      <c r="G1" s="105"/>
      <c r="H1" s="105"/>
      <c r="I1" s="106"/>
      <c r="J1" s="106"/>
      <c r="K1" s="105"/>
      <c r="L1" s="106"/>
      <c r="M1" s="106"/>
      <c r="N1" s="104" t="s">
        <v>50</v>
      </c>
      <c r="O1" s="106"/>
      <c r="P1" s="106"/>
      <c r="Q1" s="106"/>
      <c r="R1" s="106"/>
      <c r="S1" s="144" t="str">
        <f>S17</f>
        <v>некорректный расчет</v>
      </c>
      <c r="T1" s="106"/>
      <c r="U1" s="106"/>
      <c r="V1" s="104" t="s">
        <v>71</v>
      </c>
      <c r="X1" s="106"/>
      <c r="Y1" s="106"/>
      <c r="Z1" s="105"/>
      <c r="AA1" s="106"/>
      <c r="AB1" s="106"/>
      <c r="AC1" s="104" t="s">
        <v>135</v>
      </c>
    </row>
    <row r="2" spans="1:31" ht="15.75" thickBot="1" x14ac:dyDescent="0.3">
      <c r="A2" s="54" t="s">
        <v>58</v>
      </c>
      <c r="B2" s="55" t="s">
        <v>38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  <c r="H2" s="1"/>
      <c r="I2" s="54" t="s">
        <v>58</v>
      </c>
      <c r="J2" s="55" t="s">
        <v>38</v>
      </c>
      <c r="K2" s="56" t="s">
        <v>18</v>
      </c>
      <c r="L2" s="379" t="s">
        <v>21</v>
      </c>
      <c r="M2" s="380"/>
      <c r="N2" s="57" t="s">
        <v>32</v>
      </c>
      <c r="Q2" s="54" t="s">
        <v>58</v>
      </c>
      <c r="R2" s="55" t="s">
        <v>73</v>
      </c>
      <c r="S2" s="56" t="s">
        <v>18</v>
      </c>
      <c r="T2" s="379" t="s">
        <v>21</v>
      </c>
      <c r="U2" s="380"/>
      <c r="V2" s="57" t="s">
        <v>32</v>
      </c>
      <c r="X2" s="54" t="s">
        <v>58</v>
      </c>
      <c r="Y2" s="55" t="s">
        <v>73</v>
      </c>
      <c r="Z2" s="56" t="s">
        <v>18</v>
      </c>
      <c r="AA2" s="379" t="s">
        <v>21</v>
      </c>
      <c r="AB2" s="380"/>
      <c r="AC2" s="57" t="s">
        <v>32</v>
      </c>
    </row>
    <row r="3" spans="1:31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36"/>
      <c r="I3" s="81">
        <v>1</v>
      </c>
      <c r="J3" s="383" t="s">
        <v>47</v>
      </c>
      <c r="K3" s="85" t="s">
        <v>19</v>
      </c>
      <c r="L3" s="381">
        <f>404.352+9.256</f>
        <v>413.60799999999995</v>
      </c>
      <c r="M3" s="382"/>
      <c r="N3" s="386">
        <v>164516389.53999999</v>
      </c>
      <c r="Q3" s="81">
        <v>1</v>
      </c>
      <c r="R3" s="383" t="s">
        <v>47</v>
      </c>
      <c r="S3" s="389" t="s">
        <v>19</v>
      </c>
      <c r="T3" s="392">
        <v>1893.4</v>
      </c>
      <c r="U3" s="393"/>
      <c r="V3" s="386">
        <v>147799573.72999999</v>
      </c>
      <c r="X3" s="81">
        <v>1</v>
      </c>
      <c r="Y3" s="383" t="s">
        <v>47</v>
      </c>
      <c r="Z3" s="389" t="s">
        <v>19</v>
      </c>
      <c r="AA3" s="392">
        <v>1893.4</v>
      </c>
      <c r="AB3" s="393"/>
      <c r="AC3" s="386">
        <v>147799573.72999999</v>
      </c>
    </row>
    <row r="4" spans="1:31" ht="30" x14ac:dyDescent="0.25">
      <c r="A4" s="82">
        <v>2</v>
      </c>
      <c r="B4" s="87" t="s">
        <v>25</v>
      </c>
      <c r="C4" s="88" t="s">
        <v>19</v>
      </c>
      <c r="D4" s="398">
        <f>676.624</f>
        <v>676.62400000000002</v>
      </c>
      <c r="E4" s="399"/>
      <c r="F4" s="89">
        <f>77526903.96-G4</f>
        <v>28449520.749999993</v>
      </c>
      <c r="G4" s="36">
        <v>49077383.210000001</v>
      </c>
      <c r="H4" s="36"/>
      <c r="I4" s="82">
        <v>2</v>
      </c>
      <c r="J4" s="384"/>
      <c r="K4" s="88" t="s">
        <v>19</v>
      </c>
      <c r="L4" s="398">
        <f>676.624</f>
        <v>676.62400000000002</v>
      </c>
      <c r="M4" s="399"/>
      <c r="N4" s="387"/>
      <c r="Q4" s="82">
        <v>2</v>
      </c>
      <c r="R4" s="384"/>
      <c r="S4" s="390"/>
      <c r="T4" s="394"/>
      <c r="U4" s="395"/>
      <c r="V4" s="387"/>
      <c r="X4" s="82">
        <v>2</v>
      </c>
      <c r="Y4" s="384"/>
      <c r="Z4" s="390"/>
      <c r="AA4" s="394"/>
      <c r="AB4" s="395"/>
      <c r="AC4" s="387"/>
    </row>
    <row r="5" spans="1:31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36"/>
      <c r="I5" s="82">
        <v>3</v>
      </c>
      <c r="J5" s="384"/>
      <c r="K5" s="88" t="s">
        <v>19</v>
      </c>
      <c r="L5" s="398">
        <v>295.15199999999999</v>
      </c>
      <c r="M5" s="399"/>
      <c r="N5" s="387"/>
      <c r="Q5" s="82">
        <v>3</v>
      </c>
      <c r="R5" s="384"/>
      <c r="S5" s="390"/>
      <c r="T5" s="394"/>
      <c r="U5" s="395"/>
      <c r="V5" s="387"/>
      <c r="X5" s="82">
        <v>3</v>
      </c>
      <c r="Y5" s="384"/>
      <c r="Z5" s="390"/>
      <c r="AA5" s="394"/>
      <c r="AB5" s="395"/>
      <c r="AC5" s="387"/>
    </row>
    <row r="6" spans="1:31" ht="30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36"/>
      <c r="I6" s="82">
        <v>4</v>
      </c>
      <c r="J6" s="384"/>
      <c r="K6" s="88" t="s">
        <v>19</v>
      </c>
      <c r="L6" s="398">
        <v>284.85599999999999</v>
      </c>
      <c r="M6" s="399"/>
      <c r="N6" s="387"/>
      <c r="Q6" s="82">
        <v>4</v>
      </c>
      <c r="R6" s="384"/>
      <c r="S6" s="390"/>
      <c r="T6" s="394"/>
      <c r="U6" s="395"/>
      <c r="V6" s="387"/>
      <c r="X6" s="82">
        <v>4</v>
      </c>
      <c r="Y6" s="384"/>
      <c r="Z6" s="390"/>
      <c r="AA6" s="394"/>
      <c r="AB6" s="395"/>
      <c r="AC6" s="387"/>
    </row>
    <row r="7" spans="1:31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36"/>
      <c r="I7" s="82">
        <v>5</v>
      </c>
      <c r="J7" s="384"/>
      <c r="K7" s="88" t="s">
        <v>19</v>
      </c>
      <c r="L7" s="398">
        <v>103.27200000000001</v>
      </c>
      <c r="M7" s="399"/>
      <c r="N7" s="387"/>
      <c r="Q7" s="82">
        <v>5</v>
      </c>
      <c r="R7" s="384"/>
      <c r="S7" s="390"/>
      <c r="T7" s="394"/>
      <c r="U7" s="395"/>
      <c r="V7" s="387"/>
      <c r="X7" s="82">
        <v>5</v>
      </c>
      <c r="Y7" s="384"/>
      <c r="Z7" s="390"/>
      <c r="AA7" s="394"/>
      <c r="AB7" s="395"/>
      <c r="AC7" s="387"/>
    </row>
    <row r="8" spans="1:31" ht="30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36"/>
      <c r="I8" s="82">
        <v>6</v>
      </c>
      <c r="J8" s="384"/>
      <c r="K8" s="88" t="s">
        <v>19</v>
      </c>
      <c r="L8" s="398">
        <v>66.872</v>
      </c>
      <c r="M8" s="399"/>
      <c r="N8" s="387"/>
      <c r="Q8" s="82">
        <v>6</v>
      </c>
      <c r="R8" s="384"/>
      <c r="S8" s="390"/>
      <c r="T8" s="394"/>
      <c r="U8" s="395"/>
      <c r="V8" s="387"/>
      <c r="X8" s="82">
        <v>6</v>
      </c>
      <c r="Y8" s="384"/>
      <c r="Z8" s="390"/>
      <c r="AA8" s="394"/>
      <c r="AB8" s="395"/>
      <c r="AC8" s="387"/>
    </row>
    <row r="9" spans="1:31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36"/>
      <c r="I9" s="82">
        <v>7</v>
      </c>
      <c r="J9" s="384"/>
      <c r="K9" s="88" t="s">
        <v>19</v>
      </c>
      <c r="L9" s="398">
        <v>233.27199999999999</v>
      </c>
      <c r="M9" s="399"/>
      <c r="N9" s="387"/>
      <c r="Q9" s="82">
        <v>7</v>
      </c>
      <c r="R9" s="384"/>
      <c r="S9" s="390"/>
      <c r="T9" s="394"/>
      <c r="U9" s="395"/>
      <c r="V9" s="387"/>
      <c r="X9" s="82">
        <v>7</v>
      </c>
      <c r="Y9" s="384"/>
      <c r="Z9" s="390"/>
      <c r="AA9" s="394"/>
      <c r="AB9" s="395"/>
      <c r="AC9" s="387"/>
    </row>
    <row r="10" spans="1:31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36"/>
      <c r="I10" s="83">
        <v>8</v>
      </c>
      <c r="J10" s="385"/>
      <c r="K10" s="91" t="s">
        <v>19</v>
      </c>
      <c r="L10" s="400">
        <v>4.3680000000000003</v>
      </c>
      <c r="M10" s="401"/>
      <c r="N10" s="388"/>
      <c r="Q10" s="83">
        <v>8</v>
      </c>
      <c r="R10" s="385"/>
      <c r="S10" s="391"/>
      <c r="T10" s="396"/>
      <c r="U10" s="397"/>
      <c r="V10" s="388"/>
      <c r="X10" s="83">
        <v>8</v>
      </c>
      <c r="Y10" s="385"/>
      <c r="Z10" s="391"/>
      <c r="AA10" s="396"/>
      <c r="AB10" s="397"/>
      <c r="AC10" s="388"/>
    </row>
    <row r="11" spans="1:31" ht="2.25" customHeight="1" thickTop="1" x14ac:dyDescent="0.25">
      <c r="A11" s="95"/>
      <c r="B11" s="96"/>
      <c r="C11" s="97"/>
      <c r="D11" s="98"/>
      <c r="E11" s="99"/>
      <c r="F11" s="100"/>
      <c r="G11" s="36"/>
      <c r="H11" s="36"/>
      <c r="I11" s="95"/>
      <c r="J11" s="96"/>
      <c r="K11" s="97"/>
      <c r="L11" s="98"/>
      <c r="M11" s="99"/>
      <c r="N11" s="100"/>
      <c r="Q11" s="95"/>
      <c r="R11" s="96"/>
      <c r="S11" s="97"/>
      <c r="T11" s="98"/>
      <c r="U11" s="99"/>
      <c r="V11" s="100"/>
      <c r="X11" s="95"/>
      <c r="Y11" s="96"/>
      <c r="Z11" s="97"/>
      <c r="AA11" s="98"/>
      <c r="AB11" s="99"/>
      <c r="AC11" s="100"/>
    </row>
    <row r="12" spans="1:31" x14ac:dyDescent="0.25">
      <c r="A12" s="53">
        <v>9</v>
      </c>
      <c r="B12" s="50" t="s">
        <v>27</v>
      </c>
      <c r="C12" s="42" t="s">
        <v>29</v>
      </c>
      <c r="D12" s="402" t="s">
        <v>31</v>
      </c>
      <c r="E12" s="403"/>
      <c r="F12" s="43">
        <f>9769288.11-G12</f>
        <v>3704032.4099999992</v>
      </c>
      <c r="G12" s="36">
        <v>6065255.7000000002</v>
      </c>
      <c r="H12" s="36"/>
      <c r="I12" s="53">
        <v>9</v>
      </c>
      <c r="J12" s="50" t="s">
        <v>27</v>
      </c>
      <c r="K12" s="42" t="s">
        <v>29</v>
      </c>
      <c r="L12" s="402" t="s">
        <v>31</v>
      </c>
      <c r="M12" s="403"/>
      <c r="N12" s="43">
        <f>9769288.11-O12</f>
        <v>9769288.1099999994</v>
      </c>
      <c r="Q12" s="53">
        <v>9</v>
      </c>
      <c r="R12" s="50" t="s">
        <v>27</v>
      </c>
      <c r="S12" s="42" t="s">
        <v>29</v>
      </c>
      <c r="T12" s="402" t="s">
        <v>31</v>
      </c>
      <c r="U12" s="403"/>
      <c r="V12" s="43">
        <v>3704032.4099999992</v>
      </c>
      <c r="X12" s="53">
        <v>9</v>
      </c>
      <c r="Y12" s="50" t="s">
        <v>27</v>
      </c>
      <c r="Z12" s="42" t="s">
        <v>29</v>
      </c>
      <c r="AA12" s="402" t="s">
        <v>31</v>
      </c>
      <c r="AB12" s="403"/>
      <c r="AC12" s="43">
        <v>3704032.4099999992</v>
      </c>
    </row>
    <row r="13" spans="1:31" x14ac:dyDescent="0.25">
      <c r="A13" s="52">
        <v>10</v>
      </c>
      <c r="B13" s="51" t="s">
        <v>28</v>
      </c>
      <c r="C13" s="40" t="s">
        <v>29</v>
      </c>
      <c r="D13" s="404" t="s">
        <v>30</v>
      </c>
      <c r="E13" s="405"/>
      <c r="F13" s="29">
        <f>22373496.67-G13</f>
        <v>15227354.290000003</v>
      </c>
      <c r="G13" s="36">
        <v>7146142.3799999999</v>
      </c>
      <c r="H13" s="36"/>
      <c r="I13" s="52">
        <v>10</v>
      </c>
      <c r="J13" s="51" t="s">
        <v>28</v>
      </c>
      <c r="K13" s="40" t="s">
        <v>29</v>
      </c>
      <c r="L13" s="404" t="s">
        <v>30</v>
      </c>
      <c r="M13" s="405"/>
      <c r="N13" s="29">
        <f>22373496.67-O13</f>
        <v>22373496.670000002</v>
      </c>
      <c r="Q13" s="52">
        <v>10</v>
      </c>
      <c r="R13" s="51" t="s">
        <v>28</v>
      </c>
      <c r="S13" s="40" t="s">
        <v>29</v>
      </c>
      <c r="T13" s="404" t="s">
        <v>30</v>
      </c>
      <c r="U13" s="405"/>
      <c r="V13" s="29">
        <v>15227354.290000003</v>
      </c>
      <c r="X13" s="52">
        <v>10</v>
      </c>
      <c r="Y13" s="51" t="s">
        <v>28</v>
      </c>
      <c r="Z13" s="40" t="s">
        <v>29</v>
      </c>
      <c r="AA13" s="404" t="s">
        <v>30</v>
      </c>
      <c r="AB13" s="405"/>
      <c r="AC13" s="29">
        <v>15227354.290000003</v>
      </c>
    </row>
    <row r="14" spans="1:31" ht="15.75" thickBot="1" x14ac:dyDescent="0.3">
      <c r="A14" s="70">
        <v>11</v>
      </c>
      <c r="B14" s="71" t="s">
        <v>17</v>
      </c>
      <c r="C14" s="72" t="s">
        <v>20</v>
      </c>
      <c r="D14" s="406">
        <f>47.6596*100</f>
        <v>4765.96</v>
      </c>
      <c r="E14" s="407"/>
      <c r="F14" s="73">
        <v>1105733.3899999999</v>
      </c>
      <c r="G14" s="36"/>
      <c r="H14" s="36"/>
      <c r="I14" s="70">
        <v>11</v>
      </c>
      <c r="J14" s="71" t="s">
        <v>17</v>
      </c>
      <c r="K14" s="72" t="s">
        <v>20</v>
      </c>
      <c r="L14" s="406">
        <f>47.6596*100</f>
        <v>4765.96</v>
      </c>
      <c r="M14" s="407"/>
      <c r="N14" s="73">
        <v>1105733.3899999999</v>
      </c>
      <c r="Q14" s="70">
        <v>11</v>
      </c>
      <c r="R14" s="71" t="s">
        <v>17</v>
      </c>
      <c r="S14" s="72" t="s">
        <v>20</v>
      </c>
      <c r="T14" s="406">
        <f>47.6596*100</f>
        <v>4765.96</v>
      </c>
      <c r="U14" s="407"/>
      <c r="V14" s="73">
        <v>1105733.3899999999</v>
      </c>
      <c r="X14" s="70">
        <v>11</v>
      </c>
      <c r="Y14" s="71" t="s">
        <v>17</v>
      </c>
      <c r="Z14" s="72" t="s">
        <v>20</v>
      </c>
      <c r="AA14" s="406">
        <f>47.6596*100</f>
        <v>4765.96</v>
      </c>
      <c r="AB14" s="407"/>
      <c r="AC14" s="73">
        <v>1105733.3899999999</v>
      </c>
    </row>
    <row r="15" spans="1:31" ht="6" customHeight="1" thickBot="1" x14ac:dyDescent="0.3">
      <c r="A15" s="74"/>
      <c r="B15" s="75"/>
      <c r="C15" s="76"/>
      <c r="D15" s="77"/>
      <c r="E15" s="77"/>
      <c r="F15" s="78"/>
      <c r="I15" s="74"/>
      <c r="J15" s="75"/>
      <c r="K15" s="76"/>
      <c r="L15" s="77"/>
      <c r="M15" s="77"/>
      <c r="N15" s="78"/>
      <c r="Q15" s="74"/>
      <c r="R15" s="75"/>
      <c r="S15" s="76"/>
      <c r="T15" s="77"/>
      <c r="U15" s="77"/>
      <c r="V15" s="78"/>
      <c r="X15" s="74"/>
      <c r="Y15" s="75"/>
      <c r="Z15" s="76"/>
      <c r="AA15" s="77"/>
      <c r="AB15" s="77"/>
      <c r="AC15" s="78"/>
    </row>
    <row r="16" spans="1:31" ht="19.5" customHeight="1" thickBot="1" x14ac:dyDescent="0.3">
      <c r="A16" s="69">
        <v>12</v>
      </c>
      <c r="B16" s="59" t="s">
        <v>22</v>
      </c>
      <c r="C16" s="60"/>
      <c r="D16" s="61">
        <f>SUM(D3:E10)</f>
        <v>2078.0239999999999</v>
      </c>
      <c r="E16" s="62" t="s">
        <v>19</v>
      </c>
      <c r="F16" s="63">
        <f>SUM(F3:F14)</f>
        <v>129627003.12</v>
      </c>
      <c r="G16" s="36">
        <f>SUM(G3:G13)</f>
        <v>170946331.15999997</v>
      </c>
      <c r="H16" s="36"/>
      <c r="I16" s="69">
        <v>12</v>
      </c>
      <c r="J16" s="59" t="s">
        <v>22</v>
      </c>
      <c r="K16" s="60"/>
      <c r="L16" s="61">
        <f>SUM(L3:M10)</f>
        <v>2078.0239999999999</v>
      </c>
      <c r="M16" s="62" t="s">
        <v>19</v>
      </c>
      <c r="N16" s="63">
        <f>SUM(N3:N14)</f>
        <v>197764907.70999998</v>
      </c>
      <c r="Q16" s="69">
        <v>12</v>
      </c>
      <c r="R16" s="59" t="s">
        <v>22</v>
      </c>
      <c r="S16" s="60"/>
      <c r="T16" s="61">
        <f>SUM(T3:U10)</f>
        <v>1893.4</v>
      </c>
      <c r="U16" s="62" t="s">
        <v>19</v>
      </c>
      <c r="V16" s="63">
        <f>SUM(V3:V14)</f>
        <v>167836693.81999996</v>
      </c>
      <c r="X16" s="69">
        <v>12</v>
      </c>
      <c r="Y16" s="59" t="s">
        <v>22</v>
      </c>
      <c r="Z16" s="60"/>
      <c r="AA16" s="61">
        <f>SUM(AA3:AB10)</f>
        <v>1893.4</v>
      </c>
      <c r="AB16" s="62" t="s">
        <v>19</v>
      </c>
      <c r="AC16" s="63">
        <f>SUM(AC3:AC14)</f>
        <v>167836693.81999996</v>
      </c>
      <c r="AE16" s="25"/>
    </row>
    <row r="17" spans="1:31" ht="19.5" customHeight="1" thickBot="1" x14ac:dyDescent="0.3">
      <c r="A17" s="69">
        <v>12</v>
      </c>
      <c r="B17" s="59" t="s">
        <v>22</v>
      </c>
      <c r="C17" s="60"/>
      <c r="D17" s="61">
        <f>SUM(D3:E10)</f>
        <v>2078.0239999999999</v>
      </c>
      <c r="E17" s="62" t="s">
        <v>19</v>
      </c>
      <c r="F17" s="63">
        <f>SUM(F3:F14)</f>
        <v>129627003.12</v>
      </c>
      <c r="G17" s="36">
        <f>SUM(G3:G13)</f>
        <v>170946331.15999997</v>
      </c>
      <c r="H17" s="36"/>
      <c r="I17" s="69">
        <v>12</v>
      </c>
      <c r="J17" s="59" t="s">
        <v>22</v>
      </c>
      <c r="K17" s="60"/>
      <c r="L17" s="61">
        <f>SUM(L3:M10)</f>
        <v>2078.0239999999999</v>
      </c>
      <c r="M17" s="62" t="s">
        <v>19</v>
      </c>
      <c r="N17" s="63">
        <f>SUM(N3:N14)</f>
        <v>197764907.70999998</v>
      </c>
      <c r="Q17" s="69">
        <v>12</v>
      </c>
      <c r="R17" s="59" t="s">
        <v>72</v>
      </c>
      <c r="S17" s="143" t="s">
        <v>74</v>
      </c>
      <c r="T17" s="61"/>
      <c r="U17" s="62"/>
      <c r="V17" s="63">
        <v>9941805.3699999992</v>
      </c>
      <c r="X17" s="69">
        <v>12</v>
      </c>
      <c r="Y17" s="59" t="s">
        <v>72</v>
      </c>
      <c r="Z17" s="143" t="s">
        <v>75</v>
      </c>
      <c r="AA17" s="61"/>
      <c r="AB17" s="62"/>
      <c r="AC17" s="63">
        <f>AC16*0.021</f>
        <v>3524570.5702199996</v>
      </c>
      <c r="AE17" s="25"/>
    </row>
    <row r="18" spans="1:31" ht="19.5" customHeight="1" thickBot="1" x14ac:dyDescent="0.3">
      <c r="A18" s="69">
        <v>12</v>
      </c>
      <c r="B18" s="59" t="s">
        <v>22</v>
      </c>
      <c r="C18" s="60"/>
      <c r="D18" s="61">
        <f>SUM(D4:E11)</f>
        <v>1664.4159999999999</v>
      </c>
      <c r="E18" s="62" t="s">
        <v>19</v>
      </c>
      <c r="F18" s="63">
        <f>SUM(F4:F15)</f>
        <v>119604011.20999999</v>
      </c>
      <c r="G18" s="36">
        <f>SUM(G4:G14)</f>
        <v>140350006.65000001</v>
      </c>
      <c r="H18" s="36"/>
      <c r="I18" s="69">
        <v>12</v>
      </c>
      <c r="J18" s="59" t="s">
        <v>22</v>
      </c>
      <c r="K18" s="60"/>
      <c r="L18" s="61">
        <f>SUM(L4:M11)</f>
        <v>1664.4159999999999</v>
      </c>
      <c r="M18" s="62" t="s">
        <v>19</v>
      </c>
      <c r="N18" s="63">
        <f>SUM(N4:N15)</f>
        <v>33248518.170000002</v>
      </c>
      <c r="Q18" s="69">
        <v>12</v>
      </c>
      <c r="R18" s="59" t="s">
        <v>22</v>
      </c>
      <c r="S18" s="60"/>
      <c r="T18" s="61"/>
      <c r="U18" s="62"/>
      <c r="V18" s="63">
        <f>V16+V17</f>
        <v>177778499.18999997</v>
      </c>
      <c r="X18" s="69">
        <v>12</v>
      </c>
      <c r="Y18" s="59" t="s">
        <v>22</v>
      </c>
      <c r="Z18" s="60"/>
      <c r="AA18" s="61"/>
      <c r="AB18" s="62"/>
      <c r="AC18" s="63">
        <f>AC16+AC17</f>
        <v>171361264.39021996</v>
      </c>
      <c r="AE18" s="25"/>
    </row>
    <row r="19" spans="1:31" ht="30.75" thickBot="1" x14ac:dyDescent="0.3">
      <c r="A19" s="67">
        <v>13</v>
      </c>
      <c r="B19" s="58" t="s">
        <v>23</v>
      </c>
      <c r="C19" s="41"/>
      <c r="D19" s="45"/>
      <c r="E19" s="46"/>
      <c r="F19" s="47">
        <f>F16*0.03</f>
        <v>3888810.0935999998</v>
      </c>
      <c r="I19" s="67">
        <v>13</v>
      </c>
      <c r="J19" s="58" t="s">
        <v>23</v>
      </c>
      <c r="K19" s="41"/>
      <c r="L19" s="45"/>
      <c r="M19" s="46"/>
      <c r="N19" s="47">
        <f>N16*0.03</f>
        <v>5932947.2312999992</v>
      </c>
      <c r="Q19" s="67">
        <v>13</v>
      </c>
      <c r="R19" s="58" t="s">
        <v>23</v>
      </c>
      <c r="S19" s="41"/>
      <c r="T19" s="45"/>
      <c r="U19" s="46"/>
      <c r="V19" s="47">
        <f>V18*0.03</f>
        <v>5333354.9756999984</v>
      </c>
      <c r="X19" s="67">
        <v>13</v>
      </c>
      <c r="Y19" s="58" t="s">
        <v>23</v>
      </c>
      <c r="Z19" s="41"/>
      <c r="AA19" s="45"/>
      <c r="AB19" s="46"/>
      <c r="AC19" s="47">
        <f>AC18*0.03</f>
        <v>5140837.931706599</v>
      </c>
    </row>
    <row r="20" spans="1:31" ht="30.75" thickBot="1" x14ac:dyDescent="0.3">
      <c r="A20" s="68">
        <v>14</v>
      </c>
      <c r="B20" s="64" t="s">
        <v>36</v>
      </c>
      <c r="C20" s="48"/>
      <c r="D20" s="65"/>
      <c r="E20" s="44"/>
      <c r="F20" s="66">
        <f>F16+F19</f>
        <v>133515813.21360001</v>
      </c>
      <c r="G20" s="36"/>
      <c r="H20" s="36"/>
      <c r="I20" s="68">
        <v>14</v>
      </c>
      <c r="J20" s="64" t="s">
        <v>36</v>
      </c>
      <c r="K20" s="48"/>
      <c r="L20" s="65"/>
      <c r="M20" s="44"/>
      <c r="N20" s="66">
        <f>N16+N19</f>
        <v>203697854.94129997</v>
      </c>
      <c r="Q20" s="68">
        <v>14</v>
      </c>
      <c r="R20" s="228" t="s">
        <v>36</v>
      </c>
      <c r="S20" s="229"/>
      <c r="T20" s="230"/>
      <c r="U20" s="231"/>
      <c r="V20" s="232">
        <f>V18+V19</f>
        <v>183111854.16569996</v>
      </c>
      <c r="X20" s="220">
        <v>14</v>
      </c>
      <c r="Y20" s="49" t="s">
        <v>36</v>
      </c>
      <c r="Z20" s="41"/>
      <c r="AA20" s="45"/>
      <c r="AB20" s="46"/>
      <c r="AC20" s="47">
        <f>AC18+AC19</f>
        <v>176502102.32192656</v>
      </c>
    </row>
    <row r="21" spans="1:31" ht="19.5" customHeight="1" thickBot="1" x14ac:dyDescent="0.3">
      <c r="A21" s="68"/>
      <c r="B21" s="64"/>
      <c r="C21" s="48"/>
      <c r="D21" s="65"/>
      <c r="E21" s="44"/>
      <c r="F21" s="66"/>
      <c r="I21" s="68"/>
      <c r="J21" s="64"/>
      <c r="K21" s="48"/>
      <c r="L21" s="65"/>
      <c r="M21" s="44"/>
      <c r="N21" s="66"/>
      <c r="Q21" s="233"/>
      <c r="R21" s="234" t="s">
        <v>134</v>
      </c>
      <c r="S21" s="235"/>
      <c r="T21" s="236"/>
      <c r="U21" s="237"/>
      <c r="V21" s="238">
        <f>V20*0.06</f>
        <v>10986711.249941997</v>
      </c>
      <c r="X21" s="222"/>
      <c r="Y21" s="223" t="s">
        <v>134</v>
      </c>
      <c r="Z21" s="224"/>
      <c r="AA21" s="225"/>
      <c r="AB21" s="226"/>
      <c r="AC21" s="227">
        <f>AC20*0.06</f>
        <v>10590126.139315594</v>
      </c>
    </row>
    <row r="22" spans="1:31" ht="19.5" customHeight="1" thickBot="1" x14ac:dyDescent="0.3">
      <c r="A22" s="68">
        <v>16</v>
      </c>
      <c r="B22" s="64" t="s">
        <v>22</v>
      </c>
      <c r="C22" s="48"/>
      <c r="D22" s="65"/>
      <c r="E22" s="44"/>
      <c r="F22" s="66">
        <f>F21</f>
        <v>0</v>
      </c>
      <c r="I22" s="68">
        <v>16</v>
      </c>
      <c r="J22" s="64" t="s">
        <v>22</v>
      </c>
      <c r="K22" s="48"/>
      <c r="L22" s="65"/>
      <c r="M22" s="44"/>
      <c r="N22" s="66">
        <f>N21</f>
        <v>0</v>
      </c>
      <c r="Q22" s="68">
        <v>16</v>
      </c>
      <c r="R22" s="59" t="s">
        <v>22</v>
      </c>
      <c r="S22" s="60"/>
      <c r="T22" s="61"/>
      <c r="U22" s="62"/>
      <c r="V22" s="63">
        <f>V20+V21</f>
        <v>194098565.41564196</v>
      </c>
      <c r="X22" s="67">
        <v>16</v>
      </c>
      <c r="Y22" s="58" t="s">
        <v>22</v>
      </c>
      <c r="Z22" s="41"/>
      <c r="AA22" s="45"/>
      <c r="AB22" s="46"/>
      <c r="AC22" s="47">
        <f>AC20+AC21</f>
        <v>187092228.46124217</v>
      </c>
    </row>
    <row r="23" spans="1:31" ht="31.5" thickBot="1" x14ac:dyDescent="0.3">
      <c r="A23" s="67">
        <v>15</v>
      </c>
      <c r="B23" s="58" t="s">
        <v>35</v>
      </c>
      <c r="C23" s="41"/>
      <c r="D23" s="45"/>
      <c r="E23" s="46"/>
      <c r="F23" s="47">
        <f>F20*G23</f>
        <v>159709185.41</v>
      </c>
      <c r="G23" s="35">
        <v>1.1961817972414666</v>
      </c>
      <c r="I23" s="67">
        <v>15</v>
      </c>
      <c r="J23" s="58" t="s">
        <v>57</v>
      </c>
      <c r="K23" s="41"/>
      <c r="L23" s="45"/>
      <c r="M23" s="46"/>
      <c r="N23" s="47">
        <f>N20*O23</f>
        <v>159709185.41999999</v>
      </c>
      <c r="O23" s="102">
        <v>0.78404942195401961</v>
      </c>
      <c r="Q23" s="67">
        <v>15</v>
      </c>
      <c r="R23" s="58" t="s">
        <v>56</v>
      </c>
      <c r="S23" s="41"/>
      <c r="T23" s="45"/>
      <c r="U23" s="46"/>
      <c r="V23" s="47">
        <f>V22*W23</f>
        <v>180845636.55000001</v>
      </c>
      <c r="W23" s="142">
        <v>0.93172062432680958</v>
      </c>
      <c r="X23" s="67">
        <v>15</v>
      </c>
      <c r="Y23" s="58" t="s">
        <v>56</v>
      </c>
      <c r="Z23" s="41"/>
      <c r="AA23" s="45"/>
      <c r="AB23" s="46"/>
      <c r="AC23" s="47">
        <f>AC22*AD23</f>
        <v>173828188.01666665</v>
      </c>
      <c r="AD23" s="142">
        <v>0.92910426823355052</v>
      </c>
    </row>
    <row r="24" spans="1:31" ht="19.5" customHeight="1" thickBot="1" x14ac:dyDescent="0.3">
      <c r="A24" s="68">
        <v>16</v>
      </c>
      <c r="B24" s="64" t="s">
        <v>22</v>
      </c>
      <c r="C24" s="48"/>
      <c r="D24" s="65"/>
      <c r="E24" s="44"/>
      <c r="F24" s="66">
        <f>F23</f>
        <v>159709185.41</v>
      </c>
      <c r="I24" s="68">
        <v>16</v>
      </c>
      <c r="J24" s="64" t="s">
        <v>22</v>
      </c>
      <c r="K24" s="48"/>
      <c r="L24" s="65"/>
      <c r="M24" s="44"/>
      <c r="N24" s="66">
        <f>N23</f>
        <v>159709185.41999999</v>
      </c>
      <c r="Q24" s="68">
        <v>16</v>
      </c>
      <c r="R24" s="58" t="s">
        <v>22</v>
      </c>
      <c r="S24" s="41"/>
      <c r="T24" s="45"/>
      <c r="U24" s="46"/>
      <c r="V24" s="47">
        <f>V23</f>
        <v>180845636.55000001</v>
      </c>
      <c r="X24" s="67">
        <v>16</v>
      </c>
      <c r="Y24" s="58" t="s">
        <v>22</v>
      </c>
      <c r="Z24" s="41"/>
      <c r="AA24" s="45"/>
      <c r="AB24" s="46"/>
      <c r="AC24" s="47">
        <f>AC23</f>
        <v>173828188.01666665</v>
      </c>
    </row>
    <row r="25" spans="1:31" ht="19.5" customHeight="1" thickBot="1" x14ac:dyDescent="0.3">
      <c r="A25" s="67">
        <v>17</v>
      </c>
      <c r="B25" s="58" t="s">
        <v>33</v>
      </c>
      <c r="C25" s="41"/>
      <c r="D25" s="45"/>
      <c r="E25" s="46"/>
      <c r="F25" s="47">
        <f>F24*0.2</f>
        <v>31941837.082000002</v>
      </c>
      <c r="I25" s="67">
        <v>17</v>
      </c>
      <c r="J25" s="58" t="s">
        <v>33</v>
      </c>
      <c r="K25" s="41"/>
      <c r="L25" s="45"/>
      <c r="M25" s="46"/>
      <c r="N25" s="47">
        <f>N24*0.2</f>
        <v>31941837.083999999</v>
      </c>
      <c r="Q25" s="67">
        <v>17</v>
      </c>
      <c r="R25" s="58" t="s">
        <v>33</v>
      </c>
      <c r="S25" s="41"/>
      <c r="T25" s="45"/>
      <c r="U25" s="46"/>
      <c r="V25" s="47">
        <f>V24*0.2</f>
        <v>36169127.310000002</v>
      </c>
      <c r="X25" s="67">
        <v>17</v>
      </c>
      <c r="Y25" s="58" t="s">
        <v>33</v>
      </c>
      <c r="Z25" s="41"/>
      <c r="AA25" s="45"/>
      <c r="AB25" s="46"/>
      <c r="AC25" s="47">
        <f>AC24*0.2</f>
        <v>34765637.603333332</v>
      </c>
    </row>
    <row r="26" spans="1:31" ht="19.5" customHeight="1" thickBot="1" x14ac:dyDescent="0.3">
      <c r="A26" s="69">
        <v>18</v>
      </c>
      <c r="B26" s="59" t="s">
        <v>34</v>
      </c>
      <c r="C26" s="60"/>
      <c r="D26" s="61"/>
      <c r="E26" s="62"/>
      <c r="F26" s="107">
        <f>F24+F25</f>
        <v>191651022.49199998</v>
      </c>
      <c r="I26" s="69">
        <v>18</v>
      </c>
      <c r="J26" s="59" t="s">
        <v>34</v>
      </c>
      <c r="K26" s="60"/>
      <c r="L26" s="61"/>
      <c r="M26" s="62"/>
      <c r="N26" s="107">
        <f>N24+N25-0.01</f>
        <v>191651022.49399999</v>
      </c>
      <c r="Q26" s="69">
        <v>18</v>
      </c>
      <c r="R26" s="59" t="s">
        <v>34</v>
      </c>
      <c r="S26" s="60"/>
      <c r="T26" s="61"/>
      <c r="U26" s="62"/>
      <c r="V26" s="107">
        <f>V24+V25</f>
        <v>217014763.86000001</v>
      </c>
      <c r="X26" s="69">
        <v>18</v>
      </c>
      <c r="Y26" s="59" t="s">
        <v>34</v>
      </c>
      <c r="Z26" s="60"/>
      <c r="AA26" s="61"/>
      <c r="AB26" s="62"/>
      <c r="AC26" s="107">
        <f>AC24+AC25</f>
        <v>208593825.61999997</v>
      </c>
    </row>
    <row r="27" spans="1:31" x14ac:dyDescent="0.25">
      <c r="C27"/>
      <c r="G27" s="39"/>
      <c r="H27" s="39"/>
      <c r="K27"/>
      <c r="S27"/>
      <c r="Z27"/>
    </row>
    <row r="28" spans="1:31" ht="35.25" customHeight="1" x14ac:dyDescent="0.25">
      <c r="B28" s="459" t="s">
        <v>53</v>
      </c>
      <c r="C28" s="459"/>
      <c r="D28" s="459"/>
      <c r="E28" s="79"/>
      <c r="F28" s="93">
        <v>75700.428816399144</v>
      </c>
      <c r="G28" s="39"/>
      <c r="H28" s="39"/>
      <c r="J28" s="459" t="s">
        <v>53</v>
      </c>
      <c r="K28" s="459"/>
      <c r="L28" s="459"/>
      <c r="M28" s="79"/>
      <c r="N28" s="93">
        <f>164516389.54/L16</f>
        <v>79169.629195812944</v>
      </c>
      <c r="R28" s="459" t="s">
        <v>53</v>
      </c>
      <c r="S28" s="459"/>
      <c r="T28" s="459"/>
      <c r="U28" s="79"/>
      <c r="V28" s="93">
        <v>98736.12</v>
      </c>
      <c r="Y28" s="459" t="s">
        <v>53</v>
      </c>
      <c r="Z28" s="459"/>
      <c r="AA28" s="459"/>
      <c r="AB28" s="79"/>
      <c r="AC28" s="93">
        <v>94190.720000000001</v>
      </c>
    </row>
    <row r="29" spans="1:31" ht="30.75" customHeight="1" x14ac:dyDescent="0.25">
      <c r="B29" s="459" t="s">
        <v>54</v>
      </c>
      <c r="C29" s="459"/>
      <c r="D29" s="459"/>
      <c r="E29" s="79"/>
      <c r="F29" s="93">
        <v>89541.292052319011</v>
      </c>
      <c r="G29" s="39"/>
      <c r="H29" s="39"/>
      <c r="J29" s="459" t="s">
        <v>54</v>
      </c>
      <c r="K29" s="459"/>
      <c r="L29" s="459"/>
      <c r="M29" s="79"/>
      <c r="N29" s="93">
        <f>185090075.82/L16</f>
        <v>89070.230093588907</v>
      </c>
      <c r="R29" s="459" t="s">
        <v>54</v>
      </c>
      <c r="S29" s="459"/>
      <c r="T29" s="459"/>
      <c r="U29" s="79"/>
      <c r="V29" s="93">
        <v>111278</v>
      </c>
      <c r="Y29" s="459" t="s">
        <v>54</v>
      </c>
      <c r="Z29" s="459"/>
      <c r="AA29" s="459"/>
      <c r="AB29" s="79"/>
      <c r="AC29" s="93">
        <v>106960.11</v>
      </c>
    </row>
    <row r="30" spans="1:31" ht="37.5" customHeight="1" x14ac:dyDescent="0.25">
      <c r="B30" s="459" t="s">
        <v>55</v>
      </c>
      <c r="C30" s="459"/>
      <c r="D30" s="459"/>
      <c r="E30" s="79"/>
      <c r="F30" s="93">
        <f>F26/D16</f>
        <v>92227.530813888574</v>
      </c>
      <c r="G30" s="39"/>
      <c r="H30" s="39"/>
      <c r="J30" s="459" t="s">
        <v>55</v>
      </c>
      <c r="K30" s="459"/>
      <c r="L30" s="459"/>
      <c r="M30" s="79"/>
      <c r="N30" s="93">
        <f>N26/L16</f>
        <v>92227.530814851038</v>
      </c>
      <c r="R30" s="459" t="s">
        <v>55</v>
      </c>
      <c r="S30" s="459"/>
      <c r="T30" s="459"/>
      <c r="U30" s="79"/>
      <c r="V30" s="93">
        <f>V26/T16</f>
        <v>114616.43807964509</v>
      </c>
      <c r="Y30" s="459" t="s">
        <v>55</v>
      </c>
      <c r="Z30" s="459"/>
      <c r="AA30" s="459"/>
      <c r="AB30" s="79"/>
      <c r="AC30" s="93">
        <f>AC26/AA16</f>
        <v>110168.91603464665</v>
      </c>
    </row>
  </sheetData>
  <mergeCells count="54">
    <mergeCell ref="B30:D30"/>
    <mergeCell ref="J30:L30"/>
    <mergeCell ref="R30:T30"/>
    <mergeCell ref="Y30:AA30"/>
    <mergeCell ref="B28:D28"/>
    <mergeCell ref="J28:L28"/>
    <mergeCell ref="R28:T28"/>
    <mergeCell ref="Y28:AA28"/>
    <mergeCell ref="B29:D29"/>
    <mergeCell ref="J29:L29"/>
    <mergeCell ref="R29:T29"/>
    <mergeCell ref="Y29:AA29"/>
    <mergeCell ref="AA13:AB13"/>
    <mergeCell ref="D14:E14"/>
    <mergeCell ref="L14:M14"/>
    <mergeCell ref="T14:U14"/>
    <mergeCell ref="AA14:AB14"/>
    <mergeCell ref="L12:M12"/>
    <mergeCell ref="T12:U12"/>
    <mergeCell ref="D13:E13"/>
    <mergeCell ref="L13:M13"/>
    <mergeCell ref="T13:U13"/>
    <mergeCell ref="L6:M6"/>
    <mergeCell ref="AA12:AB12"/>
    <mergeCell ref="D7:E7"/>
    <mergeCell ref="L7:M7"/>
    <mergeCell ref="D8:E8"/>
    <mergeCell ref="L8:M8"/>
    <mergeCell ref="D9:E9"/>
    <mergeCell ref="L9:M9"/>
    <mergeCell ref="T3:U10"/>
    <mergeCell ref="V3:V10"/>
    <mergeCell ref="Y3:Y10"/>
    <mergeCell ref="Z3:Z10"/>
    <mergeCell ref="AA3:AB10"/>
    <mergeCell ref="D10:E10"/>
    <mergeCell ref="L10:M10"/>
    <mergeCell ref="D12:E12"/>
    <mergeCell ref="AC3:AC10"/>
    <mergeCell ref="D2:E2"/>
    <mergeCell ref="L2:M2"/>
    <mergeCell ref="T2:U2"/>
    <mergeCell ref="AA2:AB2"/>
    <mergeCell ref="D3:E3"/>
    <mergeCell ref="J3:J10"/>
    <mergeCell ref="L3:M3"/>
    <mergeCell ref="N3:N10"/>
    <mergeCell ref="R3:R10"/>
    <mergeCell ref="S3:S10"/>
    <mergeCell ref="D4:E4"/>
    <mergeCell ref="L4:M4"/>
    <mergeCell ref="D5:E5"/>
    <mergeCell ref="L5:M5"/>
    <mergeCell ref="D6: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A4DC3-2CB6-466E-A873-B8308FA64B5C}">
  <sheetPr>
    <tabColor theme="9" tint="0.39997558519241921"/>
    <pageSetUpPr fitToPage="1"/>
  </sheetPr>
  <dimension ref="A1:N18"/>
  <sheetViews>
    <sheetView zoomScale="115" zoomScaleNormal="115" zoomScaleSheetLayoutView="120" workbookViewId="0">
      <selection activeCell="C16" sqref="C16"/>
    </sheetView>
  </sheetViews>
  <sheetFormatPr defaultColWidth="11.42578125" defaultRowHeight="12.75" x14ac:dyDescent="0.2"/>
  <cols>
    <col min="1" max="1" width="40.7109375" style="123" customWidth="1"/>
    <col min="2" max="2" width="17.85546875" style="123" customWidth="1"/>
    <col min="3" max="4" width="17.7109375" style="123" customWidth="1"/>
    <col min="5" max="5" width="17.28515625" style="123" customWidth="1"/>
    <col min="6" max="6" width="22.7109375" style="123" customWidth="1"/>
    <col min="7" max="7" width="15.7109375" style="123" customWidth="1"/>
    <col min="8" max="10" width="11.42578125" style="123"/>
    <col min="11" max="11" width="15" style="123" bestFit="1" customWidth="1"/>
    <col min="12" max="256" width="11.42578125" style="123"/>
    <col min="257" max="257" width="40.7109375" style="123" customWidth="1"/>
    <col min="258" max="258" width="17.85546875" style="123" customWidth="1"/>
    <col min="259" max="259" width="17.7109375" style="123" customWidth="1"/>
    <col min="260" max="260" width="16.140625" style="123" customWidth="1"/>
    <col min="261" max="261" width="17.28515625" style="123" customWidth="1"/>
    <col min="262" max="262" width="22.7109375" style="123" customWidth="1"/>
    <col min="263" max="263" width="15.7109375" style="123" customWidth="1"/>
    <col min="264" max="266" width="11.42578125" style="123"/>
    <col min="267" max="267" width="15" style="123" bestFit="1" customWidth="1"/>
    <col min="268" max="512" width="11.42578125" style="123"/>
    <col min="513" max="513" width="40.7109375" style="123" customWidth="1"/>
    <col min="514" max="514" width="17.85546875" style="123" customWidth="1"/>
    <col min="515" max="515" width="17.7109375" style="123" customWidth="1"/>
    <col min="516" max="516" width="16.140625" style="123" customWidth="1"/>
    <col min="517" max="517" width="17.28515625" style="123" customWidth="1"/>
    <col min="518" max="518" width="22.7109375" style="123" customWidth="1"/>
    <col min="519" max="519" width="15.7109375" style="123" customWidth="1"/>
    <col min="520" max="522" width="11.42578125" style="123"/>
    <col min="523" max="523" width="15" style="123" bestFit="1" customWidth="1"/>
    <col min="524" max="768" width="11.42578125" style="123"/>
    <col min="769" max="769" width="40.7109375" style="123" customWidth="1"/>
    <col min="770" max="770" width="17.85546875" style="123" customWidth="1"/>
    <col min="771" max="771" width="17.7109375" style="123" customWidth="1"/>
    <col min="772" max="772" width="16.140625" style="123" customWidth="1"/>
    <col min="773" max="773" width="17.28515625" style="123" customWidth="1"/>
    <col min="774" max="774" width="22.7109375" style="123" customWidth="1"/>
    <col min="775" max="775" width="15.7109375" style="123" customWidth="1"/>
    <col min="776" max="778" width="11.42578125" style="123"/>
    <col min="779" max="779" width="15" style="123" bestFit="1" customWidth="1"/>
    <col min="780" max="1024" width="11.42578125" style="123"/>
    <col min="1025" max="1025" width="40.7109375" style="123" customWidth="1"/>
    <col min="1026" max="1026" width="17.85546875" style="123" customWidth="1"/>
    <col min="1027" max="1027" width="17.7109375" style="123" customWidth="1"/>
    <col min="1028" max="1028" width="16.140625" style="123" customWidth="1"/>
    <col min="1029" max="1029" width="17.28515625" style="123" customWidth="1"/>
    <col min="1030" max="1030" width="22.7109375" style="123" customWidth="1"/>
    <col min="1031" max="1031" width="15.7109375" style="123" customWidth="1"/>
    <col min="1032" max="1034" width="11.42578125" style="123"/>
    <col min="1035" max="1035" width="15" style="123" bestFit="1" customWidth="1"/>
    <col min="1036" max="1280" width="11.42578125" style="123"/>
    <col min="1281" max="1281" width="40.7109375" style="123" customWidth="1"/>
    <col min="1282" max="1282" width="17.85546875" style="123" customWidth="1"/>
    <col min="1283" max="1283" width="17.7109375" style="123" customWidth="1"/>
    <col min="1284" max="1284" width="16.140625" style="123" customWidth="1"/>
    <col min="1285" max="1285" width="17.28515625" style="123" customWidth="1"/>
    <col min="1286" max="1286" width="22.7109375" style="123" customWidth="1"/>
    <col min="1287" max="1287" width="15.7109375" style="123" customWidth="1"/>
    <col min="1288" max="1290" width="11.42578125" style="123"/>
    <col min="1291" max="1291" width="15" style="123" bestFit="1" customWidth="1"/>
    <col min="1292" max="1536" width="11.42578125" style="123"/>
    <col min="1537" max="1537" width="40.7109375" style="123" customWidth="1"/>
    <col min="1538" max="1538" width="17.85546875" style="123" customWidth="1"/>
    <col min="1539" max="1539" width="17.7109375" style="123" customWidth="1"/>
    <col min="1540" max="1540" width="16.140625" style="123" customWidth="1"/>
    <col min="1541" max="1541" width="17.28515625" style="123" customWidth="1"/>
    <col min="1542" max="1542" width="22.7109375" style="123" customWidth="1"/>
    <col min="1543" max="1543" width="15.7109375" style="123" customWidth="1"/>
    <col min="1544" max="1546" width="11.42578125" style="123"/>
    <col min="1547" max="1547" width="15" style="123" bestFit="1" customWidth="1"/>
    <col min="1548" max="1792" width="11.42578125" style="123"/>
    <col min="1793" max="1793" width="40.7109375" style="123" customWidth="1"/>
    <col min="1794" max="1794" width="17.85546875" style="123" customWidth="1"/>
    <col min="1795" max="1795" width="17.7109375" style="123" customWidth="1"/>
    <col min="1796" max="1796" width="16.140625" style="123" customWidth="1"/>
    <col min="1797" max="1797" width="17.28515625" style="123" customWidth="1"/>
    <col min="1798" max="1798" width="22.7109375" style="123" customWidth="1"/>
    <col min="1799" max="1799" width="15.7109375" style="123" customWidth="1"/>
    <col min="1800" max="1802" width="11.42578125" style="123"/>
    <col min="1803" max="1803" width="15" style="123" bestFit="1" customWidth="1"/>
    <col min="1804" max="2048" width="11.42578125" style="123"/>
    <col min="2049" max="2049" width="40.7109375" style="123" customWidth="1"/>
    <col min="2050" max="2050" width="17.85546875" style="123" customWidth="1"/>
    <col min="2051" max="2051" width="17.7109375" style="123" customWidth="1"/>
    <col min="2052" max="2052" width="16.140625" style="123" customWidth="1"/>
    <col min="2053" max="2053" width="17.28515625" style="123" customWidth="1"/>
    <col min="2054" max="2054" width="22.7109375" style="123" customWidth="1"/>
    <col min="2055" max="2055" width="15.7109375" style="123" customWidth="1"/>
    <col min="2056" max="2058" width="11.42578125" style="123"/>
    <col min="2059" max="2059" width="15" style="123" bestFit="1" customWidth="1"/>
    <col min="2060" max="2304" width="11.42578125" style="123"/>
    <col min="2305" max="2305" width="40.7109375" style="123" customWidth="1"/>
    <col min="2306" max="2306" width="17.85546875" style="123" customWidth="1"/>
    <col min="2307" max="2307" width="17.7109375" style="123" customWidth="1"/>
    <col min="2308" max="2308" width="16.140625" style="123" customWidth="1"/>
    <col min="2309" max="2309" width="17.28515625" style="123" customWidth="1"/>
    <col min="2310" max="2310" width="22.7109375" style="123" customWidth="1"/>
    <col min="2311" max="2311" width="15.7109375" style="123" customWidth="1"/>
    <col min="2312" max="2314" width="11.42578125" style="123"/>
    <col min="2315" max="2315" width="15" style="123" bestFit="1" customWidth="1"/>
    <col min="2316" max="2560" width="11.42578125" style="123"/>
    <col min="2561" max="2561" width="40.7109375" style="123" customWidth="1"/>
    <col min="2562" max="2562" width="17.85546875" style="123" customWidth="1"/>
    <col min="2563" max="2563" width="17.7109375" style="123" customWidth="1"/>
    <col min="2564" max="2564" width="16.140625" style="123" customWidth="1"/>
    <col min="2565" max="2565" width="17.28515625" style="123" customWidth="1"/>
    <col min="2566" max="2566" width="22.7109375" style="123" customWidth="1"/>
    <col min="2567" max="2567" width="15.7109375" style="123" customWidth="1"/>
    <col min="2568" max="2570" width="11.42578125" style="123"/>
    <col min="2571" max="2571" width="15" style="123" bestFit="1" customWidth="1"/>
    <col min="2572" max="2816" width="11.42578125" style="123"/>
    <col min="2817" max="2817" width="40.7109375" style="123" customWidth="1"/>
    <col min="2818" max="2818" width="17.85546875" style="123" customWidth="1"/>
    <col min="2819" max="2819" width="17.7109375" style="123" customWidth="1"/>
    <col min="2820" max="2820" width="16.140625" style="123" customWidth="1"/>
    <col min="2821" max="2821" width="17.28515625" style="123" customWidth="1"/>
    <col min="2822" max="2822" width="22.7109375" style="123" customWidth="1"/>
    <col min="2823" max="2823" width="15.7109375" style="123" customWidth="1"/>
    <col min="2824" max="2826" width="11.42578125" style="123"/>
    <col min="2827" max="2827" width="15" style="123" bestFit="1" customWidth="1"/>
    <col min="2828" max="3072" width="11.42578125" style="123"/>
    <col min="3073" max="3073" width="40.7109375" style="123" customWidth="1"/>
    <col min="3074" max="3074" width="17.85546875" style="123" customWidth="1"/>
    <col min="3075" max="3075" width="17.7109375" style="123" customWidth="1"/>
    <col min="3076" max="3076" width="16.140625" style="123" customWidth="1"/>
    <col min="3077" max="3077" width="17.28515625" style="123" customWidth="1"/>
    <col min="3078" max="3078" width="22.7109375" style="123" customWidth="1"/>
    <col min="3079" max="3079" width="15.7109375" style="123" customWidth="1"/>
    <col min="3080" max="3082" width="11.42578125" style="123"/>
    <col min="3083" max="3083" width="15" style="123" bestFit="1" customWidth="1"/>
    <col min="3084" max="3328" width="11.42578125" style="123"/>
    <col min="3329" max="3329" width="40.7109375" style="123" customWidth="1"/>
    <col min="3330" max="3330" width="17.85546875" style="123" customWidth="1"/>
    <col min="3331" max="3331" width="17.7109375" style="123" customWidth="1"/>
    <col min="3332" max="3332" width="16.140625" style="123" customWidth="1"/>
    <col min="3333" max="3333" width="17.28515625" style="123" customWidth="1"/>
    <col min="3334" max="3334" width="22.7109375" style="123" customWidth="1"/>
    <col min="3335" max="3335" width="15.7109375" style="123" customWidth="1"/>
    <col min="3336" max="3338" width="11.42578125" style="123"/>
    <col min="3339" max="3339" width="15" style="123" bestFit="1" customWidth="1"/>
    <col min="3340" max="3584" width="11.42578125" style="123"/>
    <col min="3585" max="3585" width="40.7109375" style="123" customWidth="1"/>
    <col min="3586" max="3586" width="17.85546875" style="123" customWidth="1"/>
    <col min="3587" max="3587" width="17.7109375" style="123" customWidth="1"/>
    <col min="3588" max="3588" width="16.140625" style="123" customWidth="1"/>
    <col min="3589" max="3589" width="17.28515625" style="123" customWidth="1"/>
    <col min="3590" max="3590" width="22.7109375" style="123" customWidth="1"/>
    <col min="3591" max="3591" width="15.7109375" style="123" customWidth="1"/>
    <col min="3592" max="3594" width="11.42578125" style="123"/>
    <col min="3595" max="3595" width="15" style="123" bestFit="1" customWidth="1"/>
    <col min="3596" max="3840" width="11.42578125" style="123"/>
    <col min="3841" max="3841" width="40.7109375" style="123" customWidth="1"/>
    <col min="3842" max="3842" width="17.85546875" style="123" customWidth="1"/>
    <col min="3843" max="3843" width="17.7109375" style="123" customWidth="1"/>
    <col min="3844" max="3844" width="16.140625" style="123" customWidth="1"/>
    <col min="3845" max="3845" width="17.28515625" style="123" customWidth="1"/>
    <col min="3846" max="3846" width="22.7109375" style="123" customWidth="1"/>
    <col min="3847" max="3847" width="15.7109375" style="123" customWidth="1"/>
    <col min="3848" max="3850" width="11.42578125" style="123"/>
    <col min="3851" max="3851" width="15" style="123" bestFit="1" customWidth="1"/>
    <col min="3852" max="4096" width="11.42578125" style="123"/>
    <col min="4097" max="4097" width="40.7109375" style="123" customWidth="1"/>
    <col min="4098" max="4098" width="17.85546875" style="123" customWidth="1"/>
    <col min="4099" max="4099" width="17.7109375" style="123" customWidth="1"/>
    <col min="4100" max="4100" width="16.140625" style="123" customWidth="1"/>
    <col min="4101" max="4101" width="17.28515625" style="123" customWidth="1"/>
    <col min="4102" max="4102" width="22.7109375" style="123" customWidth="1"/>
    <col min="4103" max="4103" width="15.7109375" style="123" customWidth="1"/>
    <col min="4104" max="4106" width="11.42578125" style="123"/>
    <col min="4107" max="4107" width="15" style="123" bestFit="1" customWidth="1"/>
    <col min="4108" max="4352" width="11.42578125" style="123"/>
    <col min="4353" max="4353" width="40.7109375" style="123" customWidth="1"/>
    <col min="4354" max="4354" width="17.85546875" style="123" customWidth="1"/>
    <col min="4355" max="4355" width="17.7109375" style="123" customWidth="1"/>
    <col min="4356" max="4356" width="16.140625" style="123" customWidth="1"/>
    <col min="4357" max="4357" width="17.28515625" style="123" customWidth="1"/>
    <col min="4358" max="4358" width="22.7109375" style="123" customWidth="1"/>
    <col min="4359" max="4359" width="15.7109375" style="123" customWidth="1"/>
    <col min="4360" max="4362" width="11.42578125" style="123"/>
    <col min="4363" max="4363" width="15" style="123" bestFit="1" customWidth="1"/>
    <col min="4364" max="4608" width="11.42578125" style="123"/>
    <col min="4609" max="4609" width="40.7109375" style="123" customWidth="1"/>
    <col min="4610" max="4610" width="17.85546875" style="123" customWidth="1"/>
    <col min="4611" max="4611" width="17.7109375" style="123" customWidth="1"/>
    <col min="4612" max="4612" width="16.140625" style="123" customWidth="1"/>
    <col min="4613" max="4613" width="17.28515625" style="123" customWidth="1"/>
    <col min="4614" max="4614" width="22.7109375" style="123" customWidth="1"/>
    <col min="4615" max="4615" width="15.7109375" style="123" customWidth="1"/>
    <col min="4616" max="4618" width="11.42578125" style="123"/>
    <col min="4619" max="4619" width="15" style="123" bestFit="1" customWidth="1"/>
    <col min="4620" max="4864" width="11.42578125" style="123"/>
    <col min="4865" max="4865" width="40.7109375" style="123" customWidth="1"/>
    <col min="4866" max="4866" width="17.85546875" style="123" customWidth="1"/>
    <col min="4867" max="4867" width="17.7109375" style="123" customWidth="1"/>
    <col min="4868" max="4868" width="16.140625" style="123" customWidth="1"/>
    <col min="4869" max="4869" width="17.28515625" style="123" customWidth="1"/>
    <col min="4870" max="4870" width="22.7109375" style="123" customWidth="1"/>
    <col min="4871" max="4871" width="15.7109375" style="123" customWidth="1"/>
    <col min="4872" max="4874" width="11.42578125" style="123"/>
    <col min="4875" max="4875" width="15" style="123" bestFit="1" customWidth="1"/>
    <col min="4876" max="5120" width="11.42578125" style="123"/>
    <col min="5121" max="5121" width="40.7109375" style="123" customWidth="1"/>
    <col min="5122" max="5122" width="17.85546875" style="123" customWidth="1"/>
    <col min="5123" max="5123" width="17.7109375" style="123" customWidth="1"/>
    <col min="5124" max="5124" width="16.140625" style="123" customWidth="1"/>
    <col min="5125" max="5125" width="17.28515625" style="123" customWidth="1"/>
    <col min="5126" max="5126" width="22.7109375" style="123" customWidth="1"/>
    <col min="5127" max="5127" width="15.7109375" style="123" customWidth="1"/>
    <col min="5128" max="5130" width="11.42578125" style="123"/>
    <col min="5131" max="5131" width="15" style="123" bestFit="1" customWidth="1"/>
    <col min="5132" max="5376" width="11.42578125" style="123"/>
    <col min="5377" max="5377" width="40.7109375" style="123" customWidth="1"/>
    <col min="5378" max="5378" width="17.85546875" style="123" customWidth="1"/>
    <col min="5379" max="5379" width="17.7109375" style="123" customWidth="1"/>
    <col min="5380" max="5380" width="16.140625" style="123" customWidth="1"/>
    <col min="5381" max="5381" width="17.28515625" style="123" customWidth="1"/>
    <col min="5382" max="5382" width="22.7109375" style="123" customWidth="1"/>
    <col min="5383" max="5383" width="15.7109375" style="123" customWidth="1"/>
    <col min="5384" max="5386" width="11.42578125" style="123"/>
    <col min="5387" max="5387" width="15" style="123" bestFit="1" customWidth="1"/>
    <col min="5388" max="5632" width="11.42578125" style="123"/>
    <col min="5633" max="5633" width="40.7109375" style="123" customWidth="1"/>
    <col min="5634" max="5634" width="17.85546875" style="123" customWidth="1"/>
    <col min="5635" max="5635" width="17.7109375" style="123" customWidth="1"/>
    <col min="5636" max="5636" width="16.140625" style="123" customWidth="1"/>
    <col min="5637" max="5637" width="17.28515625" style="123" customWidth="1"/>
    <col min="5638" max="5638" width="22.7109375" style="123" customWidth="1"/>
    <col min="5639" max="5639" width="15.7109375" style="123" customWidth="1"/>
    <col min="5640" max="5642" width="11.42578125" style="123"/>
    <col min="5643" max="5643" width="15" style="123" bestFit="1" customWidth="1"/>
    <col min="5644" max="5888" width="11.42578125" style="123"/>
    <col min="5889" max="5889" width="40.7109375" style="123" customWidth="1"/>
    <col min="5890" max="5890" width="17.85546875" style="123" customWidth="1"/>
    <col min="5891" max="5891" width="17.7109375" style="123" customWidth="1"/>
    <col min="5892" max="5892" width="16.140625" style="123" customWidth="1"/>
    <col min="5893" max="5893" width="17.28515625" style="123" customWidth="1"/>
    <col min="5894" max="5894" width="22.7109375" style="123" customWidth="1"/>
    <col min="5895" max="5895" width="15.7109375" style="123" customWidth="1"/>
    <col min="5896" max="5898" width="11.42578125" style="123"/>
    <col min="5899" max="5899" width="15" style="123" bestFit="1" customWidth="1"/>
    <col min="5900" max="6144" width="11.42578125" style="123"/>
    <col min="6145" max="6145" width="40.7109375" style="123" customWidth="1"/>
    <col min="6146" max="6146" width="17.85546875" style="123" customWidth="1"/>
    <col min="6147" max="6147" width="17.7109375" style="123" customWidth="1"/>
    <col min="6148" max="6148" width="16.140625" style="123" customWidth="1"/>
    <col min="6149" max="6149" width="17.28515625" style="123" customWidth="1"/>
    <col min="6150" max="6150" width="22.7109375" style="123" customWidth="1"/>
    <col min="6151" max="6151" width="15.7109375" style="123" customWidth="1"/>
    <col min="6152" max="6154" width="11.42578125" style="123"/>
    <col min="6155" max="6155" width="15" style="123" bestFit="1" customWidth="1"/>
    <col min="6156" max="6400" width="11.42578125" style="123"/>
    <col min="6401" max="6401" width="40.7109375" style="123" customWidth="1"/>
    <col min="6402" max="6402" width="17.85546875" style="123" customWidth="1"/>
    <col min="6403" max="6403" width="17.7109375" style="123" customWidth="1"/>
    <col min="6404" max="6404" width="16.140625" style="123" customWidth="1"/>
    <col min="6405" max="6405" width="17.28515625" style="123" customWidth="1"/>
    <col min="6406" max="6406" width="22.7109375" style="123" customWidth="1"/>
    <col min="6407" max="6407" width="15.7109375" style="123" customWidth="1"/>
    <col min="6408" max="6410" width="11.42578125" style="123"/>
    <col min="6411" max="6411" width="15" style="123" bestFit="1" customWidth="1"/>
    <col min="6412" max="6656" width="11.42578125" style="123"/>
    <col min="6657" max="6657" width="40.7109375" style="123" customWidth="1"/>
    <col min="6658" max="6658" width="17.85546875" style="123" customWidth="1"/>
    <col min="6659" max="6659" width="17.7109375" style="123" customWidth="1"/>
    <col min="6660" max="6660" width="16.140625" style="123" customWidth="1"/>
    <col min="6661" max="6661" width="17.28515625" style="123" customWidth="1"/>
    <col min="6662" max="6662" width="22.7109375" style="123" customWidth="1"/>
    <col min="6663" max="6663" width="15.7109375" style="123" customWidth="1"/>
    <col min="6664" max="6666" width="11.42578125" style="123"/>
    <col min="6667" max="6667" width="15" style="123" bestFit="1" customWidth="1"/>
    <col min="6668" max="6912" width="11.42578125" style="123"/>
    <col min="6913" max="6913" width="40.7109375" style="123" customWidth="1"/>
    <col min="6914" max="6914" width="17.85546875" style="123" customWidth="1"/>
    <col min="6915" max="6915" width="17.7109375" style="123" customWidth="1"/>
    <col min="6916" max="6916" width="16.140625" style="123" customWidth="1"/>
    <col min="6917" max="6917" width="17.28515625" style="123" customWidth="1"/>
    <col min="6918" max="6918" width="22.7109375" style="123" customWidth="1"/>
    <col min="6919" max="6919" width="15.7109375" style="123" customWidth="1"/>
    <col min="6920" max="6922" width="11.42578125" style="123"/>
    <col min="6923" max="6923" width="15" style="123" bestFit="1" customWidth="1"/>
    <col min="6924" max="7168" width="11.42578125" style="123"/>
    <col min="7169" max="7169" width="40.7109375" style="123" customWidth="1"/>
    <col min="7170" max="7170" width="17.85546875" style="123" customWidth="1"/>
    <col min="7171" max="7171" width="17.7109375" style="123" customWidth="1"/>
    <col min="7172" max="7172" width="16.140625" style="123" customWidth="1"/>
    <col min="7173" max="7173" width="17.28515625" style="123" customWidth="1"/>
    <col min="7174" max="7174" width="22.7109375" style="123" customWidth="1"/>
    <col min="7175" max="7175" width="15.7109375" style="123" customWidth="1"/>
    <col min="7176" max="7178" width="11.42578125" style="123"/>
    <col min="7179" max="7179" width="15" style="123" bestFit="1" customWidth="1"/>
    <col min="7180" max="7424" width="11.42578125" style="123"/>
    <col min="7425" max="7425" width="40.7109375" style="123" customWidth="1"/>
    <col min="7426" max="7426" width="17.85546875" style="123" customWidth="1"/>
    <col min="7427" max="7427" width="17.7109375" style="123" customWidth="1"/>
    <col min="7428" max="7428" width="16.140625" style="123" customWidth="1"/>
    <col min="7429" max="7429" width="17.28515625" style="123" customWidth="1"/>
    <col min="7430" max="7430" width="22.7109375" style="123" customWidth="1"/>
    <col min="7431" max="7431" width="15.7109375" style="123" customWidth="1"/>
    <col min="7432" max="7434" width="11.42578125" style="123"/>
    <col min="7435" max="7435" width="15" style="123" bestFit="1" customWidth="1"/>
    <col min="7436" max="7680" width="11.42578125" style="123"/>
    <col min="7681" max="7681" width="40.7109375" style="123" customWidth="1"/>
    <col min="7682" max="7682" width="17.85546875" style="123" customWidth="1"/>
    <col min="7683" max="7683" width="17.7109375" style="123" customWidth="1"/>
    <col min="7684" max="7684" width="16.140625" style="123" customWidth="1"/>
    <col min="7685" max="7685" width="17.28515625" style="123" customWidth="1"/>
    <col min="7686" max="7686" width="22.7109375" style="123" customWidth="1"/>
    <col min="7687" max="7687" width="15.7109375" style="123" customWidth="1"/>
    <col min="7688" max="7690" width="11.42578125" style="123"/>
    <col min="7691" max="7691" width="15" style="123" bestFit="1" customWidth="1"/>
    <col min="7692" max="7936" width="11.42578125" style="123"/>
    <col min="7937" max="7937" width="40.7109375" style="123" customWidth="1"/>
    <col min="7938" max="7938" width="17.85546875" style="123" customWidth="1"/>
    <col min="7939" max="7939" width="17.7109375" style="123" customWidth="1"/>
    <col min="7940" max="7940" width="16.140625" style="123" customWidth="1"/>
    <col min="7941" max="7941" width="17.28515625" style="123" customWidth="1"/>
    <col min="7942" max="7942" width="22.7109375" style="123" customWidth="1"/>
    <col min="7943" max="7943" width="15.7109375" style="123" customWidth="1"/>
    <col min="7944" max="7946" width="11.42578125" style="123"/>
    <col min="7947" max="7947" width="15" style="123" bestFit="1" customWidth="1"/>
    <col min="7948" max="8192" width="11.42578125" style="123"/>
    <col min="8193" max="8193" width="40.7109375" style="123" customWidth="1"/>
    <col min="8194" max="8194" width="17.85546875" style="123" customWidth="1"/>
    <col min="8195" max="8195" width="17.7109375" style="123" customWidth="1"/>
    <col min="8196" max="8196" width="16.140625" style="123" customWidth="1"/>
    <col min="8197" max="8197" width="17.28515625" style="123" customWidth="1"/>
    <col min="8198" max="8198" width="22.7109375" style="123" customWidth="1"/>
    <col min="8199" max="8199" width="15.7109375" style="123" customWidth="1"/>
    <col min="8200" max="8202" width="11.42578125" style="123"/>
    <col min="8203" max="8203" width="15" style="123" bestFit="1" customWidth="1"/>
    <col min="8204" max="8448" width="11.42578125" style="123"/>
    <col min="8449" max="8449" width="40.7109375" style="123" customWidth="1"/>
    <col min="8450" max="8450" width="17.85546875" style="123" customWidth="1"/>
    <col min="8451" max="8451" width="17.7109375" style="123" customWidth="1"/>
    <col min="8452" max="8452" width="16.140625" style="123" customWidth="1"/>
    <col min="8453" max="8453" width="17.28515625" style="123" customWidth="1"/>
    <col min="8454" max="8454" width="22.7109375" style="123" customWidth="1"/>
    <col min="8455" max="8455" width="15.7109375" style="123" customWidth="1"/>
    <col min="8456" max="8458" width="11.42578125" style="123"/>
    <col min="8459" max="8459" width="15" style="123" bestFit="1" customWidth="1"/>
    <col min="8460" max="8704" width="11.42578125" style="123"/>
    <col min="8705" max="8705" width="40.7109375" style="123" customWidth="1"/>
    <col min="8706" max="8706" width="17.85546875" style="123" customWidth="1"/>
    <col min="8707" max="8707" width="17.7109375" style="123" customWidth="1"/>
    <col min="8708" max="8708" width="16.140625" style="123" customWidth="1"/>
    <col min="8709" max="8709" width="17.28515625" style="123" customWidth="1"/>
    <col min="8710" max="8710" width="22.7109375" style="123" customWidth="1"/>
    <col min="8711" max="8711" width="15.7109375" style="123" customWidth="1"/>
    <col min="8712" max="8714" width="11.42578125" style="123"/>
    <col min="8715" max="8715" width="15" style="123" bestFit="1" customWidth="1"/>
    <col min="8716" max="8960" width="11.42578125" style="123"/>
    <col min="8961" max="8961" width="40.7109375" style="123" customWidth="1"/>
    <col min="8962" max="8962" width="17.85546875" style="123" customWidth="1"/>
    <col min="8963" max="8963" width="17.7109375" style="123" customWidth="1"/>
    <col min="8964" max="8964" width="16.140625" style="123" customWidth="1"/>
    <col min="8965" max="8965" width="17.28515625" style="123" customWidth="1"/>
    <col min="8966" max="8966" width="22.7109375" style="123" customWidth="1"/>
    <col min="8967" max="8967" width="15.7109375" style="123" customWidth="1"/>
    <col min="8968" max="8970" width="11.42578125" style="123"/>
    <col min="8971" max="8971" width="15" style="123" bestFit="1" customWidth="1"/>
    <col min="8972" max="9216" width="11.42578125" style="123"/>
    <col min="9217" max="9217" width="40.7109375" style="123" customWidth="1"/>
    <col min="9218" max="9218" width="17.85546875" style="123" customWidth="1"/>
    <col min="9219" max="9219" width="17.7109375" style="123" customWidth="1"/>
    <col min="9220" max="9220" width="16.140625" style="123" customWidth="1"/>
    <col min="9221" max="9221" width="17.28515625" style="123" customWidth="1"/>
    <col min="9222" max="9222" width="22.7109375" style="123" customWidth="1"/>
    <col min="9223" max="9223" width="15.7109375" style="123" customWidth="1"/>
    <col min="9224" max="9226" width="11.42578125" style="123"/>
    <col min="9227" max="9227" width="15" style="123" bestFit="1" customWidth="1"/>
    <col min="9228" max="9472" width="11.42578125" style="123"/>
    <col min="9473" max="9473" width="40.7109375" style="123" customWidth="1"/>
    <col min="9474" max="9474" width="17.85546875" style="123" customWidth="1"/>
    <col min="9475" max="9475" width="17.7109375" style="123" customWidth="1"/>
    <col min="9476" max="9476" width="16.140625" style="123" customWidth="1"/>
    <col min="9477" max="9477" width="17.28515625" style="123" customWidth="1"/>
    <col min="9478" max="9478" width="22.7109375" style="123" customWidth="1"/>
    <col min="9479" max="9479" width="15.7109375" style="123" customWidth="1"/>
    <col min="9480" max="9482" width="11.42578125" style="123"/>
    <col min="9483" max="9483" width="15" style="123" bestFit="1" customWidth="1"/>
    <col min="9484" max="9728" width="11.42578125" style="123"/>
    <col min="9729" max="9729" width="40.7109375" style="123" customWidth="1"/>
    <col min="9730" max="9730" width="17.85546875" style="123" customWidth="1"/>
    <col min="9731" max="9731" width="17.7109375" style="123" customWidth="1"/>
    <col min="9732" max="9732" width="16.140625" style="123" customWidth="1"/>
    <col min="9733" max="9733" width="17.28515625" style="123" customWidth="1"/>
    <col min="9734" max="9734" width="22.7109375" style="123" customWidth="1"/>
    <col min="9735" max="9735" width="15.7109375" style="123" customWidth="1"/>
    <col min="9736" max="9738" width="11.42578125" style="123"/>
    <col min="9739" max="9739" width="15" style="123" bestFit="1" customWidth="1"/>
    <col min="9740" max="9984" width="11.42578125" style="123"/>
    <col min="9985" max="9985" width="40.7109375" style="123" customWidth="1"/>
    <col min="9986" max="9986" width="17.85546875" style="123" customWidth="1"/>
    <col min="9987" max="9987" width="17.7109375" style="123" customWidth="1"/>
    <col min="9988" max="9988" width="16.140625" style="123" customWidth="1"/>
    <col min="9989" max="9989" width="17.28515625" style="123" customWidth="1"/>
    <col min="9990" max="9990" width="22.7109375" style="123" customWidth="1"/>
    <col min="9991" max="9991" width="15.7109375" style="123" customWidth="1"/>
    <col min="9992" max="9994" width="11.42578125" style="123"/>
    <col min="9995" max="9995" width="15" style="123" bestFit="1" customWidth="1"/>
    <col min="9996" max="10240" width="11.42578125" style="123"/>
    <col min="10241" max="10241" width="40.7109375" style="123" customWidth="1"/>
    <col min="10242" max="10242" width="17.85546875" style="123" customWidth="1"/>
    <col min="10243" max="10243" width="17.7109375" style="123" customWidth="1"/>
    <col min="10244" max="10244" width="16.140625" style="123" customWidth="1"/>
    <col min="10245" max="10245" width="17.28515625" style="123" customWidth="1"/>
    <col min="10246" max="10246" width="22.7109375" style="123" customWidth="1"/>
    <col min="10247" max="10247" width="15.7109375" style="123" customWidth="1"/>
    <col min="10248" max="10250" width="11.42578125" style="123"/>
    <col min="10251" max="10251" width="15" style="123" bestFit="1" customWidth="1"/>
    <col min="10252" max="10496" width="11.42578125" style="123"/>
    <col min="10497" max="10497" width="40.7109375" style="123" customWidth="1"/>
    <col min="10498" max="10498" width="17.85546875" style="123" customWidth="1"/>
    <col min="10499" max="10499" width="17.7109375" style="123" customWidth="1"/>
    <col min="10500" max="10500" width="16.140625" style="123" customWidth="1"/>
    <col min="10501" max="10501" width="17.28515625" style="123" customWidth="1"/>
    <col min="10502" max="10502" width="22.7109375" style="123" customWidth="1"/>
    <col min="10503" max="10503" width="15.7109375" style="123" customWidth="1"/>
    <col min="10504" max="10506" width="11.42578125" style="123"/>
    <col min="10507" max="10507" width="15" style="123" bestFit="1" customWidth="1"/>
    <col min="10508" max="10752" width="11.42578125" style="123"/>
    <col min="10753" max="10753" width="40.7109375" style="123" customWidth="1"/>
    <col min="10754" max="10754" width="17.85546875" style="123" customWidth="1"/>
    <col min="10755" max="10755" width="17.7109375" style="123" customWidth="1"/>
    <col min="10756" max="10756" width="16.140625" style="123" customWidth="1"/>
    <col min="10757" max="10757" width="17.28515625" style="123" customWidth="1"/>
    <col min="10758" max="10758" width="22.7109375" style="123" customWidth="1"/>
    <col min="10759" max="10759" width="15.7109375" style="123" customWidth="1"/>
    <col min="10760" max="10762" width="11.42578125" style="123"/>
    <col min="10763" max="10763" width="15" style="123" bestFit="1" customWidth="1"/>
    <col min="10764" max="11008" width="11.42578125" style="123"/>
    <col min="11009" max="11009" width="40.7109375" style="123" customWidth="1"/>
    <col min="11010" max="11010" width="17.85546875" style="123" customWidth="1"/>
    <col min="11011" max="11011" width="17.7109375" style="123" customWidth="1"/>
    <col min="11012" max="11012" width="16.140625" style="123" customWidth="1"/>
    <col min="11013" max="11013" width="17.28515625" style="123" customWidth="1"/>
    <col min="11014" max="11014" width="22.7109375" style="123" customWidth="1"/>
    <col min="11015" max="11015" width="15.7109375" style="123" customWidth="1"/>
    <col min="11016" max="11018" width="11.42578125" style="123"/>
    <col min="11019" max="11019" width="15" style="123" bestFit="1" customWidth="1"/>
    <col min="11020" max="11264" width="11.42578125" style="123"/>
    <col min="11265" max="11265" width="40.7109375" style="123" customWidth="1"/>
    <col min="11266" max="11266" width="17.85546875" style="123" customWidth="1"/>
    <col min="11267" max="11267" width="17.7109375" style="123" customWidth="1"/>
    <col min="11268" max="11268" width="16.140625" style="123" customWidth="1"/>
    <col min="11269" max="11269" width="17.28515625" style="123" customWidth="1"/>
    <col min="11270" max="11270" width="22.7109375" style="123" customWidth="1"/>
    <col min="11271" max="11271" width="15.7109375" style="123" customWidth="1"/>
    <col min="11272" max="11274" width="11.42578125" style="123"/>
    <col min="11275" max="11275" width="15" style="123" bestFit="1" customWidth="1"/>
    <col min="11276" max="11520" width="11.42578125" style="123"/>
    <col min="11521" max="11521" width="40.7109375" style="123" customWidth="1"/>
    <col min="11522" max="11522" width="17.85546875" style="123" customWidth="1"/>
    <col min="11523" max="11523" width="17.7109375" style="123" customWidth="1"/>
    <col min="11524" max="11524" width="16.140625" style="123" customWidth="1"/>
    <col min="11525" max="11525" width="17.28515625" style="123" customWidth="1"/>
    <col min="11526" max="11526" width="22.7109375" style="123" customWidth="1"/>
    <col min="11527" max="11527" width="15.7109375" style="123" customWidth="1"/>
    <col min="11528" max="11530" width="11.42578125" style="123"/>
    <col min="11531" max="11531" width="15" style="123" bestFit="1" customWidth="1"/>
    <col min="11532" max="11776" width="11.42578125" style="123"/>
    <col min="11777" max="11777" width="40.7109375" style="123" customWidth="1"/>
    <col min="11778" max="11778" width="17.85546875" style="123" customWidth="1"/>
    <col min="11779" max="11779" width="17.7109375" style="123" customWidth="1"/>
    <col min="11780" max="11780" width="16.140625" style="123" customWidth="1"/>
    <col min="11781" max="11781" width="17.28515625" style="123" customWidth="1"/>
    <col min="11782" max="11782" width="22.7109375" style="123" customWidth="1"/>
    <col min="11783" max="11783" width="15.7109375" style="123" customWidth="1"/>
    <col min="11784" max="11786" width="11.42578125" style="123"/>
    <col min="11787" max="11787" width="15" style="123" bestFit="1" customWidth="1"/>
    <col min="11788" max="12032" width="11.42578125" style="123"/>
    <col min="12033" max="12033" width="40.7109375" style="123" customWidth="1"/>
    <col min="12034" max="12034" width="17.85546875" style="123" customWidth="1"/>
    <col min="12035" max="12035" width="17.7109375" style="123" customWidth="1"/>
    <col min="12036" max="12036" width="16.140625" style="123" customWidth="1"/>
    <col min="12037" max="12037" width="17.28515625" style="123" customWidth="1"/>
    <col min="12038" max="12038" width="22.7109375" style="123" customWidth="1"/>
    <col min="12039" max="12039" width="15.7109375" style="123" customWidth="1"/>
    <col min="12040" max="12042" width="11.42578125" style="123"/>
    <col min="12043" max="12043" width="15" style="123" bestFit="1" customWidth="1"/>
    <col min="12044" max="12288" width="11.42578125" style="123"/>
    <col min="12289" max="12289" width="40.7109375" style="123" customWidth="1"/>
    <col min="12290" max="12290" width="17.85546875" style="123" customWidth="1"/>
    <col min="12291" max="12291" width="17.7109375" style="123" customWidth="1"/>
    <col min="12292" max="12292" width="16.140625" style="123" customWidth="1"/>
    <col min="12293" max="12293" width="17.28515625" style="123" customWidth="1"/>
    <col min="12294" max="12294" width="22.7109375" style="123" customWidth="1"/>
    <col min="12295" max="12295" width="15.7109375" style="123" customWidth="1"/>
    <col min="12296" max="12298" width="11.42578125" style="123"/>
    <col min="12299" max="12299" width="15" style="123" bestFit="1" customWidth="1"/>
    <col min="12300" max="12544" width="11.42578125" style="123"/>
    <col min="12545" max="12545" width="40.7109375" style="123" customWidth="1"/>
    <col min="12546" max="12546" width="17.85546875" style="123" customWidth="1"/>
    <col min="12547" max="12547" width="17.7109375" style="123" customWidth="1"/>
    <col min="12548" max="12548" width="16.140625" style="123" customWidth="1"/>
    <col min="12549" max="12549" width="17.28515625" style="123" customWidth="1"/>
    <col min="12550" max="12550" width="22.7109375" style="123" customWidth="1"/>
    <col min="12551" max="12551" width="15.7109375" style="123" customWidth="1"/>
    <col min="12552" max="12554" width="11.42578125" style="123"/>
    <col min="12555" max="12555" width="15" style="123" bestFit="1" customWidth="1"/>
    <col min="12556" max="12800" width="11.42578125" style="123"/>
    <col min="12801" max="12801" width="40.7109375" style="123" customWidth="1"/>
    <col min="12802" max="12802" width="17.85546875" style="123" customWidth="1"/>
    <col min="12803" max="12803" width="17.7109375" style="123" customWidth="1"/>
    <col min="12804" max="12804" width="16.140625" style="123" customWidth="1"/>
    <col min="12805" max="12805" width="17.28515625" style="123" customWidth="1"/>
    <col min="12806" max="12806" width="22.7109375" style="123" customWidth="1"/>
    <col min="12807" max="12807" width="15.7109375" style="123" customWidth="1"/>
    <col min="12808" max="12810" width="11.42578125" style="123"/>
    <col min="12811" max="12811" width="15" style="123" bestFit="1" customWidth="1"/>
    <col min="12812" max="13056" width="11.42578125" style="123"/>
    <col min="13057" max="13057" width="40.7109375" style="123" customWidth="1"/>
    <col min="13058" max="13058" width="17.85546875" style="123" customWidth="1"/>
    <col min="13059" max="13059" width="17.7109375" style="123" customWidth="1"/>
    <col min="13060" max="13060" width="16.140625" style="123" customWidth="1"/>
    <col min="13061" max="13061" width="17.28515625" style="123" customWidth="1"/>
    <col min="13062" max="13062" width="22.7109375" style="123" customWidth="1"/>
    <col min="13063" max="13063" width="15.7109375" style="123" customWidth="1"/>
    <col min="13064" max="13066" width="11.42578125" style="123"/>
    <col min="13067" max="13067" width="15" style="123" bestFit="1" customWidth="1"/>
    <col min="13068" max="13312" width="11.42578125" style="123"/>
    <col min="13313" max="13313" width="40.7109375" style="123" customWidth="1"/>
    <col min="13314" max="13314" width="17.85546875" style="123" customWidth="1"/>
    <col min="13315" max="13315" width="17.7109375" style="123" customWidth="1"/>
    <col min="13316" max="13316" width="16.140625" style="123" customWidth="1"/>
    <col min="13317" max="13317" width="17.28515625" style="123" customWidth="1"/>
    <col min="13318" max="13318" width="22.7109375" style="123" customWidth="1"/>
    <col min="13319" max="13319" width="15.7109375" style="123" customWidth="1"/>
    <col min="13320" max="13322" width="11.42578125" style="123"/>
    <col min="13323" max="13323" width="15" style="123" bestFit="1" customWidth="1"/>
    <col min="13324" max="13568" width="11.42578125" style="123"/>
    <col min="13569" max="13569" width="40.7109375" style="123" customWidth="1"/>
    <col min="13570" max="13570" width="17.85546875" style="123" customWidth="1"/>
    <col min="13571" max="13571" width="17.7109375" style="123" customWidth="1"/>
    <col min="13572" max="13572" width="16.140625" style="123" customWidth="1"/>
    <col min="13573" max="13573" width="17.28515625" style="123" customWidth="1"/>
    <col min="13574" max="13574" width="22.7109375" style="123" customWidth="1"/>
    <col min="13575" max="13575" width="15.7109375" style="123" customWidth="1"/>
    <col min="13576" max="13578" width="11.42578125" style="123"/>
    <col min="13579" max="13579" width="15" style="123" bestFit="1" customWidth="1"/>
    <col min="13580" max="13824" width="11.42578125" style="123"/>
    <col min="13825" max="13825" width="40.7109375" style="123" customWidth="1"/>
    <col min="13826" max="13826" width="17.85546875" style="123" customWidth="1"/>
    <col min="13827" max="13827" width="17.7109375" style="123" customWidth="1"/>
    <col min="13828" max="13828" width="16.140625" style="123" customWidth="1"/>
    <col min="13829" max="13829" width="17.28515625" style="123" customWidth="1"/>
    <col min="13830" max="13830" width="22.7109375" style="123" customWidth="1"/>
    <col min="13831" max="13831" width="15.7109375" style="123" customWidth="1"/>
    <col min="13832" max="13834" width="11.42578125" style="123"/>
    <col min="13835" max="13835" width="15" style="123" bestFit="1" customWidth="1"/>
    <col min="13836" max="14080" width="11.42578125" style="123"/>
    <col min="14081" max="14081" width="40.7109375" style="123" customWidth="1"/>
    <col min="14082" max="14082" width="17.85546875" style="123" customWidth="1"/>
    <col min="14083" max="14083" width="17.7109375" style="123" customWidth="1"/>
    <col min="14084" max="14084" width="16.140625" style="123" customWidth="1"/>
    <col min="14085" max="14085" width="17.28515625" style="123" customWidth="1"/>
    <col min="14086" max="14086" width="22.7109375" style="123" customWidth="1"/>
    <col min="14087" max="14087" width="15.7109375" style="123" customWidth="1"/>
    <col min="14088" max="14090" width="11.42578125" style="123"/>
    <col min="14091" max="14091" width="15" style="123" bestFit="1" customWidth="1"/>
    <col min="14092" max="14336" width="11.42578125" style="123"/>
    <col min="14337" max="14337" width="40.7109375" style="123" customWidth="1"/>
    <col min="14338" max="14338" width="17.85546875" style="123" customWidth="1"/>
    <col min="14339" max="14339" width="17.7109375" style="123" customWidth="1"/>
    <col min="14340" max="14340" width="16.140625" style="123" customWidth="1"/>
    <col min="14341" max="14341" width="17.28515625" style="123" customWidth="1"/>
    <col min="14342" max="14342" width="22.7109375" style="123" customWidth="1"/>
    <col min="14343" max="14343" width="15.7109375" style="123" customWidth="1"/>
    <col min="14344" max="14346" width="11.42578125" style="123"/>
    <col min="14347" max="14347" width="15" style="123" bestFit="1" customWidth="1"/>
    <col min="14348" max="14592" width="11.42578125" style="123"/>
    <col min="14593" max="14593" width="40.7109375" style="123" customWidth="1"/>
    <col min="14594" max="14594" width="17.85546875" style="123" customWidth="1"/>
    <col min="14595" max="14595" width="17.7109375" style="123" customWidth="1"/>
    <col min="14596" max="14596" width="16.140625" style="123" customWidth="1"/>
    <col min="14597" max="14597" width="17.28515625" style="123" customWidth="1"/>
    <col min="14598" max="14598" width="22.7109375" style="123" customWidth="1"/>
    <col min="14599" max="14599" width="15.7109375" style="123" customWidth="1"/>
    <col min="14600" max="14602" width="11.42578125" style="123"/>
    <col min="14603" max="14603" width="15" style="123" bestFit="1" customWidth="1"/>
    <col min="14604" max="14848" width="11.42578125" style="123"/>
    <col min="14849" max="14849" width="40.7109375" style="123" customWidth="1"/>
    <col min="14850" max="14850" width="17.85546875" style="123" customWidth="1"/>
    <col min="14851" max="14851" width="17.7109375" style="123" customWidth="1"/>
    <col min="14852" max="14852" width="16.140625" style="123" customWidth="1"/>
    <col min="14853" max="14853" width="17.28515625" style="123" customWidth="1"/>
    <col min="14854" max="14854" width="22.7109375" style="123" customWidth="1"/>
    <col min="14855" max="14855" width="15.7109375" style="123" customWidth="1"/>
    <col min="14856" max="14858" width="11.42578125" style="123"/>
    <col min="14859" max="14859" width="15" style="123" bestFit="1" customWidth="1"/>
    <col min="14860" max="15104" width="11.42578125" style="123"/>
    <col min="15105" max="15105" width="40.7109375" style="123" customWidth="1"/>
    <col min="15106" max="15106" width="17.85546875" style="123" customWidth="1"/>
    <col min="15107" max="15107" width="17.7109375" style="123" customWidth="1"/>
    <col min="15108" max="15108" width="16.140625" style="123" customWidth="1"/>
    <col min="15109" max="15109" width="17.28515625" style="123" customWidth="1"/>
    <col min="15110" max="15110" width="22.7109375" style="123" customWidth="1"/>
    <col min="15111" max="15111" width="15.7109375" style="123" customWidth="1"/>
    <col min="15112" max="15114" width="11.42578125" style="123"/>
    <col min="15115" max="15115" width="15" style="123" bestFit="1" customWidth="1"/>
    <col min="15116" max="15360" width="11.42578125" style="123"/>
    <col min="15361" max="15361" width="40.7109375" style="123" customWidth="1"/>
    <col min="15362" max="15362" width="17.85546875" style="123" customWidth="1"/>
    <col min="15363" max="15363" width="17.7109375" style="123" customWidth="1"/>
    <col min="15364" max="15364" width="16.140625" style="123" customWidth="1"/>
    <col min="15365" max="15365" width="17.28515625" style="123" customWidth="1"/>
    <col min="15366" max="15366" width="22.7109375" style="123" customWidth="1"/>
    <col min="15367" max="15367" width="15.7109375" style="123" customWidth="1"/>
    <col min="15368" max="15370" width="11.42578125" style="123"/>
    <col min="15371" max="15371" width="15" style="123" bestFit="1" customWidth="1"/>
    <col min="15372" max="15616" width="11.42578125" style="123"/>
    <col min="15617" max="15617" width="40.7109375" style="123" customWidth="1"/>
    <col min="15618" max="15618" width="17.85546875" style="123" customWidth="1"/>
    <col min="15619" max="15619" width="17.7109375" style="123" customWidth="1"/>
    <col min="15620" max="15620" width="16.140625" style="123" customWidth="1"/>
    <col min="15621" max="15621" width="17.28515625" style="123" customWidth="1"/>
    <col min="15622" max="15622" width="22.7109375" style="123" customWidth="1"/>
    <col min="15623" max="15623" width="15.7109375" style="123" customWidth="1"/>
    <col min="15624" max="15626" width="11.42578125" style="123"/>
    <col min="15627" max="15627" width="15" style="123" bestFit="1" customWidth="1"/>
    <col min="15628" max="15872" width="11.42578125" style="123"/>
    <col min="15873" max="15873" width="40.7109375" style="123" customWidth="1"/>
    <col min="15874" max="15874" width="17.85546875" style="123" customWidth="1"/>
    <col min="15875" max="15875" width="17.7109375" style="123" customWidth="1"/>
    <col min="15876" max="15876" width="16.140625" style="123" customWidth="1"/>
    <col min="15877" max="15877" width="17.28515625" style="123" customWidth="1"/>
    <col min="15878" max="15878" width="22.7109375" style="123" customWidth="1"/>
    <col min="15879" max="15879" width="15.7109375" style="123" customWidth="1"/>
    <col min="15880" max="15882" width="11.42578125" style="123"/>
    <col min="15883" max="15883" width="15" style="123" bestFit="1" customWidth="1"/>
    <col min="15884" max="16128" width="11.42578125" style="123"/>
    <col min="16129" max="16129" width="40.7109375" style="123" customWidth="1"/>
    <col min="16130" max="16130" width="17.85546875" style="123" customWidth="1"/>
    <col min="16131" max="16131" width="17.7109375" style="123" customWidth="1"/>
    <col min="16132" max="16132" width="16.140625" style="123" customWidth="1"/>
    <col min="16133" max="16133" width="17.28515625" style="123" customWidth="1"/>
    <col min="16134" max="16134" width="22.7109375" style="123" customWidth="1"/>
    <col min="16135" max="16135" width="15.7109375" style="123" customWidth="1"/>
    <col min="16136" max="16138" width="11.42578125" style="123"/>
    <col min="16139" max="16139" width="15" style="123" bestFit="1" customWidth="1"/>
    <col min="16140" max="16384" width="11.42578125" style="123"/>
  </cols>
  <sheetData>
    <row r="1" spans="1:14" s="109" customFormat="1" ht="25.5" customHeight="1" x14ac:dyDescent="0.2">
      <c r="A1" s="476" t="s">
        <v>69</v>
      </c>
      <c r="B1" s="476"/>
      <c r="C1" s="476"/>
      <c r="D1" s="476"/>
      <c r="E1" s="138" t="s">
        <v>70</v>
      </c>
      <c r="F1" s="108"/>
      <c r="G1" s="108"/>
    </row>
    <row r="2" spans="1:14" s="109" customFormat="1" x14ac:dyDescent="0.2"/>
    <row r="3" spans="1:14" s="111" customFormat="1" ht="63.75" hidden="1" x14ac:dyDescent="0.2">
      <c r="A3" s="110" t="s">
        <v>59</v>
      </c>
      <c r="B3" s="110" t="s">
        <v>60</v>
      </c>
      <c r="C3" s="110" t="s">
        <v>61</v>
      </c>
      <c r="D3" s="110" t="s">
        <v>62</v>
      </c>
      <c r="E3" s="109"/>
      <c r="F3" s="109"/>
      <c r="G3" s="109"/>
    </row>
    <row r="4" spans="1:14" s="111" customFormat="1" hidden="1" x14ac:dyDescent="0.2">
      <c r="A4" s="110">
        <v>1</v>
      </c>
      <c r="B4" s="110">
        <v>2</v>
      </c>
      <c r="C4" s="110">
        <v>3</v>
      </c>
      <c r="D4" s="110">
        <v>4</v>
      </c>
      <c r="E4" s="109"/>
      <c r="F4" s="109"/>
      <c r="G4" s="109"/>
    </row>
    <row r="5" spans="1:14" s="109" customFormat="1" hidden="1" x14ac:dyDescent="0.2">
      <c r="A5" s="112" t="s">
        <v>63</v>
      </c>
      <c r="B5" s="113">
        <v>163307831.25</v>
      </c>
      <c r="C5" s="114">
        <f>D17</f>
        <v>1.0329999999999999</v>
      </c>
      <c r="D5" s="115">
        <f>B5*C5</f>
        <v>168696989.68124998</v>
      </c>
    </row>
    <row r="6" spans="1:14" s="109" customFormat="1" hidden="1" x14ac:dyDescent="0.2">
      <c r="A6" s="116" t="s">
        <v>64</v>
      </c>
      <c r="B6" s="113">
        <f>SUM(B5:B5)</f>
        <v>163307831.25</v>
      </c>
      <c r="C6" s="113"/>
      <c r="D6" s="113">
        <f>SUM(D5:D5)</f>
        <v>168696989.68124998</v>
      </c>
    </row>
    <row r="7" spans="1:14" s="109" customFormat="1" hidden="1" x14ac:dyDescent="0.2">
      <c r="A7" s="117" t="s">
        <v>65</v>
      </c>
      <c r="B7" s="113">
        <f>B6*0.2</f>
        <v>32661566.25</v>
      </c>
      <c r="C7" s="113"/>
      <c r="D7" s="113">
        <f>D6*0.2</f>
        <v>33739397.936249994</v>
      </c>
    </row>
    <row r="8" spans="1:14" s="121" customFormat="1" hidden="1" x14ac:dyDescent="0.2">
      <c r="A8" s="116" t="s">
        <v>66</v>
      </c>
      <c r="B8" s="118">
        <f>B6+B7</f>
        <v>195969397.5</v>
      </c>
      <c r="C8" s="118"/>
      <c r="D8" s="119">
        <f>D6+D7</f>
        <v>202436387.61749998</v>
      </c>
      <c r="E8" s="120"/>
      <c r="F8" s="120"/>
      <c r="G8" s="109"/>
    </row>
    <row r="10" spans="1:14" ht="15" x14ac:dyDescent="0.25">
      <c r="A10" s="122" t="s">
        <v>67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ht="15" x14ac:dyDescent="0.2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">
      <c r="A12" s="124" t="s">
        <v>133</v>
      </c>
      <c r="B12" s="124"/>
      <c r="C12" s="124"/>
      <c r="D12" s="124"/>
      <c r="E12" s="124"/>
      <c r="F12" s="124"/>
      <c r="G12" s="124"/>
      <c r="H12" s="125"/>
      <c r="I12" s="125"/>
      <c r="J12" s="125"/>
      <c r="K12" s="125"/>
    </row>
    <row r="13" spans="1:14" ht="19.5" x14ac:dyDescent="0.35">
      <c r="A13" s="124" t="s">
        <v>68</v>
      </c>
      <c r="B13" s="124"/>
      <c r="C13" s="126">
        <v>108.1</v>
      </c>
      <c r="D13" s="127">
        <f>C13/100</f>
        <v>1.081</v>
      </c>
      <c r="E13" s="124"/>
      <c r="F13" s="124"/>
      <c r="G13" s="128"/>
      <c r="H13" s="125"/>
      <c r="I13" s="129"/>
    </row>
    <row r="14" spans="1:14" ht="8.25" customHeight="1" x14ac:dyDescent="0.2">
      <c r="D14" s="130"/>
      <c r="G14" s="125"/>
      <c r="H14" s="125"/>
      <c r="I14" s="129"/>
    </row>
    <row r="15" spans="1:14" x14ac:dyDescent="0.2">
      <c r="A15" s="123" t="s">
        <v>76</v>
      </c>
      <c r="C15" s="477" t="s">
        <v>195</v>
      </c>
      <c r="D15" s="477"/>
      <c r="E15" s="477"/>
      <c r="F15" s="477"/>
      <c r="G15" s="319">
        <f>5/12</f>
        <v>0.41666666666666669</v>
      </c>
      <c r="H15" s="125"/>
      <c r="I15" s="129"/>
    </row>
    <row r="16" spans="1:14" ht="6" customHeight="1" x14ac:dyDescent="0.2">
      <c r="D16" s="130"/>
      <c r="G16" s="125"/>
      <c r="H16" s="125"/>
      <c r="I16" s="129"/>
    </row>
    <row r="17" spans="1:9" s="137" customFormat="1" ht="25.5" customHeight="1" x14ac:dyDescent="0.25">
      <c r="A17" s="131" t="s">
        <v>192</v>
      </c>
      <c r="B17" s="132"/>
      <c r="C17" s="133" t="s">
        <v>193</v>
      </c>
      <c r="D17" s="320">
        <v>1.0329999999999999</v>
      </c>
      <c r="E17" s="134" t="s">
        <v>194</v>
      </c>
      <c r="F17" s="130"/>
      <c r="G17" s="135"/>
      <c r="H17" s="135"/>
      <c r="I17" s="136"/>
    </row>
    <row r="18" spans="1:9" ht="14.25" customHeight="1" x14ac:dyDescent="0.2">
      <c r="A18" s="109"/>
      <c r="G18" s="125"/>
      <c r="H18" s="125"/>
      <c r="I18" s="129"/>
    </row>
  </sheetData>
  <sheetProtection selectLockedCells="1" selectUnlockedCells="1"/>
  <mergeCells count="2">
    <mergeCell ref="A1:D1"/>
    <mergeCell ref="C15:F15"/>
  </mergeCells>
  <pageMargins left="0.78749999999999998" right="0.78749999999999998" top="1.0527777777777778" bottom="1.0527777777777778" header="0.78749999999999998" footer="0.78749999999999998"/>
  <pageSetup paperSize="9" scale="86" firstPageNumber="0" orientation="landscape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2ABC-2E11-4C19-81B4-06785A8D0706}">
  <dimension ref="A1:F106"/>
  <sheetViews>
    <sheetView view="pageBreakPreview" zoomScaleNormal="100" zoomScaleSheetLayoutView="100" workbookViewId="0">
      <pane ySplit="6" topLeftCell="A91" activePane="bottomLeft" state="frozen"/>
      <selection pane="bottomLeft" activeCell="C93" sqref="C93"/>
    </sheetView>
  </sheetViews>
  <sheetFormatPr defaultColWidth="8.85546875" defaultRowHeight="15" x14ac:dyDescent="0.25"/>
  <cols>
    <col min="1" max="1" width="90.5703125" style="145" customWidth="1"/>
    <col min="2" max="6" width="16.140625" style="145" customWidth="1"/>
    <col min="7" max="16384" width="8.85546875" style="145"/>
  </cols>
  <sheetData>
    <row r="1" spans="1:6" x14ac:dyDescent="0.25">
      <c r="A1" s="478" t="s">
        <v>77</v>
      </c>
      <c r="B1" s="478"/>
      <c r="C1" s="478"/>
      <c r="D1" s="478"/>
      <c r="E1" s="478"/>
      <c r="F1" s="478"/>
    </row>
    <row r="2" spans="1:6" ht="45" customHeight="1" x14ac:dyDescent="0.25">
      <c r="A2" s="478"/>
      <c r="B2" s="478"/>
      <c r="C2" s="478"/>
      <c r="D2" s="478"/>
      <c r="E2" s="478"/>
      <c r="F2" s="478"/>
    </row>
    <row r="3" spans="1:6" ht="52.5" customHeight="1" x14ac:dyDescent="0.25">
      <c r="A3" s="479" t="s">
        <v>78</v>
      </c>
      <c r="B3" s="479"/>
      <c r="C3" s="479"/>
      <c r="D3" s="479"/>
      <c r="E3" s="479"/>
      <c r="F3" s="479"/>
    </row>
    <row r="4" spans="1:6" s="146" customFormat="1" ht="19.5" customHeight="1" thickBot="1" x14ac:dyDescent="0.35">
      <c r="A4" s="480" t="s">
        <v>79</v>
      </c>
      <c r="B4" s="480"/>
      <c r="C4" s="480"/>
      <c r="D4" s="480"/>
      <c r="E4" s="480"/>
      <c r="F4" s="480"/>
    </row>
    <row r="5" spans="1:6" ht="19.5" customHeight="1" x14ac:dyDescent="0.25">
      <c r="A5" s="147"/>
      <c r="B5" s="148">
        <v>2024</v>
      </c>
      <c r="C5" s="149">
        <v>2025</v>
      </c>
      <c r="D5" s="149">
        <v>2026</v>
      </c>
      <c r="E5" s="149">
        <v>2027</v>
      </c>
      <c r="F5" s="150">
        <v>2028</v>
      </c>
    </row>
    <row r="6" spans="1:6" ht="19.5" customHeight="1" thickBot="1" x14ac:dyDescent="0.3">
      <c r="A6" s="151"/>
      <c r="B6" s="152" t="s">
        <v>80</v>
      </c>
      <c r="C6" s="153" t="s">
        <v>81</v>
      </c>
      <c r="D6" s="481" t="s">
        <v>82</v>
      </c>
      <c r="E6" s="481"/>
      <c r="F6" s="482"/>
    </row>
    <row r="7" spans="1:6" ht="15.75" customHeight="1" x14ac:dyDescent="0.25">
      <c r="A7" s="154" t="s">
        <v>83</v>
      </c>
      <c r="B7" s="155"/>
      <c r="C7" s="156"/>
      <c r="D7" s="156"/>
      <c r="E7" s="156"/>
      <c r="F7" s="157"/>
    </row>
    <row r="8" spans="1:6" ht="20.100000000000001" customHeight="1" x14ac:dyDescent="0.25">
      <c r="A8" s="158" t="s">
        <v>84</v>
      </c>
      <c r="B8" s="159">
        <v>110.66</v>
      </c>
      <c r="C8" s="160">
        <v>102.8</v>
      </c>
      <c r="D8" s="160">
        <v>106.1</v>
      </c>
      <c r="E8" s="160">
        <v>104.93</v>
      </c>
      <c r="F8" s="161">
        <v>104.28</v>
      </c>
    </row>
    <row r="9" spans="1:6" ht="20.100000000000001" customHeight="1" x14ac:dyDescent="0.25">
      <c r="A9" s="162" t="s">
        <v>85</v>
      </c>
      <c r="B9" s="163">
        <v>112.07</v>
      </c>
      <c r="C9" s="164">
        <v>103.02</v>
      </c>
      <c r="D9" s="164">
        <v>106.1</v>
      </c>
      <c r="E9" s="164">
        <v>105.11</v>
      </c>
      <c r="F9" s="165">
        <v>104.28</v>
      </c>
    </row>
    <row r="10" spans="1:6" ht="20.100000000000001" customHeight="1" x14ac:dyDescent="0.25">
      <c r="A10" s="166" t="s">
        <v>86</v>
      </c>
      <c r="B10" s="163">
        <v>110.43</v>
      </c>
      <c r="C10" s="164">
        <v>106.25</v>
      </c>
      <c r="D10" s="164">
        <v>104.9</v>
      </c>
      <c r="E10" s="164">
        <v>104.39</v>
      </c>
      <c r="F10" s="165">
        <v>104.12</v>
      </c>
    </row>
    <row r="11" spans="1:6" ht="20.100000000000001" customHeight="1" x14ac:dyDescent="0.25">
      <c r="A11" s="167" t="s">
        <v>87</v>
      </c>
      <c r="B11" s="168"/>
      <c r="C11" s="169"/>
      <c r="D11" s="169"/>
      <c r="E11" s="169"/>
      <c r="F11" s="170"/>
    </row>
    <row r="12" spans="1:6" ht="20.100000000000001" customHeight="1" x14ac:dyDescent="0.25">
      <c r="A12" s="158" t="s">
        <v>84</v>
      </c>
      <c r="B12" s="159">
        <v>116.59</v>
      </c>
      <c r="C12" s="160">
        <v>89.94</v>
      </c>
      <c r="D12" s="160">
        <v>107.78</v>
      </c>
      <c r="E12" s="160">
        <v>105.6</v>
      </c>
      <c r="F12" s="161">
        <v>104.59</v>
      </c>
    </row>
    <row r="13" spans="1:6" s="172" customFormat="1" ht="20.100000000000001" customHeight="1" x14ac:dyDescent="0.25">
      <c r="A13" s="171" t="s">
        <v>85</v>
      </c>
      <c r="B13" s="163">
        <v>117.68</v>
      </c>
      <c r="C13" s="164">
        <v>93.35</v>
      </c>
      <c r="D13" s="164">
        <v>107.24</v>
      </c>
      <c r="E13" s="164">
        <v>106.04</v>
      </c>
      <c r="F13" s="165">
        <v>104.7</v>
      </c>
    </row>
    <row r="14" spans="1:6" ht="20.100000000000001" customHeight="1" x14ac:dyDescent="0.25">
      <c r="A14" s="167" t="s">
        <v>88</v>
      </c>
      <c r="B14" s="168"/>
      <c r="C14" s="169"/>
      <c r="D14" s="169"/>
      <c r="E14" s="169"/>
      <c r="F14" s="170"/>
    </row>
    <row r="15" spans="1:6" ht="20.100000000000001" customHeight="1" x14ac:dyDescent="0.25">
      <c r="A15" s="158" t="s">
        <v>84</v>
      </c>
      <c r="B15" s="159">
        <v>115.66</v>
      </c>
      <c r="C15" s="160">
        <v>87.47</v>
      </c>
      <c r="D15" s="160">
        <v>108.31</v>
      </c>
      <c r="E15" s="160">
        <v>105.84</v>
      </c>
      <c r="F15" s="161">
        <v>104.67</v>
      </c>
    </row>
    <row r="16" spans="1:6" s="172" customFormat="1" ht="20.100000000000001" customHeight="1" x14ac:dyDescent="0.25">
      <c r="A16" s="173" t="s">
        <v>85</v>
      </c>
      <c r="B16" s="163">
        <v>117.51</v>
      </c>
      <c r="C16" s="164">
        <v>91.4</v>
      </c>
      <c r="D16" s="164">
        <v>107.68</v>
      </c>
      <c r="E16" s="164">
        <v>106.3</v>
      </c>
      <c r="F16" s="165">
        <v>104.78</v>
      </c>
    </row>
    <row r="17" spans="1:6" ht="20.100000000000001" customHeight="1" x14ac:dyDescent="0.25">
      <c r="A17" s="167" t="s">
        <v>89</v>
      </c>
      <c r="B17" s="168"/>
      <c r="C17" s="169"/>
      <c r="D17" s="169"/>
      <c r="E17" s="169"/>
      <c r="F17" s="170"/>
    </row>
    <row r="18" spans="1:6" ht="20.100000000000001" customHeight="1" x14ac:dyDescent="0.25">
      <c r="A18" s="158" t="s">
        <v>84</v>
      </c>
      <c r="B18" s="159">
        <v>83.1</v>
      </c>
      <c r="C18" s="160">
        <v>81.06</v>
      </c>
      <c r="D18" s="160">
        <v>101.91</v>
      </c>
      <c r="E18" s="160">
        <v>105.35</v>
      </c>
      <c r="F18" s="161">
        <v>103.41</v>
      </c>
    </row>
    <row r="19" spans="1:6" ht="20.100000000000001" customHeight="1" x14ac:dyDescent="0.25">
      <c r="A19" s="162" t="s">
        <v>85</v>
      </c>
      <c r="B19" s="163">
        <v>99.65</v>
      </c>
      <c r="C19" s="164">
        <v>88.11</v>
      </c>
      <c r="D19" s="164">
        <v>100.43</v>
      </c>
      <c r="E19" s="164">
        <v>105.55</v>
      </c>
      <c r="F19" s="165">
        <v>103.51</v>
      </c>
    </row>
    <row r="20" spans="1:6" ht="20.100000000000001" customHeight="1" x14ac:dyDescent="0.25">
      <c r="A20" s="166" t="s">
        <v>90</v>
      </c>
      <c r="B20" s="163"/>
      <c r="C20" s="164"/>
      <c r="D20" s="164"/>
      <c r="E20" s="164"/>
      <c r="F20" s="165"/>
    </row>
    <row r="21" spans="1:6" ht="20.100000000000001" customHeight="1" x14ac:dyDescent="0.25">
      <c r="A21" s="162" t="s">
        <v>85</v>
      </c>
      <c r="B21" s="163">
        <v>99.56</v>
      </c>
      <c r="C21" s="174">
        <v>103.19</v>
      </c>
      <c r="D21" s="174">
        <v>101.49</v>
      </c>
      <c r="E21" s="174">
        <v>104.35</v>
      </c>
      <c r="F21" s="175">
        <v>102.68</v>
      </c>
    </row>
    <row r="22" spans="1:6" ht="20.100000000000001" customHeight="1" x14ac:dyDescent="0.25">
      <c r="A22" s="167" t="s">
        <v>91</v>
      </c>
      <c r="B22" s="168"/>
      <c r="C22" s="169"/>
      <c r="D22" s="169"/>
      <c r="E22" s="169"/>
      <c r="F22" s="170"/>
    </row>
    <row r="23" spans="1:6" ht="20.100000000000001" customHeight="1" x14ac:dyDescent="0.25">
      <c r="A23" s="158" t="s">
        <v>84</v>
      </c>
      <c r="B23" s="159">
        <v>119.17</v>
      </c>
      <c r="C23" s="160">
        <v>87.91</v>
      </c>
      <c r="D23" s="160">
        <v>108.72</v>
      </c>
      <c r="E23" s="160">
        <v>105.87</v>
      </c>
      <c r="F23" s="161">
        <v>104.76</v>
      </c>
    </row>
    <row r="24" spans="1:6" s="172" customFormat="1" ht="20.100000000000001" customHeight="1" x14ac:dyDescent="0.25">
      <c r="A24" s="171" t="s">
        <v>85</v>
      </c>
      <c r="B24" s="176">
        <v>118.33</v>
      </c>
      <c r="C24" s="174">
        <v>91.62</v>
      </c>
      <c r="D24" s="174">
        <v>108.13</v>
      </c>
      <c r="E24" s="174">
        <v>106.34</v>
      </c>
      <c r="F24" s="175">
        <v>104.86</v>
      </c>
    </row>
    <row r="25" spans="1:6" ht="20.100000000000001" customHeight="1" x14ac:dyDescent="0.25">
      <c r="A25" s="177" t="s">
        <v>92</v>
      </c>
      <c r="B25" s="178"/>
      <c r="C25" s="179"/>
      <c r="D25" s="179"/>
      <c r="E25" s="179"/>
      <c r="F25" s="180"/>
    </row>
    <row r="26" spans="1:6" ht="20.100000000000001" customHeight="1" x14ac:dyDescent="0.25">
      <c r="A26" s="158" t="s">
        <v>84</v>
      </c>
      <c r="B26" s="159">
        <v>121.48</v>
      </c>
      <c r="C26" s="160">
        <v>105.37</v>
      </c>
      <c r="D26" s="160">
        <v>104.38</v>
      </c>
      <c r="E26" s="160">
        <v>104.08</v>
      </c>
      <c r="F26" s="161">
        <v>104.06</v>
      </c>
    </row>
    <row r="27" spans="1:6" ht="20.100000000000001" customHeight="1" x14ac:dyDescent="0.25">
      <c r="A27" s="162" t="s">
        <v>85</v>
      </c>
      <c r="B27" s="176">
        <v>119.31</v>
      </c>
      <c r="C27" s="174">
        <v>108.14</v>
      </c>
      <c r="D27" s="174">
        <v>104.38</v>
      </c>
      <c r="E27" s="174">
        <v>104.19</v>
      </c>
      <c r="F27" s="175">
        <v>104.07</v>
      </c>
    </row>
    <row r="28" spans="1:6" ht="20.100000000000001" customHeight="1" x14ac:dyDescent="0.25">
      <c r="A28" s="181" t="s">
        <v>93</v>
      </c>
      <c r="B28" s="168"/>
      <c r="C28" s="169"/>
      <c r="D28" s="169"/>
      <c r="E28" s="169"/>
      <c r="F28" s="182"/>
    </row>
    <row r="29" spans="1:6" ht="20.100000000000001" customHeight="1" x14ac:dyDescent="0.25">
      <c r="A29" s="158" t="s">
        <v>84</v>
      </c>
      <c r="B29" s="159">
        <v>132.13999999999999</v>
      </c>
      <c r="C29" s="160">
        <v>105.63</v>
      </c>
      <c r="D29" s="160">
        <v>104.49</v>
      </c>
      <c r="E29" s="160">
        <v>104.14</v>
      </c>
      <c r="F29" s="161">
        <v>104.13</v>
      </c>
    </row>
    <row r="30" spans="1:6" ht="20.100000000000001" customHeight="1" thickBot="1" x14ac:dyDescent="0.3">
      <c r="A30" s="183" t="s">
        <v>85</v>
      </c>
      <c r="B30" s="184">
        <v>125.72</v>
      </c>
      <c r="C30" s="185">
        <v>107.68</v>
      </c>
      <c r="D30" s="185">
        <v>104.34</v>
      </c>
      <c r="E30" s="185">
        <v>104.21</v>
      </c>
      <c r="F30" s="186">
        <v>104.12</v>
      </c>
    </row>
    <row r="31" spans="1:6" ht="20.100000000000001" customHeight="1" x14ac:dyDescent="0.25">
      <c r="A31" s="187" t="s">
        <v>94</v>
      </c>
      <c r="B31" s="188"/>
      <c r="C31" s="189"/>
      <c r="D31" s="189"/>
      <c r="E31" s="189"/>
      <c r="F31" s="190"/>
    </row>
    <row r="32" spans="1:6" ht="20.100000000000001" customHeight="1" x14ac:dyDescent="0.25">
      <c r="A32" s="158" t="s">
        <v>84</v>
      </c>
      <c r="B32" s="159">
        <v>97.25</v>
      </c>
      <c r="C32" s="160">
        <v>104.58</v>
      </c>
      <c r="D32" s="160">
        <v>104.06</v>
      </c>
      <c r="E32" s="160">
        <v>103.89</v>
      </c>
      <c r="F32" s="161">
        <v>103.84</v>
      </c>
    </row>
    <row r="33" spans="1:6" ht="20.100000000000001" customHeight="1" x14ac:dyDescent="0.25">
      <c r="A33" s="191" t="s">
        <v>85</v>
      </c>
      <c r="B33" s="176">
        <v>104.29</v>
      </c>
      <c r="C33" s="174">
        <v>109.5</v>
      </c>
      <c r="D33" s="174">
        <v>104.21</v>
      </c>
      <c r="E33" s="174">
        <v>104.04</v>
      </c>
      <c r="F33" s="175">
        <v>103.94</v>
      </c>
    </row>
    <row r="34" spans="1:6" ht="20.100000000000001" customHeight="1" x14ac:dyDescent="0.25">
      <c r="A34" s="177" t="s">
        <v>95</v>
      </c>
      <c r="B34" s="192"/>
      <c r="C34" s="193"/>
      <c r="D34" s="193"/>
      <c r="E34" s="193"/>
      <c r="F34" s="180"/>
    </row>
    <row r="35" spans="1:6" ht="20.100000000000001" customHeight="1" x14ac:dyDescent="0.25">
      <c r="A35" s="158" t="s">
        <v>84</v>
      </c>
      <c r="B35" s="159">
        <v>107.25</v>
      </c>
      <c r="C35" s="160">
        <v>105.41</v>
      </c>
      <c r="D35" s="160">
        <v>104.849</v>
      </c>
      <c r="E35" s="160">
        <v>104.28</v>
      </c>
      <c r="F35" s="161">
        <v>104.12</v>
      </c>
    </row>
    <row r="36" spans="1:6" ht="20.100000000000001" customHeight="1" x14ac:dyDescent="0.25">
      <c r="A36" s="162" t="s">
        <v>85</v>
      </c>
      <c r="B36" s="176">
        <v>111.22</v>
      </c>
      <c r="C36" s="174">
        <v>104.63</v>
      </c>
      <c r="D36" s="174">
        <v>104.88</v>
      </c>
      <c r="E36" s="174">
        <v>104.38</v>
      </c>
      <c r="F36" s="175">
        <v>104.08</v>
      </c>
    </row>
    <row r="37" spans="1:6" ht="30" x14ac:dyDescent="0.25">
      <c r="A37" s="181" t="s">
        <v>96</v>
      </c>
      <c r="B37" s="168"/>
      <c r="C37" s="169"/>
      <c r="D37" s="169"/>
      <c r="E37" s="169"/>
      <c r="F37" s="182"/>
    </row>
    <row r="38" spans="1:6" ht="20.100000000000001" customHeight="1" x14ac:dyDescent="0.25">
      <c r="A38" s="158" t="s">
        <v>84</v>
      </c>
      <c r="B38" s="159">
        <v>110.07</v>
      </c>
      <c r="C38" s="160">
        <v>112.16</v>
      </c>
      <c r="D38" s="160">
        <v>104.56</v>
      </c>
      <c r="E38" s="160">
        <v>104.06</v>
      </c>
      <c r="F38" s="161">
        <v>103.88</v>
      </c>
    </row>
    <row r="39" spans="1:6" ht="20.100000000000001" customHeight="1" x14ac:dyDescent="0.25">
      <c r="A39" s="162" t="s">
        <v>85</v>
      </c>
      <c r="B39" s="176">
        <v>109.05</v>
      </c>
      <c r="C39" s="174">
        <v>111.13</v>
      </c>
      <c r="D39" s="174">
        <v>104.76</v>
      </c>
      <c r="E39" s="174">
        <v>104.14</v>
      </c>
      <c r="F39" s="175">
        <v>103.89</v>
      </c>
    </row>
    <row r="40" spans="1:6" ht="30" x14ac:dyDescent="0.25">
      <c r="A40" s="181" t="s">
        <v>97</v>
      </c>
      <c r="B40" s="168"/>
      <c r="C40" s="169"/>
      <c r="D40" s="169"/>
      <c r="E40" s="169"/>
      <c r="F40" s="182"/>
    </row>
    <row r="41" spans="1:6" ht="20.100000000000001" customHeight="1" x14ac:dyDescent="0.25">
      <c r="A41" s="158" t="s">
        <v>84</v>
      </c>
      <c r="B41" s="159">
        <v>111.16</v>
      </c>
      <c r="C41" s="160">
        <v>109.2</v>
      </c>
      <c r="D41" s="160">
        <v>104.43</v>
      </c>
      <c r="E41" s="160">
        <v>104.13</v>
      </c>
      <c r="F41" s="161">
        <v>103.85</v>
      </c>
    </row>
    <row r="42" spans="1:6" ht="20.100000000000001" customHeight="1" x14ac:dyDescent="0.25">
      <c r="A42" s="191" t="s">
        <v>85</v>
      </c>
      <c r="B42" s="176">
        <v>108.13</v>
      </c>
      <c r="C42" s="174">
        <v>106.06</v>
      </c>
      <c r="D42" s="174">
        <v>104.17</v>
      </c>
      <c r="E42" s="174">
        <v>104</v>
      </c>
      <c r="F42" s="175">
        <v>103.85</v>
      </c>
    </row>
    <row r="43" spans="1:6" ht="30" x14ac:dyDescent="0.25">
      <c r="A43" s="181" t="s">
        <v>98</v>
      </c>
      <c r="B43" s="168"/>
      <c r="C43" s="169"/>
      <c r="D43" s="169"/>
      <c r="E43" s="169"/>
      <c r="F43" s="182"/>
    </row>
    <row r="44" spans="1:6" ht="20.100000000000001" customHeight="1" x14ac:dyDescent="0.25">
      <c r="A44" s="158" t="s">
        <v>84</v>
      </c>
      <c r="B44" s="159">
        <v>114.3</v>
      </c>
      <c r="C44" s="160">
        <v>104.31</v>
      </c>
      <c r="D44" s="160">
        <v>104.64</v>
      </c>
      <c r="E44" s="160">
        <v>104.08</v>
      </c>
      <c r="F44" s="161">
        <v>103.87</v>
      </c>
    </row>
    <row r="45" spans="1:6" ht="20.100000000000001" customHeight="1" x14ac:dyDescent="0.25">
      <c r="A45" s="191" t="s">
        <v>85</v>
      </c>
      <c r="B45" s="176">
        <v>115.88</v>
      </c>
      <c r="C45" s="174">
        <v>103.74</v>
      </c>
      <c r="D45" s="174">
        <v>104.78</v>
      </c>
      <c r="E45" s="174">
        <v>103.95</v>
      </c>
      <c r="F45" s="175">
        <v>103.91</v>
      </c>
    </row>
    <row r="46" spans="1:6" ht="20.100000000000001" customHeight="1" x14ac:dyDescent="0.25">
      <c r="A46" s="194" t="s">
        <v>99</v>
      </c>
      <c r="B46" s="178"/>
      <c r="C46" s="179"/>
      <c r="D46" s="179"/>
      <c r="E46" s="179"/>
      <c r="F46" s="195"/>
    </row>
    <row r="47" spans="1:6" ht="20.100000000000001" customHeight="1" x14ac:dyDescent="0.25">
      <c r="A47" s="158" t="s">
        <v>84</v>
      </c>
      <c r="B47" s="159">
        <v>113.7</v>
      </c>
      <c r="C47" s="160">
        <v>103.62</v>
      </c>
      <c r="D47" s="160">
        <v>104.04</v>
      </c>
      <c r="E47" s="160">
        <v>104</v>
      </c>
      <c r="F47" s="161">
        <v>104.02</v>
      </c>
    </row>
    <row r="48" spans="1:6" ht="20.100000000000001" customHeight="1" x14ac:dyDescent="0.25">
      <c r="A48" s="162" t="s">
        <v>85</v>
      </c>
      <c r="B48" s="176">
        <v>115.17</v>
      </c>
      <c r="C48" s="174">
        <v>101.18</v>
      </c>
      <c r="D48" s="174">
        <v>103.98</v>
      </c>
      <c r="E48" s="174">
        <v>103.9</v>
      </c>
      <c r="F48" s="175">
        <v>103.86</v>
      </c>
    </row>
    <row r="49" spans="1:6" ht="20.100000000000001" customHeight="1" x14ac:dyDescent="0.25">
      <c r="A49" s="181" t="s">
        <v>100</v>
      </c>
      <c r="B49" s="168"/>
      <c r="C49" s="169"/>
      <c r="D49" s="169"/>
      <c r="E49" s="169"/>
      <c r="F49" s="182"/>
    </row>
    <row r="50" spans="1:6" ht="20.100000000000001" customHeight="1" x14ac:dyDescent="0.25">
      <c r="A50" s="158" t="s">
        <v>84</v>
      </c>
      <c r="B50" s="159">
        <v>112.64</v>
      </c>
      <c r="C50" s="160">
        <v>94.68</v>
      </c>
      <c r="D50" s="160">
        <v>104.19</v>
      </c>
      <c r="E50" s="160">
        <v>103.9</v>
      </c>
      <c r="F50" s="161">
        <v>103.78</v>
      </c>
    </row>
    <row r="51" spans="1:6" ht="20.100000000000001" customHeight="1" x14ac:dyDescent="0.25">
      <c r="A51" s="191" t="s">
        <v>85</v>
      </c>
      <c r="B51" s="176">
        <v>116.42</v>
      </c>
      <c r="C51" s="174">
        <v>95.847999999999999</v>
      </c>
      <c r="D51" s="174">
        <v>104.649</v>
      </c>
      <c r="E51" s="174">
        <v>104.13</v>
      </c>
      <c r="F51" s="175">
        <v>103.8</v>
      </c>
    </row>
    <row r="52" spans="1:6" ht="45" x14ac:dyDescent="0.25">
      <c r="A52" s="181" t="s">
        <v>101</v>
      </c>
      <c r="B52" s="168"/>
      <c r="C52" s="169"/>
      <c r="D52" s="169"/>
      <c r="E52" s="169"/>
      <c r="F52" s="182"/>
    </row>
    <row r="53" spans="1:6" ht="20.100000000000001" customHeight="1" x14ac:dyDescent="0.25">
      <c r="A53" s="158" t="s">
        <v>84</v>
      </c>
      <c r="B53" s="159">
        <v>107.88</v>
      </c>
      <c r="C53" s="160">
        <v>107.42</v>
      </c>
      <c r="D53" s="160">
        <v>104.62</v>
      </c>
      <c r="E53" s="160">
        <v>104.349</v>
      </c>
      <c r="F53" s="161">
        <v>104.146</v>
      </c>
    </row>
    <row r="54" spans="1:6" ht="20.100000000000001" customHeight="1" thickBot="1" x14ac:dyDescent="0.3">
      <c r="A54" s="183" t="s">
        <v>85</v>
      </c>
      <c r="B54" s="184">
        <v>105.88</v>
      </c>
      <c r="C54" s="185">
        <v>104.15</v>
      </c>
      <c r="D54" s="185">
        <v>104.01</v>
      </c>
      <c r="E54" s="185">
        <v>103.92</v>
      </c>
      <c r="F54" s="186">
        <v>103.75</v>
      </c>
    </row>
    <row r="55" spans="1:6" ht="17.25" customHeight="1" x14ac:dyDescent="0.25">
      <c r="A55" s="187" t="s">
        <v>102</v>
      </c>
      <c r="B55" s="188"/>
      <c r="C55" s="189"/>
      <c r="D55" s="189"/>
      <c r="E55" s="189"/>
      <c r="F55" s="190"/>
    </row>
    <row r="56" spans="1:6" ht="20.100000000000001" customHeight="1" x14ac:dyDescent="0.25">
      <c r="A56" s="158" t="s">
        <v>84</v>
      </c>
      <c r="B56" s="159">
        <v>108.8</v>
      </c>
      <c r="C56" s="160">
        <v>109.72</v>
      </c>
      <c r="D56" s="160">
        <v>104.5</v>
      </c>
      <c r="E56" s="160">
        <v>104.21</v>
      </c>
      <c r="F56" s="161">
        <v>103.92</v>
      </c>
    </row>
    <row r="57" spans="1:6" ht="20.100000000000001" customHeight="1" x14ac:dyDescent="0.25">
      <c r="A57" s="162" t="s">
        <v>85</v>
      </c>
      <c r="B57" s="176">
        <v>112.64</v>
      </c>
      <c r="C57" s="174">
        <v>108.08</v>
      </c>
      <c r="D57" s="174">
        <v>104.28</v>
      </c>
      <c r="E57" s="174">
        <v>104.21</v>
      </c>
      <c r="F57" s="175">
        <v>104.02</v>
      </c>
    </row>
    <row r="58" spans="1:6" ht="15.75" x14ac:dyDescent="0.25">
      <c r="A58" s="181" t="s">
        <v>103</v>
      </c>
      <c r="B58" s="168"/>
      <c r="C58" s="169"/>
      <c r="D58" s="169"/>
      <c r="E58" s="169"/>
      <c r="F58" s="182"/>
    </row>
    <row r="59" spans="1:6" ht="20.100000000000001" customHeight="1" x14ac:dyDescent="0.25">
      <c r="A59" s="158" t="s">
        <v>84</v>
      </c>
      <c r="B59" s="159">
        <v>107.92</v>
      </c>
      <c r="C59" s="160">
        <v>94.72</v>
      </c>
      <c r="D59" s="160">
        <v>105.24</v>
      </c>
      <c r="E59" s="160">
        <v>104.88</v>
      </c>
      <c r="F59" s="161">
        <v>104.91</v>
      </c>
    </row>
    <row r="60" spans="1:6" ht="20.100000000000001" customHeight="1" x14ac:dyDescent="0.25">
      <c r="A60" s="191" t="s">
        <v>85</v>
      </c>
      <c r="B60" s="176">
        <v>108.17</v>
      </c>
      <c r="C60" s="174">
        <v>94.14</v>
      </c>
      <c r="D60" s="174">
        <v>104.88</v>
      </c>
      <c r="E60" s="174">
        <v>105.21</v>
      </c>
      <c r="F60" s="175">
        <v>104.88</v>
      </c>
    </row>
    <row r="61" spans="1:6" ht="30" x14ac:dyDescent="0.25">
      <c r="A61" s="194" t="s">
        <v>104</v>
      </c>
      <c r="B61" s="178"/>
      <c r="C61" s="179"/>
      <c r="D61" s="179"/>
      <c r="E61" s="179"/>
      <c r="F61" s="195"/>
    </row>
    <row r="62" spans="1:6" ht="20.100000000000001" customHeight="1" x14ac:dyDescent="0.25">
      <c r="A62" s="158" t="s">
        <v>84</v>
      </c>
      <c r="B62" s="159">
        <v>106.09</v>
      </c>
      <c r="C62" s="160">
        <v>116.32</v>
      </c>
      <c r="D62" s="160">
        <v>104.06</v>
      </c>
      <c r="E62" s="160">
        <v>104.2</v>
      </c>
      <c r="F62" s="161">
        <v>104.27</v>
      </c>
    </row>
    <row r="63" spans="1:6" ht="20.100000000000001" customHeight="1" x14ac:dyDescent="0.25">
      <c r="A63" s="162" t="s">
        <v>85</v>
      </c>
      <c r="B63" s="176">
        <v>111.44</v>
      </c>
      <c r="C63" s="174">
        <v>120.04900000000001</v>
      </c>
      <c r="D63" s="174">
        <v>102.98</v>
      </c>
      <c r="E63" s="174">
        <v>104.28</v>
      </c>
      <c r="F63" s="175">
        <v>103.94</v>
      </c>
    </row>
    <row r="64" spans="1:6" ht="30" x14ac:dyDescent="0.25">
      <c r="A64" s="181" t="s">
        <v>105</v>
      </c>
      <c r="B64" s="168"/>
      <c r="C64" s="169"/>
      <c r="D64" s="169"/>
      <c r="E64" s="169"/>
      <c r="F64" s="182"/>
    </row>
    <row r="65" spans="1:6" ht="20.100000000000001" customHeight="1" x14ac:dyDescent="0.25">
      <c r="A65" s="158" t="s">
        <v>84</v>
      </c>
      <c r="B65" s="159">
        <v>103.62</v>
      </c>
      <c r="C65" s="160">
        <v>101.84</v>
      </c>
      <c r="D65" s="160">
        <v>105.66</v>
      </c>
      <c r="E65" s="160">
        <v>104.44</v>
      </c>
      <c r="F65" s="161">
        <v>103.93</v>
      </c>
    </row>
    <row r="66" spans="1:6" ht="20.100000000000001" customHeight="1" x14ac:dyDescent="0.25">
      <c r="A66" s="191" t="s">
        <v>85</v>
      </c>
      <c r="B66" s="176">
        <v>114.25</v>
      </c>
      <c r="C66" s="174">
        <v>102.69</v>
      </c>
      <c r="D66" s="174">
        <v>105.44</v>
      </c>
      <c r="E66" s="174">
        <v>104.22</v>
      </c>
      <c r="F66" s="175">
        <v>103.86</v>
      </c>
    </row>
    <row r="67" spans="1:6" ht="20.100000000000001" customHeight="1" x14ac:dyDescent="0.25">
      <c r="A67" s="194" t="s">
        <v>106</v>
      </c>
      <c r="B67" s="178"/>
      <c r="C67" s="179"/>
      <c r="D67" s="179"/>
      <c r="E67" s="179"/>
      <c r="F67" s="195"/>
    </row>
    <row r="68" spans="1:6" ht="20.100000000000001" customHeight="1" x14ac:dyDescent="0.25">
      <c r="A68" s="158" t="s">
        <v>84</v>
      </c>
      <c r="B68" s="159">
        <v>109.75</v>
      </c>
      <c r="C68" s="160">
        <v>106.8</v>
      </c>
      <c r="D68" s="160">
        <v>105.67</v>
      </c>
      <c r="E68" s="160">
        <v>104.54</v>
      </c>
      <c r="F68" s="161">
        <v>104.39</v>
      </c>
    </row>
    <row r="69" spans="1:6" ht="20.100000000000001" customHeight="1" x14ac:dyDescent="0.25">
      <c r="A69" s="162" t="s">
        <v>85</v>
      </c>
      <c r="B69" s="176">
        <v>109.56</v>
      </c>
      <c r="C69" s="174">
        <v>106.81</v>
      </c>
      <c r="D69" s="174">
        <v>106.3</v>
      </c>
      <c r="E69" s="174">
        <v>104.89</v>
      </c>
      <c r="F69" s="175">
        <v>104.56</v>
      </c>
    </row>
    <row r="70" spans="1:6" ht="20.100000000000001" customHeight="1" x14ac:dyDescent="0.25">
      <c r="A70" s="181" t="s">
        <v>107</v>
      </c>
      <c r="B70" s="168"/>
      <c r="C70" s="169"/>
      <c r="D70" s="169"/>
      <c r="E70" s="169"/>
      <c r="F70" s="182"/>
    </row>
    <row r="71" spans="1:6" ht="20.100000000000001" customHeight="1" x14ac:dyDescent="0.25">
      <c r="A71" s="158" t="s">
        <v>84</v>
      </c>
      <c r="B71" s="159">
        <v>109.41</v>
      </c>
      <c r="C71" s="160">
        <v>105.63</v>
      </c>
      <c r="D71" s="160">
        <v>103.98</v>
      </c>
      <c r="E71" s="196">
        <v>103.95</v>
      </c>
      <c r="F71" s="197">
        <v>103.89</v>
      </c>
    </row>
    <row r="72" spans="1:6" ht="31.5" x14ac:dyDescent="0.25">
      <c r="A72" s="167" t="s">
        <v>108</v>
      </c>
      <c r="B72" s="198"/>
      <c r="C72" s="199"/>
      <c r="D72" s="199"/>
      <c r="E72" s="199"/>
      <c r="F72" s="170"/>
    </row>
    <row r="73" spans="1:6" ht="20.100000000000001" customHeight="1" x14ac:dyDescent="0.25">
      <c r="A73" s="158" t="s">
        <v>84</v>
      </c>
      <c r="B73" s="159">
        <v>108.22</v>
      </c>
      <c r="C73" s="160">
        <v>115.27</v>
      </c>
      <c r="D73" s="160">
        <v>113.2</v>
      </c>
      <c r="E73" s="160">
        <v>109.15</v>
      </c>
      <c r="F73" s="161">
        <v>104.946</v>
      </c>
    </row>
    <row r="74" spans="1:6" ht="20.100000000000001" customHeight="1" x14ac:dyDescent="0.25">
      <c r="A74" s="162" t="s">
        <v>85</v>
      </c>
      <c r="B74" s="176">
        <v>105.947</v>
      </c>
      <c r="C74" s="174">
        <v>114.37</v>
      </c>
      <c r="D74" s="174">
        <v>113.16</v>
      </c>
      <c r="E74" s="174">
        <v>109.06</v>
      </c>
      <c r="F74" s="175">
        <v>104.93</v>
      </c>
    </row>
    <row r="75" spans="1:6" ht="31.5" x14ac:dyDescent="0.25">
      <c r="A75" s="167" t="s">
        <v>109</v>
      </c>
      <c r="B75" s="198"/>
      <c r="C75" s="199"/>
      <c r="D75" s="199"/>
      <c r="E75" s="199"/>
      <c r="F75" s="170"/>
    </row>
    <row r="76" spans="1:6" ht="20.100000000000001" customHeight="1" x14ac:dyDescent="0.25">
      <c r="A76" s="158" t="s">
        <v>84</v>
      </c>
      <c r="B76" s="159">
        <v>108.02</v>
      </c>
      <c r="C76" s="160">
        <v>106.27</v>
      </c>
      <c r="D76" s="160">
        <v>104.36</v>
      </c>
      <c r="E76" s="160">
        <v>104.09</v>
      </c>
      <c r="F76" s="161">
        <v>104.04</v>
      </c>
    </row>
    <row r="77" spans="1:6" ht="20.100000000000001" customHeight="1" thickBot="1" x14ac:dyDescent="0.3">
      <c r="A77" s="183" t="s">
        <v>85</v>
      </c>
      <c r="B77" s="184">
        <v>104.89</v>
      </c>
      <c r="C77" s="185">
        <v>104.79</v>
      </c>
      <c r="D77" s="185">
        <v>104.2</v>
      </c>
      <c r="E77" s="185">
        <v>104.148</v>
      </c>
      <c r="F77" s="186">
        <v>104.04</v>
      </c>
    </row>
    <row r="78" spans="1:6" ht="20.100000000000001" customHeight="1" x14ac:dyDescent="0.25">
      <c r="A78" s="154" t="s">
        <v>110</v>
      </c>
      <c r="B78" s="200"/>
      <c r="C78" s="201"/>
      <c r="D78" s="201"/>
      <c r="E78" s="201"/>
      <c r="F78" s="202"/>
    </row>
    <row r="79" spans="1:6" ht="20.100000000000001" customHeight="1" x14ac:dyDescent="0.25">
      <c r="A79" s="158" t="s">
        <v>84</v>
      </c>
      <c r="B79" s="159">
        <v>108.28</v>
      </c>
      <c r="C79" s="160">
        <v>109.53</v>
      </c>
      <c r="D79" s="160">
        <v>104.92</v>
      </c>
      <c r="E79" s="160">
        <v>104.44</v>
      </c>
      <c r="F79" s="161">
        <v>104.44</v>
      </c>
    </row>
    <row r="80" spans="1:6" ht="20.100000000000001" customHeight="1" x14ac:dyDescent="0.25">
      <c r="A80" s="167" t="s">
        <v>111</v>
      </c>
      <c r="B80" s="198"/>
      <c r="C80" s="199"/>
      <c r="D80" s="199"/>
      <c r="E80" s="199"/>
      <c r="F80" s="170"/>
    </row>
    <row r="81" spans="1:6" ht="20.100000000000001" customHeight="1" x14ac:dyDescent="0.25">
      <c r="A81" s="158" t="s">
        <v>84</v>
      </c>
      <c r="B81" s="203">
        <v>106.9</v>
      </c>
      <c r="C81" s="160">
        <v>110.96</v>
      </c>
      <c r="D81" s="160">
        <v>104.58</v>
      </c>
      <c r="E81" s="160">
        <v>104.48</v>
      </c>
      <c r="F81" s="161">
        <v>104.33</v>
      </c>
    </row>
    <row r="82" spans="1:6" ht="20.100000000000001" customHeight="1" x14ac:dyDescent="0.25">
      <c r="A82" s="167" t="s">
        <v>112</v>
      </c>
      <c r="B82" s="198"/>
      <c r="C82" s="199"/>
      <c r="D82" s="199"/>
      <c r="E82" s="199"/>
      <c r="F82" s="170"/>
    </row>
    <row r="83" spans="1:6" ht="20.100000000000001" customHeight="1" x14ac:dyDescent="0.25">
      <c r="A83" s="158" t="s">
        <v>84</v>
      </c>
      <c r="B83" s="203">
        <v>109.89</v>
      </c>
      <c r="C83" s="160">
        <v>107.72</v>
      </c>
      <c r="D83" s="160">
        <v>105.36</v>
      </c>
      <c r="E83" s="160">
        <v>104.4</v>
      </c>
      <c r="F83" s="161">
        <v>104.58</v>
      </c>
    </row>
    <row r="84" spans="1:6" ht="20.100000000000001" customHeight="1" x14ac:dyDescent="0.25">
      <c r="A84" s="204" t="s">
        <v>113</v>
      </c>
      <c r="B84" s="176">
        <v>109.33</v>
      </c>
      <c r="C84" s="174">
        <v>107.79</v>
      </c>
      <c r="D84" s="174">
        <v>105.08</v>
      </c>
      <c r="E84" s="174">
        <v>104.4</v>
      </c>
      <c r="F84" s="175">
        <v>104.48</v>
      </c>
    </row>
    <row r="85" spans="1:6" ht="16.5" customHeight="1" x14ac:dyDescent="0.25">
      <c r="A85" s="167" t="s">
        <v>114</v>
      </c>
      <c r="B85" s="205"/>
      <c r="C85" s="206"/>
      <c r="D85" s="206"/>
      <c r="E85" s="206"/>
      <c r="F85" s="207"/>
    </row>
    <row r="86" spans="1:6" ht="20.100000000000001" customHeight="1" x14ac:dyDescent="0.25">
      <c r="A86" s="158" t="s">
        <v>115</v>
      </c>
      <c r="B86" s="203">
        <v>113.86</v>
      </c>
      <c r="C86" s="160">
        <v>108.8</v>
      </c>
      <c r="D86" s="160">
        <v>105.54</v>
      </c>
      <c r="E86" s="160">
        <v>105.2</v>
      </c>
      <c r="F86" s="161">
        <v>104.65</v>
      </c>
    </row>
    <row r="87" spans="1:6" ht="20.100000000000001" customHeight="1" x14ac:dyDescent="0.25">
      <c r="A87" s="208" t="s">
        <v>116</v>
      </c>
      <c r="B87" s="163">
        <v>113.46</v>
      </c>
      <c r="C87" s="164">
        <v>104.55</v>
      </c>
      <c r="D87" s="164">
        <v>105.69</v>
      </c>
      <c r="E87" s="164">
        <v>104.87</v>
      </c>
      <c r="F87" s="165">
        <v>104.79</v>
      </c>
    </row>
    <row r="88" spans="1:6" ht="20.100000000000001" customHeight="1" x14ac:dyDescent="0.25">
      <c r="A88" s="209" t="s">
        <v>117</v>
      </c>
      <c r="B88" s="176">
        <v>121.23</v>
      </c>
      <c r="C88" s="174">
        <v>109.28</v>
      </c>
      <c r="D88" s="174">
        <v>107.04</v>
      </c>
      <c r="E88" s="174">
        <v>105.44</v>
      </c>
      <c r="F88" s="175">
        <v>105.38</v>
      </c>
    </row>
    <row r="89" spans="1:6" ht="20.100000000000001" customHeight="1" x14ac:dyDescent="0.25">
      <c r="A89" s="177" t="s">
        <v>118</v>
      </c>
      <c r="B89" s="210"/>
      <c r="C89" s="211"/>
      <c r="D89" s="211"/>
      <c r="E89" s="211"/>
      <c r="F89" s="212"/>
    </row>
    <row r="90" spans="1:6" ht="20.100000000000001" customHeight="1" x14ac:dyDescent="0.25">
      <c r="A90" s="158" t="s">
        <v>84</v>
      </c>
      <c r="B90" s="159">
        <v>108.14</v>
      </c>
      <c r="C90" s="160">
        <v>107.4</v>
      </c>
      <c r="D90" s="160">
        <v>105.5</v>
      </c>
      <c r="E90" s="160">
        <v>104.1</v>
      </c>
      <c r="F90" s="161">
        <v>104.1</v>
      </c>
    </row>
    <row r="91" spans="1:6" ht="20.100000000000001" customHeight="1" x14ac:dyDescent="0.25">
      <c r="A91" s="191" t="s">
        <v>119</v>
      </c>
      <c r="B91" s="176">
        <v>108.22</v>
      </c>
      <c r="C91" s="174"/>
      <c r="D91" s="174"/>
      <c r="E91" s="174"/>
      <c r="F91" s="175"/>
    </row>
    <row r="92" spans="1:6" ht="20.100000000000001" customHeight="1" x14ac:dyDescent="0.25">
      <c r="A92" s="177" t="s">
        <v>120</v>
      </c>
      <c r="B92" s="210"/>
      <c r="C92" s="211"/>
      <c r="D92" s="211"/>
      <c r="E92" s="211"/>
      <c r="F92" s="212"/>
    </row>
    <row r="93" spans="1:6" ht="20.100000000000001" customHeight="1" x14ac:dyDescent="0.25">
      <c r="A93" s="158" t="s">
        <v>84</v>
      </c>
      <c r="B93" s="203">
        <v>107.81</v>
      </c>
      <c r="C93" s="219">
        <v>108.06</v>
      </c>
      <c r="D93" s="160">
        <v>105.41</v>
      </c>
      <c r="E93" s="160">
        <v>104.54</v>
      </c>
      <c r="F93" s="161">
        <v>104.28</v>
      </c>
    </row>
    <row r="94" spans="1:6" ht="20.100000000000001" customHeight="1" x14ac:dyDescent="0.25">
      <c r="A94" s="191" t="s">
        <v>85</v>
      </c>
      <c r="B94" s="176">
        <v>107.87</v>
      </c>
      <c r="C94" s="174">
        <v>107.87</v>
      </c>
      <c r="D94" s="174">
        <v>105.42</v>
      </c>
      <c r="E94" s="174">
        <v>104.44</v>
      </c>
      <c r="F94" s="175">
        <v>104.28</v>
      </c>
    </row>
    <row r="95" spans="1:6" ht="20.100000000000001" customHeight="1" x14ac:dyDescent="0.25">
      <c r="A95" s="167" t="s">
        <v>121</v>
      </c>
      <c r="B95" s="205"/>
      <c r="C95" s="206"/>
      <c r="D95" s="206"/>
      <c r="E95" s="206"/>
      <c r="F95" s="207"/>
    </row>
    <row r="96" spans="1:6" ht="20.100000000000001" customHeight="1" x14ac:dyDescent="0.25">
      <c r="A96" s="158" t="s">
        <v>122</v>
      </c>
      <c r="B96" s="159">
        <v>107.57</v>
      </c>
      <c r="C96" s="160">
        <v>108.01</v>
      </c>
      <c r="D96" s="160">
        <v>104.64</v>
      </c>
      <c r="E96" s="160">
        <v>104</v>
      </c>
      <c r="F96" s="161">
        <v>104</v>
      </c>
    </row>
    <row r="97" spans="1:6" ht="20.100000000000001" customHeight="1" x14ac:dyDescent="0.25">
      <c r="A97" s="162" t="s">
        <v>123</v>
      </c>
      <c r="B97" s="163">
        <v>107.85</v>
      </c>
      <c r="C97" s="164">
        <v>107.81</v>
      </c>
      <c r="D97" s="164">
        <v>104.42</v>
      </c>
      <c r="E97" s="164">
        <v>103.64</v>
      </c>
      <c r="F97" s="165">
        <v>103.74</v>
      </c>
    </row>
    <row r="98" spans="1:6" ht="20.100000000000001" customHeight="1" x14ac:dyDescent="0.25">
      <c r="A98" s="158" t="s">
        <v>124</v>
      </c>
      <c r="B98" s="159">
        <v>110.24</v>
      </c>
      <c r="C98" s="160">
        <v>112.03</v>
      </c>
      <c r="D98" s="160">
        <v>106.94</v>
      </c>
      <c r="E98" s="160">
        <v>104.81</v>
      </c>
      <c r="F98" s="161">
        <v>104</v>
      </c>
    </row>
    <row r="99" spans="1:6" ht="20.100000000000001" customHeight="1" thickBot="1" x14ac:dyDescent="0.3">
      <c r="A99" s="183" t="s">
        <v>125</v>
      </c>
      <c r="B99" s="184">
        <v>109.97</v>
      </c>
      <c r="C99" s="185">
        <v>112.03</v>
      </c>
      <c r="D99" s="185">
        <v>106.94</v>
      </c>
      <c r="E99" s="185">
        <v>104.95</v>
      </c>
      <c r="F99" s="186">
        <v>104.61</v>
      </c>
    </row>
    <row r="100" spans="1:6" ht="15" customHeight="1" x14ac:dyDescent="0.25">
      <c r="A100" s="213" t="s">
        <v>126</v>
      </c>
      <c r="B100" s="214"/>
      <c r="C100" s="214"/>
      <c r="D100" s="214"/>
      <c r="E100" s="214"/>
      <c r="F100" s="214"/>
    </row>
    <row r="101" spans="1:6" ht="14.25" customHeight="1" x14ac:dyDescent="0.25">
      <c r="A101" s="215" t="s">
        <v>127</v>
      </c>
      <c r="B101" s="216"/>
      <c r="C101" s="216"/>
      <c r="D101" s="216"/>
      <c r="E101" s="216"/>
      <c r="F101" s="216"/>
    </row>
    <row r="102" spans="1:6" ht="27" customHeight="1" x14ac:dyDescent="0.25">
      <c r="A102" s="483" t="s">
        <v>128</v>
      </c>
      <c r="B102" s="484"/>
      <c r="C102" s="484"/>
      <c r="D102" s="484"/>
      <c r="E102" s="484"/>
      <c r="F102" s="484"/>
    </row>
    <row r="103" spans="1:6" ht="15.75" x14ac:dyDescent="0.25">
      <c r="A103" s="213" t="s">
        <v>129</v>
      </c>
      <c r="B103" s="217"/>
      <c r="C103" s="217"/>
      <c r="D103" s="217"/>
      <c r="E103" s="217"/>
      <c r="F103" s="217"/>
    </row>
    <row r="104" spans="1:6" ht="15.75" x14ac:dyDescent="0.25">
      <c r="A104" s="213" t="s">
        <v>130</v>
      </c>
      <c r="B104" s="217"/>
      <c r="C104" s="217"/>
      <c r="D104" s="217"/>
      <c r="E104" s="217"/>
      <c r="F104" s="217"/>
    </row>
    <row r="105" spans="1:6" ht="15.75" x14ac:dyDescent="0.25">
      <c r="A105" s="213" t="s">
        <v>131</v>
      </c>
      <c r="B105" s="218"/>
      <c r="C105" s="218"/>
      <c r="D105" s="218"/>
      <c r="E105" s="218"/>
      <c r="F105" s="218"/>
    </row>
    <row r="106" spans="1:6" ht="15" customHeight="1" x14ac:dyDescent="0.25">
      <c r="A106" s="213" t="s">
        <v>132</v>
      </c>
      <c r="B106" s="216"/>
      <c r="C106" s="216"/>
      <c r="D106" s="216"/>
      <c r="E106" s="216"/>
      <c r="F106" s="216"/>
    </row>
  </sheetData>
  <mergeCells count="5">
    <mergeCell ref="A1:F2"/>
    <mergeCell ref="A3:F3"/>
    <mergeCell ref="A4:F4"/>
    <mergeCell ref="D6:F6"/>
    <mergeCell ref="A102:F102"/>
  </mergeCells>
  <pageMargins left="0.78740157480314965" right="0.78740157480314965" top="0.78740157480314965" bottom="0.39370078740157483" header="0.31496062992125984" footer="0.51181102362204722"/>
  <pageSetup paperSize="9" scale="75" firstPageNumber="115" fitToHeight="3" orientation="landscape" r:id="rId1"/>
  <headerFooter>
    <oddFooter>&amp;R&amp;P</oddFooter>
  </headerFooter>
  <rowBreaks count="3" manualBreakCount="3">
    <brk id="30" max="5" man="1"/>
    <brk id="54" max="5" man="1"/>
    <brk id="77" max="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9E4B-F065-4B01-8D46-1292CBE6BDE4}">
  <dimension ref="A1:H24"/>
  <sheetViews>
    <sheetView workbookViewId="0">
      <selection activeCell="F27" sqref="F27"/>
    </sheetView>
  </sheetViews>
  <sheetFormatPr defaultRowHeight="15" x14ac:dyDescent="0.25"/>
  <cols>
    <col min="2" max="2" width="35.28515625" customWidth="1"/>
    <col min="3" max="3" width="12" style="35" customWidth="1"/>
    <col min="4" max="4" width="8.28515625" customWidth="1"/>
    <col min="5" max="5" width="3" customWidth="1"/>
    <col min="6" max="6" width="23.28515625" customWidth="1"/>
    <col min="7" max="7" width="16.7109375" style="35" customWidth="1"/>
    <col min="8" max="8" width="13" customWidth="1"/>
  </cols>
  <sheetData>
    <row r="1" spans="1:8" ht="15.75" thickBot="1" x14ac:dyDescent="0.3"/>
    <row r="2" spans="1:8" ht="15.75" thickBot="1" x14ac:dyDescent="0.3">
      <c r="A2" s="54" t="s">
        <v>37</v>
      </c>
      <c r="B2" s="55" t="s">
        <v>38</v>
      </c>
      <c r="C2" s="56" t="s">
        <v>18</v>
      </c>
      <c r="D2" s="379" t="s">
        <v>21</v>
      </c>
      <c r="E2" s="380"/>
      <c r="F2" s="57" t="s">
        <v>32</v>
      </c>
      <c r="G2" s="1" t="s">
        <v>24</v>
      </c>
    </row>
    <row r="3" spans="1:8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f>40619316.42-G3</f>
        <v>10022991.91</v>
      </c>
      <c r="G3" s="36">
        <v>30596324.510000002</v>
      </c>
      <c r="H3" s="34"/>
    </row>
    <row r="4" spans="1:8" x14ac:dyDescent="0.25">
      <c r="A4" s="82">
        <v>2</v>
      </c>
      <c r="B4" s="87" t="s">
        <v>25</v>
      </c>
      <c r="C4" s="88" t="s">
        <v>19</v>
      </c>
      <c r="D4" s="398">
        <f>676.624</f>
        <v>676.62400000000002</v>
      </c>
      <c r="E4" s="399"/>
      <c r="F4" s="89">
        <f>77526903.96-G4</f>
        <v>28449520.749999993</v>
      </c>
      <c r="G4" s="36">
        <v>49077383.210000001</v>
      </c>
      <c r="H4" s="34"/>
    </row>
    <row r="5" spans="1:8" x14ac:dyDescent="0.25">
      <c r="A5" s="82">
        <v>3</v>
      </c>
      <c r="B5" s="87" t="s">
        <v>26</v>
      </c>
      <c r="C5" s="88" t="s">
        <v>19</v>
      </c>
      <c r="D5" s="398">
        <v>295.15199999999999</v>
      </c>
      <c r="E5" s="399"/>
      <c r="F5" s="89">
        <f>35252578.16-G5</f>
        <v>12410042.859999996</v>
      </c>
      <c r="G5" s="36">
        <v>22842535.300000001</v>
      </c>
      <c r="H5" s="34"/>
    </row>
    <row r="6" spans="1:8" x14ac:dyDescent="0.25">
      <c r="A6" s="82">
        <v>4</v>
      </c>
      <c r="B6" s="87" t="s">
        <v>8</v>
      </c>
      <c r="C6" s="88" t="s">
        <v>19</v>
      </c>
      <c r="D6" s="398">
        <v>284.85599999999999</v>
      </c>
      <c r="E6" s="399"/>
      <c r="F6" s="89">
        <f>54348406.96-G6</f>
        <v>29847559.98</v>
      </c>
      <c r="G6" s="36">
        <v>24500846.98</v>
      </c>
      <c r="H6" s="34"/>
    </row>
    <row r="7" spans="1:8" x14ac:dyDescent="0.25">
      <c r="A7" s="82">
        <v>5</v>
      </c>
      <c r="B7" s="87" t="s">
        <v>1</v>
      </c>
      <c r="C7" s="88" t="s">
        <v>19</v>
      </c>
      <c r="D7" s="398">
        <v>103.27200000000001</v>
      </c>
      <c r="E7" s="399"/>
      <c r="F7" s="89">
        <f>14658524.85-G7</f>
        <v>6218924.8699999992</v>
      </c>
      <c r="G7" s="36">
        <v>8439599.9800000004</v>
      </c>
      <c r="H7" s="34"/>
    </row>
    <row r="8" spans="1:8" x14ac:dyDescent="0.25">
      <c r="A8" s="82">
        <v>6</v>
      </c>
      <c r="B8" s="87" t="s">
        <v>2</v>
      </c>
      <c r="C8" s="88" t="s">
        <v>19</v>
      </c>
      <c r="D8" s="398">
        <v>66.872</v>
      </c>
      <c r="E8" s="399"/>
      <c r="F8" s="89">
        <f>9352168.79-G8</f>
        <v>4525782.0099999988</v>
      </c>
      <c r="G8" s="36">
        <v>4826386.78</v>
      </c>
      <c r="H8" s="34"/>
    </row>
    <row r="9" spans="1:8" x14ac:dyDescent="0.25">
      <c r="A9" s="82">
        <v>7</v>
      </c>
      <c r="B9" s="87" t="s">
        <v>3</v>
      </c>
      <c r="C9" s="88" t="s">
        <v>19</v>
      </c>
      <c r="D9" s="398">
        <v>233.27199999999999</v>
      </c>
      <c r="E9" s="399"/>
      <c r="F9" s="89">
        <f>34523672.98-G9</f>
        <v>17401032.069999997</v>
      </c>
      <c r="G9" s="36">
        <v>17122640.91</v>
      </c>
      <c r="H9" s="34"/>
    </row>
    <row r="10" spans="1:8" ht="15.75" thickBot="1" x14ac:dyDescent="0.3">
      <c r="A10" s="83">
        <v>8</v>
      </c>
      <c r="B10" s="90" t="s">
        <v>4</v>
      </c>
      <c r="C10" s="91" t="s">
        <v>19</v>
      </c>
      <c r="D10" s="400">
        <v>4.3680000000000003</v>
      </c>
      <c r="E10" s="401"/>
      <c r="F10" s="92">
        <f>1043243.99-G10</f>
        <v>714028.58000000007</v>
      </c>
      <c r="G10" s="36">
        <v>329215.40999999997</v>
      </c>
      <c r="H10" s="34"/>
    </row>
    <row r="11" spans="1:8" ht="15.75" thickTop="1" x14ac:dyDescent="0.25">
      <c r="A11" s="53">
        <v>9</v>
      </c>
      <c r="B11" s="50" t="s">
        <v>27</v>
      </c>
      <c r="C11" s="42" t="s">
        <v>29</v>
      </c>
      <c r="D11" s="402" t="s">
        <v>31</v>
      </c>
      <c r="E11" s="403"/>
      <c r="F11" s="43"/>
      <c r="G11" s="36">
        <v>6065255.7000000002</v>
      </c>
    </row>
    <row r="12" spans="1:8" x14ac:dyDescent="0.25">
      <c r="A12" s="52">
        <v>10</v>
      </c>
      <c r="B12" s="51" t="s">
        <v>28</v>
      </c>
      <c r="C12" s="40" t="s">
        <v>29</v>
      </c>
      <c r="D12" s="404" t="s">
        <v>30</v>
      </c>
      <c r="E12" s="405"/>
      <c r="F12" s="29"/>
      <c r="G12" s="36">
        <v>7146142.3799999999</v>
      </c>
    </row>
    <row r="13" spans="1:8" ht="15.75" thickBot="1" x14ac:dyDescent="0.3">
      <c r="A13" s="70">
        <v>11</v>
      </c>
      <c r="B13" s="71" t="s">
        <v>17</v>
      </c>
      <c r="C13" s="72" t="s">
        <v>20</v>
      </c>
      <c r="D13" s="406">
        <f>47.6596*100</f>
        <v>4765.96</v>
      </c>
      <c r="E13" s="407"/>
      <c r="F13" s="73"/>
      <c r="G13" s="36"/>
    </row>
    <row r="14" spans="1:8" ht="6" customHeight="1" thickBot="1" x14ac:dyDescent="0.3">
      <c r="A14" s="74"/>
      <c r="B14" s="75"/>
      <c r="C14" s="76"/>
      <c r="D14" s="77"/>
      <c r="E14" s="77"/>
      <c r="F14" s="78"/>
    </row>
    <row r="15" spans="1:8" ht="19.5" customHeight="1" thickBot="1" x14ac:dyDescent="0.3">
      <c r="A15" s="69">
        <v>12</v>
      </c>
      <c r="B15" s="59" t="s">
        <v>22</v>
      </c>
      <c r="C15" s="60"/>
      <c r="D15" s="61">
        <f>SUM(D3:E10)</f>
        <v>2078.0239999999999</v>
      </c>
      <c r="E15" s="62" t="s">
        <v>19</v>
      </c>
      <c r="F15" s="63">
        <f>SUM(F3:F13)</f>
        <v>109589883.03</v>
      </c>
      <c r="G15" s="36">
        <f>SUM(G3:G12)</f>
        <v>170946331.15999997</v>
      </c>
    </row>
    <row r="16" spans="1:8" ht="19.5" customHeight="1" thickBot="1" x14ac:dyDescent="0.3">
      <c r="A16" s="67">
        <v>13</v>
      </c>
      <c r="B16" s="58" t="s">
        <v>23</v>
      </c>
      <c r="C16" s="41"/>
      <c r="D16" s="45"/>
      <c r="E16" s="46"/>
      <c r="F16" s="47">
        <v>0</v>
      </c>
    </row>
    <row r="17" spans="1:8" ht="30.75" thickBot="1" x14ac:dyDescent="0.3">
      <c r="A17" s="68">
        <v>14</v>
      </c>
      <c r="B17" s="64" t="s">
        <v>36</v>
      </c>
      <c r="C17" s="48"/>
      <c r="D17" s="65"/>
      <c r="E17" s="44"/>
      <c r="F17" s="66">
        <f>F15+F16</f>
        <v>109589883.03</v>
      </c>
      <c r="G17" s="36"/>
    </row>
    <row r="18" spans="1:8" ht="36" customHeight="1" thickBot="1" x14ac:dyDescent="0.3">
      <c r="A18" s="67">
        <v>15</v>
      </c>
      <c r="B18" s="58" t="s">
        <v>35</v>
      </c>
      <c r="C18" s="41"/>
      <c r="D18" s="45"/>
      <c r="E18" s="46"/>
      <c r="F18" s="47">
        <f>F17*G18</f>
        <v>131089423.2423075</v>
      </c>
      <c r="G18" s="35">
        <v>1.1961817972414666</v>
      </c>
    </row>
    <row r="19" spans="1:8" ht="19.5" customHeight="1" thickBot="1" x14ac:dyDescent="0.3">
      <c r="A19" s="68">
        <v>16</v>
      </c>
      <c r="B19" s="64" t="s">
        <v>22</v>
      </c>
      <c r="C19" s="48"/>
      <c r="D19" s="65"/>
      <c r="E19" s="44"/>
      <c r="F19" s="66">
        <f>F18</f>
        <v>131089423.2423075</v>
      </c>
    </row>
    <row r="20" spans="1:8" ht="19.5" customHeight="1" thickBot="1" x14ac:dyDescent="0.3">
      <c r="A20" s="67">
        <v>17</v>
      </c>
      <c r="B20" s="58" t="s">
        <v>33</v>
      </c>
      <c r="C20" s="41"/>
      <c r="D20" s="45"/>
      <c r="E20" s="46"/>
      <c r="F20" s="47">
        <f>F19*0.2</f>
        <v>26217884.648461502</v>
      </c>
    </row>
    <row r="21" spans="1:8" ht="19.5" customHeight="1" thickBot="1" x14ac:dyDescent="0.3">
      <c r="A21" s="69">
        <v>18</v>
      </c>
      <c r="B21" s="59" t="s">
        <v>34</v>
      </c>
      <c r="C21" s="60"/>
      <c r="D21" s="61"/>
      <c r="E21" s="62"/>
      <c r="F21" s="63">
        <f>F19+F20</f>
        <v>157307307.890769</v>
      </c>
      <c r="G21" s="35">
        <v>191651022.49199998</v>
      </c>
      <c r="H21" s="25">
        <f>F21-G21</f>
        <v>-34343714.601230979</v>
      </c>
    </row>
    <row r="22" spans="1:8" x14ac:dyDescent="0.25">
      <c r="C22"/>
      <c r="G22" s="39"/>
    </row>
    <row r="23" spans="1:8" ht="30" x14ac:dyDescent="0.25">
      <c r="B23" s="79" t="s">
        <v>40</v>
      </c>
      <c r="C23" s="80" t="s">
        <v>39</v>
      </c>
      <c r="D23" s="79"/>
      <c r="E23" s="79"/>
      <c r="F23" s="93">
        <f>F21/D15</f>
        <v>75700.428816399144</v>
      </c>
      <c r="G23" s="39"/>
    </row>
    <row r="24" spans="1:8" x14ac:dyDescent="0.25">
      <c r="C24"/>
      <c r="G24" s="39"/>
    </row>
  </sheetData>
  <mergeCells count="12">
    <mergeCell ref="D9:E9"/>
    <mergeCell ref="D10:E10"/>
    <mergeCell ref="D11:E11"/>
    <mergeCell ref="D12:E12"/>
    <mergeCell ref="D13:E13"/>
    <mergeCell ref="D7:E7"/>
    <mergeCell ref="D8:E8"/>
    <mergeCell ref="D5:E5"/>
    <mergeCell ref="D2:E2"/>
    <mergeCell ref="D3:E3"/>
    <mergeCell ref="D4:E4"/>
    <mergeCell ref="D6:E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31AC7-2403-4047-A37E-89C49DF0E3BE}">
  <dimension ref="B1:G18"/>
  <sheetViews>
    <sheetView workbookViewId="0">
      <selection activeCell="C12" sqref="C12"/>
    </sheetView>
  </sheetViews>
  <sheetFormatPr defaultRowHeight="15" x14ac:dyDescent="0.25"/>
  <cols>
    <col min="2" max="2" width="35.28515625" customWidth="1"/>
    <col min="3" max="3" width="15.42578125" customWidth="1"/>
    <col min="4" max="4" width="20.42578125" customWidth="1"/>
    <col min="5" max="5" width="27.5703125" customWidth="1"/>
    <col min="6" max="6" width="16.7109375" style="35" customWidth="1"/>
  </cols>
  <sheetData>
    <row r="1" spans="2:7" ht="15.75" thickBot="1" x14ac:dyDescent="0.3"/>
    <row r="2" spans="2:7" ht="30" x14ac:dyDescent="0.25">
      <c r="B2" s="7" t="s">
        <v>16</v>
      </c>
      <c r="C2" s="8" t="s">
        <v>14</v>
      </c>
      <c r="D2" s="20" t="s">
        <v>13</v>
      </c>
      <c r="E2" s="9" t="s">
        <v>12</v>
      </c>
      <c r="F2" s="1"/>
    </row>
    <row r="3" spans="2:7" x14ac:dyDescent="0.25">
      <c r="B3" s="10" t="s">
        <v>0</v>
      </c>
      <c r="C3" s="2">
        <v>290.81</v>
      </c>
      <c r="D3" s="21">
        <v>397.7</v>
      </c>
      <c r="E3" s="11">
        <f>404.352+9.256</f>
        <v>413.60799999999995</v>
      </c>
      <c r="F3" s="36">
        <f>C3-E3</f>
        <v>-122.79799999999994</v>
      </c>
      <c r="G3" s="34"/>
    </row>
    <row r="4" spans="2:7" ht="30" x14ac:dyDescent="0.25">
      <c r="B4" s="10" t="s">
        <v>7</v>
      </c>
      <c r="C4" s="2">
        <v>994.42</v>
      </c>
      <c r="D4" s="21">
        <v>934.4</v>
      </c>
      <c r="E4" s="11">
        <f>676.624+295.152</f>
        <v>971.77600000000007</v>
      </c>
      <c r="F4" s="36">
        <f t="shared" ref="F4:F9" si="0">C4-E4</f>
        <v>22.643999999999892</v>
      </c>
      <c r="G4" s="34"/>
    </row>
    <row r="5" spans="2:7" x14ac:dyDescent="0.25">
      <c r="B5" s="10" t="s">
        <v>8</v>
      </c>
      <c r="C5" s="2">
        <v>213.17</v>
      </c>
      <c r="D5" s="21">
        <v>273.89999999999998</v>
      </c>
      <c r="E5" s="11">
        <v>284.85599999999999</v>
      </c>
      <c r="F5" s="36">
        <f t="shared" si="0"/>
        <v>-71.686000000000007</v>
      </c>
      <c r="G5" s="34"/>
    </row>
    <row r="6" spans="2:7" x14ac:dyDescent="0.25">
      <c r="B6" s="10" t="s">
        <v>1</v>
      </c>
      <c r="C6" s="2">
        <v>61.69</v>
      </c>
      <c r="D6" s="21">
        <v>99.3</v>
      </c>
      <c r="E6" s="11">
        <v>103.27200000000001</v>
      </c>
      <c r="F6" s="36">
        <f t="shared" si="0"/>
        <v>-41.582000000000008</v>
      </c>
      <c r="G6" s="34"/>
    </row>
    <row r="7" spans="2:7" x14ac:dyDescent="0.25">
      <c r="B7" s="10" t="s">
        <v>2</v>
      </c>
      <c r="C7" s="2">
        <v>41.95</v>
      </c>
      <c r="D7" s="21">
        <v>64.3</v>
      </c>
      <c r="E7" s="11">
        <v>66.872</v>
      </c>
      <c r="F7" s="36">
        <f t="shared" si="0"/>
        <v>-24.921999999999997</v>
      </c>
      <c r="G7" s="34"/>
    </row>
    <row r="8" spans="2:7" x14ac:dyDescent="0.25">
      <c r="B8" s="10" t="s">
        <v>3</v>
      </c>
      <c r="C8" s="2">
        <v>286.27999999999997</v>
      </c>
      <c r="D8" s="21">
        <v>335</v>
      </c>
      <c r="E8" s="11">
        <v>233.27199999999999</v>
      </c>
      <c r="F8" s="36">
        <f t="shared" si="0"/>
        <v>53.007999999999981</v>
      </c>
      <c r="G8" s="34"/>
    </row>
    <row r="9" spans="2:7" x14ac:dyDescent="0.25">
      <c r="B9" s="10" t="s">
        <v>4</v>
      </c>
      <c r="C9" s="2">
        <v>5.08</v>
      </c>
      <c r="D9" s="21">
        <v>4.37</v>
      </c>
      <c r="E9" s="11">
        <v>4.3680000000000003</v>
      </c>
      <c r="F9" s="36">
        <f t="shared" si="0"/>
        <v>0.71199999999999974</v>
      </c>
      <c r="G9" s="34"/>
    </row>
    <row r="10" spans="2:7" x14ac:dyDescent="0.25">
      <c r="B10" s="26" t="s">
        <v>5</v>
      </c>
      <c r="C10" s="27">
        <v>56.7</v>
      </c>
      <c r="D10" s="28">
        <v>0</v>
      </c>
      <c r="E10" s="29">
        <f>C10</f>
        <v>56.7</v>
      </c>
      <c r="F10" s="37" t="s">
        <v>15</v>
      </c>
    </row>
    <row r="11" spans="2:7" ht="15.75" thickBot="1" x14ac:dyDescent="0.3">
      <c r="B11" s="30" t="s">
        <v>6</v>
      </c>
      <c r="C11" s="31">
        <v>54</v>
      </c>
      <c r="D11" s="32">
        <v>0</v>
      </c>
      <c r="E11" s="33">
        <f>C11</f>
        <v>54</v>
      </c>
      <c r="F11" s="37" t="s">
        <v>15</v>
      </c>
    </row>
    <row r="12" spans="2:7" ht="16.5" thickTop="1" thickBot="1" x14ac:dyDescent="0.3">
      <c r="B12" s="19" t="s">
        <v>11</v>
      </c>
      <c r="C12" s="15">
        <f>SUM(C3:C9)</f>
        <v>1893.4</v>
      </c>
      <c r="D12" s="24">
        <f>SUM(D3:D11)</f>
        <v>2108.9699999999998</v>
      </c>
      <c r="E12" s="16">
        <f>SUM(E3:E9)</f>
        <v>2078.0239999999999</v>
      </c>
    </row>
    <row r="13" spans="2:7" ht="3" customHeight="1" thickBot="1" x14ac:dyDescent="0.3">
      <c r="B13" s="17"/>
      <c r="C13" s="17"/>
      <c r="D13" s="17"/>
      <c r="E13" s="18"/>
    </row>
    <row r="14" spans="2:7" ht="15.75" thickBot="1" x14ac:dyDescent="0.3">
      <c r="B14" s="6" t="s">
        <v>10</v>
      </c>
      <c r="C14" s="5">
        <v>178963205.08000001</v>
      </c>
      <c r="D14" s="4"/>
      <c r="E14" s="5">
        <v>191651022.49000001</v>
      </c>
    </row>
    <row r="15" spans="2:7" x14ac:dyDescent="0.25">
      <c r="C15" s="25">
        <f>C14-E14</f>
        <v>-12687817.409999996</v>
      </c>
    </row>
    <row r="16" spans="2:7" ht="15.75" thickBot="1" x14ac:dyDescent="0.3">
      <c r="E16" s="16">
        <f>E14/E12</f>
        <v>92227.530812926139</v>
      </c>
    </row>
    <row r="18" spans="4:4" x14ac:dyDescent="0.25">
      <c r="D18" s="38">
        <f>D8-E10-E11</f>
        <v>224.3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B7B90-998C-4211-A714-533D8F157D3E}">
  <sheetPr>
    <tabColor rgb="FFFF0000"/>
  </sheetPr>
  <dimension ref="A1:BZ31"/>
  <sheetViews>
    <sheetView zoomScale="80" zoomScaleNormal="80" workbookViewId="0">
      <selection activeCell="N22" sqref="N22"/>
    </sheetView>
  </sheetViews>
  <sheetFormatPr defaultRowHeight="15" x14ac:dyDescent="0.25"/>
  <cols>
    <col min="1" max="1" width="7.57031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  <col min="16" max="16" width="3.140625" style="307" customWidth="1"/>
    <col min="17" max="17" width="34" customWidth="1"/>
    <col min="18" max="18" width="11.5703125" customWidth="1"/>
    <col min="19" max="19" width="8.5703125" customWidth="1"/>
    <col min="20" max="20" width="9.42578125" customWidth="1"/>
    <col min="21" max="21" width="22.28515625" customWidth="1"/>
    <col min="23" max="23" width="12" bestFit="1" customWidth="1"/>
  </cols>
  <sheetData>
    <row r="1" spans="1:78" ht="51.75" customHeight="1" thickBot="1" x14ac:dyDescent="0.3">
      <c r="A1" s="427" t="s">
        <v>201</v>
      </c>
      <c r="B1" s="428"/>
      <c r="C1" s="428"/>
      <c r="D1" s="428"/>
      <c r="E1" s="428"/>
      <c r="F1" s="429"/>
      <c r="G1" s="323"/>
      <c r="I1" s="329"/>
      <c r="J1" s="428" t="s">
        <v>206</v>
      </c>
      <c r="K1" s="428"/>
      <c r="L1" s="428"/>
      <c r="M1" s="428"/>
      <c r="N1" s="429"/>
      <c r="P1" s="329"/>
      <c r="Q1" s="428" t="s">
        <v>208</v>
      </c>
      <c r="R1" s="428"/>
      <c r="S1" s="428"/>
      <c r="T1" s="428"/>
      <c r="U1" s="429"/>
    </row>
    <row r="2" spans="1:78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I2" s="297" t="s">
        <v>58</v>
      </c>
      <c r="J2" s="55" t="s">
        <v>73</v>
      </c>
      <c r="K2" s="315" t="s">
        <v>18</v>
      </c>
      <c r="L2" s="379" t="s">
        <v>21</v>
      </c>
      <c r="M2" s="380"/>
      <c r="N2" s="57" t="s">
        <v>32</v>
      </c>
      <c r="P2" s="297" t="s">
        <v>58</v>
      </c>
      <c r="Q2" s="55" t="s">
        <v>73</v>
      </c>
      <c r="R2" s="315" t="s">
        <v>18</v>
      </c>
      <c r="S2" s="379" t="s">
        <v>21</v>
      </c>
      <c r="T2" s="380"/>
      <c r="U2" s="57" t="s">
        <v>32</v>
      </c>
    </row>
    <row r="3" spans="1:78" x14ac:dyDescent="0.25">
      <c r="A3" s="298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I3" s="298">
        <v>1</v>
      </c>
      <c r="J3" s="84" t="s">
        <v>0</v>
      </c>
      <c r="K3" s="85" t="s">
        <v>19</v>
      </c>
      <c r="L3" s="381">
        <f>404.352+9.256</f>
        <v>413.60799999999995</v>
      </c>
      <c r="M3" s="382"/>
      <c r="N3" s="86">
        <v>10022991.91</v>
      </c>
      <c r="P3" s="298">
        <v>1</v>
      </c>
      <c r="Q3" s="383" t="s">
        <v>47</v>
      </c>
      <c r="R3" s="424" t="s">
        <v>19</v>
      </c>
      <c r="S3" s="392">
        <v>2078.02</v>
      </c>
      <c r="T3" s="393"/>
      <c r="U3" s="421">
        <v>162211085.97999999</v>
      </c>
    </row>
    <row r="4" spans="1:78" ht="30" x14ac:dyDescent="0.25">
      <c r="A4" s="299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81">
        <f>676.624+295.152</f>
        <v>971.77600000000007</v>
      </c>
      <c r="M4" s="382"/>
      <c r="N4" s="89">
        <f>28449520.75+12410042.86</f>
        <v>40859563.609999999</v>
      </c>
      <c r="P4" s="299">
        <v>2</v>
      </c>
      <c r="Q4" s="384"/>
      <c r="R4" s="425"/>
      <c r="S4" s="394"/>
      <c r="T4" s="395"/>
      <c r="U4" s="422"/>
    </row>
    <row r="5" spans="1:78" ht="30" x14ac:dyDescent="0.25">
      <c r="A5" s="299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  <c r="I5" s="299">
        <v>3</v>
      </c>
      <c r="J5" s="87" t="s">
        <v>8</v>
      </c>
      <c r="K5" s="88" t="s">
        <v>19</v>
      </c>
      <c r="L5" s="398">
        <v>284.85599999999999</v>
      </c>
      <c r="M5" s="399"/>
      <c r="N5" s="89">
        <v>29847559.98</v>
      </c>
      <c r="P5" s="299">
        <v>3</v>
      </c>
      <c r="Q5" s="384"/>
      <c r="R5" s="425"/>
      <c r="S5" s="394"/>
      <c r="T5" s="395"/>
      <c r="U5" s="422"/>
    </row>
    <row r="6" spans="1:78" x14ac:dyDescent="0.25">
      <c r="A6" s="299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  <c r="I6" s="299">
        <v>4</v>
      </c>
      <c r="J6" s="87" t="s">
        <v>1</v>
      </c>
      <c r="K6" s="88" t="s">
        <v>19</v>
      </c>
      <c r="L6" s="398">
        <v>103.27200000000001</v>
      </c>
      <c r="M6" s="399"/>
      <c r="N6" s="89">
        <v>6218924.8699999992</v>
      </c>
      <c r="P6" s="299">
        <v>4</v>
      </c>
      <c r="Q6" s="384"/>
      <c r="R6" s="425"/>
      <c r="S6" s="394"/>
      <c r="T6" s="395"/>
      <c r="U6" s="422"/>
    </row>
    <row r="7" spans="1:78" x14ac:dyDescent="0.25">
      <c r="A7" s="299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  <c r="I7" s="299">
        <v>5</v>
      </c>
      <c r="J7" s="87" t="s">
        <v>2</v>
      </c>
      <c r="K7" s="88" t="s">
        <v>19</v>
      </c>
      <c r="L7" s="398">
        <v>66.872</v>
      </c>
      <c r="M7" s="399"/>
      <c r="N7" s="89">
        <v>4525782.0099999988</v>
      </c>
      <c r="P7" s="299">
        <v>5</v>
      </c>
      <c r="Q7" s="384"/>
      <c r="R7" s="425"/>
      <c r="S7" s="394"/>
      <c r="T7" s="395"/>
      <c r="U7" s="422"/>
    </row>
    <row r="8" spans="1:78" x14ac:dyDescent="0.25">
      <c r="A8" s="299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  <c r="I8" s="299">
        <v>6</v>
      </c>
      <c r="J8" s="87" t="s">
        <v>3</v>
      </c>
      <c r="K8" s="88" t="s">
        <v>19</v>
      </c>
      <c r="L8" s="398">
        <v>233.27199999999999</v>
      </c>
      <c r="M8" s="399"/>
      <c r="N8" s="89">
        <v>17401032.069999997</v>
      </c>
      <c r="P8" s="299">
        <v>6</v>
      </c>
      <c r="Q8" s="384"/>
      <c r="R8" s="425"/>
      <c r="S8" s="394"/>
      <c r="T8" s="395"/>
      <c r="U8" s="422"/>
    </row>
    <row r="9" spans="1:78" ht="15.75" thickBot="1" x14ac:dyDescent="0.3">
      <c r="A9" s="300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  <c r="I9" s="300">
        <v>7</v>
      </c>
      <c r="J9" s="90" t="s">
        <v>4</v>
      </c>
      <c r="K9" s="91" t="s">
        <v>19</v>
      </c>
      <c r="L9" s="400">
        <v>4.3680000000000003</v>
      </c>
      <c r="M9" s="401"/>
      <c r="N9" s="92">
        <v>714028.58000000007</v>
      </c>
      <c r="P9" s="300">
        <v>7</v>
      </c>
      <c r="Q9" s="385"/>
      <c r="R9" s="426"/>
      <c r="S9" s="396"/>
      <c r="T9" s="397"/>
      <c r="U9" s="423"/>
    </row>
    <row r="10" spans="1:78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15" t="s">
        <v>185</v>
      </c>
      <c r="M10" s="416"/>
      <c r="N10" s="43">
        <v>3704032.4099999992</v>
      </c>
      <c r="P10" s="310">
        <v>8</v>
      </c>
      <c r="Q10" s="311" t="s">
        <v>187</v>
      </c>
      <c r="R10" s="42" t="s">
        <v>29</v>
      </c>
      <c r="S10" s="415" t="s">
        <v>185</v>
      </c>
      <c r="T10" s="416"/>
      <c r="U10" s="43">
        <v>3704032.4099999992</v>
      </c>
    </row>
    <row r="11" spans="1:78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19" t="s">
        <v>186</v>
      </c>
      <c r="M11" s="420"/>
      <c r="N11" s="29">
        <v>15227354.290000003</v>
      </c>
      <c r="P11" s="313">
        <v>9</v>
      </c>
      <c r="Q11" s="314" t="s">
        <v>28</v>
      </c>
      <c r="R11" s="40" t="s">
        <v>29</v>
      </c>
      <c r="S11" s="419" t="s">
        <v>186</v>
      </c>
      <c r="T11" s="420"/>
      <c r="U11" s="29">
        <v>15227354.290000003</v>
      </c>
    </row>
    <row r="12" spans="1:78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08">
        <v>4765.96</v>
      </c>
      <c r="M12" s="409"/>
      <c r="N12" s="33">
        <v>1105733.3899999999</v>
      </c>
      <c r="O12"/>
      <c r="P12" s="301">
        <v>10</v>
      </c>
      <c r="Q12" s="289" t="s">
        <v>17</v>
      </c>
      <c r="R12" s="290" t="s">
        <v>20</v>
      </c>
      <c r="S12" s="408">
        <v>4765.96</v>
      </c>
      <c r="T12" s="409"/>
      <c r="U12" s="33">
        <v>1105733.3899999999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70">
        <v>2078.0239999999999</v>
      </c>
      <c r="M13" s="333" t="s">
        <v>19</v>
      </c>
      <c r="N13" s="63">
        <f>SUM(N3:N12)</f>
        <v>129627003.12</v>
      </c>
      <c r="P13" s="302">
        <v>11</v>
      </c>
      <c r="Q13" s="59" t="s">
        <v>22</v>
      </c>
      <c r="R13" s="60"/>
      <c r="S13" s="270">
        <v>2078.0239999999999</v>
      </c>
      <c r="T13" s="333" t="s">
        <v>19</v>
      </c>
      <c r="U13" s="63">
        <f>SUM(U3:U12)</f>
        <v>182248206.06999996</v>
      </c>
    </row>
    <row r="14" spans="1:78" ht="30.75" thickBot="1" x14ac:dyDescent="0.3">
      <c r="A14" s="303">
        <v>12</v>
      </c>
      <c r="B14" s="58" t="s">
        <v>204</v>
      </c>
      <c r="C14" s="41"/>
      <c r="D14" s="45"/>
      <c r="E14" s="46"/>
      <c r="F14" s="316"/>
      <c r="I14" s="303">
        <v>12</v>
      </c>
      <c r="J14" s="58" t="s">
        <v>196</v>
      </c>
      <c r="K14" s="41"/>
      <c r="L14" s="334"/>
      <c r="M14" s="335"/>
      <c r="N14" s="325" t="s">
        <v>199</v>
      </c>
      <c r="P14" s="303">
        <v>12</v>
      </c>
      <c r="Q14" s="58" t="s">
        <v>204</v>
      </c>
      <c r="R14" s="41"/>
      <c r="S14" s="334"/>
      <c r="T14" s="335"/>
      <c r="U14" s="325">
        <v>3827212.36</v>
      </c>
    </row>
    <row r="15" spans="1:78" ht="50.25" customHeight="1" thickBot="1" x14ac:dyDescent="0.3">
      <c r="A15" s="302">
        <v>13</v>
      </c>
      <c r="B15" s="59" t="s">
        <v>207</v>
      </c>
      <c r="C15" s="60"/>
      <c r="D15" s="45"/>
      <c r="E15" s="62"/>
      <c r="F15" s="287"/>
      <c r="I15" s="302">
        <v>13</v>
      </c>
      <c r="J15" s="59" t="s">
        <v>207</v>
      </c>
      <c r="K15" s="60"/>
      <c r="L15" s="45"/>
      <c r="M15" s="333"/>
      <c r="N15" s="287">
        <f>2220749.32/1.2*4</f>
        <v>7402497.7333333334</v>
      </c>
      <c r="P15" s="302">
        <v>13</v>
      </c>
      <c r="Q15" s="59" t="s">
        <v>207</v>
      </c>
      <c r="R15" s="60"/>
      <c r="S15" s="45"/>
      <c r="T15" s="333"/>
      <c r="U15" s="287">
        <f>2220749.32/1.2*4</f>
        <v>7402497.7333333334</v>
      </c>
    </row>
    <row r="16" spans="1:78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I16" s="302">
        <v>14</v>
      </c>
      <c r="J16" s="59" t="s">
        <v>22</v>
      </c>
      <c r="K16" s="60"/>
      <c r="L16" s="45"/>
      <c r="M16" s="333"/>
      <c r="N16" s="63">
        <v>140407250.5</v>
      </c>
      <c r="P16" s="302">
        <v>14</v>
      </c>
      <c r="Q16" s="59" t="s">
        <v>22</v>
      </c>
      <c r="R16" s="60"/>
      <c r="S16" s="45"/>
      <c r="T16" s="333"/>
      <c r="U16" s="63">
        <f>U13+U14+U15</f>
        <v>193477916.1633333</v>
      </c>
    </row>
    <row r="17" spans="1:22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I17" s="303">
        <v>15</v>
      </c>
      <c r="J17" s="58" t="s">
        <v>23</v>
      </c>
      <c r="K17" s="41"/>
      <c r="L17" s="45"/>
      <c r="M17" s="336"/>
      <c r="N17" s="272">
        <f>N16*0.03</f>
        <v>4212217.5149999997</v>
      </c>
      <c r="P17" s="303">
        <v>15</v>
      </c>
      <c r="Q17" s="58" t="s">
        <v>23</v>
      </c>
      <c r="R17" s="41"/>
      <c r="S17" s="45"/>
      <c r="T17" s="336"/>
      <c r="U17" s="272">
        <f>U16*0.03</f>
        <v>5804337.4848999986</v>
      </c>
    </row>
    <row r="18" spans="1:22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I18" s="303">
        <v>16</v>
      </c>
      <c r="J18" s="265" t="s">
        <v>36</v>
      </c>
      <c r="K18" s="266"/>
      <c r="L18" s="267"/>
      <c r="M18" s="337"/>
      <c r="N18" s="47">
        <f>N16+N17</f>
        <v>144619468.01499999</v>
      </c>
      <c r="P18" s="303">
        <v>16</v>
      </c>
      <c r="Q18" s="265" t="s">
        <v>36</v>
      </c>
      <c r="R18" s="266"/>
      <c r="S18" s="267"/>
      <c r="T18" s="337"/>
      <c r="U18" s="47">
        <f>U16+U17</f>
        <v>199282253.64823329</v>
      </c>
    </row>
    <row r="19" spans="1:22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/>
      <c r="I19" s="331">
        <v>17</v>
      </c>
      <c r="J19" s="282" t="s">
        <v>203</v>
      </c>
      <c r="K19" s="283">
        <v>1.0329999999999999</v>
      </c>
      <c r="L19" s="339"/>
      <c r="M19" s="340"/>
      <c r="N19" s="47">
        <f>N18*1.033</f>
        <v>149391910.45949498</v>
      </c>
      <c r="P19" s="331">
        <v>17</v>
      </c>
      <c r="Q19" s="282" t="s">
        <v>203</v>
      </c>
      <c r="R19" s="283">
        <v>1.0329999999999999</v>
      </c>
      <c r="S19" s="339"/>
      <c r="T19" s="340"/>
      <c r="U19" s="47">
        <f>U18*1.033</f>
        <v>205858568.01862499</v>
      </c>
    </row>
    <row r="20" spans="1:22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174949743.41</v>
      </c>
      <c r="I20" s="306">
        <v>18</v>
      </c>
      <c r="J20" s="64" t="s">
        <v>198</v>
      </c>
      <c r="K20" s="48"/>
      <c r="L20" s="410"/>
      <c r="M20" s="411"/>
      <c r="N20" s="66">
        <v>174454214.74000001</v>
      </c>
      <c r="P20" s="306">
        <v>18</v>
      </c>
      <c r="Q20" s="64" t="s">
        <v>209</v>
      </c>
      <c r="R20" s="48"/>
      <c r="S20" s="410"/>
      <c r="T20" s="411"/>
      <c r="U20" s="66">
        <v>182677644.00999999</v>
      </c>
    </row>
    <row r="21" spans="1:22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34989948.682000004</v>
      </c>
      <c r="G21" s="321" t="s">
        <v>197</v>
      </c>
      <c r="I21" s="303">
        <v>19</v>
      </c>
      <c r="J21" s="58" t="s">
        <v>33</v>
      </c>
      <c r="K21" s="41"/>
      <c r="L21" s="45"/>
      <c r="M21" s="336"/>
      <c r="N21" s="47">
        <f>N20*0.2</f>
        <v>34890842.948000006</v>
      </c>
      <c r="P21" s="303">
        <v>19</v>
      </c>
      <c r="Q21" s="58" t="s">
        <v>33</v>
      </c>
      <c r="R21" s="41"/>
      <c r="S21" s="45"/>
      <c r="T21" s="336"/>
      <c r="U21" s="47">
        <f>U20*0.2</f>
        <v>36535528.802000001</v>
      </c>
    </row>
    <row r="22" spans="1:22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209939692.09200001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61"/>
      <c r="M22" s="333"/>
      <c r="N22" s="107">
        <f>N20+N21</f>
        <v>209345057.68800002</v>
      </c>
      <c r="P22" s="302">
        <v>20</v>
      </c>
      <c r="Q22" s="59" t="s">
        <v>34</v>
      </c>
      <c r="R22" s="60"/>
      <c r="S22" s="61"/>
      <c r="T22" s="333"/>
      <c r="U22" s="107">
        <f>U20+U21</f>
        <v>219213172.81199998</v>
      </c>
      <c r="V22" t="s">
        <v>210</v>
      </c>
    </row>
    <row r="24" spans="1:22" ht="44.25" customHeight="1" x14ac:dyDescent="0.25">
      <c r="A24" s="35" t="s">
        <v>213</v>
      </c>
      <c r="B24" s="338" t="s">
        <v>211</v>
      </c>
      <c r="C24" s="338">
        <f>(25.493+56.46)*10</f>
        <v>819.53</v>
      </c>
      <c r="D24" s="338"/>
      <c r="E24" s="308"/>
      <c r="F24" s="271">
        <v>13705910.09</v>
      </c>
      <c r="G24" s="271"/>
      <c r="H24" s="271"/>
      <c r="I24"/>
      <c r="J24" s="338"/>
      <c r="K24" s="338"/>
      <c r="L24" s="308"/>
      <c r="M24" s="308"/>
      <c r="N24" s="271"/>
      <c r="P24"/>
      <c r="Q24" s="338"/>
      <c r="R24" s="338"/>
      <c r="S24" s="308"/>
      <c r="T24" s="308"/>
      <c r="U24" s="271"/>
    </row>
    <row r="25" spans="1:22" ht="44.25" customHeight="1" x14ac:dyDescent="0.25">
      <c r="A25" s="35" t="s">
        <v>213</v>
      </c>
      <c r="B25" s="338" t="s">
        <v>212</v>
      </c>
      <c r="C25" s="338">
        <f>53.09+234.08</f>
        <v>287.17</v>
      </c>
      <c r="D25" s="338"/>
      <c r="E25" s="308"/>
      <c r="F25" s="271">
        <v>2462459.88</v>
      </c>
      <c r="G25" s="271"/>
      <c r="H25" s="271"/>
      <c r="I25"/>
      <c r="J25" s="338"/>
      <c r="K25" s="338"/>
      <c r="L25" s="308"/>
      <c r="M25" s="308"/>
      <c r="N25" s="271"/>
      <c r="P25"/>
      <c r="Q25" s="338"/>
      <c r="R25" s="338"/>
      <c r="S25" s="308"/>
      <c r="T25" s="308"/>
      <c r="U25" s="271"/>
    </row>
    <row r="26" spans="1:22" ht="23.25" customHeight="1" x14ac:dyDescent="0.25">
      <c r="A26"/>
      <c r="B26" s="338"/>
      <c r="C26" s="338"/>
      <c r="D26" s="338"/>
      <c r="E26" s="308"/>
      <c r="F26" s="332">
        <f>F22+F24+F25</f>
        <v>226108062.06200001</v>
      </c>
      <c r="G26" s="271"/>
      <c r="H26" s="271"/>
      <c r="I26"/>
      <c r="J26" s="338"/>
      <c r="K26" s="338"/>
      <c r="L26" s="308"/>
      <c r="M26" s="308"/>
      <c r="N26" s="271"/>
      <c r="P26"/>
      <c r="Q26" s="338"/>
      <c r="R26" s="338"/>
      <c r="S26" s="308"/>
      <c r="T26" s="308"/>
      <c r="U26" s="271"/>
    </row>
    <row r="27" spans="1:22" ht="44.25" customHeight="1" x14ac:dyDescent="0.25">
      <c r="A27"/>
      <c r="B27" s="338"/>
      <c r="C27" s="338"/>
      <c r="D27" s="338"/>
      <c r="E27" s="308"/>
      <c r="F27" s="271"/>
      <c r="G27" s="271"/>
      <c r="H27" s="271"/>
      <c r="I27"/>
      <c r="J27" s="338"/>
      <c r="K27" s="338"/>
      <c r="L27" s="308"/>
      <c r="M27" s="308"/>
      <c r="N27" s="271"/>
      <c r="P27"/>
      <c r="Q27" s="338"/>
      <c r="R27" s="338"/>
      <c r="S27" s="308"/>
      <c r="T27" s="308"/>
      <c r="U27" s="271"/>
    </row>
    <row r="28" spans="1:22" ht="37.5" customHeight="1" x14ac:dyDescent="0.25">
      <c r="A28"/>
      <c r="B28" s="412" t="s">
        <v>190</v>
      </c>
      <c r="C28" s="412"/>
      <c r="D28" s="412"/>
      <c r="E28" s="308"/>
      <c r="F28" s="271">
        <f>F22/D13</f>
        <v>101028.52137030179</v>
      </c>
      <c r="G28" s="271"/>
      <c r="H28" s="271"/>
      <c r="I28"/>
      <c r="J28" s="271"/>
      <c r="K28" s="271"/>
      <c r="L28" s="308"/>
      <c r="M28" s="308"/>
      <c r="N28" s="271">
        <f>N22/L13</f>
        <v>100742.36759921927</v>
      </c>
      <c r="P28"/>
      <c r="Q28" s="271"/>
      <c r="R28" s="271"/>
      <c r="S28" s="308"/>
      <c r="T28" s="308"/>
      <c r="U28" s="271">
        <f>U22/S13</f>
        <v>105491.1650741281</v>
      </c>
    </row>
    <row r="31" spans="1:22" x14ac:dyDescent="0.25">
      <c r="B31" t="s">
        <v>205</v>
      </c>
    </row>
  </sheetData>
  <mergeCells count="36">
    <mergeCell ref="A1:F1"/>
    <mergeCell ref="J1:N1"/>
    <mergeCell ref="Q1:U1"/>
    <mergeCell ref="D2:E2"/>
    <mergeCell ref="L2:M2"/>
    <mergeCell ref="S2:T2"/>
    <mergeCell ref="U3:U9"/>
    <mergeCell ref="D4:E4"/>
    <mergeCell ref="L4:M4"/>
    <mergeCell ref="D5:E5"/>
    <mergeCell ref="L5:M5"/>
    <mergeCell ref="D3:E3"/>
    <mergeCell ref="L3:M3"/>
    <mergeCell ref="Q3:Q9"/>
    <mergeCell ref="R3:R9"/>
    <mergeCell ref="S3:T9"/>
    <mergeCell ref="D6:E6"/>
    <mergeCell ref="L6:M6"/>
    <mergeCell ref="D7:E7"/>
    <mergeCell ref="L7:M7"/>
    <mergeCell ref="D8:E8"/>
    <mergeCell ref="L8:M8"/>
    <mergeCell ref="S12:T12"/>
    <mergeCell ref="L20:M20"/>
    <mergeCell ref="S20:T20"/>
    <mergeCell ref="B28:D28"/>
    <mergeCell ref="D9:E9"/>
    <mergeCell ref="L9:M9"/>
    <mergeCell ref="D10:E10"/>
    <mergeCell ref="L10:M10"/>
    <mergeCell ref="D12:E12"/>
    <mergeCell ref="L12:M12"/>
    <mergeCell ref="S10:T10"/>
    <mergeCell ref="D11:E11"/>
    <mergeCell ref="L11:M11"/>
    <mergeCell ref="S11:T1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297-11AC-4757-AAF4-7D0D4F260BE4}">
  <sheetPr>
    <tabColor rgb="FFFFC000"/>
  </sheetPr>
  <dimension ref="A1:J19"/>
  <sheetViews>
    <sheetView tabSelected="1" zoomScale="90" zoomScaleNormal="90" workbookViewId="0">
      <selection activeCell="F5" sqref="F5"/>
    </sheetView>
  </sheetViews>
  <sheetFormatPr defaultRowHeight="15" x14ac:dyDescent="0.25"/>
  <cols>
    <col min="1" max="1" width="7.5703125" style="307" customWidth="1"/>
    <col min="2" max="2" width="49.5703125" customWidth="1"/>
    <col min="3" max="3" width="11.5703125" customWidth="1"/>
    <col min="4" max="4" width="8.5703125" customWidth="1"/>
    <col min="5" max="5" width="9.85546875" customWidth="1"/>
    <col min="6" max="6" width="33.140625" customWidth="1"/>
    <col min="7" max="7" width="3.42578125" customWidth="1"/>
    <col min="8" max="8" width="33.140625" customWidth="1"/>
    <col min="9" max="9" width="13.5703125" customWidth="1"/>
  </cols>
  <sheetData>
    <row r="1" spans="1:10" ht="27.75" customHeight="1" thickBot="1" x14ac:dyDescent="0.3">
      <c r="A1" s="430" t="s">
        <v>217</v>
      </c>
      <c r="B1" s="431"/>
      <c r="C1" s="431"/>
      <c r="D1" s="431"/>
      <c r="E1" s="431"/>
      <c r="F1" s="432"/>
      <c r="G1" s="323"/>
    </row>
    <row r="2" spans="1:10" ht="27.75" customHeight="1" thickBot="1" x14ac:dyDescent="0.3">
      <c r="A2" s="297" t="s">
        <v>58</v>
      </c>
      <c r="B2" s="55" t="s">
        <v>73</v>
      </c>
      <c r="C2" s="315" t="s">
        <v>18</v>
      </c>
      <c r="D2" s="376" t="s">
        <v>21</v>
      </c>
      <c r="E2" s="376" t="s">
        <v>232</v>
      </c>
      <c r="F2" s="346" t="s">
        <v>32</v>
      </c>
      <c r="H2" s="57" t="s">
        <v>32</v>
      </c>
    </row>
    <row r="3" spans="1:10" ht="54.75" customHeight="1" thickBot="1" x14ac:dyDescent="0.3">
      <c r="A3" s="302">
        <v>1</v>
      </c>
      <c r="B3" s="363" t="s">
        <v>229</v>
      </c>
      <c r="C3" s="60" t="s">
        <v>19</v>
      </c>
      <c r="D3" s="107">
        <v>2078.0239999999999</v>
      </c>
      <c r="E3" s="378">
        <v>74617.743375437436</v>
      </c>
      <c r="F3" s="371">
        <f>D3*E3</f>
        <v>155057461.56</v>
      </c>
      <c r="H3" s="364">
        <v>155057461.56</v>
      </c>
    </row>
    <row r="4" spans="1:10" ht="30.75" thickBot="1" x14ac:dyDescent="0.3">
      <c r="A4" s="367">
        <v>2</v>
      </c>
      <c r="B4" s="368" t="s">
        <v>204</v>
      </c>
      <c r="C4" s="41"/>
      <c r="D4" s="47"/>
      <c r="E4" s="47"/>
      <c r="F4" s="335">
        <f>F3*0.021</f>
        <v>3256206.6927600005</v>
      </c>
      <c r="H4" s="316">
        <f>H3*0.052</f>
        <v>8062988.0011200001</v>
      </c>
      <c r="I4" s="35" t="s">
        <v>230</v>
      </c>
      <c r="J4" s="377" t="s">
        <v>231</v>
      </c>
    </row>
    <row r="5" spans="1:10" ht="28.5" customHeight="1" thickBot="1" x14ac:dyDescent="0.3">
      <c r="A5" s="369">
        <v>3</v>
      </c>
      <c r="B5" s="363" t="s">
        <v>22</v>
      </c>
      <c r="C5" s="60"/>
      <c r="D5" s="47"/>
      <c r="E5" s="47"/>
      <c r="F5" s="371">
        <f>F3+F4</f>
        <v>158313668.25275999</v>
      </c>
      <c r="H5" s="364">
        <f>H3+H4</f>
        <v>163120449.56112</v>
      </c>
      <c r="I5" s="370"/>
    </row>
    <row r="6" spans="1:10" ht="62.25" customHeight="1" thickBot="1" x14ac:dyDescent="0.3">
      <c r="A6" s="369">
        <v>4</v>
      </c>
      <c r="B6" s="363" t="s">
        <v>207</v>
      </c>
      <c r="C6" s="60"/>
      <c r="D6" s="47"/>
      <c r="E6" s="47"/>
      <c r="F6" s="372">
        <v>7402497.7000000002</v>
      </c>
      <c r="H6" s="287">
        <v>7402497.7000000002</v>
      </c>
    </row>
    <row r="7" spans="1:10" ht="33.75" customHeight="1" thickBot="1" x14ac:dyDescent="0.3">
      <c r="A7" s="369">
        <v>5</v>
      </c>
      <c r="B7" s="363" t="s">
        <v>22</v>
      </c>
      <c r="C7" s="60"/>
      <c r="D7" s="47"/>
      <c r="E7" s="47"/>
      <c r="F7" s="371">
        <f>F5+F6</f>
        <v>165716165.95275998</v>
      </c>
      <c r="H7" s="364">
        <f>H5+H6</f>
        <v>170522947.26111999</v>
      </c>
    </row>
    <row r="8" spans="1:10" ht="62.25" customHeight="1" thickBot="1" x14ac:dyDescent="0.3">
      <c r="A8" s="369">
        <v>6</v>
      </c>
      <c r="B8" s="363" t="s">
        <v>203</v>
      </c>
      <c r="C8" s="60"/>
      <c r="D8" s="47"/>
      <c r="E8" s="47"/>
      <c r="F8" s="372">
        <f>F7*0.033</f>
        <v>5468633.4764410798</v>
      </c>
      <c r="H8" s="287">
        <f>H7*0.033</f>
        <v>5627257.2596169598</v>
      </c>
    </row>
    <row r="9" spans="1:10" ht="28.5" customHeight="1" thickBot="1" x14ac:dyDescent="0.3">
      <c r="A9" s="369">
        <v>7</v>
      </c>
      <c r="B9" s="363" t="s">
        <v>22</v>
      </c>
      <c r="C9" s="60"/>
      <c r="D9" s="47"/>
      <c r="E9" s="47"/>
      <c r="F9" s="371">
        <f>F7+F8</f>
        <v>171184799.42920107</v>
      </c>
      <c r="H9" s="364">
        <f>H7+H8</f>
        <v>176150204.52073696</v>
      </c>
    </row>
    <row r="10" spans="1:10" ht="34.5" customHeight="1" thickBot="1" x14ac:dyDescent="0.3">
      <c r="A10" s="367">
        <v>8</v>
      </c>
      <c r="B10" s="368" t="s">
        <v>23</v>
      </c>
      <c r="C10" s="41"/>
      <c r="D10" s="47"/>
      <c r="E10" s="47"/>
      <c r="F10" s="335">
        <f>F9*0.03</f>
        <v>5135543.9828760317</v>
      </c>
      <c r="H10" s="316">
        <f>H9*0.03</f>
        <v>5284506.1356221084</v>
      </c>
    </row>
    <row r="11" spans="1:10" ht="34.5" customHeight="1" thickBot="1" x14ac:dyDescent="0.3">
      <c r="A11" s="367">
        <v>9</v>
      </c>
      <c r="B11" s="368" t="s">
        <v>36</v>
      </c>
      <c r="C11" s="41"/>
      <c r="D11" s="47"/>
      <c r="E11" s="47"/>
      <c r="F11" s="373">
        <f>F9+F10</f>
        <v>176320343.4120771</v>
      </c>
      <c r="H11" s="366">
        <f>H9+H10</f>
        <v>181434710.65635908</v>
      </c>
    </row>
    <row r="12" spans="1:10" ht="25.5" customHeight="1" thickBot="1" x14ac:dyDescent="0.3">
      <c r="A12" s="367">
        <v>10</v>
      </c>
      <c r="B12" s="368" t="s">
        <v>33</v>
      </c>
      <c r="C12" s="41"/>
      <c r="D12" s="47"/>
      <c r="E12" s="47"/>
      <c r="F12" s="374">
        <f>F11*0.2</f>
        <v>35264068.682415418</v>
      </c>
      <c r="G12" s="321"/>
      <c r="H12" s="365">
        <f>H11*0.2</f>
        <v>36286942.131271817</v>
      </c>
    </row>
    <row r="13" spans="1:10" ht="29.25" customHeight="1" thickBot="1" x14ac:dyDescent="0.3">
      <c r="A13" s="369">
        <v>11</v>
      </c>
      <c r="B13" s="363" t="s">
        <v>34</v>
      </c>
      <c r="C13" s="60"/>
      <c r="D13" s="63"/>
      <c r="E13" s="63"/>
      <c r="F13" s="375">
        <f>F11+F12</f>
        <v>211584412.09449252</v>
      </c>
      <c r="G13" s="322"/>
      <c r="H13" s="107">
        <f>H11+H12</f>
        <v>217721652.78763089</v>
      </c>
    </row>
    <row r="15" spans="1:10" ht="44.25" customHeight="1" x14ac:dyDescent="0.25">
      <c r="A15" s="35" t="s">
        <v>213</v>
      </c>
      <c r="B15" s="347" t="s">
        <v>211</v>
      </c>
      <c r="C15" s="347">
        <v>121.3</v>
      </c>
      <c r="D15" s="347"/>
      <c r="E15" s="362"/>
      <c r="F15" s="271">
        <v>646623.74</v>
      </c>
      <c r="G15" s="271"/>
      <c r="H15" s="271"/>
    </row>
    <row r="16" spans="1:10" ht="44.25" customHeight="1" x14ac:dyDescent="0.25">
      <c r="A16" s="35" t="s">
        <v>213</v>
      </c>
      <c r="B16" s="347" t="s">
        <v>212</v>
      </c>
      <c r="C16" s="347">
        <v>53.09</v>
      </c>
      <c r="D16" s="347"/>
      <c r="E16" s="362"/>
      <c r="F16" s="271">
        <v>455242.52</v>
      </c>
      <c r="G16" s="271"/>
      <c r="H16" s="271"/>
    </row>
    <row r="17" spans="1:8" ht="23.25" customHeight="1" x14ac:dyDescent="0.25">
      <c r="A17"/>
      <c r="B17" s="347"/>
      <c r="C17" s="347"/>
      <c r="D17" s="347"/>
      <c r="E17" s="362"/>
      <c r="F17" s="332">
        <f>F13+F15+F16</f>
        <v>212686278.35449255</v>
      </c>
      <c r="G17" s="271"/>
      <c r="H17" s="332"/>
    </row>
    <row r="18" spans="1:8" ht="44.25" customHeight="1" x14ac:dyDescent="0.25">
      <c r="A18"/>
      <c r="B18" s="347"/>
      <c r="C18" s="347"/>
      <c r="D18" s="347"/>
      <c r="E18" s="362"/>
      <c r="F18" s="271"/>
      <c r="G18" s="271"/>
      <c r="H18" s="271"/>
    </row>
    <row r="19" spans="1:8" ht="37.5" customHeight="1" x14ac:dyDescent="0.25">
      <c r="A19"/>
      <c r="B19" s="412" t="s">
        <v>190</v>
      </c>
      <c r="C19" s="412"/>
      <c r="D19" s="412"/>
      <c r="E19" s="362"/>
      <c r="F19" s="271">
        <f>F13/D3</f>
        <v>101820.00404927591</v>
      </c>
      <c r="G19" s="271"/>
      <c r="H19" s="271"/>
    </row>
  </sheetData>
  <mergeCells count="2">
    <mergeCell ref="B19:D19"/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CF69-1605-4403-8AB2-F482D99EDD97}">
  <sheetPr>
    <tabColor rgb="FFFFC000"/>
  </sheetPr>
  <dimension ref="A1:CG31"/>
  <sheetViews>
    <sheetView topLeftCell="H7" zoomScale="70" zoomScaleNormal="70" workbookViewId="0">
      <selection activeCell="P19" sqref="P19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6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2.5703125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30" t="s">
        <v>217</v>
      </c>
      <c r="B1" s="431"/>
      <c r="C1" s="431"/>
      <c r="D1" s="431"/>
      <c r="E1" s="431"/>
      <c r="F1" s="432"/>
      <c r="G1" s="323"/>
      <c r="H1" s="427" t="s">
        <v>201</v>
      </c>
      <c r="I1" s="428"/>
      <c r="J1" s="428"/>
      <c r="K1" s="428"/>
      <c r="L1" s="428"/>
      <c r="M1" s="429"/>
      <c r="N1" s="323"/>
      <c r="O1" s="427" t="s">
        <v>214</v>
      </c>
      <c r="P1" s="428"/>
      <c r="Q1" s="428"/>
      <c r="R1" s="428"/>
      <c r="S1" s="428"/>
      <c r="T1" s="429"/>
      <c r="V1" s="329"/>
      <c r="W1" s="428" t="s">
        <v>225</v>
      </c>
      <c r="X1" s="428"/>
      <c r="Y1" s="428"/>
      <c r="Z1" s="428"/>
      <c r="AA1" s="429"/>
      <c r="AC1" s="329"/>
      <c r="AD1" s="428" t="s">
        <v>216</v>
      </c>
      <c r="AE1" s="428"/>
      <c r="AF1" s="428"/>
      <c r="AG1" s="428"/>
      <c r="AH1" s="429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H2" s="297" t="s">
        <v>58</v>
      </c>
      <c r="I2" s="55" t="s">
        <v>73</v>
      </c>
      <c r="J2" s="315" t="s">
        <v>18</v>
      </c>
      <c r="K2" s="379" t="s">
        <v>21</v>
      </c>
      <c r="L2" s="380"/>
      <c r="M2" s="57" t="s">
        <v>32</v>
      </c>
      <c r="O2" s="297" t="s">
        <v>58</v>
      </c>
      <c r="P2" s="55" t="s">
        <v>73</v>
      </c>
      <c r="Q2" s="315" t="s">
        <v>18</v>
      </c>
      <c r="R2" s="379" t="s">
        <v>21</v>
      </c>
      <c r="S2" s="380"/>
      <c r="T2" s="57" t="s">
        <v>32</v>
      </c>
      <c r="V2" s="297" t="s">
        <v>58</v>
      </c>
      <c r="W2" s="55" t="s">
        <v>73</v>
      </c>
      <c r="X2" s="315" t="s">
        <v>18</v>
      </c>
      <c r="Y2" s="379" t="s">
        <v>21</v>
      </c>
      <c r="Z2" s="380"/>
      <c r="AA2" s="57" t="s">
        <v>32</v>
      </c>
      <c r="AC2" s="297" t="s">
        <v>58</v>
      </c>
      <c r="AD2" s="55" t="s">
        <v>73</v>
      </c>
      <c r="AE2" s="315" t="s">
        <v>18</v>
      </c>
      <c r="AF2" s="379" t="s">
        <v>21</v>
      </c>
      <c r="AG2" s="380"/>
      <c r="AH2" s="57" t="s">
        <v>32</v>
      </c>
    </row>
    <row r="3" spans="1:85" s="312" customFormat="1" ht="19.5" customHeight="1" x14ac:dyDescent="0.25">
      <c r="A3" s="356">
        <v>1</v>
      </c>
      <c r="B3" s="357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H3" s="356">
        <v>1</v>
      </c>
      <c r="I3" s="357" t="s">
        <v>0</v>
      </c>
      <c r="J3" s="85" t="s">
        <v>19</v>
      </c>
      <c r="K3" s="381">
        <f>404.352+9.256</f>
        <v>413.60799999999995</v>
      </c>
      <c r="L3" s="382"/>
      <c r="M3" s="86">
        <v>10022991.91</v>
      </c>
      <c r="O3" s="356">
        <v>1</v>
      </c>
      <c r="P3" s="357" t="s">
        <v>0</v>
      </c>
      <c r="Q3" s="85" t="s">
        <v>19</v>
      </c>
      <c r="R3" s="381">
        <f>404.352+9.256</f>
        <v>413.60799999999995</v>
      </c>
      <c r="S3" s="382"/>
      <c r="T3" s="86">
        <v>10022991.91</v>
      </c>
      <c r="V3" s="356">
        <v>1</v>
      </c>
      <c r="W3" s="357" t="s">
        <v>0</v>
      </c>
      <c r="X3" s="85" t="s">
        <v>19</v>
      </c>
      <c r="Y3" s="381">
        <f>404.352+9.256</f>
        <v>413.60799999999995</v>
      </c>
      <c r="Z3" s="382"/>
      <c r="AA3" s="349">
        <f>10154415.9+117145.99</f>
        <v>10271561.890000001</v>
      </c>
      <c r="AC3" s="356">
        <v>1</v>
      </c>
      <c r="AD3" s="383" t="s">
        <v>47</v>
      </c>
      <c r="AE3" s="424" t="s">
        <v>19</v>
      </c>
      <c r="AF3" s="392">
        <v>2078.02</v>
      </c>
      <c r="AG3" s="393"/>
      <c r="AH3" s="421">
        <v>162211085.97999999</v>
      </c>
    </row>
    <row r="4" spans="1:85" s="312" customFormat="1" ht="48" customHeight="1" x14ac:dyDescent="0.25">
      <c r="A4" s="354">
        <v>2</v>
      </c>
      <c r="B4" s="355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H4" s="354">
        <v>2</v>
      </c>
      <c r="I4" s="355" t="s">
        <v>159</v>
      </c>
      <c r="J4" s="88" t="s">
        <v>19</v>
      </c>
      <c r="K4" s="381">
        <f>676.624+295.152</f>
        <v>971.77600000000007</v>
      </c>
      <c r="L4" s="382"/>
      <c r="M4" s="89">
        <f>28449520.75+12410042.86</f>
        <v>40859563.609999999</v>
      </c>
      <c r="O4" s="354">
        <v>2</v>
      </c>
      <c r="P4" s="355" t="s">
        <v>159</v>
      </c>
      <c r="Q4" s="88" t="s">
        <v>19</v>
      </c>
      <c r="R4" s="381">
        <f>676.624+295.152</f>
        <v>971.77600000000007</v>
      </c>
      <c r="S4" s="382"/>
      <c r="T4" s="89">
        <f>28449520.75+12410042.86</f>
        <v>40859563.609999999</v>
      </c>
      <c r="V4" s="354">
        <v>2</v>
      </c>
      <c r="W4" s="355" t="s">
        <v>159</v>
      </c>
      <c r="X4" s="88" t="s">
        <v>19</v>
      </c>
      <c r="Y4" s="381">
        <f>676.624+295.152</f>
        <v>971.77600000000007</v>
      </c>
      <c r="Z4" s="382"/>
      <c r="AA4" s="350">
        <f>29155068.65+12717812</f>
        <v>41872880.649999999</v>
      </c>
      <c r="AC4" s="354">
        <v>2</v>
      </c>
      <c r="AD4" s="384"/>
      <c r="AE4" s="425"/>
      <c r="AF4" s="394"/>
      <c r="AG4" s="395"/>
      <c r="AH4" s="422"/>
    </row>
    <row r="5" spans="1:85" s="312" customFormat="1" ht="30" x14ac:dyDescent="0.25">
      <c r="A5" s="354">
        <v>3</v>
      </c>
      <c r="B5" s="355" t="s">
        <v>8</v>
      </c>
      <c r="C5" s="88" t="s">
        <v>19</v>
      </c>
      <c r="D5" s="398">
        <v>284.85599999999999</v>
      </c>
      <c r="E5" s="399"/>
      <c r="F5" s="89">
        <v>29847559.98</v>
      </c>
      <c r="H5" s="354">
        <v>3</v>
      </c>
      <c r="I5" s="355" t="s">
        <v>8</v>
      </c>
      <c r="J5" s="88" t="s">
        <v>19</v>
      </c>
      <c r="K5" s="398">
        <v>284.85599999999999</v>
      </c>
      <c r="L5" s="399"/>
      <c r="M5" s="89">
        <v>29847559.98</v>
      </c>
      <c r="O5" s="354">
        <v>3</v>
      </c>
      <c r="P5" s="355" t="s">
        <v>8</v>
      </c>
      <c r="Q5" s="88" t="s">
        <v>19</v>
      </c>
      <c r="R5" s="398">
        <v>284.85599999999999</v>
      </c>
      <c r="S5" s="399"/>
      <c r="T5" s="89">
        <v>29847559.98</v>
      </c>
      <c r="V5" s="354">
        <v>3</v>
      </c>
      <c r="W5" s="355" t="s">
        <v>8</v>
      </c>
      <c r="X5" s="88" t="s">
        <v>19</v>
      </c>
      <c r="Y5" s="398">
        <v>284.85599999999999</v>
      </c>
      <c r="Z5" s="399"/>
      <c r="AA5" s="350">
        <v>30587779.879999999</v>
      </c>
      <c r="AC5" s="354">
        <v>3</v>
      </c>
      <c r="AD5" s="384"/>
      <c r="AE5" s="425"/>
      <c r="AF5" s="394"/>
      <c r="AG5" s="395"/>
      <c r="AH5" s="422"/>
    </row>
    <row r="6" spans="1:85" s="312" customFormat="1" ht="32.25" customHeight="1" x14ac:dyDescent="0.25">
      <c r="A6" s="354">
        <v>4</v>
      </c>
      <c r="B6" s="355" t="s">
        <v>1</v>
      </c>
      <c r="C6" s="88" t="s">
        <v>19</v>
      </c>
      <c r="D6" s="398">
        <v>103.27200000000001</v>
      </c>
      <c r="E6" s="399"/>
      <c r="F6" s="89">
        <v>6218924.8699999992</v>
      </c>
      <c r="H6" s="354">
        <v>4</v>
      </c>
      <c r="I6" s="355" t="s">
        <v>1</v>
      </c>
      <c r="J6" s="88" t="s">
        <v>19</v>
      </c>
      <c r="K6" s="398">
        <v>103.27200000000001</v>
      </c>
      <c r="L6" s="399"/>
      <c r="M6" s="89">
        <v>6218924.8699999992</v>
      </c>
      <c r="O6" s="354">
        <v>4</v>
      </c>
      <c r="P6" s="355" t="s">
        <v>1</v>
      </c>
      <c r="Q6" s="88" t="s">
        <v>19</v>
      </c>
      <c r="R6" s="398">
        <v>103.27200000000001</v>
      </c>
      <c r="S6" s="399"/>
      <c r="T6" s="89">
        <v>6218924.8699999992</v>
      </c>
      <c r="V6" s="354">
        <v>4</v>
      </c>
      <c r="W6" s="355" t="s">
        <v>1</v>
      </c>
      <c r="X6" s="88" t="s">
        <v>19</v>
      </c>
      <c r="Y6" s="398">
        <v>103.27200000000001</v>
      </c>
      <c r="Z6" s="399"/>
      <c r="AA6" s="350">
        <v>6373154.0899999999</v>
      </c>
      <c r="AC6" s="354">
        <v>4</v>
      </c>
      <c r="AD6" s="384"/>
      <c r="AE6" s="425"/>
      <c r="AF6" s="394"/>
      <c r="AG6" s="395"/>
      <c r="AH6" s="422"/>
    </row>
    <row r="7" spans="1:85" s="312" customFormat="1" ht="30" x14ac:dyDescent="0.25">
      <c r="A7" s="354">
        <v>5</v>
      </c>
      <c r="B7" s="355" t="s">
        <v>2</v>
      </c>
      <c r="C7" s="88" t="s">
        <v>19</v>
      </c>
      <c r="D7" s="398">
        <v>66.872</v>
      </c>
      <c r="E7" s="399"/>
      <c r="F7" s="89">
        <v>4525782.0099999988</v>
      </c>
      <c r="H7" s="354">
        <v>5</v>
      </c>
      <c r="I7" s="355" t="s">
        <v>2</v>
      </c>
      <c r="J7" s="88" t="s">
        <v>19</v>
      </c>
      <c r="K7" s="398">
        <v>66.872</v>
      </c>
      <c r="L7" s="399"/>
      <c r="M7" s="89">
        <v>4525782.0099999988</v>
      </c>
      <c r="O7" s="354">
        <v>5</v>
      </c>
      <c r="P7" s="355" t="s">
        <v>2</v>
      </c>
      <c r="Q7" s="88" t="s">
        <v>19</v>
      </c>
      <c r="R7" s="398">
        <v>66.872</v>
      </c>
      <c r="S7" s="399"/>
      <c r="T7" s="89">
        <v>4525782.0099999988</v>
      </c>
      <c r="V7" s="354">
        <v>5</v>
      </c>
      <c r="W7" s="355" t="s">
        <v>2</v>
      </c>
      <c r="X7" s="88" t="s">
        <v>19</v>
      </c>
      <c r="Y7" s="398">
        <v>66.872</v>
      </c>
      <c r="Z7" s="399"/>
      <c r="AA7" s="350">
        <v>4638021.29</v>
      </c>
      <c r="AC7" s="354">
        <v>5</v>
      </c>
      <c r="AD7" s="384"/>
      <c r="AE7" s="425"/>
      <c r="AF7" s="394"/>
      <c r="AG7" s="395"/>
      <c r="AH7" s="422"/>
    </row>
    <row r="8" spans="1:85" s="312" customFormat="1" ht="22.5" customHeight="1" x14ac:dyDescent="0.25">
      <c r="A8" s="354">
        <v>6</v>
      </c>
      <c r="B8" s="355" t="s">
        <v>3</v>
      </c>
      <c r="C8" s="88" t="s">
        <v>19</v>
      </c>
      <c r="D8" s="398">
        <v>233.27199999999999</v>
      </c>
      <c r="E8" s="399"/>
      <c r="F8" s="89">
        <v>17401032.069999997</v>
      </c>
      <c r="H8" s="354">
        <v>6</v>
      </c>
      <c r="I8" s="355" t="s">
        <v>3</v>
      </c>
      <c r="J8" s="88" t="s">
        <v>19</v>
      </c>
      <c r="K8" s="398">
        <v>233.27199999999999</v>
      </c>
      <c r="L8" s="399"/>
      <c r="M8" s="89">
        <v>17401032.069999997</v>
      </c>
      <c r="O8" s="354">
        <v>6</v>
      </c>
      <c r="P8" s="355" t="s">
        <v>3</v>
      </c>
      <c r="Q8" s="88" t="s">
        <v>19</v>
      </c>
      <c r="R8" s="398">
        <v>233.27199999999999</v>
      </c>
      <c r="S8" s="399"/>
      <c r="T8" s="89">
        <v>17401032.069999997</v>
      </c>
      <c r="V8" s="354">
        <v>6</v>
      </c>
      <c r="W8" s="355" t="s">
        <v>3</v>
      </c>
      <c r="X8" s="88" t="s">
        <v>19</v>
      </c>
      <c r="Y8" s="398">
        <v>233.27199999999999</v>
      </c>
      <c r="Z8" s="399"/>
      <c r="AA8" s="350">
        <v>17832577.059999999</v>
      </c>
      <c r="AC8" s="354">
        <v>6</v>
      </c>
      <c r="AD8" s="384"/>
      <c r="AE8" s="425"/>
      <c r="AF8" s="394"/>
      <c r="AG8" s="395"/>
      <c r="AH8" s="422"/>
    </row>
    <row r="9" spans="1:85" s="312" customFormat="1" ht="30.75" thickBot="1" x14ac:dyDescent="0.3">
      <c r="A9" s="352">
        <v>7</v>
      </c>
      <c r="B9" s="353" t="s">
        <v>4</v>
      </c>
      <c r="C9" s="91" t="s">
        <v>19</v>
      </c>
      <c r="D9" s="400">
        <v>4.3680000000000003</v>
      </c>
      <c r="E9" s="401"/>
      <c r="F9" s="92">
        <v>714028.58000000007</v>
      </c>
      <c r="H9" s="352">
        <v>7</v>
      </c>
      <c r="I9" s="353" t="s">
        <v>4</v>
      </c>
      <c r="J9" s="91" t="s">
        <v>19</v>
      </c>
      <c r="K9" s="400">
        <v>4.3680000000000003</v>
      </c>
      <c r="L9" s="401"/>
      <c r="M9" s="92">
        <v>714028.58000000007</v>
      </c>
      <c r="O9" s="352">
        <v>7</v>
      </c>
      <c r="P9" s="353" t="s">
        <v>4</v>
      </c>
      <c r="Q9" s="91" t="s">
        <v>19</v>
      </c>
      <c r="R9" s="400">
        <v>4.3680000000000003</v>
      </c>
      <c r="S9" s="401"/>
      <c r="T9" s="92">
        <v>714028.58000000007</v>
      </c>
      <c r="V9" s="352">
        <v>7</v>
      </c>
      <c r="W9" s="353" t="s">
        <v>4</v>
      </c>
      <c r="X9" s="91" t="s">
        <v>19</v>
      </c>
      <c r="Y9" s="400">
        <v>4.3680000000000003</v>
      </c>
      <c r="Z9" s="401"/>
      <c r="AA9" s="351">
        <v>731736.5</v>
      </c>
      <c r="AC9" s="352">
        <v>7</v>
      </c>
      <c r="AD9" s="385"/>
      <c r="AE9" s="426"/>
      <c r="AF9" s="396"/>
      <c r="AG9" s="397"/>
      <c r="AH9" s="423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358"/>
      <c r="H10" s="310">
        <v>8</v>
      </c>
      <c r="I10" s="311" t="s">
        <v>187</v>
      </c>
      <c r="J10" s="42" t="s">
        <v>29</v>
      </c>
      <c r="K10" s="413" t="s">
        <v>162</v>
      </c>
      <c r="L10" s="414"/>
      <c r="M10" s="43">
        <v>3704032.4099999992</v>
      </c>
      <c r="N10" s="358"/>
      <c r="O10" s="310">
        <v>8</v>
      </c>
      <c r="P10" s="311" t="s">
        <v>187</v>
      </c>
      <c r="Q10" s="42" t="s">
        <v>29</v>
      </c>
      <c r="R10" s="413" t="s">
        <v>162</v>
      </c>
      <c r="S10" s="414"/>
      <c r="T10" s="43">
        <v>3704032.4099999992</v>
      </c>
      <c r="V10" s="310">
        <v>8</v>
      </c>
      <c r="W10" s="311" t="s">
        <v>187</v>
      </c>
      <c r="X10" s="42" t="s">
        <v>29</v>
      </c>
      <c r="Y10" s="415" t="s">
        <v>185</v>
      </c>
      <c r="Z10" s="416"/>
      <c r="AA10" s="43">
        <v>3704032.4099999992</v>
      </c>
      <c r="AC10" s="310">
        <v>8</v>
      </c>
      <c r="AD10" s="311" t="s">
        <v>187</v>
      </c>
      <c r="AE10" s="42" t="s">
        <v>29</v>
      </c>
      <c r="AF10" s="415" t="s">
        <v>185</v>
      </c>
      <c r="AG10" s="416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H11" s="313">
        <v>9</v>
      </c>
      <c r="I11" s="314" t="s">
        <v>28</v>
      </c>
      <c r="J11" s="40" t="s">
        <v>29</v>
      </c>
      <c r="K11" s="417" t="s">
        <v>163</v>
      </c>
      <c r="L11" s="418"/>
      <c r="M11" s="29">
        <v>15227354.290000003</v>
      </c>
      <c r="O11" s="313">
        <v>9</v>
      </c>
      <c r="P11" s="314" t="s">
        <v>28</v>
      </c>
      <c r="Q11" s="40" t="s">
        <v>29</v>
      </c>
      <c r="R11" s="417" t="s">
        <v>163</v>
      </c>
      <c r="S11" s="418"/>
      <c r="T11" s="29">
        <v>15227354.290000003</v>
      </c>
      <c r="V11" s="313">
        <v>9</v>
      </c>
      <c r="W11" s="314" t="s">
        <v>28</v>
      </c>
      <c r="X11" s="40" t="s">
        <v>29</v>
      </c>
      <c r="Y11" s="419" t="s">
        <v>186</v>
      </c>
      <c r="Z11" s="420"/>
      <c r="AA11" s="29">
        <v>15227354.290000003</v>
      </c>
      <c r="AC11" s="313">
        <v>9</v>
      </c>
      <c r="AD11" s="314" t="s">
        <v>28</v>
      </c>
      <c r="AE11" s="40" t="s">
        <v>29</v>
      </c>
      <c r="AF11" s="419" t="s">
        <v>186</v>
      </c>
      <c r="AG11" s="420"/>
      <c r="AH11" s="29">
        <v>15227354.290000003</v>
      </c>
    </row>
    <row r="12" spans="1:85" s="361" customFormat="1" ht="25.5" customHeight="1" thickBot="1" x14ac:dyDescent="0.3">
      <c r="A12" s="359">
        <v>10</v>
      </c>
      <c r="B12" s="360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 s="312"/>
      <c r="H12" s="359">
        <v>10</v>
      </c>
      <c r="I12" s="360" t="s">
        <v>17</v>
      </c>
      <c r="J12" s="290" t="s">
        <v>20</v>
      </c>
      <c r="K12" s="408">
        <f>47.6596*100</f>
        <v>4765.96</v>
      </c>
      <c r="L12" s="409"/>
      <c r="M12" s="33">
        <v>1105733.3899999999</v>
      </c>
      <c r="N12" s="312"/>
      <c r="O12" s="359">
        <v>10</v>
      </c>
      <c r="P12" s="360" t="s">
        <v>17</v>
      </c>
      <c r="Q12" s="290" t="s">
        <v>20</v>
      </c>
      <c r="R12" s="408">
        <f>47.6596*100</f>
        <v>4765.96</v>
      </c>
      <c r="S12" s="409"/>
      <c r="T12" s="33">
        <v>1105733.3899999999</v>
      </c>
      <c r="U12" s="312"/>
      <c r="V12" s="359">
        <v>10</v>
      </c>
      <c r="W12" s="360" t="s">
        <v>17</v>
      </c>
      <c r="X12" s="290" t="s">
        <v>20</v>
      </c>
      <c r="Y12" s="408">
        <v>4765.96</v>
      </c>
      <c r="Z12" s="409"/>
      <c r="AA12" s="33">
        <v>1105733.3899999999</v>
      </c>
      <c r="AB12" s="312"/>
      <c r="AC12" s="359">
        <v>10</v>
      </c>
      <c r="AD12" s="360" t="s">
        <v>17</v>
      </c>
      <c r="AE12" s="290" t="s">
        <v>20</v>
      </c>
      <c r="AF12" s="408">
        <v>4765.96</v>
      </c>
      <c r="AG12" s="409"/>
      <c r="AH12" s="33">
        <v>1105733.3899999999</v>
      </c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/>
      <c r="CE12" s="312"/>
      <c r="CF12" s="312"/>
      <c r="CG12" s="312"/>
    </row>
    <row r="13" spans="1:85" ht="32.25" customHeight="1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132344831.45000002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48" t="s">
        <v>224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228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139750144.34999999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4192504.3304999997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34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58" t="s">
        <v>36</v>
      </c>
      <c r="X18" s="41"/>
      <c r="Y18" s="45"/>
      <c r="Z18" s="336"/>
      <c r="AA18" s="47">
        <f>AA16+AA17</f>
        <v>143942648.6805</v>
      </c>
      <c r="AC18" s="303">
        <v>16</v>
      </c>
      <c r="AD18" s="58" t="s">
        <v>36</v>
      </c>
      <c r="AE18" s="41"/>
      <c r="AF18" s="45"/>
      <c r="AG18" s="336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58" t="s">
        <v>203</v>
      </c>
      <c r="X19" s="41">
        <v>1.0329999999999999</v>
      </c>
      <c r="Y19" s="45"/>
      <c r="Z19" s="336"/>
      <c r="AA19" s="47">
        <f>AA18*1.033</f>
        <v>148692756.0869565</v>
      </c>
      <c r="AC19" s="331">
        <v>17</v>
      </c>
      <c r="AD19" s="58" t="s">
        <v>203</v>
      </c>
      <c r="AE19" s="41">
        <v>1.0329999999999999</v>
      </c>
      <c r="AF19" s="45"/>
      <c r="AG19" s="336"/>
      <c r="AH19" s="47">
        <f>AH18*1.033</f>
        <v>205858568.01862499</v>
      </c>
    </row>
    <row r="20" spans="1:34" ht="35.2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33"/>
      <c r="Z20" s="434"/>
      <c r="AA20" s="66">
        <v>175503392.5</v>
      </c>
      <c r="AC20" s="306">
        <v>18</v>
      </c>
      <c r="AD20" s="64" t="s">
        <v>222</v>
      </c>
      <c r="AE20" s="48"/>
      <c r="AF20" s="433"/>
      <c r="AG20" s="434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35100678.5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210604071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42" t="s">
        <v>211</v>
      </c>
      <c r="C24" s="342">
        <v>121.3</v>
      </c>
      <c r="D24" s="342"/>
      <c r="E24" s="308"/>
      <c r="F24" s="271">
        <v>646623.74</v>
      </c>
      <c r="G24" s="271"/>
      <c r="H24" s="35" t="s">
        <v>213</v>
      </c>
      <c r="I24" s="342" t="s">
        <v>211</v>
      </c>
      <c r="J24" s="342">
        <v>121.3</v>
      </c>
      <c r="K24" s="342"/>
      <c r="L24" s="308"/>
      <c r="M24" s="271">
        <v>646623.74</v>
      </c>
      <c r="N24" s="271"/>
      <c r="O24" s="35" t="s">
        <v>213</v>
      </c>
      <c r="P24" s="342" t="s">
        <v>211</v>
      </c>
      <c r="Q24" s="342">
        <v>121.3</v>
      </c>
      <c r="R24" s="342"/>
      <c r="S24" s="308"/>
      <c r="T24" s="271">
        <v>646623.74</v>
      </c>
      <c r="U24" s="271"/>
      <c r="V24" s="35" t="s">
        <v>213</v>
      </c>
      <c r="W24" s="342" t="s">
        <v>211</v>
      </c>
      <c r="X24" s="342">
        <v>121.3</v>
      </c>
      <c r="Y24" s="342"/>
      <c r="Z24" s="308"/>
      <c r="AA24" s="271">
        <v>646623.74</v>
      </c>
      <c r="AC24" s="35" t="s">
        <v>213</v>
      </c>
      <c r="AD24" s="342" t="s">
        <v>211</v>
      </c>
      <c r="AE24" s="342">
        <v>121.3</v>
      </c>
      <c r="AF24" s="342"/>
      <c r="AG24" s="308"/>
      <c r="AH24" s="271">
        <v>646623.74</v>
      </c>
    </row>
    <row r="25" spans="1:34" ht="44.25" customHeight="1" x14ac:dyDescent="0.25">
      <c r="A25" s="35" t="s">
        <v>213</v>
      </c>
      <c r="B25" s="342" t="s">
        <v>212</v>
      </c>
      <c r="C25" s="342">
        <v>53.09</v>
      </c>
      <c r="D25" s="342"/>
      <c r="E25" s="308"/>
      <c r="F25" s="271">
        <v>455242.52</v>
      </c>
      <c r="G25" s="271"/>
      <c r="H25" s="35" t="s">
        <v>213</v>
      </c>
      <c r="I25" s="342" t="s">
        <v>212</v>
      </c>
      <c r="J25" s="342">
        <v>53.09</v>
      </c>
      <c r="K25" s="342"/>
      <c r="L25" s="308"/>
      <c r="M25" s="271">
        <v>455242.52</v>
      </c>
      <c r="N25" s="271"/>
      <c r="O25" s="35" t="s">
        <v>213</v>
      </c>
      <c r="P25" s="342" t="s">
        <v>212</v>
      </c>
      <c r="Q25" s="342">
        <v>53.09</v>
      </c>
      <c r="R25" s="342"/>
      <c r="S25" s="308"/>
      <c r="T25" s="271">
        <v>455242.52</v>
      </c>
      <c r="U25" s="271"/>
      <c r="V25" s="35" t="s">
        <v>213</v>
      </c>
      <c r="W25" s="342" t="s">
        <v>212</v>
      </c>
      <c r="X25" s="342">
        <v>53.09</v>
      </c>
      <c r="Y25" s="342"/>
      <c r="Z25" s="308"/>
      <c r="AA25" s="271">
        <v>455242.52</v>
      </c>
      <c r="AC25" s="35" t="s">
        <v>213</v>
      </c>
      <c r="AD25" s="342" t="s">
        <v>212</v>
      </c>
      <c r="AE25" s="342">
        <v>53.09</v>
      </c>
      <c r="AF25" s="342"/>
      <c r="AG25" s="308"/>
      <c r="AH25" s="271">
        <v>455242.52</v>
      </c>
    </row>
    <row r="26" spans="1:34" ht="23.25" customHeight="1" x14ac:dyDescent="0.25">
      <c r="A26"/>
      <c r="B26" s="342"/>
      <c r="C26" s="342"/>
      <c r="D26" s="342"/>
      <c r="E26" s="308"/>
      <c r="F26" s="332">
        <f>F22+F24+F25</f>
        <v>192752888.752</v>
      </c>
      <c r="G26" s="271"/>
      <c r="H26"/>
      <c r="I26" s="342"/>
      <c r="J26" s="342"/>
      <c r="K26" s="342"/>
      <c r="L26" s="308"/>
      <c r="M26" s="332">
        <f>M22+M24+M25</f>
        <v>211041558.35200003</v>
      </c>
      <c r="N26" s="271"/>
      <c r="O26"/>
      <c r="P26" s="342"/>
      <c r="Q26" s="342"/>
      <c r="R26" s="342"/>
      <c r="S26" s="308"/>
      <c r="T26" s="332">
        <f>T22+T24+T25</f>
        <v>220088851.38400003</v>
      </c>
      <c r="U26" s="271"/>
      <c r="V26"/>
      <c r="W26" s="342"/>
      <c r="X26" s="342"/>
      <c r="Y26" s="342"/>
      <c r="Z26" s="308"/>
      <c r="AA26" s="332">
        <f>AA22+AA24+AA25</f>
        <v>211705937.26000002</v>
      </c>
      <c r="AC26"/>
      <c r="AD26" s="342"/>
      <c r="AE26" s="342"/>
      <c r="AF26" s="342"/>
      <c r="AG26" s="308"/>
      <c r="AH26" s="332">
        <f>AH22+AH24+AH25</f>
        <v>211041558.71200004</v>
      </c>
    </row>
    <row r="27" spans="1:34" ht="44.25" customHeight="1" x14ac:dyDescent="0.25">
      <c r="A27"/>
      <c r="B27" s="342"/>
      <c r="C27" s="342"/>
      <c r="D27" s="342"/>
      <c r="E27" s="308"/>
      <c r="F27" s="271">
        <f>F13*1.2</f>
        <v>155552403.74399999</v>
      </c>
      <c r="G27" s="271"/>
      <c r="H27"/>
      <c r="I27" s="342"/>
      <c r="J27" s="342"/>
      <c r="K27" s="342"/>
      <c r="L27" s="308"/>
      <c r="M27" s="271"/>
      <c r="N27" s="271"/>
      <c r="O27"/>
      <c r="P27" s="342"/>
      <c r="Q27" s="342"/>
      <c r="R27" s="342"/>
      <c r="S27" s="308"/>
      <c r="T27" s="271"/>
      <c r="U27" s="271"/>
      <c r="V27"/>
      <c r="W27" s="342"/>
      <c r="X27" s="342"/>
      <c r="Y27" s="308"/>
      <c r="Z27" s="308"/>
      <c r="AA27" s="271"/>
      <c r="AC27"/>
      <c r="AD27" s="342"/>
      <c r="AE27" s="342"/>
      <c r="AF27" s="308"/>
      <c r="AG27" s="308"/>
      <c r="AH27" s="271"/>
    </row>
    <row r="28" spans="1:34" ht="37.5" customHeight="1" x14ac:dyDescent="0.25">
      <c r="A28"/>
      <c r="B28" s="412" t="s">
        <v>190</v>
      </c>
      <c r="C28" s="412"/>
      <c r="D28" s="412"/>
      <c r="E28" s="308"/>
      <c r="F28" s="271">
        <f>F22/D13</f>
        <v>92227.530813888574</v>
      </c>
      <c r="G28" s="271"/>
      <c r="H28"/>
      <c r="I28" s="412" t="s">
        <v>190</v>
      </c>
      <c r="J28" s="412"/>
      <c r="K28" s="412"/>
      <c r="L28" s="308"/>
      <c r="M28" s="271">
        <f>M22/K13</f>
        <v>101028.52137030179</v>
      </c>
      <c r="N28" s="271"/>
      <c r="O28"/>
      <c r="P28" s="412" t="s">
        <v>190</v>
      </c>
      <c r="Q28" s="412"/>
      <c r="R28" s="412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101348.23803767425</v>
      </c>
      <c r="AC28"/>
      <c r="AD28" s="271"/>
      <c r="AE28" s="271"/>
      <c r="AF28" s="308"/>
      <c r="AG28" s="308"/>
      <c r="AH28" s="271">
        <f>AH22/AF13</f>
        <v>101028.52154354331</v>
      </c>
    </row>
    <row r="30" spans="1:34" x14ac:dyDescent="0.25">
      <c r="W30" t="s">
        <v>227</v>
      </c>
    </row>
    <row r="31" spans="1:34" x14ac:dyDescent="0.25">
      <c r="W31" t="s">
        <v>226</v>
      </c>
    </row>
  </sheetData>
  <mergeCells count="62">
    <mergeCell ref="AD1:AH1"/>
    <mergeCell ref="D2:E2"/>
    <mergeCell ref="K2:L2"/>
    <mergeCell ref="R2:S2"/>
    <mergeCell ref="Y2:Z2"/>
    <mergeCell ref="AF2:AG2"/>
    <mergeCell ref="D6:E6"/>
    <mergeCell ref="K6:L6"/>
    <mergeCell ref="R6:S6"/>
    <mergeCell ref="Y6:Z6"/>
    <mergeCell ref="A1:F1"/>
    <mergeCell ref="H1:M1"/>
    <mergeCell ref="O1:T1"/>
    <mergeCell ref="W1:AA1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7:E7"/>
    <mergeCell ref="K7:L7"/>
    <mergeCell ref="R7:S7"/>
    <mergeCell ref="Y7:Z7"/>
    <mergeCell ref="D8:E8"/>
    <mergeCell ref="K8:L8"/>
    <mergeCell ref="R8:S8"/>
    <mergeCell ref="Y8:Z8"/>
    <mergeCell ref="D9:E9"/>
    <mergeCell ref="K9:L9"/>
    <mergeCell ref="R9:S9"/>
    <mergeCell ref="Y9:Z9"/>
    <mergeCell ref="D10:E10"/>
    <mergeCell ref="K10:L10"/>
    <mergeCell ref="R10:S10"/>
    <mergeCell ref="Y10:Z10"/>
    <mergeCell ref="D11:E11"/>
    <mergeCell ref="K11:L11"/>
    <mergeCell ref="R11:S11"/>
    <mergeCell ref="Y11:Z11"/>
    <mergeCell ref="AF11:AG11"/>
    <mergeCell ref="Y12:Z12"/>
    <mergeCell ref="AF12:AG12"/>
    <mergeCell ref="Y20:Z20"/>
    <mergeCell ref="AF20:AG20"/>
    <mergeCell ref="AF10:AG10"/>
    <mergeCell ref="B28:D28"/>
    <mergeCell ref="I28:K28"/>
    <mergeCell ref="P28:R28"/>
    <mergeCell ref="D12:E12"/>
    <mergeCell ref="K12:L12"/>
    <mergeCell ref="R12:S12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1750-A4FE-4C70-8173-51CB30528027}">
  <sheetPr>
    <tabColor rgb="FF7030A0"/>
  </sheetPr>
  <dimension ref="A1:CG28"/>
  <sheetViews>
    <sheetView topLeftCell="AB1" zoomScale="80" zoomScaleNormal="80" workbookViewId="0">
      <selection activeCell="AH28" sqref="AH28"/>
    </sheetView>
  </sheetViews>
  <sheetFormatPr defaultRowHeight="15" x14ac:dyDescent="0.25"/>
  <cols>
    <col min="1" max="1" width="7.5703125" style="307" hidden="1" customWidth="1"/>
    <col min="2" max="2" width="18.42578125" hidden="1" customWidth="1"/>
    <col min="3" max="3" width="11.5703125" hidden="1" customWidth="1"/>
    <col min="4" max="4" width="8.5703125" hidden="1" customWidth="1"/>
    <col min="5" max="5" width="7.85546875" hidden="1" customWidth="1"/>
    <col min="6" max="6" width="19.28515625" hidden="1" customWidth="1"/>
    <col min="7" max="7" width="3.42578125" hidden="1" customWidth="1"/>
    <col min="8" max="8" width="7.5703125" style="307" hidden="1" customWidth="1"/>
    <col min="9" max="9" width="37.42578125" hidden="1" customWidth="1"/>
    <col min="10" max="10" width="11.5703125" hidden="1" customWidth="1"/>
    <col min="11" max="11" width="8.5703125" hidden="1" customWidth="1"/>
    <col min="12" max="12" width="7.85546875" hidden="1" customWidth="1"/>
    <col min="13" max="13" width="19.28515625" hidden="1" customWidth="1"/>
    <col min="14" max="14" width="2.42578125" hidden="1" customWidth="1"/>
    <col min="15" max="15" width="7.5703125" style="307" hidden="1" customWidth="1"/>
    <col min="16" max="16" width="37.42578125" hidden="1" customWidth="1"/>
    <col min="17" max="17" width="11.5703125" hidden="1" customWidth="1"/>
    <col min="18" max="18" width="8.5703125" hidden="1" customWidth="1"/>
    <col min="19" max="19" width="7.85546875" hidden="1" customWidth="1"/>
    <col min="20" max="20" width="19.28515625" hidden="1" customWidth="1"/>
    <col min="21" max="21" width="3" hidden="1" customWidth="1"/>
    <col min="22" max="22" width="6.140625" style="307" hidden="1" customWidth="1"/>
    <col min="23" max="23" width="34" hidden="1" customWidth="1"/>
    <col min="24" max="24" width="11.5703125" hidden="1" customWidth="1"/>
    <col min="25" max="25" width="8.5703125" hidden="1" customWidth="1"/>
    <col min="26" max="26" width="9.42578125" hidden="1" customWidth="1"/>
    <col min="27" max="27" width="22.28515625" hidden="1" customWidth="1"/>
    <col min="28" max="28" width="4" customWidth="1"/>
    <col min="29" max="29" width="5.8554687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30" t="s">
        <v>217</v>
      </c>
      <c r="B1" s="431"/>
      <c r="C1" s="431"/>
      <c r="D1" s="431"/>
      <c r="E1" s="431"/>
      <c r="F1" s="432"/>
      <c r="G1" s="323"/>
      <c r="H1" s="427" t="s">
        <v>201</v>
      </c>
      <c r="I1" s="428"/>
      <c r="J1" s="428"/>
      <c r="K1" s="428"/>
      <c r="L1" s="428"/>
      <c r="M1" s="429"/>
      <c r="N1" s="323"/>
      <c r="O1" s="427" t="s">
        <v>214</v>
      </c>
      <c r="P1" s="428"/>
      <c r="Q1" s="428"/>
      <c r="R1" s="428"/>
      <c r="S1" s="428"/>
      <c r="T1" s="429"/>
      <c r="V1" s="329"/>
      <c r="W1" s="428" t="s">
        <v>215</v>
      </c>
      <c r="X1" s="428"/>
      <c r="Y1" s="428"/>
      <c r="Z1" s="428"/>
      <c r="AA1" s="429"/>
      <c r="AC1" s="329"/>
      <c r="AD1" s="428" t="s">
        <v>216</v>
      </c>
      <c r="AE1" s="428"/>
      <c r="AF1" s="428"/>
      <c r="AG1" s="428"/>
      <c r="AH1" s="429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H2" s="297" t="s">
        <v>58</v>
      </c>
      <c r="I2" s="55" t="s">
        <v>73</v>
      </c>
      <c r="J2" s="315" t="s">
        <v>18</v>
      </c>
      <c r="K2" s="379" t="s">
        <v>21</v>
      </c>
      <c r="L2" s="380"/>
      <c r="M2" s="57" t="s">
        <v>32</v>
      </c>
      <c r="O2" s="297" t="s">
        <v>58</v>
      </c>
      <c r="P2" s="55" t="s">
        <v>73</v>
      </c>
      <c r="Q2" s="315" t="s">
        <v>18</v>
      </c>
      <c r="R2" s="379" t="s">
        <v>21</v>
      </c>
      <c r="S2" s="380"/>
      <c r="T2" s="57" t="s">
        <v>32</v>
      </c>
      <c r="V2" s="297" t="s">
        <v>58</v>
      </c>
      <c r="W2" s="55" t="s">
        <v>73</v>
      </c>
      <c r="X2" s="315" t="s">
        <v>18</v>
      </c>
      <c r="Y2" s="379" t="s">
        <v>21</v>
      </c>
      <c r="Z2" s="380"/>
      <c r="AA2" s="57" t="s">
        <v>32</v>
      </c>
      <c r="AC2" s="297" t="s">
        <v>58</v>
      </c>
      <c r="AD2" s="55" t="s">
        <v>73</v>
      </c>
      <c r="AE2" s="315" t="s">
        <v>18</v>
      </c>
      <c r="AF2" s="379" t="s">
        <v>21</v>
      </c>
      <c r="AG2" s="380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H3" s="298">
        <v>1</v>
      </c>
      <c r="I3" s="84" t="s">
        <v>0</v>
      </c>
      <c r="J3" s="85" t="s">
        <v>19</v>
      </c>
      <c r="K3" s="381">
        <f>404.352+9.256</f>
        <v>413.60799999999995</v>
      </c>
      <c r="L3" s="382"/>
      <c r="M3" s="86">
        <v>10022991.91</v>
      </c>
      <c r="O3" s="298">
        <v>1</v>
      </c>
      <c r="P3" s="84" t="s">
        <v>0</v>
      </c>
      <c r="Q3" s="85" t="s">
        <v>19</v>
      </c>
      <c r="R3" s="381">
        <f>404.352+9.256</f>
        <v>413.60799999999995</v>
      </c>
      <c r="S3" s="382"/>
      <c r="T3" s="86">
        <v>10022991.91</v>
      </c>
      <c r="V3" s="298">
        <v>1</v>
      </c>
      <c r="W3" s="84" t="s">
        <v>0</v>
      </c>
      <c r="X3" s="85" t="s">
        <v>19</v>
      </c>
      <c r="Y3" s="381">
        <f>404.352+9.256</f>
        <v>413.60799999999995</v>
      </c>
      <c r="Z3" s="382"/>
      <c r="AA3" s="86">
        <v>10022991.91</v>
      </c>
      <c r="AC3" s="298">
        <v>1</v>
      </c>
      <c r="AD3" s="383" t="s">
        <v>47</v>
      </c>
      <c r="AE3" s="424" t="s">
        <v>19</v>
      </c>
      <c r="AF3" s="392">
        <v>2078.02</v>
      </c>
      <c r="AG3" s="393"/>
      <c r="AH3" s="421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81">
        <f>676.624+295.152</f>
        <v>971.77600000000007</v>
      </c>
      <c r="L4" s="382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81">
        <f>676.624+295.152</f>
        <v>971.77600000000007</v>
      </c>
      <c r="S4" s="382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81">
        <f>676.624+295.152</f>
        <v>971.77600000000007</v>
      </c>
      <c r="Z4" s="382"/>
      <c r="AA4" s="89">
        <f>28449520.75+12410042.86</f>
        <v>40859563.609999999</v>
      </c>
      <c r="AC4" s="299">
        <v>2</v>
      </c>
      <c r="AD4" s="384"/>
      <c r="AE4" s="425"/>
      <c r="AF4" s="394"/>
      <c r="AG4" s="395"/>
      <c r="AH4" s="422"/>
    </row>
    <row r="5" spans="1:85" ht="30" x14ac:dyDescent="0.25">
      <c r="A5" s="299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  <c r="H5" s="299">
        <v>3</v>
      </c>
      <c r="I5" s="87" t="s">
        <v>8</v>
      </c>
      <c r="J5" s="88" t="s">
        <v>19</v>
      </c>
      <c r="K5" s="398">
        <v>284.85599999999999</v>
      </c>
      <c r="L5" s="399"/>
      <c r="M5" s="89">
        <v>29847559.98</v>
      </c>
      <c r="O5" s="299">
        <v>3</v>
      </c>
      <c r="P5" s="87" t="s">
        <v>8</v>
      </c>
      <c r="Q5" s="88" t="s">
        <v>19</v>
      </c>
      <c r="R5" s="398">
        <v>284.85599999999999</v>
      </c>
      <c r="S5" s="399"/>
      <c r="T5" s="89">
        <v>29847559.98</v>
      </c>
      <c r="V5" s="299">
        <v>3</v>
      </c>
      <c r="W5" s="87" t="s">
        <v>8</v>
      </c>
      <c r="X5" s="88" t="s">
        <v>19</v>
      </c>
      <c r="Y5" s="398">
        <v>284.85599999999999</v>
      </c>
      <c r="Z5" s="399"/>
      <c r="AA5" s="89">
        <v>29847559.98</v>
      </c>
      <c r="AC5" s="299">
        <v>3</v>
      </c>
      <c r="AD5" s="384"/>
      <c r="AE5" s="425"/>
      <c r="AF5" s="394"/>
      <c r="AG5" s="395"/>
      <c r="AH5" s="422"/>
    </row>
    <row r="6" spans="1:85" x14ac:dyDescent="0.25">
      <c r="A6" s="299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  <c r="H6" s="299">
        <v>4</v>
      </c>
      <c r="I6" s="87" t="s">
        <v>1</v>
      </c>
      <c r="J6" s="88" t="s">
        <v>19</v>
      </c>
      <c r="K6" s="398">
        <v>103.27200000000001</v>
      </c>
      <c r="L6" s="399"/>
      <c r="M6" s="89">
        <v>6218924.8699999992</v>
      </c>
      <c r="O6" s="299">
        <v>4</v>
      </c>
      <c r="P6" s="87" t="s">
        <v>1</v>
      </c>
      <c r="Q6" s="88" t="s">
        <v>19</v>
      </c>
      <c r="R6" s="398">
        <v>103.27200000000001</v>
      </c>
      <c r="S6" s="399"/>
      <c r="T6" s="89">
        <v>6218924.8699999992</v>
      </c>
      <c r="V6" s="299">
        <v>4</v>
      </c>
      <c r="W6" s="87" t="s">
        <v>1</v>
      </c>
      <c r="X6" s="88" t="s">
        <v>19</v>
      </c>
      <c r="Y6" s="398">
        <v>103.27200000000001</v>
      </c>
      <c r="Z6" s="399"/>
      <c r="AA6" s="89">
        <v>6218924.8699999992</v>
      </c>
      <c r="AC6" s="299">
        <v>4</v>
      </c>
      <c r="AD6" s="384"/>
      <c r="AE6" s="425"/>
      <c r="AF6" s="394"/>
      <c r="AG6" s="395"/>
      <c r="AH6" s="422"/>
    </row>
    <row r="7" spans="1:85" ht="30" x14ac:dyDescent="0.25">
      <c r="A7" s="299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  <c r="H7" s="299">
        <v>5</v>
      </c>
      <c r="I7" s="87" t="s">
        <v>2</v>
      </c>
      <c r="J7" s="88" t="s">
        <v>19</v>
      </c>
      <c r="K7" s="398">
        <v>66.872</v>
      </c>
      <c r="L7" s="399"/>
      <c r="M7" s="89">
        <v>4525782.0099999988</v>
      </c>
      <c r="O7" s="299">
        <v>5</v>
      </c>
      <c r="P7" s="87" t="s">
        <v>2</v>
      </c>
      <c r="Q7" s="88" t="s">
        <v>19</v>
      </c>
      <c r="R7" s="398">
        <v>66.872</v>
      </c>
      <c r="S7" s="399"/>
      <c r="T7" s="89">
        <v>4525782.0099999988</v>
      </c>
      <c r="V7" s="299">
        <v>5</v>
      </c>
      <c r="W7" s="87" t="s">
        <v>2</v>
      </c>
      <c r="X7" s="88" t="s">
        <v>19</v>
      </c>
      <c r="Y7" s="398">
        <v>66.872</v>
      </c>
      <c r="Z7" s="399"/>
      <c r="AA7" s="89">
        <v>4525782.0099999988</v>
      </c>
      <c r="AC7" s="299">
        <v>5</v>
      </c>
      <c r="AD7" s="384"/>
      <c r="AE7" s="425"/>
      <c r="AF7" s="394"/>
      <c r="AG7" s="395"/>
      <c r="AH7" s="422"/>
    </row>
    <row r="8" spans="1:85" x14ac:dyDescent="0.25">
      <c r="A8" s="299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  <c r="H8" s="299">
        <v>6</v>
      </c>
      <c r="I8" s="87" t="s">
        <v>3</v>
      </c>
      <c r="J8" s="88" t="s">
        <v>19</v>
      </c>
      <c r="K8" s="398">
        <v>233.27199999999999</v>
      </c>
      <c r="L8" s="399"/>
      <c r="M8" s="89">
        <v>17401032.069999997</v>
      </c>
      <c r="O8" s="299">
        <v>6</v>
      </c>
      <c r="P8" s="87" t="s">
        <v>3</v>
      </c>
      <c r="Q8" s="88" t="s">
        <v>19</v>
      </c>
      <c r="R8" s="398">
        <v>233.27199999999999</v>
      </c>
      <c r="S8" s="399"/>
      <c r="T8" s="89">
        <v>17401032.069999997</v>
      </c>
      <c r="V8" s="299">
        <v>6</v>
      </c>
      <c r="W8" s="87" t="s">
        <v>3</v>
      </c>
      <c r="X8" s="88" t="s">
        <v>19</v>
      </c>
      <c r="Y8" s="398">
        <v>233.27199999999999</v>
      </c>
      <c r="Z8" s="399"/>
      <c r="AA8" s="89">
        <v>17401032.069999997</v>
      </c>
      <c r="AC8" s="299">
        <v>6</v>
      </c>
      <c r="AD8" s="384"/>
      <c r="AE8" s="425"/>
      <c r="AF8" s="394"/>
      <c r="AG8" s="395"/>
      <c r="AH8" s="422"/>
    </row>
    <row r="9" spans="1:85" ht="30.75" thickBot="1" x14ac:dyDescent="0.3">
      <c r="A9" s="300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  <c r="H9" s="300">
        <v>7</v>
      </c>
      <c r="I9" s="90" t="s">
        <v>4</v>
      </c>
      <c r="J9" s="91" t="s">
        <v>19</v>
      </c>
      <c r="K9" s="400">
        <v>4.3680000000000003</v>
      </c>
      <c r="L9" s="401"/>
      <c r="M9" s="92">
        <v>714028.58000000007</v>
      </c>
      <c r="O9" s="300">
        <v>7</v>
      </c>
      <c r="P9" s="90" t="s">
        <v>4</v>
      </c>
      <c r="Q9" s="91" t="s">
        <v>19</v>
      </c>
      <c r="R9" s="400">
        <v>4.3680000000000003</v>
      </c>
      <c r="S9" s="401"/>
      <c r="T9" s="92">
        <v>714028.58000000007</v>
      </c>
      <c r="V9" s="300">
        <v>7</v>
      </c>
      <c r="W9" s="90" t="s">
        <v>4</v>
      </c>
      <c r="X9" s="91" t="s">
        <v>19</v>
      </c>
      <c r="Y9" s="400">
        <v>4.3680000000000003</v>
      </c>
      <c r="Z9" s="401"/>
      <c r="AA9" s="92">
        <v>714028.58000000007</v>
      </c>
      <c r="AC9" s="300">
        <v>7</v>
      </c>
      <c r="AD9" s="385"/>
      <c r="AE9" s="426"/>
      <c r="AF9" s="396"/>
      <c r="AG9" s="397"/>
      <c r="AH9" s="423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413" t="s">
        <v>162</v>
      </c>
      <c r="L10" s="414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413" t="s">
        <v>162</v>
      </c>
      <c r="S10" s="414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415" t="s">
        <v>185</v>
      </c>
      <c r="Z10" s="416"/>
      <c r="AA10" s="43">
        <v>3704032.4099999992</v>
      </c>
      <c r="AC10" s="310">
        <v>8</v>
      </c>
      <c r="AD10" s="311" t="s">
        <v>187</v>
      </c>
      <c r="AE10" s="42" t="s">
        <v>29</v>
      </c>
      <c r="AF10" s="415" t="s">
        <v>185</v>
      </c>
      <c r="AG10" s="416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417" t="s">
        <v>163</v>
      </c>
      <c r="L11" s="418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417" t="s">
        <v>163</v>
      </c>
      <c r="S11" s="418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19" t="s">
        <v>186</v>
      </c>
      <c r="Z11" s="420"/>
      <c r="AA11" s="29">
        <v>15227354.290000003</v>
      </c>
      <c r="AC11" s="313">
        <v>9</v>
      </c>
      <c r="AD11" s="314" t="s">
        <v>28</v>
      </c>
      <c r="AE11" s="40" t="s">
        <v>29</v>
      </c>
      <c r="AF11" s="419" t="s">
        <v>186</v>
      </c>
      <c r="AG11" s="420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408">
        <f>47.6596*100</f>
        <v>4765.96</v>
      </c>
      <c r="L12" s="409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408">
        <f>47.6596*100</f>
        <v>4765.96</v>
      </c>
      <c r="S12" s="409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408">
        <v>4765.96</v>
      </c>
      <c r="Z12" s="409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408">
        <v>4765.96</v>
      </c>
      <c r="AG12" s="409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43"/>
      <c r="Z19" s="344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43"/>
      <c r="AG19" s="344"/>
      <c r="AH19" s="47">
        <f>AH18*1.033</f>
        <v>205858568.01862499</v>
      </c>
    </row>
    <row r="20" spans="1:34" ht="39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10"/>
      <c r="Z20" s="411"/>
      <c r="AA20" s="66">
        <v>174454214.74000001</v>
      </c>
      <c r="AC20" s="306">
        <v>18</v>
      </c>
      <c r="AD20" s="64" t="s">
        <v>223</v>
      </c>
      <c r="AE20" s="48"/>
      <c r="AF20" s="410"/>
      <c r="AG20" s="411"/>
      <c r="AH20" s="66">
        <v>183333334.31999999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36666666.864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220000001.18399999</v>
      </c>
    </row>
    <row r="24" spans="1:34" ht="44.25" customHeight="1" x14ac:dyDescent="0.25">
      <c r="A24" s="35" t="s">
        <v>213</v>
      </c>
      <c r="B24" s="345" t="s">
        <v>211</v>
      </c>
      <c r="C24" s="345">
        <v>121.3</v>
      </c>
      <c r="D24" s="345"/>
      <c r="E24" s="308"/>
      <c r="F24" s="271">
        <v>646623.74</v>
      </c>
      <c r="G24" s="271"/>
      <c r="H24" s="35" t="s">
        <v>213</v>
      </c>
      <c r="I24" s="345" t="s">
        <v>211</v>
      </c>
      <c r="J24" s="345">
        <v>121.3</v>
      </c>
      <c r="K24" s="345"/>
      <c r="L24" s="308"/>
      <c r="M24" s="271">
        <v>646623.74</v>
      </c>
      <c r="N24" s="271"/>
      <c r="O24" s="35" t="s">
        <v>213</v>
      </c>
      <c r="P24" s="345" t="s">
        <v>211</v>
      </c>
      <c r="Q24" s="345">
        <v>121.3</v>
      </c>
      <c r="R24" s="345"/>
      <c r="S24" s="308"/>
      <c r="T24" s="271">
        <v>646623.74</v>
      </c>
      <c r="U24" s="271"/>
      <c r="V24" s="35" t="s">
        <v>213</v>
      </c>
      <c r="W24" s="345" t="s">
        <v>211</v>
      </c>
      <c r="X24" s="345">
        <v>121.3</v>
      </c>
      <c r="Y24" s="345"/>
      <c r="Z24" s="308"/>
      <c r="AA24" s="271">
        <v>646623.74</v>
      </c>
      <c r="AC24" s="35" t="s">
        <v>213</v>
      </c>
      <c r="AD24" s="345" t="s">
        <v>211</v>
      </c>
      <c r="AE24" s="345">
        <v>121.3</v>
      </c>
      <c r="AF24" s="345"/>
      <c r="AG24" s="308"/>
      <c r="AH24" s="271">
        <v>646623.74</v>
      </c>
    </row>
    <row r="25" spans="1:34" ht="44.25" customHeight="1" x14ac:dyDescent="0.25">
      <c r="A25" s="35" t="s">
        <v>213</v>
      </c>
      <c r="B25" s="345" t="s">
        <v>212</v>
      </c>
      <c r="C25" s="345">
        <v>53.09</v>
      </c>
      <c r="D25" s="345"/>
      <c r="E25" s="308"/>
      <c r="F25" s="271">
        <v>455242.52</v>
      </c>
      <c r="G25" s="271"/>
      <c r="H25" s="35" t="s">
        <v>213</v>
      </c>
      <c r="I25" s="345" t="s">
        <v>212</v>
      </c>
      <c r="J25" s="345">
        <v>53.09</v>
      </c>
      <c r="K25" s="345"/>
      <c r="L25" s="308"/>
      <c r="M25" s="271">
        <v>455242.52</v>
      </c>
      <c r="N25" s="271"/>
      <c r="O25" s="35" t="s">
        <v>213</v>
      </c>
      <c r="P25" s="345" t="s">
        <v>212</v>
      </c>
      <c r="Q25" s="345">
        <v>53.09</v>
      </c>
      <c r="R25" s="345"/>
      <c r="S25" s="308"/>
      <c r="T25" s="271">
        <v>455242.52</v>
      </c>
      <c r="U25" s="271"/>
      <c r="V25" s="35" t="s">
        <v>213</v>
      </c>
      <c r="W25" s="345" t="s">
        <v>212</v>
      </c>
      <c r="X25" s="345">
        <v>53.09</v>
      </c>
      <c r="Y25" s="345"/>
      <c r="Z25" s="308"/>
      <c r="AA25" s="271">
        <v>455242.52</v>
      </c>
      <c r="AC25" s="35" t="s">
        <v>213</v>
      </c>
      <c r="AD25" s="345" t="s">
        <v>212</v>
      </c>
      <c r="AE25" s="345">
        <v>53.09</v>
      </c>
      <c r="AF25" s="345"/>
      <c r="AG25" s="308"/>
      <c r="AH25" s="271">
        <v>455242.52</v>
      </c>
    </row>
    <row r="26" spans="1:34" ht="23.25" customHeight="1" x14ac:dyDescent="0.25">
      <c r="A26"/>
      <c r="B26" s="345"/>
      <c r="C26" s="345"/>
      <c r="D26" s="345"/>
      <c r="E26" s="308"/>
      <c r="F26" s="332">
        <f>F22+F24+F25</f>
        <v>192752888.752</v>
      </c>
      <c r="G26" s="271"/>
      <c r="H26"/>
      <c r="I26" s="345"/>
      <c r="J26" s="345"/>
      <c r="K26" s="345"/>
      <c r="L26" s="308"/>
      <c r="M26" s="332">
        <f>M22+M24+M25</f>
        <v>211041558.35200003</v>
      </c>
      <c r="N26" s="271"/>
      <c r="O26"/>
      <c r="P26" s="345"/>
      <c r="Q26" s="345"/>
      <c r="R26" s="345"/>
      <c r="S26" s="308"/>
      <c r="T26" s="332">
        <f>T22+T24+T25</f>
        <v>220088851.38400003</v>
      </c>
      <c r="U26" s="271"/>
      <c r="V26"/>
      <c r="W26" s="345"/>
      <c r="X26" s="345"/>
      <c r="Y26" s="345"/>
      <c r="Z26" s="308"/>
      <c r="AA26" s="332">
        <f>AA22+AA24+AA25</f>
        <v>210446923.94800004</v>
      </c>
      <c r="AC26"/>
      <c r="AD26" s="345"/>
      <c r="AE26" s="345"/>
      <c r="AF26" s="345"/>
      <c r="AG26" s="308"/>
      <c r="AH26" s="332">
        <f>AH22+AH24+AH25</f>
        <v>221101867.44400001</v>
      </c>
    </row>
    <row r="27" spans="1:34" ht="44.25" customHeight="1" x14ac:dyDescent="0.25">
      <c r="A27"/>
      <c r="B27" s="345"/>
      <c r="C27" s="345"/>
      <c r="D27" s="345"/>
      <c r="E27" s="308"/>
      <c r="F27" s="271"/>
      <c r="G27" s="271"/>
      <c r="H27"/>
      <c r="I27" s="345"/>
      <c r="J27" s="345"/>
      <c r="K27" s="345"/>
      <c r="L27" s="308"/>
      <c r="M27" s="271"/>
      <c r="N27" s="271"/>
      <c r="O27"/>
      <c r="P27" s="345"/>
      <c r="Q27" s="345"/>
      <c r="R27" s="345"/>
      <c r="S27" s="308"/>
      <c r="T27" s="271"/>
      <c r="U27" s="271"/>
      <c r="V27"/>
      <c r="W27" s="345"/>
      <c r="X27" s="345"/>
      <c r="Y27" s="308"/>
      <c r="Z27" s="308"/>
      <c r="AA27" s="271"/>
      <c r="AC27"/>
      <c r="AD27" s="345"/>
      <c r="AE27" s="345"/>
      <c r="AF27" s="308"/>
      <c r="AG27" s="308"/>
      <c r="AH27" s="271"/>
    </row>
    <row r="28" spans="1:34" ht="37.5" customHeight="1" x14ac:dyDescent="0.25">
      <c r="A28"/>
      <c r="B28" s="412" t="s">
        <v>190</v>
      </c>
      <c r="C28" s="412"/>
      <c r="D28" s="412"/>
      <c r="E28" s="308"/>
      <c r="F28" s="271">
        <f>F22/D13</f>
        <v>92227.530813888574</v>
      </c>
      <c r="G28" s="271"/>
      <c r="H28"/>
      <c r="I28" s="412" t="s">
        <v>190</v>
      </c>
      <c r="J28" s="412"/>
      <c r="K28" s="412"/>
      <c r="L28" s="308"/>
      <c r="M28" s="271">
        <f>M22/K13</f>
        <v>101028.52137030179</v>
      </c>
      <c r="N28" s="271"/>
      <c r="O28"/>
      <c r="P28" s="412" t="s">
        <v>190</v>
      </c>
      <c r="Q28" s="412"/>
      <c r="R28" s="412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/>
    </row>
  </sheetData>
  <mergeCells count="62">
    <mergeCell ref="B28:D28"/>
    <mergeCell ref="I28:K28"/>
    <mergeCell ref="P28:R28"/>
    <mergeCell ref="D12:E12"/>
    <mergeCell ref="K12:L12"/>
    <mergeCell ref="R12:S12"/>
    <mergeCell ref="Y12:Z12"/>
    <mergeCell ref="AF12:AG12"/>
    <mergeCell ref="Y20:Z20"/>
    <mergeCell ref="AF20:AG20"/>
    <mergeCell ref="AF10:AG10"/>
    <mergeCell ref="D11:E11"/>
    <mergeCell ref="K11:L11"/>
    <mergeCell ref="R11:S11"/>
    <mergeCell ref="Y11:Z11"/>
    <mergeCell ref="AF11:AG11"/>
    <mergeCell ref="D9:E9"/>
    <mergeCell ref="K9:L9"/>
    <mergeCell ref="R9:S9"/>
    <mergeCell ref="Y9:Z9"/>
    <mergeCell ref="D10:E10"/>
    <mergeCell ref="K10:L10"/>
    <mergeCell ref="R10:S10"/>
    <mergeCell ref="Y10:Z10"/>
    <mergeCell ref="D7:E7"/>
    <mergeCell ref="K7:L7"/>
    <mergeCell ref="R7:S7"/>
    <mergeCell ref="Y7:Z7"/>
    <mergeCell ref="D8:E8"/>
    <mergeCell ref="K8:L8"/>
    <mergeCell ref="R8:S8"/>
    <mergeCell ref="Y8:Z8"/>
    <mergeCell ref="AF3:AG9"/>
    <mergeCell ref="AH3:AH9"/>
    <mergeCell ref="D4:E4"/>
    <mergeCell ref="K4:L4"/>
    <mergeCell ref="R4:S4"/>
    <mergeCell ref="Y4:Z4"/>
    <mergeCell ref="D5:E5"/>
    <mergeCell ref="K5:L5"/>
    <mergeCell ref="R5:S5"/>
    <mergeCell ref="Y5:Z5"/>
    <mergeCell ref="D3:E3"/>
    <mergeCell ref="K3:L3"/>
    <mergeCell ref="R3:S3"/>
    <mergeCell ref="Y3:Z3"/>
    <mergeCell ref="AD3:AD9"/>
    <mergeCell ref="AE3:AE9"/>
    <mergeCell ref="D6:E6"/>
    <mergeCell ref="K6:L6"/>
    <mergeCell ref="R6:S6"/>
    <mergeCell ref="Y6:Z6"/>
    <mergeCell ref="A1:F1"/>
    <mergeCell ref="H1:M1"/>
    <mergeCell ref="O1:T1"/>
    <mergeCell ref="W1:AA1"/>
    <mergeCell ref="AD1:AH1"/>
    <mergeCell ref="D2:E2"/>
    <mergeCell ref="K2:L2"/>
    <mergeCell ref="R2:S2"/>
    <mergeCell ref="Y2:Z2"/>
    <mergeCell ref="AF2:AG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D9C-85B8-404F-A1F8-46630AA67FF9}">
  <sheetPr>
    <tabColor rgb="FFFF0000"/>
  </sheetPr>
  <dimension ref="A1:CG28"/>
  <sheetViews>
    <sheetView topLeftCell="G15" zoomScale="80" zoomScaleNormal="80" workbookViewId="0">
      <selection activeCell="I38" sqref="I38"/>
    </sheetView>
  </sheetViews>
  <sheetFormatPr defaultRowHeight="15" x14ac:dyDescent="0.25"/>
  <cols>
    <col min="1" max="1" width="7.5703125" style="307" customWidth="1"/>
    <col min="2" max="2" width="18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3.42578125" customWidth="1"/>
    <col min="8" max="8" width="7.5703125" style="307" customWidth="1"/>
    <col min="9" max="9" width="37.42578125" customWidth="1"/>
    <col min="10" max="10" width="11.5703125" customWidth="1"/>
    <col min="11" max="11" width="8.5703125" customWidth="1"/>
    <col min="12" max="12" width="7.85546875" customWidth="1"/>
    <col min="13" max="13" width="19.28515625" customWidth="1"/>
    <col min="14" max="14" width="2.42578125" customWidth="1"/>
    <col min="15" max="15" width="7.5703125" style="307" customWidth="1"/>
    <col min="16" max="16" width="37.42578125" customWidth="1"/>
    <col min="17" max="17" width="11.5703125" customWidth="1"/>
    <col min="18" max="18" width="8.5703125" customWidth="1"/>
    <col min="19" max="19" width="7.85546875" customWidth="1"/>
    <col min="20" max="20" width="19.28515625" customWidth="1"/>
    <col min="21" max="21" width="3" customWidth="1"/>
    <col min="22" max="22" width="3.140625" style="307" customWidth="1"/>
    <col min="23" max="23" width="34" customWidth="1"/>
    <col min="24" max="24" width="11.5703125" customWidth="1"/>
    <col min="25" max="25" width="8.5703125" customWidth="1"/>
    <col min="26" max="26" width="9.42578125" customWidth="1"/>
    <col min="27" max="27" width="22.28515625" customWidth="1"/>
    <col min="28" max="28" width="4" customWidth="1"/>
    <col min="29" max="29" width="3.140625" style="307" customWidth="1"/>
    <col min="30" max="30" width="34" customWidth="1"/>
    <col min="31" max="31" width="11.5703125" customWidth="1"/>
    <col min="32" max="32" width="8.5703125" customWidth="1"/>
    <col min="33" max="33" width="9.42578125" customWidth="1"/>
    <col min="34" max="34" width="22.28515625" customWidth="1"/>
  </cols>
  <sheetData>
    <row r="1" spans="1:85" ht="51.75" customHeight="1" thickBot="1" x14ac:dyDescent="0.3">
      <c r="A1" s="430" t="s">
        <v>217</v>
      </c>
      <c r="B1" s="431"/>
      <c r="C1" s="431"/>
      <c r="D1" s="431"/>
      <c r="E1" s="431"/>
      <c r="F1" s="432"/>
      <c r="G1" s="323"/>
      <c r="H1" s="427" t="s">
        <v>201</v>
      </c>
      <c r="I1" s="428"/>
      <c r="J1" s="428"/>
      <c r="K1" s="428"/>
      <c r="L1" s="428"/>
      <c r="M1" s="429"/>
      <c r="N1" s="323"/>
      <c r="O1" s="427" t="s">
        <v>214</v>
      </c>
      <c r="P1" s="428"/>
      <c r="Q1" s="428"/>
      <c r="R1" s="428"/>
      <c r="S1" s="428"/>
      <c r="T1" s="429"/>
      <c r="V1" s="329"/>
      <c r="W1" s="428" t="s">
        <v>215</v>
      </c>
      <c r="X1" s="428"/>
      <c r="Y1" s="428"/>
      <c r="Z1" s="428"/>
      <c r="AA1" s="429"/>
      <c r="AC1" s="329"/>
      <c r="AD1" s="428" t="s">
        <v>216</v>
      </c>
      <c r="AE1" s="428"/>
      <c r="AF1" s="428"/>
      <c r="AG1" s="428"/>
      <c r="AH1" s="429"/>
    </row>
    <row r="2" spans="1:85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H2" s="297" t="s">
        <v>58</v>
      </c>
      <c r="I2" s="55" t="s">
        <v>73</v>
      </c>
      <c r="J2" s="315" t="s">
        <v>18</v>
      </c>
      <c r="K2" s="379" t="s">
        <v>21</v>
      </c>
      <c r="L2" s="380"/>
      <c r="M2" s="57" t="s">
        <v>32</v>
      </c>
      <c r="O2" s="297" t="s">
        <v>58</v>
      </c>
      <c r="P2" s="55" t="s">
        <v>73</v>
      </c>
      <c r="Q2" s="315" t="s">
        <v>18</v>
      </c>
      <c r="R2" s="379" t="s">
        <v>21</v>
      </c>
      <c r="S2" s="380"/>
      <c r="T2" s="57" t="s">
        <v>32</v>
      </c>
      <c r="V2" s="297" t="s">
        <v>58</v>
      </c>
      <c r="W2" s="55" t="s">
        <v>73</v>
      </c>
      <c r="X2" s="315" t="s">
        <v>18</v>
      </c>
      <c r="Y2" s="379" t="s">
        <v>21</v>
      </c>
      <c r="Z2" s="380"/>
      <c r="AA2" s="57" t="s">
        <v>32</v>
      </c>
      <c r="AC2" s="297" t="s">
        <v>58</v>
      </c>
      <c r="AD2" s="55" t="s">
        <v>73</v>
      </c>
      <c r="AE2" s="315" t="s">
        <v>18</v>
      </c>
      <c r="AF2" s="379" t="s">
        <v>21</v>
      </c>
      <c r="AG2" s="380"/>
      <c r="AH2" s="57" t="s">
        <v>32</v>
      </c>
    </row>
    <row r="3" spans="1:85" x14ac:dyDescent="0.25">
      <c r="A3" s="298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H3" s="298">
        <v>1</v>
      </c>
      <c r="I3" s="84" t="s">
        <v>0</v>
      </c>
      <c r="J3" s="85" t="s">
        <v>19</v>
      </c>
      <c r="K3" s="381">
        <f>404.352+9.256</f>
        <v>413.60799999999995</v>
      </c>
      <c r="L3" s="382"/>
      <c r="M3" s="86">
        <v>10022991.91</v>
      </c>
      <c r="O3" s="298">
        <v>1</v>
      </c>
      <c r="P3" s="84" t="s">
        <v>0</v>
      </c>
      <c r="Q3" s="85" t="s">
        <v>19</v>
      </c>
      <c r="R3" s="381">
        <f>404.352+9.256</f>
        <v>413.60799999999995</v>
      </c>
      <c r="S3" s="382"/>
      <c r="T3" s="86">
        <v>10022991.91</v>
      </c>
      <c r="V3" s="298">
        <v>1</v>
      </c>
      <c r="W3" s="84" t="s">
        <v>0</v>
      </c>
      <c r="X3" s="85" t="s">
        <v>19</v>
      </c>
      <c r="Y3" s="381">
        <f>404.352+9.256</f>
        <v>413.60799999999995</v>
      </c>
      <c r="Z3" s="382"/>
      <c r="AA3" s="86">
        <v>10022991.91</v>
      </c>
      <c r="AC3" s="298">
        <v>1</v>
      </c>
      <c r="AD3" s="383" t="s">
        <v>47</v>
      </c>
      <c r="AE3" s="424" t="s">
        <v>19</v>
      </c>
      <c r="AF3" s="392">
        <v>2078.02</v>
      </c>
      <c r="AG3" s="393"/>
      <c r="AH3" s="421">
        <v>162211085.97999999</v>
      </c>
    </row>
    <row r="4" spans="1:85" ht="60" x14ac:dyDescent="0.25">
      <c r="A4" s="299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H4" s="299">
        <v>2</v>
      </c>
      <c r="I4" s="87" t="s">
        <v>159</v>
      </c>
      <c r="J4" s="88" t="s">
        <v>19</v>
      </c>
      <c r="K4" s="381">
        <f>676.624+295.152</f>
        <v>971.77600000000007</v>
      </c>
      <c r="L4" s="382"/>
      <c r="M4" s="89">
        <f>28449520.75+12410042.86</f>
        <v>40859563.609999999</v>
      </c>
      <c r="O4" s="299">
        <v>2</v>
      </c>
      <c r="P4" s="87" t="s">
        <v>159</v>
      </c>
      <c r="Q4" s="88" t="s">
        <v>19</v>
      </c>
      <c r="R4" s="381">
        <f>676.624+295.152</f>
        <v>971.77600000000007</v>
      </c>
      <c r="S4" s="382"/>
      <c r="T4" s="89">
        <f>28449520.75+12410042.86</f>
        <v>40859563.609999999</v>
      </c>
      <c r="V4" s="299">
        <v>2</v>
      </c>
      <c r="W4" s="87" t="s">
        <v>159</v>
      </c>
      <c r="X4" s="88" t="s">
        <v>19</v>
      </c>
      <c r="Y4" s="381">
        <f>676.624+295.152</f>
        <v>971.77600000000007</v>
      </c>
      <c r="Z4" s="382"/>
      <c r="AA4" s="89">
        <f>28449520.75+12410042.86</f>
        <v>40859563.609999999</v>
      </c>
      <c r="AC4" s="299">
        <v>2</v>
      </c>
      <c r="AD4" s="384"/>
      <c r="AE4" s="425"/>
      <c r="AF4" s="394"/>
      <c r="AG4" s="395"/>
      <c r="AH4" s="422"/>
    </row>
    <row r="5" spans="1:85" ht="30" x14ac:dyDescent="0.25">
      <c r="A5" s="299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  <c r="H5" s="299">
        <v>3</v>
      </c>
      <c r="I5" s="87" t="s">
        <v>8</v>
      </c>
      <c r="J5" s="88" t="s">
        <v>19</v>
      </c>
      <c r="K5" s="398">
        <v>284.85599999999999</v>
      </c>
      <c r="L5" s="399"/>
      <c r="M5" s="89">
        <v>29847559.98</v>
      </c>
      <c r="O5" s="299">
        <v>3</v>
      </c>
      <c r="P5" s="87" t="s">
        <v>8</v>
      </c>
      <c r="Q5" s="88" t="s">
        <v>19</v>
      </c>
      <c r="R5" s="398">
        <v>284.85599999999999</v>
      </c>
      <c r="S5" s="399"/>
      <c r="T5" s="89">
        <v>29847559.98</v>
      </c>
      <c r="V5" s="299">
        <v>3</v>
      </c>
      <c r="W5" s="87" t="s">
        <v>8</v>
      </c>
      <c r="X5" s="88" t="s">
        <v>19</v>
      </c>
      <c r="Y5" s="398">
        <v>284.85599999999999</v>
      </c>
      <c r="Z5" s="399"/>
      <c r="AA5" s="89">
        <v>29847559.98</v>
      </c>
      <c r="AC5" s="299">
        <v>3</v>
      </c>
      <c r="AD5" s="384"/>
      <c r="AE5" s="425"/>
      <c r="AF5" s="394"/>
      <c r="AG5" s="395"/>
      <c r="AH5" s="422"/>
    </row>
    <row r="6" spans="1:85" x14ac:dyDescent="0.25">
      <c r="A6" s="299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  <c r="H6" s="299">
        <v>4</v>
      </c>
      <c r="I6" s="87" t="s">
        <v>1</v>
      </c>
      <c r="J6" s="88" t="s">
        <v>19</v>
      </c>
      <c r="K6" s="398">
        <v>103.27200000000001</v>
      </c>
      <c r="L6" s="399"/>
      <c r="M6" s="89">
        <v>6218924.8699999992</v>
      </c>
      <c r="O6" s="299">
        <v>4</v>
      </c>
      <c r="P6" s="87" t="s">
        <v>1</v>
      </c>
      <c r="Q6" s="88" t="s">
        <v>19</v>
      </c>
      <c r="R6" s="398">
        <v>103.27200000000001</v>
      </c>
      <c r="S6" s="399"/>
      <c r="T6" s="89">
        <v>6218924.8699999992</v>
      </c>
      <c r="V6" s="299">
        <v>4</v>
      </c>
      <c r="W6" s="87" t="s">
        <v>1</v>
      </c>
      <c r="X6" s="88" t="s">
        <v>19</v>
      </c>
      <c r="Y6" s="398">
        <v>103.27200000000001</v>
      </c>
      <c r="Z6" s="399"/>
      <c r="AA6" s="89">
        <v>6218924.8699999992</v>
      </c>
      <c r="AC6" s="299">
        <v>4</v>
      </c>
      <c r="AD6" s="384"/>
      <c r="AE6" s="425"/>
      <c r="AF6" s="394"/>
      <c r="AG6" s="395"/>
      <c r="AH6" s="422"/>
    </row>
    <row r="7" spans="1:85" ht="30" x14ac:dyDescent="0.25">
      <c r="A7" s="299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  <c r="H7" s="299">
        <v>5</v>
      </c>
      <c r="I7" s="87" t="s">
        <v>2</v>
      </c>
      <c r="J7" s="88" t="s">
        <v>19</v>
      </c>
      <c r="K7" s="398">
        <v>66.872</v>
      </c>
      <c r="L7" s="399"/>
      <c r="M7" s="89">
        <v>4525782.0099999988</v>
      </c>
      <c r="O7" s="299">
        <v>5</v>
      </c>
      <c r="P7" s="87" t="s">
        <v>2</v>
      </c>
      <c r="Q7" s="88" t="s">
        <v>19</v>
      </c>
      <c r="R7" s="398">
        <v>66.872</v>
      </c>
      <c r="S7" s="399"/>
      <c r="T7" s="89">
        <v>4525782.0099999988</v>
      </c>
      <c r="V7" s="299">
        <v>5</v>
      </c>
      <c r="W7" s="87" t="s">
        <v>2</v>
      </c>
      <c r="X7" s="88" t="s">
        <v>19</v>
      </c>
      <c r="Y7" s="398">
        <v>66.872</v>
      </c>
      <c r="Z7" s="399"/>
      <c r="AA7" s="89">
        <v>4525782.0099999988</v>
      </c>
      <c r="AC7" s="299">
        <v>5</v>
      </c>
      <c r="AD7" s="384"/>
      <c r="AE7" s="425"/>
      <c r="AF7" s="394"/>
      <c r="AG7" s="395"/>
      <c r="AH7" s="422"/>
    </row>
    <row r="8" spans="1:85" x14ac:dyDescent="0.25">
      <c r="A8" s="299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  <c r="H8" s="299">
        <v>6</v>
      </c>
      <c r="I8" s="87" t="s">
        <v>3</v>
      </c>
      <c r="J8" s="88" t="s">
        <v>19</v>
      </c>
      <c r="K8" s="398">
        <v>233.27199999999999</v>
      </c>
      <c r="L8" s="399"/>
      <c r="M8" s="89">
        <v>17401032.069999997</v>
      </c>
      <c r="O8" s="299">
        <v>6</v>
      </c>
      <c r="P8" s="87" t="s">
        <v>3</v>
      </c>
      <c r="Q8" s="88" t="s">
        <v>19</v>
      </c>
      <c r="R8" s="398">
        <v>233.27199999999999</v>
      </c>
      <c r="S8" s="399"/>
      <c r="T8" s="89">
        <v>17401032.069999997</v>
      </c>
      <c r="V8" s="299">
        <v>6</v>
      </c>
      <c r="W8" s="87" t="s">
        <v>3</v>
      </c>
      <c r="X8" s="88" t="s">
        <v>19</v>
      </c>
      <c r="Y8" s="398">
        <v>233.27199999999999</v>
      </c>
      <c r="Z8" s="399"/>
      <c r="AA8" s="89">
        <v>17401032.069999997</v>
      </c>
      <c r="AC8" s="299">
        <v>6</v>
      </c>
      <c r="AD8" s="384"/>
      <c r="AE8" s="425"/>
      <c r="AF8" s="394"/>
      <c r="AG8" s="395"/>
      <c r="AH8" s="422"/>
    </row>
    <row r="9" spans="1:85" ht="30.75" thickBot="1" x14ac:dyDescent="0.3">
      <c r="A9" s="300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  <c r="H9" s="300">
        <v>7</v>
      </c>
      <c r="I9" s="90" t="s">
        <v>4</v>
      </c>
      <c r="J9" s="91" t="s">
        <v>19</v>
      </c>
      <c r="K9" s="400">
        <v>4.3680000000000003</v>
      </c>
      <c r="L9" s="401"/>
      <c r="M9" s="92">
        <v>714028.58000000007</v>
      </c>
      <c r="O9" s="300">
        <v>7</v>
      </c>
      <c r="P9" s="90" t="s">
        <v>4</v>
      </c>
      <c r="Q9" s="91" t="s">
        <v>19</v>
      </c>
      <c r="R9" s="400">
        <v>4.3680000000000003</v>
      </c>
      <c r="S9" s="401"/>
      <c r="T9" s="92">
        <v>714028.58000000007</v>
      </c>
      <c r="V9" s="300">
        <v>7</v>
      </c>
      <c r="W9" s="90" t="s">
        <v>4</v>
      </c>
      <c r="X9" s="91" t="s">
        <v>19</v>
      </c>
      <c r="Y9" s="400">
        <v>4.3680000000000003</v>
      </c>
      <c r="Z9" s="401"/>
      <c r="AA9" s="92">
        <v>714028.58000000007</v>
      </c>
      <c r="AC9" s="300">
        <v>7</v>
      </c>
      <c r="AD9" s="385"/>
      <c r="AE9" s="426"/>
      <c r="AF9" s="396"/>
      <c r="AG9" s="397"/>
      <c r="AH9" s="423"/>
    </row>
    <row r="10" spans="1:85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25"/>
      <c r="H10" s="310">
        <v>8</v>
      </c>
      <c r="I10" s="311" t="s">
        <v>187</v>
      </c>
      <c r="J10" s="42" t="s">
        <v>29</v>
      </c>
      <c r="K10" s="413" t="s">
        <v>162</v>
      </c>
      <c r="L10" s="414"/>
      <c r="M10" s="43">
        <v>3704032.4099999992</v>
      </c>
      <c r="N10" s="25"/>
      <c r="O10" s="310">
        <v>8</v>
      </c>
      <c r="P10" s="311" t="s">
        <v>187</v>
      </c>
      <c r="Q10" s="42" t="s">
        <v>29</v>
      </c>
      <c r="R10" s="413" t="s">
        <v>162</v>
      </c>
      <c r="S10" s="414"/>
      <c r="T10" s="43">
        <v>3704032.4099999992</v>
      </c>
      <c r="U10"/>
      <c r="V10" s="310">
        <v>8</v>
      </c>
      <c r="W10" s="311" t="s">
        <v>187</v>
      </c>
      <c r="X10" s="42" t="s">
        <v>29</v>
      </c>
      <c r="Y10" s="415" t="s">
        <v>185</v>
      </c>
      <c r="Z10" s="416"/>
      <c r="AA10" s="43">
        <v>3704032.4099999992</v>
      </c>
      <c r="AC10" s="310">
        <v>8</v>
      </c>
      <c r="AD10" s="311" t="s">
        <v>187</v>
      </c>
      <c r="AE10" s="42" t="s">
        <v>29</v>
      </c>
      <c r="AF10" s="415" t="s">
        <v>185</v>
      </c>
      <c r="AG10" s="416"/>
      <c r="AH10" s="43">
        <v>3704032.4099999992</v>
      </c>
    </row>
    <row r="11" spans="1:85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G11"/>
      <c r="H11" s="313">
        <v>9</v>
      </c>
      <c r="I11" s="314" t="s">
        <v>28</v>
      </c>
      <c r="J11" s="40" t="s">
        <v>29</v>
      </c>
      <c r="K11" s="417" t="s">
        <v>163</v>
      </c>
      <c r="L11" s="418"/>
      <c r="M11" s="29">
        <v>15227354.290000003</v>
      </c>
      <c r="N11"/>
      <c r="O11" s="313">
        <v>9</v>
      </c>
      <c r="P11" s="314" t="s">
        <v>28</v>
      </c>
      <c r="Q11" s="40" t="s">
        <v>29</v>
      </c>
      <c r="R11" s="417" t="s">
        <v>163</v>
      </c>
      <c r="S11" s="418"/>
      <c r="T11" s="29">
        <v>15227354.290000003</v>
      </c>
      <c r="U11"/>
      <c r="V11" s="313">
        <v>9</v>
      </c>
      <c r="W11" s="314" t="s">
        <v>28</v>
      </c>
      <c r="X11" s="40" t="s">
        <v>29</v>
      </c>
      <c r="Y11" s="419" t="s">
        <v>186</v>
      </c>
      <c r="Z11" s="420"/>
      <c r="AA11" s="29">
        <v>15227354.290000003</v>
      </c>
      <c r="AC11" s="313">
        <v>9</v>
      </c>
      <c r="AD11" s="314" t="s">
        <v>28</v>
      </c>
      <c r="AE11" s="40" t="s">
        <v>29</v>
      </c>
      <c r="AF11" s="419" t="s">
        <v>186</v>
      </c>
      <c r="AG11" s="420"/>
      <c r="AH11" s="29">
        <v>15227354.290000003</v>
      </c>
    </row>
    <row r="12" spans="1:85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/>
      <c r="H12" s="301">
        <v>10</v>
      </c>
      <c r="I12" s="289" t="s">
        <v>17</v>
      </c>
      <c r="J12" s="290" t="s">
        <v>20</v>
      </c>
      <c r="K12" s="408">
        <f>47.6596*100</f>
        <v>4765.96</v>
      </c>
      <c r="L12" s="409"/>
      <c r="M12" s="33">
        <v>1105733.3899999999</v>
      </c>
      <c r="N12"/>
      <c r="O12" s="301">
        <v>10</v>
      </c>
      <c r="P12" s="289" t="s">
        <v>17</v>
      </c>
      <c r="Q12" s="290" t="s">
        <v>20</v>
      </c>
      <c r="R12" s="408">
        <f>47.6596*100</f>
        <v>4765.96</v>
      </c>
      <c r="S12" s="409"/>
      <c r="T12" s="33">
        <v>1105733.3899999999</v>
      </c>
      <c r="U12"/>
      <c r="V12" s="301">
        <v>10</v>
      </c>
      <c r="W12" s="289" t="s">
        <v>17</v>
      </c>
      <c r="X12" s="290" t="s">
        <v>20</v>
      </c>
      <c r="Y12" s="408">
        <v>4765.96</v>
      </c>
      <c r="Z12" s="409"/>
      <c r="AA12" s="33">
        <v>1105733.3899999999</v>
      </c>
      <c r="AB12"/>
      <c r="AC12" s="301">
        <v>10</v>
      </c>
      <c r="AD12" s="289" t="s">
        <v>17</v>
      </c>
      <c r="AE12" s="290" t="s">
        <v>20</v>
      </c>
      <c r="AF12" s="408">
        <v>4765.96</v>
      </c>
      <c r="AG12" s="409"/>
      <c r="AH12" s="33">
        <v>1105733.3899999999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H13" s="302">
        <v>11</v>
      </c>
      <c r="I13" s="59" t="s">
        <v>22</v>
      </c>
      <c r="J13" s="60"/>
      <c r="K13" s="270">
        <f>SUM(K3:L9)</f>
        <v>2078.0239999999999</v>
      </c>
      <c r="L13" s="62" t="s">
        <v>19</v>
      </c>
      <c r="M13" s="63">
        <f>SUM(M3:M12)</f>
        <v>129627003.12</v>
      </c>
      <c r="O13" s="302">
        <v>11</v>
      </c>
      <c r="P13" s="59" t="s">
        <v>22</v>
      </c>
      <c r="Q13" s="60"/>
      <c r="R13" s="270">
        <f>SUM(R3:S9)</f>
        <v>2078.0239999999999</v>
      </c>
      <c r="S13" s="62" t="s">
        <v>19</v>
      </c>
      <c r="T13" s="63">
        <f>SUM(T3:T12)</f>
        <v>129627003.12</v>
      </c>
      <c r="V13" s="302">
        <v>11</v>
      </c>
      <c r="W13" s="59" t="s">
        <v>22</v>
      </c>
      <c r="X13" s="60"/>
      <c r="Y13" s="270">
        <v>2078.0239999999999</v>
      </c>
      <c r="Z13" s="333" t="s">
        <v>19</v>
      </c>
      <c r="AA13" s="63">
        <f>SUM(AA3:AA12)</f>
        <v>129627003.12</v>
      </c>
      <c r="AC13" s="302">
        <v>11</v>
      </c>
      <c r="AD13" s="59" t="s">
        <v>22</v>
      </c>
      <c r="AE13" s="60"/>
      <c r="AF13" s="270">
        <v>2078.0239999999999</v>
      </c>
      <c r="AG13" s="333" t="s">
        <v>19</v>
      </c>
      <c r="AH13" s="63">
        <f>SUM(AH3:AH12)</f>
        <v>182248206.06999996</v>
      </c>
    </row>
    <row r="14" spans="1:85" ht="60.75" thickBot="1" x14ac:dyDescent="0.3">
      <c r="A14" s="303">
        <v>12</v>
      </c>
      <c r="B14" s="58" t="s">
        <v>204</v>
      </c>
      <c r="C14" s="41"/>
      <c r="D14" s="45"/>
      <c r="E14" s="46"/>
      <c r="F14" s="316">
        <v>0</v>
      </c>
      <c r="H14" s="303">
        <v>12</v>
      </c>
      <c r="I14" s="58" t="s">
        <v>218</v>
      </c>
      <c r="J14" s="41"/>
      <c r="K14" s="45"/>
      <c r="L14" s="46"/>
      <c r="M14" s="316">
        <v>2722167.09</v>
      </c>
      <c r="O14" s="303">
        <v>12</v>
      </c>
      <c r="P14" s="58" t="s">
        <v>219</v>
      </c>
      <c r="Q14" s="41"/>
      <c r="R14" s="45"/>
      <c r="S14" s="46"/>
      <c r="T14" s="316">
        <v>9767601.6199999992</v>
      </c>
      <c r="V14" s="303">
        <v>12</v>
      </c>
      <c r="W14" s="58" t="s">
        <v>220</v>
      </c>
      <c r="X14" s="41"/>
      <c r="Y14" s="334"/>
      <c r="Z14" s="335"/>
      <c r="AA14" s="325" t="s">
        <v>199</v>
      </c>
      <c r="AC14" s="303">
        <v>12</v>
      </c>
      <c r="AD14" s="58" t="s">
        <v>221</v>
      </c>
      <c r="AE14" s="41"/>
      <c r="AF14" s="334"/>
      <c r="AG14" s="335"/>
      <c r="AH14" s="325">
        <v>3827212.36</v>
      </c>
    </row>
    <row r="15" spans="1:85" ht="62.25" customHeight="1" thickBot="1" x14ac:dyDescent="0.3">
      <c r="A15" s="302">
        <v>13</v>
      </c>
      <c r="B15" s="59" t="s">
        <v>207</v>
      </c>
      <c r="C15" s="60"/>
      <c r="D15" s="45"/>
      <c r="E15" s="62"/>
      <c r="F15" s="287">
        <v>0</v>
      </c>
      <c r="H15" s="302">
        <v>13</v>
      </c>
      <c r="I15" s="59" t="s">
        <v>207</v>
      </c>
      <c r="J15" s="60"/>
      <c r="K15" s="45"/>
      <c r="L15" s="62"/>
      <c r="M15" s="287">
        <f>2220749.32/1.2*4</f>
        <v>7402497.7333333334</v>
      </c>
      <c r="O15" s="302">
        <v>13</v>
      </c>
      <c r="P15" s="59" t="s">
        <v>207</v>
      </c>
      <c r="Q15" s="60"/>
      <c r="R15" s="45"/>
      <c r="S15" s="62"/>
      <c r="T15" s="287">
        <f>2220749.32/1.2*4</f>
        <v>7402497.7333333334</v>
      </c>
      <c r="V15" s="302">
        <v>13</v>
      </c>
      <c r="W15" s="59" t="s">
        <v>207</v>
      </c>
      <c r="X15" s="60"/>
      <c r="Y15" s="45"/>
      <c r="Z15" s="333"/>
      <c r="AA15" s="287">
        <f>2220749.32/1.2*4</f>
        <v>7402497.7333333334</v>
      </c>
      <c r="AC15" s="302">
        <v>13</v>
      </c>
      <c r="AD15" s="59" t="s">
        <v>207</v>
      </c>
      <c r="AE15" s="60"/>
      <c r="AF15" s="45"/>
      <c r="AG15" s="333"/>
      <c r="AH15" s="287">
        <f>2220749.32/1.2*4</f>
        <v>7402497.7333333334</v>
      </c>
    </row>
    <row r="16" spans="1:85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129627003.12</v>
      </c>
      <c r="H16" s="302">
        <v>14</v>
      </c>
      <c r="I16" s="59" t="s">
        <v>22</v>
      </c>
      <c r="J16" s="60"/>
      <c r="K16" s="45"/>
      <c r="L16" s="62"/>
      <c r="M16" s="63">
        <f>M13+M14+M15</f>
        <v>139751667.94333333</v>
      </c>
      <c r="O16" s="302">
        <v>14</v>
      </c>
      <c r="P16" s="59" t="s">
        <v>22</v>
      </c>
      <c r="Q16" s="60"/>
      <c r="R16" s="45"/>
      <c r="S16" s="62"/>
      <c r="T16" s="63">
        <f>T13+T14+T15</f>
        <v>146797102.47333333</v>
      </c>
      <c r="V16" s="302">
        <v>14</v>
      </c>
      <c r="W16" s="59" t="s">
        <v>22</v>
      </c>
      <c r="X16" s="60"/>
      <c r="Y16" s="45"/>
      <c r="Z16" s="333"/>
      <c r="AA16" s="63">
        <v>140407250.5</v>
      </c>
      <c r="AC16" s="302">
        <v>14</v>
      </c>
      <c r="AD16" s="59" t="s">
        <v>22</v>
      </c>
      <c r="AE16" s="60"/>
      <c r="AF16" s="45"/>
      <c r="AG16" s="333"/>
      <c r="AH16" s="63">
        <f>AH13+AH14+AH15</f>
        <v>193477916.1633333</v>
      </c>
    </row>
    <row r="17" spans="1:3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3888810.0935999998</v>
      </c>
      <c r="H17" s="303">
        <v>15</v>
      </c>
      <c r="I17" s="58" t="s">
        <v>23</v>
      </c>
      <c r="J17" s="41"/>
      <c r="K17" s="45"/>
      <c r="L17" s="46"/>
      <c r="M17" s="272">
        <f>M16*0.03</f>
        <v>4192550.0382999997</v>
      </c>
      <c r="O17" s="303">
        <v>15</v>
      </c>
      <c r="P17" s="58" t="s">
        <v>23</v>
      </c>
      <c r="Q17" s="41"/>
      <c r="R17" s="45"/>
      <c r="S17" s="46"/>
      <c r="T17" s="272">
        <f>T16*0.03</f>
        <v>4403913.0741999997</v>
      </c>
      <c r="V17" s="303">
        <v>15</v>
      </c>
      <c r="W17" s="58" t="s">
        <v>23</v>
      </c>
      <c r="X17" s="41"/>
      <c r="Y17" s="45"/>
      <c r="Z17" s="336"/>
      <c r="AA17" s="272">
        <f>AA16*0.03</f>
        <v>4212217.5149999997</v>
      </c>
      <c r="AC17" s="303">
        <v>15</v>
      </c>
      <c r="AD17" s="58" t="s">
        <v>23</v>
      </c>
      <c r="AE17" s="41"/>
      <c r="AF17" s="45"/>
      <c r="AG17" s="336"/>
      <c r="AH17" s="272">
        <f>AH16*0.03</f>
        <v>5804337.4848999986</v>
      </c>
    </row>
    <row r="18" spans="1:3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133515813.21360001</v>
      </c>
      <c r="H18" s="303">
        <v>16</v>
      </c>
      <c r="I18" s="58" t="s">
        <v>36</v>
      </c>
      <c r="J18" s="41"/>
      <c r="K18" s="45"/>
      <c r="L18" s="46"/>
      <c r="M18" s="47">
        <f>M16+M17</f>
        <v>143944217.98163334</v>
      </c>
      <c r="O18" s="303">
        <v>16</v>
      </c>
      <c r="P18" s="58" t="s">
        <v>36</v>
      </c>
      <c r="Q18" s="41"/>
      <c r="R18" s="45"/>
      <c r="S18" s="46"/>
      <c r="T18" s="47">
        <f>T16+T17</f>
        <v>151201015.54753333</v>
      </c>
      <c r="V18" s="303">
        <v>16</v>
      </c>
      <c r="W18" s="265" t="s">
        <v>36</v>
      </c>
      <c r="X18" s="266"/>
      <c r="Y18" s="267"/>
      <c r="Z18" s="337"/>
      <c r="AA18" s="47">
        <f>AA16+AA17</f>
        <v>144619468.01499999</v>
      </c>
      <c r="AC18" s="303">
        <v>16</v>
      </c>
      <c r="AD18" s="265" t="s">
        <v>36</v>
      </c>
      <c r="AE18" s="266"/>
      <c r="AF18" s="267"/>
      <c r="AG18" s="337"/>
      <c r="AH18" s="47">
        <f>AH16+AH17</f>
        <v>199282253.64823329</v>
      </c>
    </row>
    <row r="19" spans="1:34" ht="66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v>0</v>
      </c>
      <c r="H19" s="331">
        <v>17</v>
      </c>
      <c r="I19" s="58" t="s">
        <v>202</v>
      </c>
      <c r="J19" s="41"/>
      <c r="K19" s="45"/>
      <c r="L19" s="46"/>
      <c r="M19" s="47">
        <f>M18*1.033</f>
        <v>148694377.17502722</v>
      </c>
      <c r="O19" s="331">
        <v>17</v>
      </c>
      <c r="P19" s="58" t="s">
        <v>202</v>
      </c>
      <c r="Q19" s="41"/>
      <c r="R19" s="45"/>
      <c r="S19" s="46"/>
      <c r="T19" s="47">
        <f>T18*1.033</f>
        <v>156190649.06060192</v>
      </c>
      <c r="V19" s="331">
        <v>17</v>
      </c>
      <c r="W19" s="282" t="s">
        <v>203</v>
      </c>
      <c r="X19" s="283">
        <v>1.0329999999999999</v>
      </c>
      <c r="Y19" s="330"/>
      <c r="Z19" s="327"/>
      <c r="AA19" s="47">
        <f>AA18*1.033</f>
        <v>149391910.45949498</v>
      </c>
      <c r="AC19" s="331">
        <v>17</v>
      </c>
      <c r="AD19" s="282" t="s">
        <v>203</v>
      </c>
      <c r="AE19" s="283">
        <v>1.0329999999999999</v>
      </c>
      <c r="AF19" s="330"/>
      <c r="AG19" s="327"/>
      <c r="AH19" s="47">
        <f>AH18*1.033</f>
        <v>205858568.01862499</v>
      </c>
    </row>
    <row r="20" spans="1:3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159709185.41</v>
      </c>
      <c r="H20" s="306">
        <v>18</v>
      </c>
      <c r="I20" s="64" t="s">
        <v>198</v>
      </c>
      <c r="J20" s="48"/>
      <c r="K20" s="65"/>
      <c r="L20" s="44"/>
      <c r="M20" s="66">
        <v>174949743.41</v>
      </c>
      <c r="O20" s="306">
        <v>18</v>
      </c>
      <c r="P20" s="64" t="s">
        <v>198</v>
      </c>
      <c r="Q20" s="48"/>
      <c r="R20" s="65"/>
      <c r="S20" s="44"/>
      <c r="T20" s="66">
        <v>182489154.27000001</v>
      </c>
      <c r="V20" s="306">
        <v>18</v>
      </c>
      <c r="W20" s="64" t="s">
        <v>198</v>
      </c>
      <c r="X20" s="48"/>
      <c r="Y20" s="410"/>
      <c r="Z20" s="411"/>
      <c r="AA20" s="66">
        <v>174454214.74000001</v>
      </c>
      <c r="AC20" s="306">
        <v>18</v>
      </c>
      <c r="AD20" s="64" t="s">
        <v>222</v>
      </c>
      <c r="AE20" s="48"/>
      <c r="AF20" s="410"/>
      <c r="AG20" s="411"/>
      <c r="AH20" s="66">
        <v>174949743.71000001</v>
      </c>
    </row>
    <row r="21" spans="1:3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31941837.082000002</v>
      </c>
      <c r="G21" s="321"/>
      <c r="H21" s="303">
        <v>19</v>
      </c>
      <c r="I21" s="58" t="s">
        <v>33</v>
      </c>
      <c r="J21" s="41"/>
      <c r="K21" s="45"/>
      <c r="L21" s="46"/>
      <c r="M21" s="47">
        <f>M20*0.2</f>
        <v>34989948.682000004</v>
      </c>
      <c r="N21" s="321"/>
      <c r="O21" s="303">
        <v>19</v>
      </c>
      <c r="P21" s="58" t="s">
        <v>33</v>
      </c>
      <c r="Q21" s="41"/>
      <c r="R21" s="45"/>
      <c r="S21" s="46"/>
      <c r="T21" s="47">
        <f>T20*0.2</f>
        <v>36497830.854000002</v>
      </c>
      <c r="V21" s="303">
        <v>19</v>
      </c>
      <c r="W21" s="58" t="s">
        <v>33</v>
      </c>
      <c r="X21" s="41"/>
      <c r="Y21" s="45"/>
      <c r="Z21" s="336"/>
      <c r="AA21" s="47">
        <f>AA20*0.2</f>
        <v>34890842.948000006</v>
      </c>
      <c r="AC21" s="303">
        <v>19</v>
      </c>
      <c r="AD21" s="58" t="s">
        <v>33</v>
      </c>
      <c r="AE21" s="41"/>
      <c r="AF21" s="45"/>
      <c r="AG21" s="336"/>
      <c r="AH21" s="47">
        <f>AH20*0.2</f>
        <v>34989948.742000006</v>
      </c>
    </row>
    <row r="22" spans="1:3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191651022.49199998</v>
      </c>
      <c r="G22" s="322"/>
      <c r="H22" s="302">
        <v>20</v>
      </c>
      <c r="I22" s="59" t="s">
        <v>34</v>
      </c>
      <c r="J22" s="60"/>
      <c r="K22" s="61"/>
      <c r="L22" s="62"/>
      <c r="M22" s="107">
        <f>M20+M21</f>
        <v>209939692.09200001</v>
      </c>
      <c r="N22" s="322"/>
      <c r="O22" s="302">
        <v>20</v>
      </c>
      <c r="P22" s="59" t="s">
        <v>34</v>
      </c>
      <c r="Q22" s="60"/>
      <c r="R22" s="61"/>
      <c r="S22" s="62"/>
      <c r="T22" s="107">
        <f>T20+T21</f>
        <v>218986985.12400001</v>
      </c>
      <c r="V22" s="302">
        <v>20</v>
      </c>
      <c r="W22" s="59" t="s">
        <v>34</v>
      </c>
      <c r="X22" s="60"/>
      <c r="Y22" s="61"/>
      <c r="Z22" s="333"/>
      <c r="AA22" s="107">
        <f>AA20+AA21</f>
        <v>209345057.68800002</v>
      </c>
      <c r="AC22" s="302">
        <v>20</v>
      </c>
      <c r="AD22" s="59" t="s">
        <v>34</v>
      </c>
      <c r="AE22" s="60"/>
      <c r="AF22" s="61"/>
      <c r="AG22" s="333"/>
      <c r="AH22" s="107">
        <f>AH20+AH21</f>
        <v>209939692.45200002</v>
      </c>
    </row>
    <row r="24" spans="1:34" ht="44.25" customHeight="1" x14ac:dyDescent="0.25">
      <c r="A24" s="35" t="s">
        <v>213</v>
      </c>
      <c r="B24" s="328" t="s">
        <v>211</v>
      </c>
      <c r="C24" s="328">
        <f>(25.493+56.46)*10</f>
        <v>819.53</v>
      </c>
      <c r="D24" s="328"/>
      <c r="E24" s="308"/>
      <c r="F24" s="271">
        <v>13705910.09</v>
      </c>
      <c r="G24" s="271"/>
      <c r="H24" s="35" t="s">
        <v>213</v>
      </c>
      <c r="I24" s="341" t="s">
        <v>211</v>
      </c>
      <c r="J24" s="341">
        <f>(25.493+56.46)*10</f>
        <v>819.53</v>
      </c>
      <c r="K24" s="341"/>
      <c r="L24" s="308"/>
      <c r="M24" s="271">
        <v>13705910.09</v>
      </c>
      <c r="N24" s="271"/>
      <c r="O24" s="35" t="s">
        <v>213</v>
      </c>
      <c r="P24" s="341" t="s">
        <v>211</v>
      </c>
      <c r="Q24" s="341">
        <f>(25.493+56.46)*10</f>
        <v>819.53</v>
      </c>
      <c r="R24" s="341"/>
      <c r="S24" s="308"/>
      <c r="T24" s="271">
        <v>13705910.09</v>
      </c>
      <c r="U24" s="271"/>
      <c r="V24" s="35" t="s">
        <v>213</v>
      </c>
      <c r="W24" s="341" t="s">
        <v>211</v>
      </c>
      <c r="X24" s="341">
        <f>(25.493+56.46)*10</f>
        <v>819.53</v>
      </c>
      <c r="Y24" s="341"/>
      <c r="Z24" s="308"/>
      <c r="AA24" s="271">
        <v>13705910.09</v>
      </c>
      <c r="AC24" s="35" t="s">
        <v>213</v>
      </c>
      <c r="AD24" s="341" t="s">
        <v>211</v>
      </c>
      <c r="AE24" s="341">
        <f>(25.493+56.46)*10</f>
        <v>819.53</v>
      </c>
      <c r="AF24" s="341"/>
      <c r="AG24" s="308"/>
      <c r="AH24" s="271">
        <v>13705910.09</v>
      </c>
    </row>
    <row r="25" spans="1:34" ht="44.25" customHeight="1" x14ac:dyDescent="0.25">
      <c r="A25" s="35" t="s">
        <v>213</v>
      </c>
      <c r="B25" s="328" t="s">
        <v>212</v>
      </c>
      <c r="C25" s="328">
        <f>53.09+234.08</f>
        <v>287.17</v>
      </c>
      <c r="D25" s="328"/>
      <c r="E25" s="308"/>
      <c r="F25" s="271">
        <v>2462459.88</v>
      </c>
      <c r="G25" s="271"/>
      <c r="H25" s="35" t="s">
        <v>213</v>
      </c>
      <c r="I25" s="341" t="s">
        <v>212</v>
      </c>
      <c r="J25" s="341">
        <f>53.09+234.08</f>
        <v>287.17</v>
      </c>
      <c r="K25" s="341"/>
      <c r="L25" s="308"/>
      <c r="M25" s="271">
        <v>2462459.88</v>
      </c>
      <c r="N25" s="271"/>
      <c r="O25" s="35" t="s">
        <v>213</v>
      </c>
      <c r="P25" s="341" t="s">
        <v>212</v>
      </c>
      <c r="Q25" s="341">
        <f>53.09+234.08</f>
        <v>287.17</v>
      </c>
      <c r="R25" s="341"/>
      <c r="S25" s="308"/>
      <c r="T25" s="271">
        <v>2462459.88</v>
      </c>
      <c r="U25" s="271"/>
      <c r="V25" s="35" t="s">
        <v>213</v>
      </c>
      <c r="W25" s="341" t="s">
        <v>212</v>
      </c>
      <c r="X25" s="341">
        <f>53.09+234.08</f>
        <v>287.17</v>
      </c>
      <c r="Y25" s="341"/>
      <c r="Z25" s="308"/>
      <c r="AA25" s="271">
        <v>2462459.88</v>
      </c>
      <c r="AC25" s="35" t="s">
        <v>213</v>
      </c>
      <c r="AD25" s="341" t="s">
        <v>212</v>
      </c>
      <c r="AE25" s="341">
        <f>53.09+234.08</f>
        <v>287.17</v>
      </c>
      <c r="AF25" s="341"/>
      <c r="AG25" s="308"/>
      <c r="AH25" s="271">
        <v>2462459.88</v>
      </c>
    </row>
    <row r="26" spans="1:34" ht="23.25" customHeight="1" x14ac:dyDescent="0.25">
      <c r="A26"/>
      <c r="B26" s="328"/>
      <c r="C26" s="328"/>
      <c r="D26" s="328"/>
      <c r="E26" s="308"/>
      <c r="F26" s="332">
        <f>F22+F24+F25</f>
        <v>207819392.46199998</v>
      </c>
      <c r="G26" s="271"/>
      <c r="H26"/>
      <c r="I26" s="341"/>
      <c r="J26" s="341"/>
      <c r="K26" s="341"/>
      <c r="L26" s="308"/>
      <c r="M26" s="332">
        <f>M22+M24+M25</f>
        <v>226108062.06200001</v>
      </c>
      <c r="N26" s="271"/>
      <c r="O26"/>
      <c r="P26" s="341"/>
      <c r="Q26" s="341"/>
      <c r="R26" s="341"/>
      <c r="S26" s="308"/>
      <c r="T26" s="332">
        <f>T22+T24+T25</f>
        <v>235155355.09400001</v>
      </c>
      <c r="U26" s="271"/>
      <c r="V26"/>
      <c r="W26" s="341"/>
      <c r="X26" s="341"/>
      <c r="Y26" s="341"/>
      <c r="Z26" s="308"/>
      <c r="AA26" s="332">
        <f>AA22+AA24+AA25</f>
        <v>225513427.65800002</v>
      </c>
      <c r="AC26"/>
      <c r="AD26" s="341"/>
      <c r="AE26" s="341"/>
      <c r="AF26" s="341"/>
      <c r="AG26" s="308"/>
      <c r="AH26" s="332">
        <f>AH22+AH24+AH25</f>
        <v>226108062.42200002</v>
      </c>
    </row>
    <row r="27" spans="1:34" ht="44.25" customHeight="1" x14ac:dyDescent="0.25">
      <c r="A27"/>
      <c r="B27" s="328"/>
      <c r="C27" s="328"/>
      <c r="D27" s="328"/>
      <c r="E27" s="308"/>
      <c r="F27" s="271"/>
      <c r="G27" s="271"/>
      <c r="H27"/>
      <c r="I27" s="341"/>
      <c r="J27" s="341"/>
      <c r="K27" s="341"/>
      <c r="L27" s="308"/>
      <c r="M27" s="271"/>
      <c r="N27" s="271"/>
      <c r="O27"/>
      <c r="P27" s="341"/>
      <c r="Q27" s="341"/>
      <c r="R27" s="341"/>
      <c r="S27" s="308"/>
      <c r="T27" s="271"/>
      <c r="U27" s="271"/>
      <c r="V27"/>
      <c r="W27" s="328"/>
      <c r="X27" s="328"/>
      <c r="Y27" s="308"/>
      <c r="Z27" s="308"/>
      <c r="AA27" s="271"/>
      <c r="AC27"/>
      <c r="AD27" s="328"/>
      <c r="AE27" s="328"/>
      <c r="AF27" s="308"/>
      <c r="AG27" s="308"/>
      <c r="AH27" s="271"/>
    </row>
    <row r="28" spans="1:34" ht="37.5" customHeight="1" x14ac:dyDescent="0.25">
      <c r="A28"/>
      <c r="B28" s="412" t="s">
        <v>190</v>
      </c>
      <c r="C28" s="412"/>
      <c r="D28" s="412"/>
      <c r="E28" s="308"/>
      <c r="F28" s="271">
        <f>F22/D13</f>
        <v>92227.530813888574</v>
      </c>
      <c r="G28" s="271"/>
      <c r="H28"/>
      <c r="I28" s="412" t="s">
        <v>190</v>
      </c>
      <c r="J28" s="412"/>
      <c r="K28" s="412"/>
      <c r="L28" s="308"/>
      <c r="M28" s="271">
        <f>M22/K13</f>
        <v>101028.52137030179</v>
      </c>
      <c r="N28" s="271"/>
      <c r="O28"/>
      <c r="P28" s="412" t="s">
        <v>190</v>
      </c>
      <c r="Q28" s="412"/>
      <c r="R28" s="412"/>
      <c r="S28" s="308"/>
      <c r="T28" s="271">
        <f>T22/R13</f>
        <v>105382.31758824732</v>
      </c>
      <c r="U28" s="271"/>
      <c r="V28"/>
      <c r="W28" s="271"/>
      <c r="X28" s="271"/>
      <c r="Y28" s="308"/>
      <c r="Z28" s="308"/>
      <c r="AA28" s="271">
        <f>AA22/Y13</f>
        <v>100742.36759921927</v>
      </c>
      <c r="AC28"/>
      <c r="AD28" s="271"/>
      <c r="AE28" s="271"/>
      <c r="AF28" s="308"/>
      <c r="AG28" s="308"/>
      <c r="AH28" s="271">
        <f>AH22/AF13</f>
        <v>101028.52154354331</v>
      </c>
    </row>
  </sheetData>
  <mergeCells count="62">
    <mergeCell ref="K11:L11"/>
    <mergeCell ref="K12:L12"/>
    <mergeCell ref="I28:K28"/>
    <mergeCell ref="O1:T1"/>
    <mergeCell ref="R2:S2"/>
    <mergeCell ref="R3:S3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P28:R28"/>
    <mergeCell ref="A1:F1"/>
    <mergeCell ref="W1:AA1"/>
    <mergeCell ref="AD1:AH1"/>
    <mergeCell ref="D2:E2"/>
    <mergeCell ref="Y2:Z2"/>
    <mergeCell ref="AF2:AG2"/>
    <mergeCell ref="H1:M1"/>
    <mergeCell ref="K2:L2"/>
    <mergeCell ref="D5:E5"/>
    <mergeCell ref="Y5:Z5"/>
    <mergeCell ref="D6:E6"/>
    <mergeCell ref="Y6:Z6"/>
    <mergeCell ref="D3:E3"/>
    <mergeCell ref="Y3:Z3"/>
    <mergeCell ref="D4:E4"/>
    <mergeCell ref="Y4:Z4"/>
    <mergeCell ref="K3:L3"/>
    <mergeCell ref="K4:L4"/>
    <mergeCell ref="K5:L5"/>
    <mergeCell ref="K6:L6"/>
    <mergeCell ref="Y10:Z10"/>
    <mergeCell ref="AF10:AG10"/>
    <mergeCell ref="D7:E7"/>
    <mergeCell ref="Y7:Z7"/>
    <mergeCell ref="D8:E8"/>
    <mergeCell ref="Y8:Z8"/>
    <mergeCell ref="K7:L7"/>
    <mergeCell ref="K8:L8"/>
    <mergeCell ref="K9:L9"/>
    <mergeCell ref="K10:L10"/>
    <mergeCell ref="Y20:Z20"/>
    <mergeCell ref="AF20:AG20"/>
    <mergeCell ref="B28:D28"/>
    <mergeCell ref="AH3:AH9"/>
    <mergeCell ref="AF3:AG9"/>
    <mergeCell ref="AE3:AE9"/>
    <mergeCell ref="AD3:AD9"/>
    <mergeCell ref="D11:E11"/>
    <mergeCell ref="Y11:Z11"/>
    <mergeCell ref="AF11:AG11"/>
    <mergeCell ref="D12:E12"/>
    <mergeCell ref="Y12:Z12"/>
    <mergeCell ref="AF12:AG12"/>
    <mergeCell ref="D9:E9"/>
    <mergeCell ref="Y9:Z9"/>
    <mergeCell ref="D10:E10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F6E4-41FC-41A7-BBF9-FEC3ACFCB500}">
  <sheetPr>
    <tabColor rgb="FFFF0000"/>
  </sheetPr>
  <dimension ref="A1:BT28"/>
  <sheetViews>
    <sheetView zoomScale="80" zoomScaleNormal="80" workbookViewId="0">
      <selection activeCell="Y14" sqref="Y14"/>
    </sheetView>
  </sheetViews>
  <sheetFormatPr defaultRowHeight="15" x14ac:dyDescent="0.25"/>
  <cols>
    <col min="1" max="1" width="3.140625" style="307" customWidth="1"/>
    <col min="2" max="2" width="37.42578125" customWidth="1"/>
    <col min="3" max="3" width="11.5703125" customWidth="1"/>
    <col min="4" max="4" width="8.5703125" customWidth="1"/>
    <col min="5" max="5" width="7.85546875" customWidth="1"/>
    <col min="6" max="6" width="19.28515625" customWidth="1"/>
    <col min="7" max="7" width="17.140625" customWidth="1"/>
    <col min="8" max="8" width="4.85546875" customWidth="1"/>
    <col min="9" max="9" width="3.140625" style="307" customWidth="1"/>
    <col min="10" max="10" width="34" customWidth="1"/>
    <col min="11" max="11" width="11.5703125" customWidth="1"/>
    <col min="12" max="12" width="8.5703125" customWidth="1"/>
    <col min="13" max="13" width="9.42578125" customWidth="1"/>
    <col min="14" max="14" width="22.28515625" customWidth="1"/>
    <col min="15" max="15" width="4" customWidth="1"/>
  </cols>
  <sheetData>
    <row r="1" spans="1:72" ht="51.75" customHeight="1" thickBot="1" x14ac:dyDescent="0.3">
      <c r="A1" s="427" t="s">
        <v>201</v>
      </c>
      <c r="B1" s="428"/>
      <c r="C1" s="428"/>
      <c r="D1" s="428"/>
      <c r="E1" s="428"/>
      <c r="F1" s="429"/>
      <c r="G1" s="323"/>
      <c r="I1" s="324"/>
      <c r="J1" s="428" t="s">
        <v>206</v>
      </c>
      <c r="K1" s="428"/>
      <c r="L1" s="428"/>
      <c r="M1" s="428"/>
      <c r="N1" s="429"/>
    </row>
    <row r="2" spans="1:72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I2" s="297" t="s">
        <v>58</v>
      </c>
      <c r="J2" s="55" t="s">
        <v>73</v>
      </c>
      <c r="K2" s="315" t="s">
        <v>18</v>
      </c>
      <c r="L2" s="436" t="s">
        <v>21</v>
      </c>
      <c r="M2" s="380"/>
      <c r="N2" s="57" t="s">
        <v>32</v>
      </c>
    </row>
    <row r="3" spans="1:72" x14ac:dyDescent="0.25">
      <c r="A3" s="298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I3" s="298">
        <v>1</v>
      </c>
      <c r="J3" s="84" t="s">
        <v>0</v>
      </c>
      <c r="K3" s="85" t="s">
        <v>19</v>
      </c>
      <c r="L3" s="381">
        <f>404.352+9.256</f>
        <v>413.60799999999995</v>
      </c>
      <c r="M3" s="382"/>
      <c r="N3" s="86">
        <v>10022991.91</v>
      </c>
    </row>
    <row r="4" spans="1:72" ht="30" x14ac:dyDescent="0.25">
      <c r="A4" s="299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I4" s="299">
        <v>2</v>
      </c>
      <c r="J4" s="87" t="s">
        <v>159</v>
      </c>
      <c r="K4" s="88" t="s">
        <v>19</v>
      </c>
      <c r="L4" s="381">
        <f>676.624+295.152</f>
        <v>971.77600000000007</v>
      </c>
      <c r="M4" s="382"/>
      <c r="N4" s="89">
        <f>28449520.75+12410042.86</f>
        <v>40859563.609999999</v>
      </c>
    </row>
    <row r="5" spans="1:72" ht="30" x14ac:dyDescent="0.25">
      <c r="A5" s="299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  <c r="I5" s="299">
        <v>3</v>
      </c>
      <c r="J5" s="87" t="s">
        <v>8</v>
      </c>
      <c r="K5" s="88" t="s">
        <v>19</v>
      </c>
      <c r="L5" s="398">
        <v>284.85599999999999</v>
      </c>
      <c r="M5" s="399"/>
      <c r="N5" s="89">
        <v>29847559.98</v>
      </c>
    </row>
    <row r="6" spans="1:72" x14ac:dyDescent="0.25">
      <c r="A6" s="299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  <c r="I6" s="299">
        <v>4</v>
      </c>
      <c r="J6" s="87" t="s">
        <v>1</v>
      </c>
      <c r="K6" s="88" t="s">
        <v>19</v>
      </c>
      <c r="L6" s="398">
        <v>103.27200000000001</v>
      </c>
      <c r="M6" s="399"/>
      <c r="N6" s="89">
        <v>6218924.8699999992</v>
      </c>
    </row>
    <row r="7" spans="1:72" x14ac:dyDescent="0.25">
      <c r="A7" s="299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  <c r="I7" s="299">
        <v>5</v>
      </c>
      <c r="J7" s="87" t="s">
        <v>2</v>
      </c>
      <c r="K7" s="88" t="s">
        <v>19</v>
      </c>
      <c r="L7" s="398">
        <v>66.872</v>
      </c>
      <c r="M7" s="399"/>
      <c r="N7" s="89">
        <v>4525782.0099999988</v>
      </c>
    </row>
    <row r="8" spans="1:72" x14ac:dyDescent="0.25">
      <c r="A8" s="299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  <c r="I8" s="299">
        <v>6</v>
      </c>
      <c r="J8" s="87" t="s">
        <v>3</v>
      </c>
      <c r="K8" s="88" t="s">
        <v>19</v>
      </c>
      <c r="L8" s="398">
        <v>233.27199999999999</v>
      </c>
      <c r="M8" s="399"/>
      <c r="N8" s="89">
        <v>17401032.069999997</v>
      </c>
    </row>
    <row r="9" spans="1:72" ht="15.75" thickBot="1" x14ac:dyDescent="0.3">
      <c r="A9" s="300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  <c r="I9" s="300">
        <v>7</v>
      </c>
      <c r="J9" s="90" t="s">
        <v>4</v>
      </c>
      <c r="K9" s="91" t="s">
        <v>19</v>
      </c>
      <c r="L9" s="400">
        <v>4.3680000000000003</v>
      </c>
      <c r="M9" s="401"/>
      <c r="N9" s="92">
        <v>714028.58000000007</v>
      </c>
    </row>
    <row r="10" spans="1:72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25"/>
      <c r="H10"/>
      <c r="I10" s="310">
        <v>8</v>
      </c>
      <c r="J10" s="311" t="s">
        <v>187</v>
      </c>
      <c r="K10" s="42" t="s">
        <v>29</v>
      </c>
      <c r="L10" s="437" t="s">
        <v>185</v>
      </c>
      <c r="M10" s="416"/>
      <c r="N10" s="43">
        <v>3704032.4099999992</v>
      </c>
    </row>
    <row r="11" spans="1:72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G11"/>
      <c r="H11"/>
      <c r="I11" s="313">
        <v>9</v>
      </c>
      <c r="J11" s="314" t="s">
        <v>28</v>
      </c>
      <c r="K11" s="40" t="s">
        <v>29</v>
      </c>
      <c r="L11" s="438" t="s">
        <v>186</v>
      </c>
      <c r="M11" s="420"/>
      <c r="N11" s="29">
        <v>15227354.290000003</v>
      </c>
    </row>
    <row r="12" spans="1:72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/>
      <c r="H12"/>
      <c r="I12" s="301">
        <v>10</v>
      </c>
      <c r="J12" s="289" t="s">
        <v>17</v>
      </c>
      <c r="K12" s="290" t="s">
        <v>20</v>
      </c>
      <c r="L12" s="439">
        <v>4765.96</v>
      </c>
      <c r="M12" s="409"/>
      <c r="N12" s="33">
        <v>1105733.3899999999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I13" s="302">
        <v>11</v>
      </c>
      <c r="J13" s="59" t="s">
        <v>22</v>
      </c>
      <c r="K13" s="60"/>
      <c r="L13" s="292">
        <v>2078.0239999999999</v>
      </c>
      <c r="M13" s="62" t="s">
        <v>19</v>
      </c>
      <c r="N13" s="63">
        <f>SUM(N3:N12)</f>
        <v>129627003.12</v>
      </c>
    </row>
    <row r="14" spans="1:72" ht="30.75" thickBot="1" x14ac:dyDescent="0.3">
      <c r="A14" s="303">
        <v>12</v>
      </c>
      <c r="B14" s="58" t="s">
        <v>204</v>
      </c>
      <c r="C14" s="41"/>
      <c r="D14" s="45"/>
      <c r="E14" s="46"/>
      <c r="F14" s="316">
        <v>2722167.09</v>
      </c>
      <c r="I14" s="303">
        <v>12</v>
      </c>
      <c r="J14" s="58" t="s">
        <v>196</v>
      </c>
      <c r="K14" s="41"/>
      <c r="L14" s="317"/>
      <c r="M14" s="318"/>
      <c r="N14" s="325" t="s">
        <v>199</v>
      </c>
    </row>
    <row r="15" spans="1:72" ht="50.25" customHeight="1" thickBot="1" x14ac:dyDescent="0.3">
      <c r="A15" s="302">
        <v>13</v>
      </c>
      <c r="B15" s="59" t="s">
        <v>200</v>
      </c>
      <c r="C15" s="60"/>
      <c r="D15" s="45"/>
      <c r="E15" s="62"/>
      <c r="F15" s="287">
        <f>2220749.32*4</f>
        <v>8882997.2799999993</v>
      </c>
      <c r="I15" s="302">
        <v>13</v>
      </c>
      <c r="J15" s="59" t="s">
        <v>200</v>
      </c>
      <c r="K15" s="60"/>
      <c r="L15" s="293"/>
      <c r="M15" s="62"/>
      <c r="N15" s="287">
        <f>2220749.32*4</f>
        <v>8882997.2799999993</v>
      </c>
    </row>
    <row r="16" spans="1:72" ht="28.5" customHeight="1" thickBot="1" x14ac:dyDescent="0.3">
      <c r="A16" s="302">
        <v>14</v>
      </c>
      <c r="B16" s="59" t="s">
        <v>22</v>
      </c>
      <c r="C16" s="60"/>
      <c r="D16" s="45"/>
      <c r="E16" s="62"/>
      <c r="F16" s="63">
        <f>F13+F14+F15</f>
        <v>141232167.49000001</v>
      </c>
      <c r="I16" s="302">
        <v>14</v>
      </c>
      <c r="J16" s="59" t="s">
        <v>22</v>
      </c>
      <c r="K16" s="60"/>
      <c r="L16" s="293"/>
      <c r="M16" s="62"/>
      <c r="N16" s="63">
        <v>140407250.5</v>
      </c>
    </row>
    <row r="17" spans="1:14" ht="34.5" customHeight="1" thickBot="1" x14ac:dyDescent="0.3">
      <c r="A17" s="303">
        <v>15</v>
      </c>
      <c r="B17" s="58" t="s">
        <v>23</v>
      </c>
      <c r="C17" s="41"/>
      <c r="D17" s="45"/>
      <c r="E17" s="46"/>
      <c r="F17" s="272">
        <f>F16*0.03</f>
        <v>4236965.0247</v>
      </c>
      <c r="I17" s="303">
        <v>15</v>
      </c>
      <c r="J17" s="58" t="s">
        <v>23</v>
      </c>
      <c r="K17" s="41"/>
      <c r="L17" s="293"/>
      <c r="M17" s="46"/>
      <c r="N17" s="272">
        <f>N16*0.03</f>
        <v>4212217.5149999997</v>
      </c>
    </row>
    <row r="18" spans="1:14" ht="28.5" customHeight="1" thickBot="1" x14ac:dyDescent="0.3">
      <c r="A18" s="303">
        <v>16</v>
      </c>
      <c r="B18" s="58" t="s">
        <v>36</v>
      </c>
      <c r="C18" s="41"/>
      <c r="D18" s="45"/>
      <c r="E18" s="46"/>
      <c r="F18" s="47">
        <f>F16+F17</f>
        <v>145469132.5147</v>
      </c>
      <c r="I18" s="303">
        <v>16</v>
      </c>
      <c r="J18" s="265" t="s">
        <v>36</v>
      </c>
      <c r="K18" s="266"/>
      <c r="L18" s="294"/>
      <c r="M18" s="268"/>
      <c r="N18" s="47">
        <f>N16+N17</f>
        <v>144619468.01499999</v>
      </c>
    </row>
    <row r="19" spans="1:14" ht="50.25" customHeight="1" thickBot="1" x14ac:dyDescent="0.3">
      <c r="A19" s="331">
        <v>17</v>
      </c>
      <c r="B19" s="58" t="s">
        <v>202</v>
      </c>
      <c r="C19" s="41"/>
      <c r="D19" s="45"/>
      <c r="E19" s="46"/>
      <c r="F19" s="47">
        <f>F18*1.033</f>
        <v>150269613.88768509</v>
      </c>
      <c r="I19" s="331">
        <v>17</v>
      </c>
      <c r="J19" s="282" t="s">
        <v>203</v>
      </c>
      <c r="K19" s="283">
        <v>1.0329999999999999</v>
      </c>
      <c r="L19" s="326"/>
      <c r="M19" s="284"/>
      <c r="N19" s="47">
        <f>N18*1.033</f>
        <v>149391910.45949498</v>
      </c>
    </row>
    <row r="20" spans="1:14" ht="30.75" customHeight="1" thickBot="1" x14ac:dyDescent="0.3">
      <c r="A20" s="306">
        <v>18</v>
      </c>
      <c r="B20" s="64" t="s">
        <v>198</v>
      </c>
      <c r="C20" s="48"/>
      <c r="D20" s="65"/>
      <c r="E20" s="44"/>
      <c r="F20" s="66">
        <v>176534045.16</v>
      </c>
      <c r="I20" s="306">
        <v>18</v>
      </c>
      <c r="J20" s="64" t="s">
        <v>198</v>
      </c>
      <c r="K20" s="48"/>
      <c r="L20" s="435"/>
      <c r="M20" s="411"/>
      <c r="N20" s="66">
        <v>176038516.52000001</v>
      </c>
    </row>
    <row r="21" spans="1:14" ht="25.5" customHeight="1" thickBot="1" x14ac:dyDescent="0.3">
      <c r="A21" s="303">
        <v>19</v>
      </c>
      <c r="B21" s="58" t="s">
        <v>33</v>
      </c>
      <c r="C21" s="41"/>
      <c r="D21" s="45"/>
      <c r="E21" s="46"/>
      <c r="F21" s="47">
        <f>F20*0.2</f>
        <v>35306809.031999998</v>
      </c>
      <c r="G21" s="321" t="s">
        <v>197</v>
      </c>
      <c r="I21" s="303">
        <v>19</v>
      </c>
      <c r="J21" s="58" t="s">
        <v>33</v>
      </c>
      <c r="K21" s="41"/>
      <c r="L21" s="293"/>
      <c r="M21" s="46"/>
      <c r="N21" s="47">
        <f>N20*0.2</f>
        <v>35207703.304000005</v>
      </c>
    </row>
    <row r="22" spans="1:14" ht="15.75" thickBot="1" x14ac:dyDescent="0.3">
      <c r="A22" s="302">
        <v>20</v>
      </c>
      <c r="B22" s="59" t="s">
        <v>34</v>
      </c>
      <c r="C22" s="60"/>
      <c r="D22" s="61"/>
      <c r="E22" s="62"/>
      <c r="F22" s="107">
        <f>F20+F21</f>
        <v>211840854.192</v>
      </c>
      <c r="G22" s="322">
        <f>191651022.492*1.15</f>
        <v>220398675.86579999</v>
      </c>
      <c r="I22" s="302">
        <v>20</v>
      </c>
      <c r="J22" s="59" t="s">
        <v>34</v>
      </c>
      <c r="K22" s="60"/>
      <c r="L22" s="296"/>
      <c r="M22" s="62"/>
      <c r="N22" s="107">
        <f>N20+N21</f>
        <v>211246219.824</v>
      </c>
    </row>
    <row r="24" spans="1:14" ht="3.75" customHeight="1" x14ac:dyDescent="0.25">
      <c r="A24"/>
      <c r="B24" s="309"/>
      <c r="C24" s="309"/>
      <c r="D24" s="309"/>
      <c r="E24" s="308"/>
      <c r="F24" s="271"/>
      <c r="G24" s="271"/>
      <c r="H24" s="271"/>
      <c r="I24"/>
      <c r="J24" s="309"/>
      <c r="K24" s="309"/>
      <c r="L24" s="308"/>
      <c r="M24" s="308"/>
      <c r="N24" s="271"/>
    </row>
    <row r="25" spans="1:14" ht="37.5" customHeight="1" x14ac:dyDescent="0.25">
      <c r="A25"/>
      <c r="B25" s="412" t="s">
        <v>190</v>
      </c>
      <c r="C25" s="412"/>
      <c r="D25" s="412"/>
      <c r="E25" s="308"/>
      <c r="F25" s="271">
        <f>F22/D13</f>
        <v>101943.41075560244</v>
      </c>
      <c r="G25" s="271"/>
      <c r="H25" s="271"/>
      <c r="I25"/>
      <c r="J25" s="271"/>
      <c r="K25" s="271"/>
      <c r="L25" s="308"/>
      <c r="M25" s="308"/>
      <c r="N25" s="271">
        <f>N22/L13</f>
        <v>101657.25700184406</v>
      </c>
    </row>
    <row r="28" spans="1:14" x14ac:dyDescent="0.25">
      <c r="B28" t="s">
        <v>205</v>
      </c>
    </row>
  </sheetData>
  <mergeCells count="26">
    <mergeCell ref="A1:F1"/>
    <mergeCell ref="D3:E3"/>
    <mergeCell ref="D8:E8"/>
    <mergeCell ref="D9:E9"/>
    <mergeCell ref="D2:E2"/>
    <mergeCell ref="B25:D25"/>
    <mergeCell ref="D12:E12"/>
    <mergeCell ref="D11:E11"/>
    <mergeCell ref="D10:E10"/>
    <mergeCell ref="D4:E4"/>
    <mergeCell ref="D5:E5"/>
    <mergeCell ref="D6:E6"/>
    <mergeCell ref="D7:E7"/>
    <mergeCell ref="L20:M20"/>
    <mergeCell ref="J1:N1"/>
    <mergeCell ref="L2:M2"/>
    <mergeCell ref="L10:M10"/>
    <mergeCell ref="L11:M11"/>
    <mergeCell ref="L12:M12"/>
    <mergeCell ref="L8:M8"/>
    <mergeCell ref="L9:M9"/>
    <mergeCell ref="L3:M3"/>
    <mergeCell ref="L4:M4"/>
    <mergeCell ref="L5:M5"/>
    <mergeCell ref="L6:M6"/>
    <mergeCell ref="L7:M7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5FFB-5A5C-45B4-B3F5-D5A9339411B8}">
  <sheetPr>
    <tabColor rgb="FFFF0000"/>
  </sheetPr>
  <dimension ref="A1:DG27"/>
  <sheetViews>
    <sheetView zoomScale="90" zoomScaleNormal="90" workbookViewId="0">
      <selection activeCell="F27" sqref="F27"/>
    </sheetView>
  </sheetViews>
  <sheetFormatPr defaultRowHeight="15" x14ac:dyDescent="0.25"/>
  <cols>
    <col min="1" max="1" width="3.140625" style="307" customWidth="1"/>
    <col min="2" max="2" width="23.85546875" customWidth="1"/>
    <col min="3" max="3" width="7.28515625" customWidth="1"/>
    <col min="4" max="4" width="8.5703125" customWidth="1"/>
    <col min="5" max="5" width="4.28515625" customWidth="1"/>
    <col min="6" max="6" width="16.28515625" customWidth="1"/>
    <col min="7" max="7" width="8.5703125" customWidth="1"/>
    <col min="8" max="8" width="6.28515625" customWidth="1"/>
    <col min="9" max="9" width="18.28515625" customWidth="1"/>
    <col min="10" max="10" width="8.5703125" customWidth="1"/>
    <col min="11" max="11" width="5.7109375" customWidth="1"/>
    <col min="12" max="12" width="18.140625" customWidth="1"/>
    <col min="13" max="13" width="8.7109375" customWidth="1"/>
    <col min="14" max="14" width="6.28515625" customWidth="1"/>
    <col min="15" max="15" width="18.140625" customWidth="1"/>
    <col min="16" max="16" width="8.85546875" customWidth="1"/>
    <col min="17" max="17" width="6.28515625" customWidth="1"/>
    <col min="18" max="18" width="19.5703125" customWidth="1"/>
    <col min="19" max="19" width="9.5703125" customWidth="1"/>
    <col min="20" max="20" width="5.28515625" customWidth="1"/>
    <col min="21" max="21" width="18.28515625" customWidth="1"/>
    <col min="22" max="22" width="8.7109375" customWidth="1"/>
    <col min="23" max="23" width="6" customWidth="1"/>
    <col min="24" max="24" width="17.7109375" customWidth="1"/>
    <col min="25" max="25" width="8.85546875" customWidth="1"/>
    <col min="26" max="26" width="5.28515625" customWidth="1"/>
    <col min="27" max="27" width="20.85546875" customWidth="1"/>
  </cols>
  <sheetData>
    <row r="1" spans="1:111" ht="51.75" customHeight="1" thickBot="1" x14ac:dyDescent="0.3">
      <c r="A1" s="440" t="s">
        <v>165</v>
      </c>
      <c r="B1" s="441"/>
      <c r="C1" s="441"/>
      <c r="D1" s="441"/>
      <c r="E1" s="441"/>
      <c r="F1" s="442"/>
      <c r="G1" s="440" t="s">
        <v>178</v>
      </c>
      <c r="H1" s="441"/>
      <c r="I1" s="442"/>
      <c r="J1" s="450" t="s">
        <v>179</v>
      </c>
      <c r="K1" s="451"/>
      <c r="L1" s="452"/>
      <c r="M1" s="450" t="s">
        <v>180</v>
      </c>
      <c r="N1" s="451"/>
      <c r="O1" s="452"/>
      <c r="P1" s="450" t="s">
        <v>181</v>
      </c>
      <c r="Q1" s="451"/>
      <c r="R1" s="452"/>
      <c r="S1" s="450" t="s">
        <v>182</v>
      </c>
      <c r="T1" s="451"/>
      <c r="U1" s="452"/>
      <c r="V1" s="450" t="s">
        <v>183</v>
      </c>
      <c r="W1" s="451"/>
      <c r="X1" s="452"/>
      <c r="Y1" s="450" t="s">
        <v>184</v>
      </c>
      <c r="Z1" s="451"/>
      <c r="AA1" s="452"/>
    </row>
    <row r="2" spans="1:111" ht="27.75" customHeight="1" thickBot="1" x14ac:dyDescent="0.3">
      <c r="A2" s="297" t="s">
        <v>58</v>
      </c>
      <c r="B2" s="55" t="s">
        <v>73</v>
      </c>
      <c r="C2" s="315" t="s">
        <v>18</v>
      </c>
      <c r="D2" s="379" t="s">
        <v>21</v>
      </c>
      <c r="E2" s="380"/>
      <c r="F2" s="57" t="s">
        <v>32</v>
      </c>
      <c r="G2" s="436" t="s">
        <v>21</v>
      </c>
      <c r="H2" s="380"/>
      <c r="I2" s="57" t="s">
        <v>32</v>
      </c>
      <c r="J2" s="436" t="s">
        <v>21</v>
      </c>
      <c r="K2" s="380"/>
      <c r="L2" s="57" t="s">
        <v>32</v>
      </c>
      <c r="M2" s="436" t="s">
        <v>21</v>
      </c>
      <c r="N2" s="380"/>
      <c r="O2" s="57" t="s">
        <v>32</v>
      </c>
      <c r="P2" s="436" t="s">
        <v>21</v>
      </c>
      <c r="Q2" s="380"/>
      <c r="R2" s="57" t="s">
        <v>32</v>
      </c>
      <c r="S2" s="436" t="s">
        <v>21</v>
      </c>
      <c r="T2" s="380"/>
      <c r="U2" s="57" t="s">
        <v>32</v>
      </c>
      <c r="V2" s="436" t="s">
        <v>21</v>
      </c>
      <c r="W2" s="380"/>
      <c r="X2" s="57" t="s">
        <v>32</v>
      </c>
      <c r="Y2" s="436" t="s">
        <v>21</v>
      </c>
      <c r="Z2" s="380"/>
      <c r="AA2" s="57" t="s">
        <v>32</v>
      </c>
    </row>
    <row r="3" spans="1:111" x14ac:dyDescent="0.25">
      <c r="A3" s="298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  <c r="G3" s="443">
        <v>292.42</v>
      </c>
      <c r="H3" s="444"/>
      <c r="I3" s="86">
        <v>7165777.4999999963</v>
      </c>
      <c r="J3" s="447">
        <v>1791.69</v>
      </c>
      <c r="K3" s="393"/>
      <c r="L3" s="421">
        <v>139860049.75999999</v>
      </c>
      <c r="M3" s="447">
        <v>1791.69</v>
      </c>
      <c r="N3" s="393"/>
      <c r="O3" s="421">
        <v>139860049.75999999</v>
      </c>
      <c r="P3" s="447">
        <v>1791.69</v>
      </c>
      <c r="Q3" s="393"/>
      <c r="R3" s="421">
        <v>139860049.75999999</v>
      </c>
      <c r="S3" s="447">
        <v>1791.69</v>
      </c>
      <c r="T3" s="393"/>
      <c r="U3" s="421">
        <v>139860049.75999999</v>
      </c>
      <c r="V3" s="447">
        <v>1791.69</v>
      </c>
      <c r="W3" s="393"/>
      <c r="X3" s="421">
        <v>139860049.75999999</v>
      </c>
      <c r="Y3" s="447">
        <v>1791.69</v>
      </c>
      <c r="Z3" s="393"/>
      <c r="AA3" s="421">
        <v>139860049.75999999</v>
      </c>
    </row>
    <row r="4" spans="1:111" ht="45" x14ac:dyDescent="0.25">
      <c r="A4" s="299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  <c r="G4" s="445">
        <f>941.29+53.14</f>
        <v>994.43</v>
      </c>
      <c r="H4" s="399"/>
      <c r="I4" s="89">
        <f>39932164.78+2234339.1</f>
        <v>42166503.880000003</v>
      </c>
      <c r="J4" s="448"/>
      <c r="K4" s="395"/>
      <c r="L4" s="422"/>
      <c r="M4" s="448"/>
      <c r="N4" s="395"/>
      <c r="O4" s="422"/>
      <c r="P4" s="448"/>
      <c r="Q4" s="395"/>
      <c r="R4" s="422"/>
      <c r="S4" s="448"/>
      <c r="T4" s="395"/>
      <c r="U4" s="422"/>
      <c r="V4" s="448"/>
      <c r="W4" s="395"/>
      <c r="X4" s="422"/>
      <c r="Y4" s="448"/>
      <c r="Z4" s="395"/>
      <c r="AA4" s="422"/>
    </row>
    <row r="5" spans="1:111" ht="30" x14ac:dyDescent="0.25">
      <c r="A5" s="299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  <c r="G5" s="445">
        <v>213.17</v>
      </c>
      <c r="H5" s="399"/>
      <c r="I5" s="89">
        <v>22336213.16</v>
      </c>
      <c r="J5" s="448"/>
      <c r="K5" s="395"/>
      <c r="L5" s="422"/>
      <c r="M5" s="448"/>
      <c r="N5" s="395"/>
      <c r="O5" s="422"/>
      <c r="P5" s="448"/>
      <c r="Q5" s="395"/>
      <c r="R5" s="422"/>
      <c r="S5" s="448"/>
      <c r="T5" s="395"/>
      <c r="U5" s="422"/>
      <c r="V5" s="448"/>
      <c r="W5" s="395"/>
      <c r="X5" s="422"/>
      <c r="Y5" s="448"/>
      <c r="Z5" s="395"/>
      <c r="AA5" s="422"/>
    </row>
    <row r="6" spans="1:111" x14ac:dyDescent="0.25">
      <c r="A6" s="299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  <c r="G6" s="445">
        <v>61.69</v>
      </c>
      <c r="H6" s="399"/>
      <c r="I6" s="89">
        <v>3714903.1500000004</v>
      </c>
      <c r="J6" s="448"/>
      <c r="K6" s="395"/>
      <c r="L6" s="422"/>
      <c r="M6" s="448"/>
      <c r="N6" s="395"/>
      <c r="O6" s="422"/>
      <c r="P6" s="448"/>
      <c r="Q6" s="395"/>
      <c r="R6" s="422"/>
      <c r="S6" s="448"/>
      <c r="T6" s="395"/>
      <c r="U6" s="422"/>
      <c r="V6" s="448"/>
      <c r="W6" s="395"/>
      <c r="X6" s="422"/>
      <c r="Y6" s="448"/>
      <c r="Z6" s="395"/>
      <c r="AA6" s="422"/>
    </row>
    <row r="7" spans="1:111" ht="30" x14ac:dyDescent="0.25">
      <c r="A7" s="299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  <c r="G7" s="445">
        <v>41.95</v>
      </c>
      <c r="H7" s="399"/>
      <c r="I7" s="89">
        <v>2839000</v>
      </c>
      <c r="J7" s="448"/>
      <c r="K7" s="395"/>
      <c r="L7" s="422"/>
      <c r="M7" s="448"/>
      <c r="N7" s="395"/>
      <c r="O7" s="422"/>
      <c r="P7" s="448"/>
      <c r="Q7" s="395"/>
      <c r="R7" s="422"/>
      <c r="S7" s="448"/>
      <c r="T7" s="395"/>
      <c r="U7" s="422"/>
      <c r="V7" s="448"/>
      <c r="W7" s="395"/>
      <c r="X7" s="422"/>
      <c r="Y7" s="448"/>
      <c r="Z7" s="395"/>
      <c r="AA7" s="422"/>
    </row>
    <row r="8" spans="1:111" x14ac:dyDescent="0.25">
      <c r="A8" s="299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  <c r="G8" s="445">
        <v>182.95</v>
      </c>
      <c r="H8" s="399"/>
      <c r="I8" s="89">
        <v>13647239.470000003</v>
      </c>
      <c r="J8" s="448"/>
      <c r="K8" s="395"/>
      <c r="L8" s="422"/>
      <c r="M8" s="448"/>
      <c r="N8" s="395"/>
      <c r="O8" s="422"/>
      <c r="P8" s="448"/>
      <c r="Q8" s="395"/>
      <c r="R8" s="422"/>
      <c r="S8" s="448"/>
      <c r="T8" s="395"/>
      <c r="U8" s="422"/>
      <c r="V8" s="448"/>
      <c r="W8" s="395"/>
      <c r="X8" s="422"/>
      <c r="Y8" s="448"/>
      <c r="Z8" s="395"/>
      <c r="AA8" s="422"/>
    </row>
    <row r="9" spans="1:111" ht="15.75" thickBot="1" x14ac:dyDescent="0.3">
      <c r="A9" s="300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  <c r="G9" s="446">
        <v>5.08</v>
      </c>
      <c r="H9" s="401"/>
      <c r="I9" s="92">
        <v>831105.78</v>
      </c>
      <c r="J9" s="449"/>
      <c r="K9" s="397"/>
      <c r="L9" s="423"/>
      <c r="M9" s="449"/>
      <c r="N9" s="397"/>
      <c r="O9" s="423"/>
      <c r="P9" s="449"/>
      <c r="Q9" s="397"/>
      <c r="R9" s="423"/>
      <c r="S9" s="449"/>
      <c r="T9" s="397"/>
      <c r="U9" s="423"/>
      <c r="V9" s="449"/>
      <c r="W9" s="397"/>
      <c r="X9" s="423"/>
      <c r="Y9" s="449"/>
      <c r="Z9" s="397"/>
      <c r="AA9" s="423"/>
    </row>
    <row r="10" spans="1:111" s="312" customFormat="1" ht="27" customHeight="1" thickTop="1" x14ac:dyDescent="0.25">
      <c r="A10" s="310">
        <v>8</v>
      </c>
      <c r="B10" s="311" t="s">
        <v>187</v>
      </c>
      <c r="C10" s="42" t="s">
        <v>29</v>
      </c>
      <c r="D10" s="413" t="s">
        <v>162</v>
      </c>
      <c r="E10" s="414"/>
      <c r="F10" s="43">
        <v>3704032.4099999992</v>
      </c>
      <c r="G10" s="437" t="s">
        <v>185</v>
      </c>
      <c r="H10" s="416"/>
      <c r="I10" s="43">
        <v>3807347.4499999997</v>
      </c>
      <c r="J10" s="437" t="s">
        <v>185</v>
      </c>
      <c r="K10" s="416"/>
      <c r="L10" s="43">
        <v>3807347.4499999997</v>
      </c>
      <c r="M10" s="437" t="s">
        <v>185</v>
      </c>
      <c r="N10" s="416"/>
      <c r="O10" s="43">
        <v>3807347.4499999997</v>
      </c>
      <c r="P10" s="437" t="s">
        <v>185</v>
      </c>
      <c r="Q10" s="416"/>
      <c r="R10" s="43">
        <v>3807347.4499999997</v>
      </c>
      <c r="S10" s="437" t="s">
        <v>185</v>
      </c>
      <c r="T10" s="416"/>
      <c r="U10" s="43">
        <v>3807347.4499999997</v>
      </c>
      <c r="V10" s="437" t="s">
        <v>185</v>
      </c>
      <c r="W10" s="416"/>
      <c r="X10" s="43">
        <v>3807347.4499999997</v>
      </c>
      <c r="Y10" s="437" t="s">
        <v>185</v>
      </c>
      <c r="Z10" s="416"/>
      <c r="AA10" s="43">
        <v>3807347.4499999997</v>
      </c>
    </row>
    <row r="11" spans="1:111" s="312" customFormat="1" ht="24.75" customHeight="1" x14ac:dyDescent="0.25">
      <c r="A11" s="313">
        <v>9</v>
      </c>
      <c r="B11" s="314" t="s">
        <v>28</v>
      </c>
      <c r="C11" s="40" t="s">
        <v>29</v>
      </c>
      <c r="D11" s="417" t="s">
        <v>163</v>
      </c>
      <c r="E11" s="418"/>
      <c r="F11" s="29">
        <v>15227354.290000003</v>
      </c>
      <c r="G11" s="438" t="s">
        <v>186</v>
      </c>
      <c r="H11" s="420"/>
      <c r="I11" s="29">
        <v>14168223.84</v>
      </c>
      <c r="J11" s="438" t="s">
        <v>186</v>
      </c>
      <c r="K11" s="420"/>
      <c r="L11" s="29">
        <v>14168223.84</v>
      </c>
      <c r="M11" s="438" t="s">
        <v>186</v>
      </c>
      <c r="N11" s="420"/>
      <c r="O11" s="29">
        <v>14168223.84</v>
      </c>
      <c r="P11" s="438" t="s">
        <v>186</v>
      </c>
      <c r="Q11" s="420"/>
      <c r="R11" s="29">
        <v>14168223.84</v>
      </c>
      <c r="S11" s="438" t="s">
        <v>186</v>
      </c>
      <c r="T11" s="420"/>
      <c r="U11" s="29">
        <v>14168223.84</v>
      </c>
      <c r="V11" s="438" t="s">
        <v>186</v>
      </c>
      <c r="W11" s="420"/>
      <c r="X11" s="29">
        <v>14168223.84</v>
      </c>
      <c r="Y11" s="438" t="s">
        <v>186</v>
      </c>
      <c r="Z11" s="420"/>
      <c r="AA11" s="29">
        <v>14168223.84</v>
      </c>
    </row>
    <row r="12" spans="1:111" s="291" customFormat="1" ht="25.5" customHeight="1" thickBot="1" x14ac:dyDescent="0.3">
      <c r="A12" s="301">
        <v>10</v>
      </c>
      <c r="B12" s="289" t="s">
        <v>17</v>
      </c>
      <c r="C12" s="290" t="s">
        <v>20</v>
      </c>
      <c r="D12" s="408">
        <f>47.6596*100</f>
        <v>4765.96</v>
      </c>
      <c r="E12" s="409"/>
      <c r="F12" s="33">
        <v>1105733.3899999999</v>
      </c>
      <c r="G12" s="439">
        <v>4765.96</v>
      </c>
      <c r="H12" s="409"/>
      <c r="I12" s="33">
        <v>1105733.3899999999</v>
      </c>
      <c r="J12" s="439">
        <v>4765.96</v>
      </c>
      <c r="K12" s="409"/>
      <c r="L12" s="33">
        <v>1105733.3899999999</v>
      </c>
      <c r="M12" s="439">
        <v>4765.96</v>
      </c>
      <c r="N12" s="409"/>
      <c r="O12" s="33">
        <v>1105733.3899999999</v>
      </c>
      <c r="P12" s="439">
        <v>4765.96</v>
      </c>
      <c r="Q12" s="409"/>
      <c r="R12" s="33">
        <v>1105733.3899999999</v>
      </c>
      <c r="S12" s="439">
        <v>4765.96</v>
      </c>
      <c r="T12" s="409"/>
      <c r="U12" s="33">
        <v>1105733.3899999999</v>
      </c>
      <c r="V12" s="439">
        <v>4765.96</v>
      </c>
      <c r="W12" s="409"/>
      <c r="X12" s="33">
        <v>1105733.3899999999</v>
      </c>
      <c r="Y12" s="439">
        <v>4765.96</v>
      </c>
      <c r="Z12" s="409"/>
      <c r="AA12" s="33">
        <v>1105733.3899999999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 ht="16.5" thickTop="1" thickBot="1" x14ac:dyDescent="0.3">
      <c r="A13" s="302">
        <v>11</v>
      </c>
      <c r="B13" s="59" t="s">
        <v>22</v>
      </c>
      <c r="C13" s="60"/>
      <c r="D13" s="270">
        <f>SUM(D3:E9)</f>
        <v>2078.0239999999999</v>
      </c>
      <c r="E13" s="62" t="s">
        <v>19</v>
      </c>
      <c r="F13" s="63">
        <f>SUM(F3:F12)</f>
        <v>129627003.12</v>
      </c>
      <c r="G13" s="292">
        <f>SUM(G3:H9)</f>
        <v>1791.69</v>
      </c>
      <c r="H13" s="62" t="s">
        <v>19</v>
      </c>
      <c r="I13" s="63">
        <f>SUM(I3:I12)</f>
        <v>111782047.62</v>
      </c>
      <c r="J13" s="292">
        <f>SUM(J3:K9)</f>
        <v>1791.69</v>
      </c>
      <c r="K13" s="62" t="s">
        <v>19</v>
      </c>
      <c r="L13" s="63">
        <f>SUM(L3:L12)</f>
        <v>158941354.43999997</v>
      </c>
      <c r="M13" s="292">
        <f>SUM(M3:N9)</f>
        <v>1791.69</v>
      </c>
      <c r="N13" s="62" t="s">
        <v>19</v>
      </c>
      <c r="O13" s="63">
        <f>SUM(O3:O12)</f>
        <v>158941354.43999997</v>
      </c>
      <c r="P13" s="292">
        <f>SUM(P3:Q9)</f>
        <v>1791.69</v>
      </c>
      <c r="Q13" s="62" t="s">
        <v>19</v>
      </c>
      <c r="R13" s="63">
        <f>SUM(R3:R12)</f>
        <v>158941354.43999997</v>
      </c>
      <c r="S13" s="292">
        <f>SUM(S3:T9)</f>
        <v>1791.69</v>
      </c>
      <c r="T13" s="62" t="s">
        <v>19</v>
      </c>
      <c r="U13" s="63">
        <f>SUM(U3:U12)</f>
        <v>158941354.43999997</v>
      </c>
      <c r="V13" s="292">
        <f>SUM(V3:W9)</f>
        <v>1791.69</v>
      </c>
      <c r="W13" s="62" t="s">
        <v>19</v>
      </c>
      <c r="X13" s="63">
        <f>SUM(X3:X12)</f>
        <v>158941354.43999997</v>
      </c>
      <c r="Y13" s="292">
        <f>SUM(Y3:Z9)</f>
        <v>1791.69</v>
      </c>
      <c r="Z13" s="62" t="s">
        <v>19</v>
      </c>
      <c r="AA13" s="63">
        <f>SUM(AA3:AA12)</f>
        <v>158941354.43999997</v>
      </c>
    </row>
    <row r="14" spans="1:111" ht="30.75" thickBot="1" x14ac:dyDescent="0.3">
      <c r="A14" s="303">
        <v>12</v>
      </c>
      <c r="B14" s="58" t="s">
        <v>172</v>
      </c>
      <c r="C14" s="41"/>
      <c r="D14" s="45"/>
      <c r="E14" s="46"/>
      <c r="F14" s="316">
        <v>0</v>
      </c>
      <c r="G14" s="317"/>
      <c r="H14" s="318"/>
      <c r="I14" s="316">
        <v>0</v>
      </c>
      <c r="J14" s="317"/>
      <c r="K14" s="318"/>
      <c r="L14" s="316">
        <v>0</v>
      </c>
      <c r="M14" s="317"/>
      <c r="N14" s="318"/>
      <c r="O14" s="316">
        <v>0</v>
      </c>
      <c r="P14" s="293"/>
      <c r="Q14" s="46"/>
      <c r="R14" s="272">
        <v>9428605.6600000001</v>
      </c>
      <c r="S14" s="293"/>
      <c r="T14" s="46"/>
      <c r="U14" s="272">
        <v>9428605.6600000001</v>
      </c>
      <c r="V14" s="293"/>
      <c r="W14" s="46"/>
      <c r="X14" s="272">
        <v>9428605.6600000001</v>
      </c>
      <c r="Y14" s="293"/>
      <c r="Z14" s="46"/>
      <c r="AA14" s="272">
        <v>9428605.6600000001</v>
      </c>
    </row>
    <row r="15" spans="1:111" ht="21.75" customHeight="1" thickBot="1" x14ac:dyDescent="0.3">
      <c r="A15" s="302">
        <v>13</v>
      </c>
      <c r="B15" s="59" t="s">
        <v>22</v>
      </c>
      <c r="C15" s="60"/>
      <c r="D15" s="45"/>
      <c r="E15" s="62"/>
      <c r="F15" s="287">
        <v>0</v>
      </c>
      <c r="G15" s="293"/>
      <c r="H15" s="62"/>
      <c r="I15" s="287">
        <v>0</v>
      </c>
      <c r="J15" s="293"/>
      <c r="K15" s="62"/>
      <c r="L15" s="287">
        <v>0</v>
      </c>
      <c r="M15" s="293"/>
      <c r="N15" s="62"/>
      <c r="O15" s="287">
        <v>0</v>
      </c>
      <c r="P15" s="293"/>
      <c r="Q15" s="62"/>
      <c r="R15" s="63">
        <f>R13+R14</f>
        <v>168369960.09999996</v>
      </c>
      <c r="S15" s="293"/>
      <c r="T15" s="62"/>
      <c r="U15" s="63">
        <f>U13+U14</f>
        <v>168369960.09999996</v>
      </c>
      <c r="V15" s="293"/>
      <c r="W15" s="62"/>
      <c r="X15" s="63">
        <f>X13+X14</f>
        <v>168369960.09999996</v>
      </c>
      <c r="Y15" s="293"/>
      <c r="Z15" s="62"/>
      <c r="AA15" s="63">
        <f>AA13+AA14</f>
        <v>168369960.09999996</v>
      </c>
    </row>
    <row r="16" spans="1:111" ht="30.75" thickBot="1" x14ac:dyDescent="0.3">
      <c r="A16" s="303">
        <v>14</v>
      </c>
      <c r="B16" s="58" t="s">
        <v>23</v>
      </c>
      <c r="C16" s="41"/>
      <c r="D16" s="45"/>
      <c r="E16" s="46"/>
      <c r="F16" s="272">
        <f>F13*0.03</f>
        <v>3888810.0935999998</v>
      </c>
      <c r="G16" s="293"/>
      <c r="H16" s="46"/>
      <c r="I16" s="272">
        <f>I13*0.03</f>
        <v>3353461.4286000002</v>
      </c>
      <c r="J16" s="293"/>
      <c r="K16" s="46"/>
      <c r="L16" s="272">
        <f>L13*0.03</f>
        <v>4768240.6331999991</v>
      </c>
      <c r="M16" s="293"/>
      <c r="N16" s="46"/>
      <c r="O16" s="272">
        <f>O13*0.03</f>
        <v>4768240.6331999991</v>
      </c>
      <c r="P16" s="293"/>
      <c r="Q16" s="46"/>
      <c r="R16" s="272">
        <f>R15*0.03</f>
        <v>5051098.8029999984</v>
      </c>
      <c r="S16" s="293"/>
      <c r="T16" s="46"/>
      <c r="U16" s="272">
        <f>U15*0.03</f>
        <v>5051098.8029999984</v>
      </c>
      <c r="V16" s="293"/>
      <c r="W16" s="46"/>
      <c r="X16" s="272">
        <f>X15*0.03</f>
        <v>5051098.8029999984</v>
      </c>
      <c r="Y16" s="293"/>
      <c r="Z16" s="46"/>
      <c r="AA16" s="272">
        <f>AA15*0.03</f>
        <v>5051098.8029999984</v>
      </c>
    </row>
    <row r="17" spans="1:35" ht="28.5" customHeight="1" x14ac:dyDescent="0.25">
      <c r="A17" s="304">
        <v>15</v>
      </c>
      <c r="B17" s="265" t="s">
        <v>36</v>
      </c>
      <c r="C17" s="266"/>
      <c r="D17" s="267"/>
      <c r="E17" s="268"/>
      <c r="F17" s="269">
        <f>F13+F16</f>
        <v>133515813.21360001</v>
      </c>
      <c r="G17" s="294"/>
      <c r="H17" s="268"/>
      <c r="I17" s="269">
        <f>I13+I16</f>
        <v>115135509.0486</v>
      </c>
      <c r="J17" s="294"/>
      <c r="K17" s="268"/>
      <c r="L17" s="269">
        <f>L13+L16</f>
        <v>163709595.07319996</v>
      </c>
      <c r="M17" s="294"/>
      <c r="N17" s="268"/>
      <c r="O17" s="269">
        <f>O13+O16</f>
        <v>163709595.07319996</v>
      </c>
      <c r="P17" s="294"/>
      <c r="Q17" s="268"/>
      <c r="R17" s="269">
        <f>R15+R16</f>
        <v>173421058.90299997</v>
      </c>
      <c r="S17" s="294"/>
      <c r="T17" s="268"/>
      <c r="U17" s="269">
        <f>U15+U16</f>
        <v>173421058.90299997</v>
      </c>
      <c r="V17" s="294"/>
      <c r="W17" s="268"/>
      <c r="X17" s="269">
        <f>X15+X16</f>
        <v>173421058.90299997</v>
      </c>
      <c r="Y17" s="294"/>
      <c r="Z17" s="268"/>
      <c r="AA17" s="269">
        <f>AA15+AA16</f>
        <v>173421058.90299997</v>
      </c>
    </row>
    <row r="18" spans="1:35" ht="45" x14ac:dyDescent="0.25">
      <c r="A18" s="305">
        <v>16</v>
      </c>
      <c r="B18" s="282" t="s">
        <v>191</v>
      </c>
      <c r="C18" s="283"/>
      <c r="D18" s="276"/>
      <c r="E18" s="284"/>
      <c r="F18" s="288">
        <v>0</v>
      </c>
      <c r="G18" s="295"/>
      <c r="H18" s="284"/>
      <c r="I18" s="288">
        <v>0</v>
      </c>
      <c r="J18" s="295"/>
      <c r="K18" s="284"/>
      <c r="L18" s="288">
        <v>0</v>
      </c>
      <c r="M18" s="295"/>
      <c r="N18" s="284"/>
      <c r="O18" s="288">
        <v>0</v>
      </c>
      <c r="P18" s="295"/>
      <c r="Q18" s="284"/>
      <c r="R18" s="288">
        <v>0</v>
      </c>
      <c r="S18" s="295"/>
      <c r="T18" s="284"/>
      <c r="U18" s="288">
        <v>0</v>
      </c>
      <c r="V18" s="295"/>
      <c r="W18" s="284"/>
      <c r="X18" s="288">
        <v>183826324.21000001</v>
      </c>
      <c r="Y18" s="295"/>
      <c r="Z18" s="284"/>
      <c r="AA18" s="288">
        <v>183826324.21000001</v>
      </c>
    </row>
    <row r="19" spans="1:35" ht="30.75" customHeight="1" thickBot="1" x14ac:dyDescent="0.3">
      <c r="A19" s="306">
        <v>17</v>
      </c>
      <c r="B19" s="64" t="s">
        <v>155</v>
      </c>
      <c r="C19" s="48"/>
      <c r="D19" s="65"/>
      <c r="E19" s="44"/>
      <c r="F19" s="66">
        <v>159709185.41</v>
      </c>
      <c r="G19" s="435" t="s">
        <v>155</v>
      </c>
      <c r="H19" s="411"/>
      <c r="I19" s="66">
        <v>137606949.4666667</v>
      </c>
      <c r="J19" s="435" t="s">
        <v>169</v>
      </c>
      <c r="K19" s="411"/>
      <c r="L19" s="66">
        <v>137606949.4666667</v>
      </c>
      <c r="M19" s="435" t="s">
        <v>171</v>
      </c>
      <c r="N19" s="411"/>
      <c r="O19" s="66">
        <v>159709185.41</v>
      </c>
      <c r="P19" s="435" t="s">
        <v>169</v>
      </c>
      <c r="Q19" s="411"/>
      <c r="R19" s="66">
        <v>147270803.80000001</v>
      </c>
      <c r="S19" s="435" t="s">
        <v>171</v>
      </c>
      <c r="T19" s="411"/>
      <c r="U19" s="66">
        <v>169413352.53</v>
      </c>
      <c r="V19" s="435" t="s">
        <v>169</v>
      </c>
      <c r="W19" s="411"/>
      <c r="X19" s="66">
        <v>157676066.63</v>
      </c>
      <c r="Y19" s="435" t="s">
        <v>171</v>
      </c>
      <c r="Z19" s="411"/>
      <c r="AA19" s="66">
        <v>179818616.16</v>
      </c>
    </row>
    <row r="20" spans="1:35" ht="25.5" customHeight="1" thickBot="1" x14ac:dyDescent="0.3">
      <c r="A20" s="303">
        <v>18.190000000000001</v>
      </c>
      <c r="B20" s="58" t="s">
        <v>33</v>
      </c>
      <c r="C20" s="41"/>
      <c r="D20" s="45"/>
      <c r="E20" s="46"/>
      <c r="F20" s="47">
        <v>31941837.082000002</v>
      </c>
      <c r="G20" s="293"/>
      <c r="H20" s="46"/>
      <c r="I20" s="47">
        <f>I19*0.2</f>
        <v>27521389.893333342</v>
      </c>
      <c r="J20" s="293"/>
      <c r="K20" s="46"/>
      <c r="L20" s="47">
        <f>L19*0.2</f>
        <v>27521389.893333342</v>
      </c>
      <c r="M20" s="293"/>
      <c r="N20" s="46"/>
      <c r="O20" s="47">
        <f>O19*0.2</f>
        <v>31941837.082000002</v>
      </c>
      <c r="P20" s="293"/>
      <c r="Q20" s="46"/>
      <c r="R20" s="47">
        <f>R19*0.2</f>
        <v>29454160.760000005</v>
      </c>
      <c r="S20" s="293"/>
      <c r="T20" s="46"/>
      <c r="U20" s="47">
        <f>U19*0.2</f>
        <v>33882670.506000005</v>
      </c>
      <c r="V20" s="293"/>
      <c r="W20" s="46"/>
      <c r="X20" s="47">
        <f>X19*0.2</f>
        <v>31535213.326000001</v>
      </c>
      <c r="Y20" s="293"/>
      <c r="Z20" s="46"/>
      <c r="AA20" s="47">
        <f>AA19*0.2</f>
        <v>35963723.232000001</v>
      </c>
    </row>
    <row r="21" spans="1:35" ht="15.75" thickBot="1" x14ac:dyDescent="0.3">
      <c r="A21" s="302">
        <v>19</v>
      </c>
      <c r="B21" s="59" t="s">
        <v>34</v>
      </c>
      <c r="C21" s="60"/>
      <c r="D21" s="61"/>
      <c r="E21" s="62"/>
      <c r="F21" s="107">
        <v>191651022.49200001</v>
      </c>
      <c r="G21" s="296"/>
      <c r="H21" s="62"/>
      <c r="I21" s="107">
        <f>I19+I20</f>
        <v>165128339.36000004</v>
      </c>
      <c r="J21" s="296"/>
      <c r="K21" s="62"/>
      <c r="L21" s="107">
        <f>L19+L20</f>
        <v>165128339.36000004</v>
      </c>
      <c r="M21" s="296"/>
      <c r="N21" s="62"/>
      <c r="O21" s="107">
        <f>O19+O20</f>
        <v>191651022.49199998</v>
      </c>
      <c r="P21" s="296"/>
      <c r="Q21" s="62"/>
      <c r="R21" s="107">
        <f>R19+R20</f>
        <v>176724964.56</v>
      </c>
      <c r="S21" s="296"/>
      <c r="T21" s="62"/>
      <c r="U21" s="107">
        <f>U19+U20</f>
        <v>203296023.03600001</v>
      </c>
      <c r="V21" s="296"/>
      <c r="W21" s="62"/>
      <c r="X21" s="107">
        <f>X19+X20</f>
        <v>189211279.956</v>
      </c>
      <c r="Y21" s="296"/>
      <c r="Z21" s="62"/>
      <c r="AA21" s="107">
        <f>AA19+AA20</f>
        <v>215782339.39199999</v>
      </c>
    </row>
    <row r="23" spans="1:35" ht="35.25" customHeight="1" x14ac:dyDescent="0.25">
      <c r="A23"/>
      <c r="B23" s="412" t="s">
        <v>188</v>
      </c>
      <c r="C23" s="412"/>
      <c r="D23" s="412"/>
      <c r="E23" s="308"/>
      <c r="F23" s="271">
        <v>75700.429999999993</v>
      </c>
      <c r="G23" s="39"/>
      <c r="H23" s="39"/>
      <c r="I23" s="271">
        <v>74204.92</v>
      </c>
      <c r="J23" s="308"/>
      <c r="K23" s="308"/>
      <c r="L23" s="271">
        <v>78736.899999999994</v>
      </c>
      <c r="M23" s="308"/>
      <c r="N23" s="308"/>
      <c r="O23" s="271">
        <v>91383.51</v>
      </c>
      <c r="P23" s="308"/>
      <c r="Q23" s="308"/>
      <c r="R23" s="271">
        <v>79547.56</v>
      </c>
      <c r="S23" s="308"/>
      <c r="T23" s="308"/>
      <c r="U23" s="271">
        <v>91507.75</v>
      </c>
      <c r="V23" s="308"/>
      <c r="W23" s="308"/>
      <c r="X23" s="271">
        <v>84240.866039999994</v>
      </c>
      <c r="Y23" s="308"/>
      <c r="Z23" s="308"/>
      <c r="AA23" s="271">
        <v>96998.215000000011</v>
      </c>
      <c r="AB23" s="308"/>
      <c r="AC23" s="308"/>
      <c r="AD23" s="308"/>
      <c r="AE23" s="308"/>
      <c r="AF23" s="308"/>
      <c r="AG23" s="308"/>
      <c r="AH23" s="308"/>
      <c r="AI23" s="308"/>
    </row>
    <row r="24" spans="1:35" ht="6.75" customHeight="1" x14ac:dyDescent="0.25">
      <c r="A24"/>
      <c r="B24" s="309"/>
      <c r="C24" s="309"/>
      <c r="D24" s="309"/>
      <c r="E24" s="308"/>
      <c r="F24" s="271"/>
      <c r="G24" s="39"/>
      <c r="H24" s="39"/>
      <c r="I24" s="271"/>
      <c r="J24" s="308"/>
      <c r="K24" s="308"/>
      <c r="L24" s="271"/>
      <c r="M24" s="308"/>
      <c r="N24" s="308"/>
      <c r="O24" s="271"/>
      <c r="P24" s="308"/>
      <c r="Q24" s="308"/>
      <c r="R24" s="271"/>
      <c r="S24" s="308"/>
      <c r="T24" s="308"/>
      <c r="U24" s="271"/>
      <c r="V24" s="308"/>
      <c r="W24" s="308"/>
      <c r="X24" s="271"/>
      <c r="Y24" s="308"/>
      <c r="Z24" s="308"/>
      <c r="AA24" s="271"/>
      <c r="AB24" s="308"/>
      <c r="AC24" s="308"/>
      <c r="AD24" s="308"/>
      <c r="AE24" s="308"/>
      <c r="AF24" s="308"/>
      <c r="AG24" s="308"/>
      <c r="AH24" s="308"/>
      <c r="AI24" s="308"/>
    </row>
    <row r="25" spans="1:35" ht="30.75" customHeight="1" x14ac:dyDescent="0.25">
      <c r="A25"/>
      <c r="B25" s="412" t="s">
        <v>189</v>
      </c>
      <c r="C25" s="412"/>
      <c r="D25" s="412"/>
      <c r="E25" s="308"/>
      <c r="F25" s="271">
        <v>89541.29</v>
      </c>
      <c r="G25" s="39"/>
      <c r="H25" s="39"/>
      <c r="I25" s="271">
        <v>89479.08</v>
      </c>
      <c r="J25" s="308"/>
      <c r="K25" s="308"/>
      <c r="L25" s="271">
        <v>89479.08</v>
      </c>
      <c r="M25" s="308"/>
      <c r="N25" s="308"/>
      <c r="O25" s="271">
        <v>103851.09</v>
      </c>
      <c r="P25" s="308"/>
      <c r="Q25" s="308"/>
      <c r="R25" s="271">
        <v>95763.01</v>
      </c>
      <c r="S25" s="308"/>
      <c r="T25" s="308"/>
      <c r="U25" s="271">
        <v>110161.23</v>
      </c>
      <c r="V25" s="308"/>
      <c r="W25" s="308"/>
      <c r="X25" s="271">
        <v>101413.02758999998</v>
      </c>
      <c r="Y25" s="308"/>
      <c r="Z25" s="308"/>
      <c r="AA25" s="271">
        <v>116770.9038</v>
      </c>
      <c r="AB25" s="308"/>
      <c r="AC25" s="308"/>
      <c r="AD25" s="308"/>
      <c r="AE25" s="308"/>
      <c r="AF25" s="308"/>
      <c r="AG25" s="308"/>
      <c r="AH25" s="308"/>
      <c r="AI25" s="308"/>
    </row>
    <row r="26" spans="1:35" ht="3.75" customHeight="1" x14ac:dyDescent="0.25">
      <c r="A26"/>
      <c r="B26" s="309"/>
      <c r="C26" s="309"/>
      <c r="D26" s="309"/>
      <c r="E26" s="308"/>
      <c r="F26" s="271"/>
      <c r="G26" s="39"/>
      <c r="H26" s="39"/>
      <c r="I26" s="271"/>
      <c r="J26" s="308"/>
      <c r="K26" s="308"/>
      <c r="L26" s="271"/>
      <c r="M26" s="308"/>
      <c r="N26" s="308"/>
      <c r="O26" s="271"/>
      <c r="P26" s="308"/>
      <c r="Q26" s="308"/>
      <c r="R26" s="271"/>
      <c r="S26" s="308"/>
      <c r="T26" s="308"/>
      <c r="U26" s="271"/>
      <c r="V26" s="308"/>
      <c r="W26" s="308"/>
      <c r="X26" s="271"/>
      <c r="Y26" s="308"/>
      <c r="Z26" s="308"/>
      <c r="AA26" s="271"/>
      <c r="AB26" s="308"/>
      <c r="AC26" s="308"/>
      <c r="AD26" s="308"/>
      <c r="AE26" s="308"/>
      <c r="AF26" s="308"/>
      <c r="AG26" s="308"/>
      <c r="AH26" s="308"/>
      <c r="AI26" s="308"/>
    </row>
    <row r="27" spans="1:35" ht="37.5" customHeight="1" x14ac:dyDescent="0.25">
      <c r="A27"/>
      <c r="B27" s="412" t="s">
        <v>190</v>
      </c>
      <c r="C27" s="412"/>
      <c r="D27" s="412"/>
      <c r="E27" s="308"/>
      <c r="F27" s="271">
        <f>F21/D13</f>
        <v>92227.530813888588</v>
      </c>
      <c r="G27" s="39"/>
      <c r="H27" s="39"/>
      <c r="I27" s="271">
        <f>I21/G13</f>
        <v>92163.45425827014</v>
      </c>
      <c r="J27" s="308"/>
      <c r="K27" s="308"/>
      <c r="L27" s="271">
        <f>L21/J13</f>
        <v>92163.45425827014</v>
      </c>
      <c r="M27" s="308"/>
      <c r="N27" s="308"/>
      <c r="O27" s="271">
        <f>O21/M13</f>
        <v>106966.6195000251</v>
      </c>
      <c r="P27" s="308"/>
      <c r="Q27" s="308"/>
      <c r="R27" s="271">
        <f>R21/P13</f>
        <v>98635.904961237713</v>
      </c>
      <c r="S27" s="308"/>
      <c r="T27" s="308"/>
      <c r="U27" s="271">
        <f>U21/S13</f>
        <v>113466.07004336688</v>
      </c>
      <c r="V27" s="308"/>
      <c r="W27" s="308"/>
      <c r="X27" s="271">
        <f>X21/V13</f>
        <v>105604.92046950085</v>
      </c>
      <c r="Y27" s="308"/>
      <c r="Z27" s="308"/>
      <c r="AA27" s="271">
        <f>AA21/Y13</f>
        <v>120435.086087437</v>
      </c>
      <c r="AB27" s="308"/>
      <c r="AC27" s="308"/>
      <c r="AD27" s="308"/>
      <c r="AE27" s="308"/>
      <c r="AF27" s="308"/>
      <c r="AG27" s="308"/>
      <c r="AH27" s="308"/>
      <c r="AI27" s="308"/>
    </row>
  </sheetData>
  <mergeCells count="76">
    <mergeCell ref="B27:D27"/>
    <mergeCell ref="Y12:Z12"/>
    <mergeCell ref="Y19:Z19"/>
    <mergeCell ref="B23:D23"/>
    <mergeCell ref="Y1:AA1"/>
    <mergeCell ref="Y2:Z2"/>
    <mergeCell ref="Y3:Z9"/>
    <mergeCell ref="AA3:AA9"/>
    <mergeCell ref="Y10:Z10"/>
    <mergeCell ref="Y11:Z11"/>
    <mergeCell ref="S12:T12"/>
    <mergeCell ref="S19:T19"/>
    <mergeCell ref="V1:X1"/>
    <mergeCell ref="V2:W2"/>
    <mergeCell ref="V3:W9"/>
    <mergeCell ref="X3:X9"/>
    <mergeCell ref="S1:U1"/>
    <mergeCell ref="S2:T2"/>
    <mergeCell ref="S3:T9"/>
    <mergeCell ref="U3:U9"/>
    <mergeCell ref="S10:T10"/>
    <mergeCell ref="P11:Q11"/>
    <mergeCell ref="P12:Q12"/>
    <mergeCell ref="P19:Q19"/>
    <mergeCell ref="V10:W10"/>
    <mergeCell ref="V11:W11"/>
    <mergeCell ref="V12:W12"/>
    <mergeCell ref="V19:W19"/>
    <mergeCell ref="S11:T11"/>
    <mergeCell ref="P1:R1"/>
    <mergeCell ref="P2:Q2"/>
    <mergeCell ref="P3:Q9"/>
    <mergeCell ref="R3:R9"/>
    <mergeCell ref="P10:Q10"/>
    <mergeCell ref="J19:K19"/>
    <mergeCell ref="J3:K9"/>
    <mergeCell ref="L3:L9"/>
    <mergeCell ref="M1:O1"/>
    <mergeCell ref="M2:N2"/>
    <mergeCell ref="M3:N9"/>
    <mergeCell ref="O3:O9"/>
    <mergeCell ref="M10:N10"/>
    <mergeCell ref="M11:N11"/>
    <mergeCell ref="M12:N12"/>
    <mergeCell ref="J10:K10"/>
    <mergeCell ref="J11:K11"/>
    <mergeCell ref="J12:K12"/>
    <mergeCell ref="J1:L1"/>
    <mergeCell ref="J2:K2"/>
    <mergeCell ref="M19:N19"/>
    <mergeCell ref="G10:H10"/>
    <mergeCell ref="G11:H11"/>
    <mergeCell ref="G12:H12"/>
    <mergeCell ref="G19:H19"/>
    <mergeCell ref="A1:F1"/>
    <mergeCell ref="G1:I1"/>
    <mergeCell ref="G2:H2"/>
    <mergeCell ref="G3:H3"/>
    <mergeCell ref="G4:H4"/>
    <mergeCell ref="G5:H5"/>
    <mergeCell ref="G6:H6"/>
    <mergeCell ref="G7:H7"/>
    <mergeCell ref="G8:H8"/>
    <mergeCell ref="G9:H9"/>
    <mergeCell ref="D2:E2"/>
    <mergeCell ref="D3:E3"/>
    <mergeCell ref="D4:E4"/>
    <mergeCell ref="D5:E5"/>
    <mergeCell ref="D6:E6"/>
    <mergeCell ref="D7:E7"/>
    <mergeCell ref="B25:D25"/>
    <mergeCell ref="D8:E8"/>
    <mergeCell ref="D9:E9"/>
    <mergeCell ref="D10:E10"/>
    <mergeCell ref="D11:E11"/>
    <mergeCell ref="D12:E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97A8-5CAF-4C45-B628-E95FAF3982B1}">
  <dimension ref="A1:P126"/>
  <sheetViews>
    <sheetView topLeftCell="A107" workbookViewId="0">
      <selection activeCell="G22" sqref="G22"/>
    </sheetView>
  </sheetViews>
  <sheetFormatPr defaultRowHeight="15" x14ac:dyDescent="0.25"/>
  <cols>
    <col min="1" max="1" width="7.85546875" customWidth="1"/>
    <col min="2" max="2" width="52.5703125" customWidth="1"/>
    <col min="3" max="3" width="7.7109375" customWidth="1"/>
    <col min="4" max="4" width="9.7109375" customWidth="1"/>
    <col min="5" max="5" width="4.85546875" customWidth="1"/>
    <col min="6" max="6" width="23" customWidth="1"/>
    <col min="7" max="7" width="29.140625" customWidth="1"/>
    <col min="8" max="8" width="22.7109375" customWidth="1"/>
    <col min="9" max="9" width="25.5703125" customWidth="1"/>
  </cols>
  <sheetData>
    <row r="1" spans="1:16" ht="15.75" thickBot="1" x14ac:dyDescent="0.3">
      <c r="A1" s="274" t="s">
        <v>165</v>
      </c>
      <c r="B1" s="274"/>
      <c r="C1" s="275"/>
      <c r="D1" s="275"/>
      <c r="E1" s="275"/>
      <c r="F1" s="275"/>
    </row>
    <row r="2" spans="1:16" ht="14.25" customHeight="1" thickBot="1" x14ac:dyDescent="0.3">
      <c r="A2" s="54" t="s">
        <v>58</v>
      </c>
      <c r="B2" s="55" t="s">
        <v>73</v>
      </c>
      <c r="C2" s="56" t="s">
        <v>18</v>
      </c>
      <c r="D2" s="379" t="s">
        <v>21</v>
      </c>
      <c r="E2" s="380"/>
      <c r="F2" s="57" t="s">
        <v>32</v>
      </c>
    </row>
    <row r="3" spans="1:16" x14ac:dyDescent="0.25">
      <c r="A3" s="81">
        <v>1</v>
      </c>
      <c r="B3" s="84" t="s">
        <v>0</v>
      </c>
      <c r="C3" s="85" t="s">
        <v>19</v>
      </c>
      <c r="D3" s="381">
        <f>404.352+9.256</f>
        <v>413.60799999999995</v>
      </c>
      <c r="E3" s="382"/>
      <c r="F3" s="86">
        <v>10022991.91</v>
      </c>
    </row>
    <row r="4" spans="1:16" x14ac:dyDescent="0.25">
      <c r="A4" s="82">
        <v>2</v>
      </c>
      <c r="B4" s="87" t="s">
        <v>159</v>
      </c>
      <c r="C4" s="88" t="s">
        <v>19</v>
      </c>
      <c r="D4" s="381">
        <f>676.624+295.152</f>
        <v>971.77600000000007</v>
      </c>
      <c r="E4" s="382"/>
      <c r="F4" s="89">
        <f>28449520.75+12410042.86</f>
        <v>40859563.609999999</v>
      </c>
    </row>
    <row r="5" spans="1:16" x14ac:dyDescent="0.25">
      <c r="A5" s="82">
        <v>3</v>
      </c>
      <c r="B5" s="87" t="s">
        <v>8</v>
      </c>
      <c r="C5" s="88" t="s">
        <v>19</v>
      </c>
      <c r="D5" s="398">
        <v>284.85599999999999</v>
      </c>
      <c r="E5" s="399"/>
      <c r="F5" s="89">
        <v>29847559.98</v>
      </c>
    </row>
    <row r="6" spans="1:16" x14ac:dyDescent="0.25">
      <c r="A6" s="82">
        <v>4</v>
      </c>
      <c r="B6" s="87" t="s">
        <v>1</v>
      </c>
      <c r="C6" s="88" t="s">
        <v>19</v>
      </c>
      <c r="D6" s="398">
        <v>103.27200000000001</v>
      </c>
      <c r="E6" s="399"/>
      <c r="F6" s="89">
        <v>6218924.8699999992</v>
      </c>
    </row>
    <row r="7" spans="1:16" x14ac:dyDescent="0.25">
      <c r="A7" s="82">
        <v>5</v>
      </c>
      <c r="B7" s="87" t="s">
        <v>2</v>
      </c>
      <c r="C7" s="88" t="s">
        <v>19</v>
      </c>
      <c r="D7" s="398">
        <v>66.872</v>
      </c>
      <c r="E7" s="399"/>
      <c r="F7" s="89">
        <v>4525782.0099999988</v>
      </c>
    </row>
    <row r="8" spans="1:16" x14ac:dyDescent="0.25">
      <c r="A8" s="82">
        <v>6</v>
      </c>
      <c r="B8" s="87" t="s">
        <v>3</v>
      </c>
      <c r="C8" s="88" t="s">
        <v>19</v>
      </c>
      <c r="D8" s="398">
        <v>233.27199999999999</v>
      </c>
      <c r="E8" s="399"/>
      <c r="F8" s="89">
        <v>17401032.069999997</v>
      </c>
    </row>
    <row r="9" spans="1:16" ht="15.75" thickBot="1" x14ac:dyDescent="0.3">
      <c r="A9" s="83">
        <v>7</v>
      </c>
      <c r="B9" s="90" t="s">
        <v>4</v>
      </c>
      <c r="C9" s="91" t="s">
        <v>19</v>
      </c>
      <c r="D9" s="400">
        <v>4.3680000000000003</v>
      </c>
      <c r="E9" s="401"/>
      <c r="F9" s="92">
        <v>714028.58000000007</v>
      </c>
    </row>
    <row r="10" spans="1:16" ht="15.75" thickTop="1" x14ac:dyDescent="0.25">
      <c r="A10" s="53">
        <v>8</v>
      </c>
      <c r="B10" s="50" t="s">
        <v>136</v>
      </c>
      <c r="C10" s="42" t="s">
        <v>29</v>
      </c>
      <c r="D10" s="413" t="s">
        <v>162</v>
      </c>
      <c r="E10" s="414"/>
      <c r="F10" s="43">
        <v>3704032.4099999992</v>
      </c>
    </row>
    <row r="11" spans="1:16" x14ac:dyDescent="0.25">
      <c r="A11" s="52">
        <v>9</v>
      </c>
      <c r="B11" s="51" t="s">
        <v>28</v>
      </c>
      <c r="C11" s="40" t="s">
        <v>29</v>
      </c>
      <c r="D11" s="417" t="s">
        <v>163</v>
      </c>
      <c r="E11" s="418"/>
      <c r="F11" s="29">
        <v>15227354.290000003</v>
      </c>
    </row>
    <row r="12" spans="1:16" ht="15.75" thickBot="1" x14ac:dyDescent="0.3">
      <c r="A12" s="70">
        <v>10</v>
      </c>
      <c r="B12" s="71" t="s">
        <v>17</v>
      </c>
      <c r="C12" s="72" t="s">
        <v>20</v>
      </c>
      <c r="D12" s="406">
        <f>47.6596*100</f>
        <v>4765.96</v>
      </c>
      <c r="E12" s="407"/>
      <c r="F12" s="73">
        <v>1105733.3899999999</v>
      </c>
    </row>
    <row r="13" spans="1:16" ht="1.5" customHeight="1" thickBot="1" x14ac:dyDescent="0.3">
      <c r="A13" s="74"/>
      <c r="B13" s="75"/>
      <c r="C13" s="76"/>
      <c r="D13" s="77"/>
      <c r="E13" s="77"/>
      <c r="F13" s="78">
        <v>1105733.3899999999</v>
      </c>
    </row>
    <row r="14" spans="1:16" ht="15.75" thickBot="1" x14ac:dyDescent="0.3">
      <c r="A14" s="69">
        <v>11</v>
      </c>
      <c r="B14" s="59" t="s">
        <v>22</v>
      </c>
      <c r="C14" s="60"/>
      <c r="D14" s="270">
        <f>SUM(D3:E9)</f>
        <v>2078.0239999999999</v>
      </c>
      <c r="E14" s="62" t="s">
        <v>19</v>
      </c>
      <c r="F14" s="63">
        <f>SUM(F3:F12)</f>
        <v>129627003.12</v>
      </c>
    </row>
    <row r="15" spans="1:16" ht="15.75" thickBot="1" x14ac:dyDescent="0.3">
      <c r="A15" s="67">
        <v>12</v>
      </c>
      <c r="B15" s="58" t="s">
        <v>23</v>
      </c>
      <c r="C15" s="41"/>
      <c r="D15" s="45"/>
      <c r="E15" s="46"/>
      <c r="F15" s="272">
        <f>F14*0.03</f>
        <v>3888810.0935999998</v>
      </c>
    </row>
    <row r="16" spans="1:16" x14ac:dyDescent="0.25">
      <c r="A16" s="264">
        <v>13</v>
      </c>
      <c r="B16" s="265" t="s">
        <v>36</v>
      </c>
      <c r="C16" s="266"/>
      <c r="D16" s="267"/>
      <c r="E16" s="268"/>
      <c r="F16" s="269">
        <f>F14+F15</f>
        <v>133515813.21360001</v>
      </c>
      <c r="J16" s="106"/>
      <c r="K16" s="106"/>
      <c r="L16" s="106"/>
      <c r="M16" s="106"/>
      <c r="N16" s="106"/>
      <c r="O16" s="106"/>
      <c r="P16" s="106"/>
    </row>
    <row r="17" spans="1:9" ht="15.75" thickBot="1" x14ac:dyDescent="0.3">
      <c r="A17" s="68">
        <v>14</v>
      </c>
      <c r="B17" s="64" t="s">
        <v>155</v>
      </c>
      <c r="C17" s="262"/>
      <c r="D17" s="65"/>
      <c r="E17" s="263"/>
      <c r="F17" s="66">
        <v>159709185.41</v>
      </c>
      <c r="G17" s="453" t="s">
        <v>164</v>
      </c>
      <c r="H17" s="454"/>
      <c r="I17" s="454"/>
    </row>
    <row r="18" spans="1:9" ht="25.5" customHeight="1" thickBot="1" x14ac:dyDescent="0.3">
      <c r="A18" s="67">
        <v>15</v>
      </c>
      <c r="B18" s="58" t="s">
        <v>33</v>
      </c>
      <c r="C18" s="41"/>
      <c r="D18" s="45"/>
      <c r="E18" s="46"/>
      <c r="F18" s="47">
        <v>31941837.082000002</v>
      </c>
      <c r="G18" s="273" t="s">
        <v>156</v>
      </c>
      <c r="H18" s="273" t="s">
        <v>157</v>
      </c>
      <c r="I18" s="273" t="s">
        <v>158</v>
      </c>
    </row>
    <row r="19" spans="1:9" ht="15.75" thickBot="1" x14ac:dyDescent="0.3">
      <c r="A19" s="69">
        <v>16</v>
      </c>
      <c r="B19" s="59" t="s">
        <v>34</v>
      </c>
      <c r="C19" s="60"/>
      <c r="D19" s="61"/>
      <c r="E19" s="62"/>
      <c r="F19" s="107">
        <v>191651022.49199998</v>
      </c>
      <c r="G19" s="271">
        <v>75700.429999999993</v>
      </c>
      <c r="H19" s="271">
        <v>89541.29</v>
      </c>
      <c r="I19" s="271">
        <f>F19/D14</f>
        <v>92227.530813888574</v>
      </c>
    </row>
    <row r="20" spans="1:9" ht="16.5" thickBot="1" x14ac:dyDescent="0.3">
      <c r="A20" s="274" t="s">
        <v>166</v>
      </c>
      <c r="B20" s="274"/>
      <c r="C20" s="275"/>
      <c r="D20" s="275"/>
      <c r="E20" s="275"/>
      <c r="F20" s="275"/>
    </row>
    <row r="21" spans="1:9" ht="20.25" customHeight="1" thickBot="1" x14ac:dyDescent="0.3">
      <c r="A21" s="54" t="s">
        <v>58</v>
      </c>
      <c r="B21" s="55" t="s">
        <v>73</v>
      </c>
      <c r="C21" s="56" t="s">
        <v>18</v>
      </c>
      <c r="D21" s="379" t="s">
        <v>21</v>
      </c>
      <c r="E21" s="380"/>
      <c r="F21" s="57" t="s">
        <v>32</v>
      </c>
    </row>
    <row r="22" spans="1:9" x14ac:dyDescent="0.25">
      <c r="A22" s="81">
        <v>1</v>
      </c>
      <c r="B22" s="84" t="s">
        <v>0</v>
      </c>
      <c r="C22" s="85" t="s">
        <v>19</v>
      </c>
      <c r="D22" s="381">
        <v>292.42</v>
      </c>
      <c r="E22" s="382"/>
      <c r="F22" s="86">
        <v>7165777.4999999963</v>
      </c>
    </row>
    <row r="23" spans="1:9" x14ac:dyDescent="0.25">
      <c r="A23" s="82">
        <v>2</v>
      </c>
      <c r="B23" s="87" t="s">
        <v>159</v>
      </c>
      <c r="C23" s="88" t="s">
        <v>19</v>
      </c>
      <c r="D23" s="381">
        <f>941.29+53.14</f>
        <v>994.43</v>
      </c>
      <c r="E23" s="382"/>
      <c r="F23" s="89">
        <f>39932164.78+2234339.1</f>
        <v>42166503.880000003</v>
      </c>
    </row>
    <row r="24" spans="1:9" x14ac:dyDescent="0.25">
      <c r="A24" s="82">
        <v>3</v>
      </c>
      <c r="B24" s="87" t="s">
        <v>8</v>
      </c>
      <c r="C24" s="88" t="s">
        <v>19</v>
      </c>
      <c r="D24" s="398">
        <v>213.17</v>
      </c>
      <c r="E24" s="399"/>
      <c r="F24" s="89">
        <v>22336213.16</v>
      </c>
    </row>
    <row r="25" spans="1:9" x14ac:dyDescent="0.25">
      <c r="A25" s="82">
        <v>4</v>
      </c>
      <c r="B25" s="87" t="s">
        <v>1</v>
      </c>
      <c r="C25" s="88" t="s">
        <v>19</v>
      </c>
      <c r="D25" s="398">
        <v>61.69</v>
      </c>
      <c r="E25" s="399"/>
      <c r="F25" s="89">
        <v>3714903.1500000004</v>
      </c>
    </row>
    <row r="26" spans="1:9" x14ac:dyDescent="0.25">
      <c r="A26" s="82">
        <v>5</v>
      </c>
      <c r="B26" s="87" t="s">
        <v>2</v>
      </c>
      <c r="C26" s="88" t="s">
        <v>19</v>
      </c>
      <c r="D26" s="398">
        <v>41.95</v>
      </c>
      <c r="E26" s="399"/>
      <c r="F26" s="89">
        <v>2839000</v>
      </c>
    </row>
    <row r="27" spans="1:9" x14ac:dyDescent="0.25">
      <c r="A27" s="82">
        <v>6</v>
      </c>
      <c r="B27" s="87" t="s">
        <v>3</v>
      </c>
      <c r="C27" s="88" t="s">
        <v>19</v>
      </c>
      <c r="D27" s="398">
        <v>182.95</v>
      </c>
      <c r="E27" s="399"/>
      <c r="F27" s="89">
        <v>13647239.470000003</v>
      </c>
    </row>
    <row r="28" spans="1:9" ht="15.75" thickBot="1" x14ac:dyDescent="0.3">
      <c r="A28" s="83">
        <v>7</v>
      </c>
      <c r="B28" s="90" t="s">
        <v>4</v>
      </c>
      <c r="C28" s="91" t="s">
        <v>19</v>
      </c>
      <c r="D28" s="400">
        <v>5.08</v>
      </c>
      <c r="E28" s="401"/>
      <c r="F28" s="92">
        <v>831105.78</v>
      </c>
    </row>
    <row r="29" spans="1:9" ht="15.75" thickTop="1" x14ac:dyDescent="0.25">
      <c r="A29" s="53">
        <v>8</v>
      </c>
      <c r="B29" s="50" t="s">
        <v>136</v>
      </c>
      <c r="C29" s="42" t="s">
        <v>29</v>
      </c>
      <c r="D29" s="455" t="s">
        <v>160</v>
      </c>
      <c r="E29" s="456"/>
      <c r="F29" s="43">
        <v>3807347.4499999997</v>
      </c>
    </row>
    <row r="30" spans="1:9" x14ac:dyDescent="0.25">
      <c r="A30" s="52">
        <v>9</v>
      </c>
      <c r="B30" s="51" t="s">
        <v>28</v>
      </c>
      <c r="C30" s="40" t="s">
        <v>29</v>
      </c>
      <c r="D30" s="419" t="s">
        <v>161</v>
      </c>
      <c r="E30" s="420"/>
      <c r="F30" s="29">
        <v>14168223.84</v>
      </c>
    </row>
    <row r="31" spans="1:9" ht="15.75" thickBot="1" x14ac:dyDescent="0.3">
      <c r="A31" s="70">
        <v>10</v>
      </c>
      <c r="B31" s="71" t="s">
        <v>17</v>
      </c>
      <c r="C31" s="72" t="s">
        <v>20</v>
      </c>
      <c r="D31" s="406">
        <v>4765.96</v>
      </c>
      <c r="E31" s="407"/>
      <c r="F31" s="73">
        <v>1105733.3899999999</v>
      </c>
    </row>
    <row r="32" spans="1:9" ht="1.5" customHeight="1" thickBot="1" x14ac:dyDescent="0.3">
      <c r="A32" s="74"/>
      <c r="B32" s="75"/>
      <c r="C32" s="76"/>
      <c r="D32" s="77"/>
      <c r="E32" s="77"/>
      <c r="F32" s="78">
        <v>1105733.3899999999</v>
      </c>
    </row>
    <row r="33" spans="1:16" ht="15.75" thickBot="1" x14ac:dyDescent="0.3">
      <c r="A33" s="69">
        <v>11</v>
      </c>
      <c r="B33" s="59" t="s">
        <v>22</v>
      </c>
      <c r="C33" s="60"/>
      <c r="D33" s="270">
        <f>SUM(D22:E28)</f>
        <v>1791.69</v>
      </c>
      <c r="E33" s="62" t="s">
        <v>19</v>
      </c>
      <c r="F33" s="63">
        <f>SUM(F22:F31)</f>
        <v>111782047.62</v>
      </c>
    </row>
    <row r="34" spans="1:16" ht="15.75" thickBot="1" x14ac:dyDescent="0.3">
      <c r="A34" s="67">
        <v>12</v>
      </c>
      <c r="B34" s="58" t="s">
        <v>23</v>
      </c>
      <c r="C34" s="41"/>
      <c r="D34" s="45"/>
      <c r="E34" s="46"/>
      <c r="F34" s="272">
        <f>F33*0.03</f>
        <v>3353461.4286000002</v>
      </c>
    </row>
    <row r="35" spans="1:16" x14ac:dyDescent="0.25">
      <c r="A35" s="264">
        <v>13</v>
      </c>
      <c r="B35" s="265" t="s">
        <v>36</v>
      </c>
      <c r="C35" s="266"/>
      <c r="D35" s="267"/>
      <c r="E35" s="268"/>
      <c r="F35" s="269">
        <f>F33+F34</f>
        <v>115135509.0486</v>
      </c>
      <c r="J35" s="106"/>
      <c r="K35" s="106"/>
      <c r="L35" s="106"/>
      <c r="M35" s="106"/>
      <c r="N35" s="106"/>
      <c r="O35" s="106"/>
      <c r="P35" s="106"/>
    </row>
    <row r="36" spans="1:16" ht="15.75" thickBot="1" x14ac:dyDescent="0.3">
      <c r="A36" s="68">
        <v>14</v>
      </c>
      <c r="B36" s="64" t="s">
        <v>155</v>
      </c>
      <c r="C36" s="262"/>
      <c r="D36" s="65"/>
      <c r="E36" s="263"/>
      <c r="F36" s="66">
        <v>137606949.4666667</v>
      </c>
      <c r="G36" s="453" t="s">
        <v>164</v>
      </c>
      <c r="H36" s="454"/>
      <c r="I36" s="454"/>
    </row>
    <row r="37" spans="1:16" ht="25.5" customHeight="1" thickBot="1" x14ac:dyDescent="0.3">
      <c r="A37" s="67">
        <v>15</v>
      </c>
      <c r="B37" s="58" t="s">
        <v>33</v>
      </c>
      <c r="C37" s="41"/>
      <c r="D37" s="45"/>
      <c r="E37" s="46"/>
      <c r="F37" s="47">
        <f>F36*0.2</f>
        <v>27521389.893333342</v>
      </c>
      <c r="G37" s="273" t="s">
        <v>156</v>
      </c>
      <c r="H37" s="273" t="s">
        <v>157</v>
      </c>
      <c r="I37" s="273" t="s">
        <v>158</v>
      </c>
    </row>
    <row r="38" spans="1:16" ht="15.75" thickBot="1" x14ac:dyDescent="0.3">
      <c r="A38" s="69">
        <v>16</v>
      </c>
      <c r="B38" s="59" t="s">
        <v>34</v>
      </c>
      <c r="C38" s="60"/>
      <c r="D38" s="61"/>
      <c r="E38" s="62"/>
      <c r="F38" s="107">
        <f>F36+F37</f>
        <v>165128339.36000004</v>
      </c>
      <c r="G38" s="271">
        <v>74204.92</v>
      </c>
      <c r="H38" s="271">
        <v>89479.08</v>
      </c>
      <c r="I38" s="271">
        <f>F38/D33</f>
        <v>92163.45425827014</v>
      </c>
    </row>
    <row r="39" spans="1:16" ht="15.75" thickBot="1" x14ac:dyDescent="0.3">
      <c r="A39" s="274" t="s">
        <v>167</v>
      </c>
      <c r="B39" s="274"/>
      <c r="C39" s="275"/>
      <c r="D39" s="275"/>
      <c r="E39" s="275"/>
      <c r="F39" s="275"/>
    </row>
    <row r="40" spans="1:16" ht="20.25" customHeight="1" thickBot="1" x14ac:dyDescent="0.3">
      <c r="A40" s="54" t="s">
        <v>58</v>
      </c>
      <c r="B40" s="55" t="s">
        <v>73</v>
      </c>
      <c r="C40" s="56" t="s">
        <v>18</v>
      </c>
      <c r="D40" s="379" t="s">
        <v>21</v>
      </c>
      <c r="E40" s="380"/>
      <c r="F40" s="57" t="s">
        <v>32</v>
      </c>
    </row>
    <row r="41" spans="1:16" ht="36" customHeight="1" thickBot="1" x14ac:dyDescent="0.3">
      <c r="A41" s="277" t="s">
        <v>168</v>
      </c>
      <c r="B41" s="278" t="s">
        <v>47</v>
      </c>
      <c r="C41" s="279" t="s">
        <v>19</v>
      </c>
      <c r="D41" s="457">
        <v>1791.69</v>
      </c>
      <c r="E41" s="458"/>
      <c r="F41" s="280">
        <v>139860049.75999999</v>
      </c>
    </row>
    <row r="42" spans="1:16" ht="15.75" thickTop="1" x14ac:dyDescent="0.25">
      <c r="A42" s="53">
        <v>8</v>
      </c>
      <c r="B42" s="50" t="s">
        <v>136</v>
      </c>
      <c r="C42" s="42" t="s">
        <v>29</v>
      </c>
      <c r="D42" s="455" t="s">
        <v>160</v>
      </c>
      <c r="E42" s="456"/>
      <c r="F42" s="43">
        <v>3807347.4499999997</v>
      </c>
    </row>
    <row r="43" spans="1:16" x14ac:dyDescent="0.25">
      <c r="A43" s="52">
        <v>9</v>
      </c>
      <c r="B43" s="51" t="s">
        <v>28</v>
      </c>
      <c r="C43" s="40" t="s">
        <v>29</v>
      </c>
      <c r="D43" s="419" t="s">
        <v>161</v>
      </c>
      <c r="E43" s="420"/>
      <c r="F43" s="29">
        <v>14168223.84</v>
      </c>
    </row>
    <row r="44" spans="1:16" ht="15.75" thickBot="1" x14ac:dyDescent="0.3">
      <c r="A44" s="70">
        <v>10</v>
      </c>
      <c r="B44" s="71" t="s">
        <v>17</v>
      </c>
      <c r="C44" s="72" t="s">
        <v>20</v>
      </c>
      <c r="D44" s="406">
        <v>4765.96</v>
      </c>
      <c r="E44" s="407"/>
      <c r="F44" s="73">
        <v>1105733.3899999999</v>
      </c>
    </row>
    <row r="45" spans="1:16" ht="1.5" customHeight="1" thickBot="1" x14ac:dyDescent="0.3">
      <c r="A45" s="74"/>
      <c r="B45" s="75"/>
      <c r="C45" s="76"/>
      <c r="D45" s="77"/>
      <c r="E45" s="77"/>
      <c r="F45" s="78">
        <v>1105733.3899999999</v>
      </c>
    </row>
    <row r="46" spans="1:16" ht="15.75" thickBot="1" x14ac:dyDescent="0.3">
      <c r="A46" s="69">
        <v>11</v>
      </c>
      <c r="B46" s="59" t="s">
        <v>22</v>
      </c>
      <c r="C46" s="60"/>
      <c r="D46" s="270">
        <f>SUM(D41:E41)</f>
        <v>1791.69</v>
      </c>
      <c r="E46" s="62" t="s">
        <v>19</v>
      </c>
      <c r="F46" s="63">
        <f>SUM(F41:F44)</f>
        <v>158941354.43999997</v>
      </c>
    </row>
    <row r="47" spans="1:16" ht="15.75" thickBot="1" x14ac:dyDescent="0.3">
      <c r="A47" s="67">
        <v>12</v>
      </c>
      <c r="B47" s="58" t="s">
        <v>23</v>
      </c>
      <c r="C47" s="41"/>
      <c r="D47" s="45"/>
      <c r="E47" s="46"/>
      <c r="F47" s="272">
        <f>F46*0.03</f>
        <v>4768240.6331999991</v>
      </c>
    </row>
    <row r="48" spans="1:16" x14ac:dyDescent="0.25">
      <c r="A48" s="264">
        <v>13</v>
      </c>
      <c r="B48" s="265" t="s">
        <v>36</v>
      </c>
      <c r="C48" s="266"/>
      <c r="D48" s="267"/>
      <c r="E48" s="268"/>
      <c r="F48" s="269">
        <f>F46+F47</f>
        <v>163709595.07319996</v>
      </c>
      <c r="J48" s="106"/>
      <c r="K48" s="106"/>
      <c r="L48" s="106"/>
      <c r="M48" s="106"/>
      <c r="N48" s="106"/>
      <c r="O48" s="106"/>
      <c r="P48" s="106"/>
    </row>
    <row r="49" spans="1:16" ht="15.75" thickBot="1" x14ac:dyDescent="0.3">
      <c r="A49" s="281">
        <v>14</v>
      </c>
      <c r="B49" s="64" t="s">
        <v>169</v>
      </c>
      <c r="C49" s="262"/>
      <c r="D49" s="65"/>
      <c r="E49" s="263"/>
      <c r="F49" s="66">
        <v>137606949.4666667</v>
      </c>
      <c r="G49" s="453" t="s">
        <v>164</v>
      </c>
      <c r="H49" s="454"/>
      <c r="I49" s="454"/>
    </row>
    <row r="50" spans="1:16" ht="25.5" customHeight="1" thickBot="1" x14ac:dyDescent="0.3">
      <c r="A50" s="67">
        <v>15</v>
      </c>
      <c r="B50" s="58" t="s">
        <v>33</v>
      </c>
      <c r="C50" s="41"/>
      <c r="D50" s="45"/>
      <c r="E50" s="46"/>
      <c r="F50" s="47">
        <f>F49*0.2</f>
        <v>27521389.893333342</v>
      </c>
      <c r="G50" s="273" t="s">
        <v>156</v>
      </c>
      <c r="H50" s="273" t="s">
        <v>157</v>
      </c>
      <c r="I50" s="273" t="s">
        <v>158</v>
      </c>
    </row>
    <row r="51" spans="1:16" ht="15.75" thickBot="1" x14ac:dyDescent="0.3">
      <c r="A51" s="69">
        <v>16</v>
      </c>
      <c r="B51" s="59" t="s">
        <v>34</v>
      </c>
      <c r="C51" s="60"/>
      <c r="D51" s="61"/>
      <c r="E51" s="62"/>
      <c r="F51" s="107">
        <f>F49+F50</f>
        <v>165128339.36000004</v>
      </c>
      <c r="G51" s="271">
        <v>78736.899999999994</v>
      </c>
      <c r="H51" s="271">
        <v>89479.08</v>
      </c>
      <c r="I51" s="271">
        <f>F51/D46</f>
        <v>92163.45425827014</v>
      </c>
    </row>
    <row r="52" spans="1:16" ht="15.75" thickBot="1" x14ac:dyDescent="0.3">
      <c r="A52" s="274" t="s">
        <v>170</v>
      </c>
      <c r="B52" s="274"/>
      <c r="C52" s="275"/>
      <c r="D52" s="275"/>
      <c r="E52" s="275"/>
      <c r="F52" s="275"/>
    </row>
    <row r="53" spans="1:16" ht="19.5" customHeight="1" thickBot="1" x14ac:dyDescent="0.3">
      <c r="A53" s="54" t="s">
        <v>58</v>
      </c>
      <c r="B53" s="55" t="s">
        <v>73</v>
      </c>
      <c r="C53" s="56" t="s">
        <v>18</v>
      </c>
      <c r="D53" s="379" t="s">
        <v>21</v>
      </c>
      <c r="E53" s="380"/>
      <c r="F53" s="57" t="s">
        <v>32</v>
      </c>
    </row>
    <row r="54" spans="1:16" ht="36" customHeight="1" thickBot="1" x14ac:dyDescent="0.3">
      <c r="A54" s="277" t="s">
        <v>168</v>
      </c>
      <c r="B54" s="278" t="s">
        <v>47</v>
      </c>
      <c r="C54" s="279" t="s">
        <v>19</v>
      </c>
      <c r="D54" s="457">
        <v>1791.69</v>
      </c>
      <c r="E54" s="458"/>
      <c r="F54" s="280">
        <v>139860049.75999999</v>
      </c>
    </row>
    <row r="55" spans="1:16" ht="15.75" thickTop="1" x14ac:dyDescent="0.25">
      <c r="A55" s="53">
        <v>8</v>
      </c>
      <c r="B55" s="50" t="s">
        <v>136</v>
      </c>
      <c r="C55" s="42" t="s">
        <v>29</v>
      </c>
      <c r="D55" s="455" t="s">
        <v>160</v>
      </c>
      <c r="E55" s="456"/>
      <c r="F55" s="43">
        <v>3807347.4499999997</v>
      </c>
    </row>
    <row r="56" spans="1:16" x14ac:dyDescent="0.25">
      <c r="A56" s="52">
        <v>9</v>
      </c>
      <c r="B56" s="51" t="s">
        <v>28</v>
      </c>
      <c r="C56" s="40" t="s">
        <v>29</v>
      </c>
      <c r="D56" s="419" t="s">
        <v>161</v>
      </c>
      <c r="E56" s="420"/>
      <c r="F56" s="29">
        <v>14168223.84</v>
      </c>
    </row>
    <row r="57" spans="1:16" ht="15.75" thickBot="1" x14ac:dyDescent="0.3">
      <c r="A57" s="70">
        <v>10</v>
      </c>
      <c r="B57" s="71" t="s">
        <v>17</v>
      </c>
      <c r="C57" s="72" t="s">
        <v>20</v>
      </c>
      <c r="D57" s="406">
        <v>4765.96</v>
      </c>
      <c r="E57" s="407"/>
      <c r="F57" s="73">
        <v>1105733.3899999999</v>
      </c>
    </row>
    <row r="58" spans="1:16" ht="1.5" customHeight="1" thickBot="1" x14ac:dyDescent="0.3">
      <c r="A58" s="74"/>
      <c r="B58" s="75"/>
      <c r="C58" s="76"/>
      <c r="D58" s="77"/>
      <c r="E58" s="77"/>
      <c r="F58" s="78">
        <v>1105733.3899999999</v>
      </c>
    </row>
    <row r="59" spans="1:16" ht="15.75" thickBot="1" x14ac:dyDescent="0.3">
      <c r="A59" s="69">
        <v>11</v>
      </c>
      <c r="B59" s="59" t="s">
        <v>22</v>
      </c>
      <c r="C59" s="60"/>
      <c r="D59" s="270">
        <f>SUM(D54:E54)</f>
        <v>1791.69</v>
      </c>
      <c r="E59" s="62" t="s">
        <v>19</v>
      </c>
      <c r="F59" s="63">
        <f>SUM(F54:F57)</f>
        <v>158941354.43999997</v>
      </c>
    </row>
    <row r="60" spans="1:16" ht="15.75" thickBot="1" x14ac:dyDescent="0.3">
      <c r="A60" s="67">
        <v>12</v>
      </c>
      <c r="B60" s="58" t="s">
        <v>23</v>
      </c>
      <c r="C60" s="41"/>
      <c r="D60" s="45"/>
      <c r="E60" s="46"/>
      <c r="F60" s="272">
        <f>F59*0.03</f>
        <v>4768240.6331999991</v>
      </c>
    </row>
    <row r="61" spans="1:16" x14ac:dyDescent="0.25">
      <c r="A61" s="264">
        <v>13</v>
      </c>
      <c r="B61" s="265" t="s">
        <v>36</v>
      </c>
      <c r="C61" s="266"/>
      <c r="D61" s="267"/>
      <c r="E61" s="268"/>
      <c r="F61" s="269">
        <f>F59+F60</f>
        <v>163709595.07319996</v>
      </c>
      <c r="J61" s="106"/>
      <c r="K61" s="106"/>
      <c r="L61" s="106"/>
      <c r="M61" s="106"/>
      <c r="N61" s="106"/>
      <c r="O61" s="106"/>
      <c r="P61" s="106"/>
    </row>
    <row r="62" spans="1:16" ht="15.75" thickBot="1" x14ac:dyDescent="0.3">
      <c r="A62" s="281">
        <v>14</v>
      </c>
      <c r="B62" s="64" t="s">
        <v>171</v>
      </c>
      <c r="C62" s="262"/>
      <c r="D62" s="65"/>
      <c r="E62" s="263"/>
      <c r="F62" s="66">
        <v>159709185.41</v>
      </c>
      <c r="G62" s="453" t="s">
        <v>164</v>
      </c>
      <c r="H62" s="454"/>
      <c r="I62" s="454"/>
    </row>
    <row r="63" spans="1:16" ht="25.5" customHeight="1" thickBot="1" x14ac:dyDescent="0.3">
      <c r="A63" s="67">
        <v>15</v>
      </c>
      <c r="B63" s="58" t="s">
        <v>33</v>
      </c>
      <c r="C63" s="41"/>
      <c r="D63" s="45"/>
      <c r="E63" s="46"/>
      <c r="F63" s="47">
        <f>F62*0.2</f>
        <v>31941837.082000002</v>
      </c>
      <c r="G63" s="273" t="s">
        <v>156</v>
      </c>
      <c r="H63" s="273" t="s">
        <v>157</v>
      </c>
      <c r="I63" s="273" t="s">
        <v>158</v>
      </c>
    </row>
    <row r="64" spans="1:16" ht="15.75" thickBot="1" x14ac:dyDescent="0.3">
      <c r="A64" s="69">
        <v>16</v>
      </c>
      <c r="B64" s="59" t="s">
        <v>34</v>
      </c>
      <c r="C64" s="60"/>
      <c r="D64" s="61"/>
      <c r="E64" s="62"/>
      <c r="F64" s="107">
        <f>F62+F63</f>
        <v>191651022.49199998</v>
      </c>
      <c r="G64" s="271">
        <v>91383.51</v>
      </c>
      <c r="H64" s="271">
        <v>103851.09</v>
      </c>
      <c r="I64" s="271">
        <f>F64/D59</f>
        <v>106966.6195000251</v>
      </c>
    </row>
    <row r="65" spans="1:16" ht="15.75" thickBot="1" x14ac:dyDescent="0.3">
      <c r="A65" s="274" t="s">
        <v>173</v>
      </c>
      <c r="B65" s="274"/>
      <c r="C65" s="275"/>
      <c r="D65" s="275"/>
      <c r="E65" s="275"/>
      <c r="F65" s="275"/>
    </row>
    <row r="66" spans="1:16" ht="20.25" customHeight="1" thickBot="1" x14ac:dyDescent="0.3">
      <c r="A66" s="54" t="s">
        <v>58</v>
      </c>
      <c r="B66" s="55" t="s">
        <v>73</v>
      </c>
      <c r="C66" s="56" t="s">
        <v>18</v>
      </c>
      <c r="D66" s="379" t="s">
        <v>21</v>
      </c>
      <c r="E66" s="380"/>
      <c r="F66" s="57" t="s">
        <v>32</v>
      </c>
    </row>
    <row r="67" spans="1:16" ht="36" customHeight="1" thickBot="1" x14ac:dyDescent="0.3">
      <c r="A67" s="277" t="s">
        <v>168</v>
      </c>
      <c r="B67" s="278" t="s">
        <v>47</v>
      </c>
      <c r="C67" s="279" t="s">
        <v>19</v>
      </c>
      <c r="D67" s="457">
        <v>1791.69</v>
      </c>
      <c r="E67" s="458"/>
      <c r="F67" s="280">
        <v>139860049.75999999</v>
      </c>
    </row>
    <row r="68" spans="1:16" ht="15.75" thickTop="1" x14ac:dyDescent="0.25">
      <c r="A68" s="53">
        <v>8</v>
      </c>
      <c r="B68" s="50" t="s">
        <v>136</v>
      </c>
      <c r="C68" s="42" t="s">
        <v>29</v>
      </c>
      <c r="D68" s="455" t="s">
        <v>160</v>
      </c>
      <c r="E68" s="456"/>
      <c r="F68" s="43">
        <v>3807347.4499999997</v>
      </c>
    </row>
    <row r="69" spans="1:16" x14ac:dyDescent="0.25">
      <c r="A69" s="52">
        <v>9</v>
      </c>
      <c r="B69" s="51" t="s">
        <v>28</v>
      </c>
      <c r="C69" s="40" t="s">
        <v>29</v>
      </c>
      <c r="D69" s="419" t="s">
        <v>161</v>
      </c>
      <c r="E69" s="420"/>
      <c r="F69" s="29">
        <v>14168223.84</v>
      </c>
    </row>
    <row r="70" spans="1:16" ht="15.75" thickBot="1" x14ac:dyDescent="0.3">
      <c r="A70" s="70">
        <v>10</v>
      </c>
      <c r="B70" s="71" t="s">
        <v>17</v>
      </c>
      <c r="C70" s="72" t="s">
        <v>20</v>
      </c>
      <c r="D70" s="406">
        <v>4765.96</v>
      </c>
      <c r="E70" s="407"/>
      <c r="F70" s="73">
        <v>1105733.3899999999</v>
      </c>
    </row>
    <row r="71" spans="1:16" ht="1.5" customHeight="1" thickBot="1" x14ac:dyDescent="0.3">
      <c r="A71" s="74"/>
      <c r="B71" s="75"/>
      <c r="C71" s="76"/>
      <c r="D71" s="77"/>
      <c r="E71" s="77"/>
      <c r="F71" s="78">
        <v>1105733.3899999999</v>
      </c>
    </row>
    <row r="72" spans="1:16" ht="15.75" thickBot="1" x14ac:dyDescent="0.3">
      <c r="A72" s="69">
        <v>11</v>
      </c>
      <c r="B72" s="59" t="s">
        <v>22</v>
      </c>
      <c r="C72" s="60"/>
      <c r="D72" s="270">
        <f>SUM(D67:E67)</f>
        <v>1791.69</v>
      </c>
      <c r="E72" s="62" t="s">
        <v>19</v>
      </c>
      <c r="F72" s="63">
        <f>SUM(F67:F70)</f>
        <v>158941354.43999997</v>
      </c>
    </row>
    <row r="73" spans="1:16" ht="15.75" thickBot="1" x14ac:dyDescent="0.3">
      <c r="A73" s="67">
        <v>12</v>
      </c>
      <c r="B73" s="58" t="s">
        <v>172</v>
      </c>
      <c r="C73" s="41"/>
      <c r="D73" s="45"/>
      <c r="E73" s="46"/>
      <c r="F73" s="272">
        <v>9428605.6600000001</v>
      </c>
    </row>
    <row r="74" spans="1:16" ht="15.75" thickBot="1" x14ac:dyDescent="0.3">
      <c r="A74" s="69">
        <v>13</v>
      </c>
      <c r="B74" s="59" t="s">
        <v>22</v>
      </c>
      <c r="C74" s="60"/>
      <c r="D74" s="45"/>
      <c r="E74" s="62"/>
      <c r="F74" s="63">
        <f>F72+F73</f>
        <v>168369960.09999996</v>
      </c>
    </row>
    <row r="75" spans="1:16" ht="15.75" thickBot="1" x14ac:dyDescent="0.3">
      <c r="A75" s="67">
        <v>14</v>
      </c>
      <c r="B75" s="58" t="s">
        <v>23</v>
      </c>
      <c r="C75" s="41"/>
      <c r="D75" s="45"/>
      <c r="E75" s="46"/>
      <c r="F75" s="272">
        <f>F74*0.03</f>
        <v>5051098.8029999984</v>
      </c>
    </row>
    <row r="76" spans="1:16" x14ac:dyDescent="0.25">
      <c r="A76" s="264">
        <v>15</v>
      </c>
      <c r="B76" s="265" t="s">
        <v>36</v>
      </c>
      <c r="C76" s="266"/>
      <c r="D76" s="267"/>
      <c r="E76" s="268"/>
      <c r="F76" s="269">
        <f>F74+F75</f>
        <v>173421058.90299997</v>
      </c>
      <c r="J76" s="106"/>
      <c r="K76" s="106"/>
      <c r="L76" s="106"/>
      <c r="M76" s="106"/>
      <c r="N76" s="106"/>
      <c r="O76" s="106"/>
      <c r="P76" s="106"/>
    </row>
    <row r="77" spans="1:16" ht="15.75" thickBot="1" x14ac:dyDescent="0.3">
      <c r="A77" s="281">
        <v>16</v>
      </c>
      <c r="B77" s="64" t="s">
        <v>169</v>
      </c>
      <c r="C77" s="262"/>
      <c r="D77" s="65"/>
      <c r="E77" s="263"/>
      <c r="F77" s="66">
        <v>147270803.80000001</v>
      </c>
      <c r="G77" s="453" t="s">
        <v>164</v>
      </c>
      <c r="H77" s="454"/>
      <c r="I77" s="454"/>
    </row>
    <row r="78" spans="1:16" ht="25.5" customHeight="1" thickBot="1" x14ac:dyDescent="0.3">
      <c r="A78" s="67">
        <v>17</v>
      </c>
      <c r="B78" s="58" t="s">
        <v>33</v>
      </c>
      <c r="C78" s="41"/>
      <c r="D78" s="45"/>
      <c r="E78" s="46"/>
      <c r="F78" s="47">
        <f>F77*0.2</f>
        <v>29454160.760000005</v>
      </c>
      <c r="G78" s="273" t="s">
        <v>156</v>
      </c>
      <c r="H78" s="273" t="s">
        <v>157</v>
      </c>
      <c r="I78" s="273" t="s">
        <v>158</v>
      </c>
    </row>
    <row r="79" spans="1:16" ht="15.75" thickBot="1" x14ac:dyDescent="0.3">
      <c r="A79" s="69">
        <v>18</v>
      </c>
      <c r="B79" s="59" t="s">
        <v>34</v>
      </c>
      <c r="C79" s="60"/>
      <c r="D79" s="61"/>
      <c r="E79" s="62"/>
      <c r="F79" s="107">
        <f>F77+F78</f>
        <v>176724964.56</v>
      </c>
      <c r="G79" s="271">
        <v>79547.56</v>
      </c>
      <c r="H79" s="271">
        <v>95763.01</v>
      </c>
      <c r="I79" s="271">
        <f>F79/D72</f>
        <v>98635.904961237713</v>
      </c>
    </row>
    <row r="80" spans="1:16" ht="15.75" thickBot="1" x14ac:dyDescent="0.3">
      <c r="A80" s="274" t="s">
        <v>174</v>
      </c>
      <c r="B80" s="274"/>
      <c r="C80" s="275"/>
      <c r="D80" s="275"/>
      <c r="E80" s="275"/>
      <c r="F80" s="275"/>
    </row>
    <row r="81" spans="1:16" ht="19.5" customHeight="1" thickBot="1" x14ac:dyDescent="0.3">
      <c r="A81" s="54" t="s">
        <v>58</v>
      </c>
      <c r="B81" s="55" t="s">
        <v>73</v>
      </c>
      <c r="C81" s="56" t="s">
        <v>18</v>
      </c>
      <c r="D81" s="379" t="s">
        <v>21</v>
      </c>
      <c r="E81" s="380"/>
      <c r="F81" s="57" t="s">
        <v>32</v>
      </c>
    </row>
    <row r="82" spans="1:16" ht="36" customHeight="1" thickBot="1" x14ac:dyDescent="0.3">
      <c r="A82" s="277" t="s">
        <v>168</v>
      </c>
      <c r="B82" s="278" t="s">
        <v>47</v>
      </c>
      <c r="C82" s="279" t="s">
        <v>19</v>
      </c>
      <c r="D82" s="457">
        <v>1791.69</v>
      </c>
      <c r="E82" s="458"/>
      <c r="F82" s="280">
        <v>139860049.75999999</v>
      </c>
    </row>
    <row r="83" spans="1:16" ht="15.75" thickTop="1" x14ac:dyDescent="0.25">
      <c r="A83" s="53">
        <v>8</v>
      </c>
      <c r="B83" s="50" t="s">
        <v>136</v>
      </c>
      <c r="C83" s="42" t="s">
        <v>29</v>
      </c>
      <c r="D83" s="455" t="s">
        <v>160</v>
      </c>
      <c r="E83" s="456"/>
      <c r="F83" s="43">
        <v>3807347.4499999997</v>
      </c>
    </row>
    <row r="84" spans="1:16" x14ac:dyDescent="0.25">
      <c r="A84" s="52">
        <v>9</v>
      </c>
      <c r="B84" s="51" t="s">
        <v>28</v>
      </c>
      <c r="C84" s="40" t="s">
        <v>29</v>
      </c>
      <c r="D84" s="419" t="s">
        <v>161</v>
      </c>
      <c r="E84" s="420"/>
      <c r="F84" s="29">
        <v>14168223.84</v>
      </c>
    </row>
    <row r="85" spans="1:16" ht="15.75" thickBot="1" x14ac:dyDescent="0.3">
      <c r="A85" s="70">
        <v>10</v>
      </c>
      <c r="B85" s="71" t="s">
        <v>17</v>
      </c>
      <c r="C85" s="72" t="s">
        <v>20</v>
      </c>
      <c r="D85" s="406">
        <v>4765.96</v>
      </c>
      <c r="E85" s="407"/>
      <c r="F85" s="73">
        <v>1105733.3899999999</v>
      </c>
    </row>
    <row r="86" spans="1:16" ht="1.5" customHeight="1" thickBot="1" x14ac:dyDescent="0.3">
      <c r="A86" s="74"/>
      <c r="B86" s="75"/>
      <c r="C86" s="76"/>
      <c r="D86" s="77"/>
      <c r="E86" s="77"/>
      <c r="F86" s="78">
        <v>1105733.3899999999</v>
      </c>
    </row>
    <row r="87" spans="1:16" ht="15.75" thickBot="1" x14ac:dyDescent="0.3">
      <c r="A87" s="69">
        <v>11</v>
      </c>
      <c r="B87" s="59" t="s">
        <v>22</v>
      </c>
      <c r="C87" s="60"/>
      <c r="D87" s="270">
        <f>SUM(D82:E82)</f>
        <v>1791.69</v>
      </c>
      <c r="E87" s="62" t="s">
        <v>19</v>
      </c>
      <c r="F87" s="63">
        <f>SUM(F82:F85)</f>
        <v>158941354.43999997</v>
      </c>
    </row>
    <row r="88" spans="1:16" ht="15.75" thickBot="1" x14ac:dyDescent="0.3">
      <c r="A88" s="67">
        <v>12</v>
      </c>
      <c r="B88" s="58" t="s">
        <v>172</v>
      </c>
      <c r="C88" s="41"/>
      <c r="D88" s="45"/>
      <c r="E88" s="46"/>
      <c r="F88" s="272">
        <v>9428605.6600000001</v>
      </c>
    </row>
    <row r="89" spans="1:16" ht="15.75" thickBot="1" x14ac:dyDescent="0.3">
      <c r="A89" s="69">
        <v>13</v>
      </c>
      <c r="B89" s="59" t="s">
        <v>22</v>
      </c>
      <c r="C89" s="60"/>
      <c r="D89" s="45"/>
      <c r="E89" s="62"/>
      <c r="F89" s="63">
        <f>F87+F88</f>
        <v>168369960.09999996</v>
      </c>
    </row>
    <row r="90" spans="1:16" ht="15.75" thickBot="1" x14ac:dyDescent="0.3">
      <c r="A90" s="67">
        <v>14</v>
      </c>
      <c r="B90" s="58" t="s">
        <v>23</v>
      </c>
      <c r="C90" s="41"/>
      <c r="D90" s="45"/>
      <c r="E90" s="46"/>
      <c r="F90" s="272">
        <f>F89*0.03</f>
        <v>5051098.8029999984</v>
      </c>
    </row>
    <row r="91" spans="1:16" x14ac:dyDescent="0.25">
      <c r="A91" s="264">
        <v>15</v>
      </c>
      <c r="B91" s="265" t="s">
        <v>36</v>
      </c>
      <c r="C91" s="266"/>
      <c r="D91" s="267"/>
      <c r="E91" s="268"/>
      <c r="F91" s="269">
        <f>F89+F90</f>
        <v>173421058.90299997</v>
      </c>
      <c r="J91" s="106"/>
      <c r="K91" s="106"/>
      <c r="L91" s="106"/>
      <c r="M91" s="106"/>
      <c r="N91" s="106"/>
      <c r="O91" s="106"/>
      <c r="P91" s="106"/>
    </row>
    <row r="92" spans="1:16" ht="15.75" thickBot="1" x14ac:dyDescent="0.3">
      <c r="A92" s="281">
        <v>16</v>
      </c>
      <c r="B92" s="64" t="s">
        <v>171</v>
      </c>
      <c r="C92" s="262"/>
      <c r="D92" s="65"/>
      <c r="E92" s="263"/>
      <c r="F92" s="66">
        <v>169413352.53</v>
      </c>
      <c r="G92" s="453" t="s">
        <v>164</v>
      </c>
      <c r="H92" s="454"/>
      <c r="I92" s="454"/>
    </row>
    <row r="93" spans="1:16" ht="25.5" customHeight="1" thickBot="1" x14ac:dyDescent="0.3">
      <c r="A93" s="67">
        <v>17</v>
      </c>
      <c r="B93" s="58" t="s">
        <v>33</v>
      </c>
      <c r="C93" s="41"/>
      <c r="D93" s="45"/>
      <c r="E93" s="46"/>
      <c r="F93" s="47">
        <f>F92*0.2</f>
        <v>33882670.506000005</v>
      </c>
      <c r="G93" s="273" t="s">
        <v>156</v>
      </c>
      <c r="H93" s="273" t="s">
        <v>157</v>
      </c>
      <c r="I93" s="273" t="s">
        <v>158</v>
      </c>
    </row>
    <row r="94" spans="1:16" ht="15.75" thickBot="1" x14ac:dyDescent="0.3">
      <c r="A94" s="69">
        <v>18</v>
      </c>
      <c r="B94" s="59" t="s">
        <v>34</v>
      </c>
      <c r="C94" s="60"/>
      <c r="D94" s="61"/>
      <c r="E94" s="62"/>
      <c r="F94" s="107">
        <f>F92+F93</f>
        <v>203296023.03600001</v>
      </c>
      <c r="G94" s="271">
        <v>91507.75</v>
      </c>
      <c r="H94" s="271">
        <v>110161.23</v>
      </c>
      <c r="I94" s="271">
        <f>F94/D87</f>
        <v>113466.07004336688</v>
      </c>
    </row>
    <row r="95" spans="1:16" ht="15.75" thickBot="1" x14ac:dyDescent="0.3">
      <c r="A95" s="274" t="s">
        <v>175</v>
      </c>
      <c r="B95" s="274"/>
      <c r="C95" s="275"/>
      <c r="D95" s="275"/>
      <c r="E95" s="275"/>
      <c r="F95" s="275"/>
    </row>
    <row r="96" spans="1:16" ht="20.25" customHeight="1" thickBot="1" x14ac:dyDescent="0.3">
      <c r="A96" s="54" t="s">
        <v>58</v>
      </c>
      <c r="B96" s="55" t="s">
        <v>73</v>
      </c>
      <c r="C96" s="56" t="s">
        <v>18</v>
      </c>
      <c r="D96" s="379" t="s">
        <v>21</v>
      </c>
      <c r="E96" s="380"/>
      <c r="F96" s="57" t="s">
        <v>32</v>
      </c>
    </row>
    <row r="97" spans="1:16" ht="36" customHeight="1" thickBot="1" x14ac:dyDescent="0.3">
      <c r="A97" s="277" t="s">
        <v>168</v>
      </c>
      <c r="B97" s="278" t="s">
        <v>47</v>
      </c>
      <c r="C97" s="279" t="s">
        <v>19</v>
      </c>
      <c r="D97" s="457">
        <v>1791.69</v>
      </c>
      <c r="E97" s="458"/>
      <c r="F97" s="280">
        <v>139860049.75999999</v>
      </c>
    </row>
    <row r="98" spans="1:16" ht="15.75" thickTop="1" x14ac:dyDescent="0.25">
      <c r="A98" s="53">
        <v>8</v>
      </c>
      <c r="B98" s="50" t="s">
        <v>136</v>
      </c>
      <c r="C98" s="42" t="s">
        <v>29</v>
      </c>
      <c r="D98" s="455" t="s">
        <v>160</v>
      </c>
      <c r="E98" s="456"/>
      <c r="F98" s="43">
        <v>3807347.4499999997</v>
      </c>
    </row>
    <row r="99" spans="1:16" x14ac:dyDescent="0.25">
      <c r="A99" s="52">
        <v>9</v>
      </c>
      <c r="B99" s="51" t="s">
        <v>28</v>
      </c>
      <c r="C99" s="40" t="s">
        <v>29</v>
      </c>
      <c r="D99" s="419" t="s">
        <v>161</v>
      </c>
      <c r="E99" s="420"/>
      <c r="F99" s="29">
        <v>14168223.84</v>
      </c>
    </row>
    <row r="100" spans="1:16" ht="15.75" thickBot="1" x14ac:dyDescent="0.3">
      <c r="A100" s="70">
        <v>10</v>
      </c>
      <c r="B100" s="71" t="s">
        <v>17</v>
      </c>
      <c r="C100" s="72" t="s">
        <v>20</v>
      </c>
      <c r="D100" s="406">
        <v>4765.96</v>
      </c>
      <c r="E100" s="407"/>
      <c r="F100" s="73">
        <v>1105733.3899999999</v>
      </c>
    </row>
    <row r="101" spans="1:16" ht="1.5" customHeight="1" thickBot="1" x14ac:dyDescent="0.3">
      <c r="A101" s="74"/>
      <c r="B101" s="75"/>
      <c r="C101" s="76"/>
      <c r="D101" s="77"/>
      <c r="E101" s="77"/>
      <c r="F101" s="78">
        <v>1105733.3899999999</v>
      </c>
    </row>
    <row r="102" spans="1:16" ht="15.75" thickBot="1" x14ac:dyDescent="0.3">
      <c r="A102" s="69">
        <v>11</v>
      </c>
      <c r="B102" s="59" t="s">
        <v>22</v>
      </c>
      <c r="C102" s="60"/>
      <c r="D102" s="270">
        <f>SUM(D97:E97)</f>
        <v>1791.69</v>
      </c>
      <c r="E102" s="62" t="s">
        <v>19</v>
      </c>
      <c r="F102" s="63">
        <f>SUM(F97:F100)</f>
        <v>158941354.43999997</v>
      </c>
    </row>
    <row r="103" spans="1:16" ht="15.75" thickBot="1" x14ac:dyDescent="0.3">
      <c r="A103" s="67">
        <v>12</v>
      </c>
      <c r="B103" s="58" t="s">
        <v>172</v>
      </c>
      <c r="C103" s="41"/>
      <c r="D103" s="45"/>
      <c r="E103" s="46"/>
      <c r="F103" s="272">
        <v>9428605.6600000001</v>
      </c>
    </row>
    <row r="104" spans="1:16" ht="15.75" thickBot="1" x14ac:dyDescent="0.3">
      <c r="A104" s="69">
        <v>13</v>
      </c>
      <c r="B104" s="59" t="s">
        <v>22</v>
      </c>
      <c r="C104" s="60"/>
      <c r="D104" s="45"/>
      <c r="E104" s="62"/>
      <c r="F104" s="63">
        <f>F102+F103</f>
        <v>168369960.09999996</v>
      </c>
    </row>
    <row r="105" spans="1:16" ht="15.75" thickBot="1" x14ac:dyDescent="0.3">
      <c r="A105" s="67">
        <v>14</v>
      </c>
      <c r="B105" s="58" t="s">
        <v>23</v>
      </c>
      <c r="C105" s="41"/>
      <c r="D105" s="45"/>
      <c r="E105" s="46"/>
      <c r="F105" s="272">
        <f>F104*0.03</f>
        <v>5051098.8029999984</v>
      </c>
    </row>
    <row r="106" spans="1:16" x14ac:dyDescent="0.25">
      <c r="A106" s="264">
        <v>15</v>
      </c>
      <c r="B106" s="265" t="s">
        <v>36</v>
      </c>
      <c r="C106" s="266"/>
      <c r="D106" s="267"/>
      <c r="E106" s="268"/>
      <c r="F106" s="269">
        <f>F104+F105</f>
        <v>173421058.90299997</v>
      </c>
      <c r="J106" s="106"/>
      <c r="K106" s="106"/>
      <c r="L106" s="106"/>
      <c r="M106" s="106"/>
      <c r="N106" s="106"/>
      <c r="O106" s="106"/>
      <c r="P106" s="106"/>
    </row>
    <row r="107" spans="1:16" x14ac:dyDescent="0.25">
      <c r="A107" s="286">
        <v>16</v>
      </c>
      <c r="B107" s="282" t="s">
        <v>177</v>
      </c>
      <c r="C107" s="283"/>
      <c r="D107" s="276"/>
      <c r="E107" s="284"/>
      <c r="F107" s="285">
        <v>183826324.21000001</v>
      </c>
      <c r="G107" s="453"/>
      <c r="H107" s="454"/>
      <c r="I107" s="454"/>
    </row>
    <row r="108" spans="1:16" ht="15.75" thickBot="1" x14ac:dyDescent="0.3">
      <c r="A108" s="281">
        <v>17</v>
      </c>
      <c r="B108" s="64" t="s">
        <v>169</v>
      </c>
      <c r="C108" s="262"/>
      <c r="D108" s="65"/>
      <c r="E108" s="263"/>
      <c r="F108" s="66">
        <v>157676066.63</v>
      </c>
      <c r="G108" s="453" t="s">
        <v>164</v>
      </c>
      <c r="H108" s="454"/>
      <c r="I108" s="454"/>
    </row>
    <row r="109" spans="1:16" ht="25.5" customHeight="1" thickBot="1" x14ac:dyDescent="0.3">
      <c r="A109" s="67">
        <v>18</v>
      </c>
      <c r="B109" s="58" t="s">
        <v>33</v>
      </c>
      <c r="C109" s="41"/>
      <c r="D109" s="45"/>
      <c r="E109" s="46"/>
      <c r="F109" s="47">
        <f>F108*0.2</f>
        <v>31535213.326000001</v>
      </c>
      <c r="G109" s="273" t="s">
        <v>156</v>
      </c>
      <c r="H109" s="273" t="s">
        <v>157</v>
      </c>
      <c r="I109" s="273" t="s">
        <v>158</v>
      </c>
    </row>
    <row r="110" spans="1:16" ht="15.75" thickBot="1" x14ac:dyDescent="0.3">
      <c r="A110" s="69">
        <v>19</v>
      </c>
      <c r="B110" s="59" t="s">
        <v>34</v>
      </c>
      <c r="C110" s="60"/>
      <c r="D110" s="61"/>
      <c r="E110" s="62"/>
      <c r="F110" s="107">
        <f>F108+F109</f>
        <v>189211279.956</v>
      </c>
      <c r="G110" s="271">
        <v>84240.866039999994</v>
      </c>
      <c r="H110" s="271">
        <v>101413.02758999998</v>
      </c>
      <c r="I110" s="271">
        <f>F110/D102</f>
        <v>105604.92046950085</v>
      </c>
    </row>
    <row r="111" spans="1:16" ht="15.75" thickBot="1" x14ac:dyDescent="0.3">
      <c r="A111" s="274" t="s">
        <v>176</v>
      </c>
      <c r="B111" s="274"/>
      <c r="C111" s="275"/>
      <c r="D111" s="275"/>
      <c r="E111" s="275"/>
      <c r="F111" s="275"/>
    </row>
    <row r="112" spans="1:16" ht="19.5" customHeight="1" thickBot="1" x14ac:dyDescent="0.3">
      <c r="A112" s="54" t="s">
        <v>58</v>
      </c>
      <c r="B112" s="55" t="s">
        <v>73</v>
      </c>
      <c r="C112" s="56" t="s">
        <v>18</v>
      </c>
      <c r="D112" s="379" t="s">
        <v>21</v>
      </c>
      <c r="E112" s="380"/>
      <c r="F112" s="57" t="s">
        <v>32</v>
      </c>
    </row>
    <row r="113" spans="1:16" ht="36" customHeight="1" thickBot="1" x14ac:dyDescent="0.3">
      <c r="A113" s="277" t="s">
        <v>168</v>
      </c>
      <c r="B113" s="278" t="s">
        <v>47</v>
      </c>
      <c r="C113" s="279" t="s">
        <v>19</v>
      </c>
      <c r="D113" s="457">
        <v>1791.69</v>
      </c>
      <c r="E113" s="458"/>
      <c r="F113" s="280">
        <v>139860049.75999999</v>
      </c>
    </row>
    <row r="114" spans="1:16" ht="15.75" thickTop="1" x14ac:dyDescent="0.25">
      <c r="A114" s="53">
        <v>8</v>
      </c>
      <c r="B114" s="50" t="s">
        <v>136</v>
      </c>
      <c r="C114" s="42" t="s">
        <v>29</v>
      </c>
      <c r="D114" s="455" t="s">
        <v>160</v>
      </c>
      <c r="E114" s="456"/>
      <c r="F114" s="43">
        <v>3807347.4499999997</v>
      </c>
    </row>
    <row r="115" spans="1:16" x14ac:dyDescent="0.25">
      <c r="A115" s="52">
        <v>9</v>
      </c>
      <c r="B115" s="51" t="s">
        <v>28</v>
      </c>
      <c r="C115" s="40" t="s">
        <v>29</v>
      </c>
      <c r="D115" s="419" t="s">
        <v>161</v>
      </c>
      <c r="E115" s="420"/>
      <c r="F115" s="29">
        <v>14168223.84</v>
      </c>
    </row>
    <row r="116" spans="1:16" ht="15.75" thickBot="1" x14ac:dyDescent="0.3">
      <c r="A116" s="70">
        <v>10</v>
      </c>
      <c r="B116" s="71" t="s">
        <v>17</v>
      </c>
      <c r="C116" s="72" t="s">
        <v>20</v>
      </c>
      <c r="D116" s="406">
        <v>4765.96</v>
      </c>
      <c r="E116" s="407"/>
      <c r="F116" s="73">
        <v>1105733.3899999999</v>
      </c>
    </row>
    <row r="117" spans="1:16" ht="1.5" customHeight="1" thickBot="1" x14ac:dyDescent="0.3">
      <c r="A117" s="74"/>
      <c r="B117" s="75"/>
      <c r="C117" s="76"/>
      <c r="D117" s="77"/>
      <c r="E117" s="77"/>
      <c r="F117" s="78">
        <v>1105733.3899999999</v>
      </c>
    </row>
    <row r="118" spans="1:16" ht="15.75" thickBot="1" x14ac:dyDescent="0.3">
      <c r="A118" s="69">
        <v>11</v>
      </c>
      <c r="B118" s="59" t="s">
        <v>22</v>
      </c>
      <c r="C118" s="60"/>
      <c r="D118" s="270">
        <f>SUM(D113:E113)</f>
        <v>1791.69</v>
      </c>
      <c r="E118" s="62" t="s">
        <v>19</v>
      </c>
      <c r="F118" s="63">
        <f>SUM(F113:F116)</f>
        <v>158941354.43999997</v>
      </c>
    </row>
    <row r="119" spans="1:16" ht="15.75" thickBot="1" x14ac:dyDescent="0.3">
      <c r="A119" s="67">
        <v>12</v>
      </c>
      <c r="B119" s="58" t="s">
        <v>172</v>
      </c>
      <c r="C119" s="41"/>
      <c r="D119" s="45"/>
      <c r="E119" s="46"/>
      <c r="F119" s="272">
        <v>9428605.6600000001</v>
      </c>
    </row>
    <row r="120" spans="1:16" ht="15.75" thickBot="1" x14ac:dyDescent="0.3">
      <c r="A120" s="69">
        <v>13</v>
      </c>
      <c r="B120" s="59" t="s">
        <v>22</v>
      </c>
      <c r="C120" s="60"/>
      <c r="D120" s="45"/>
      <c r="E120" s="62"/>
      <c r="F120" s="63">
        <f>F118+F119</f>
        <v>168369960.09999996</v>
      </c>
    </row>
    <row r="121" spans="1:16" ht="15.75" thickBot="1" x14ac:dyDescent="0.3">
      <c r="A121" s="67">
        <v>14</v>
      </c>
      <c r="B121" s="58" t="s">
        <v>23</v>
      </c>
      <c r="C121" s="41"/>
      <c r="D121" s="45"/>
      <c r="E121" s="46"/>
      <c r="F121" s="272">
        <f>F120*0.03</f>
        <v>5051098.8029999984</v>
      </c>
    </row>
    <row r="122" spans="1:16" x14ac:dyDescent="0.25">
      <c r="A122" s="264">
        <v>15</v>
      </c>
      <c r="B122" s="265" t="s">
        <v>36</v>
      </c>
      <c r="C122" s="266"/>
      <c r="D122" s="267"/>
      <c r="E122" s="268"/>
      <c r="F122" s="269">
        <f>F120+F121</f>
        <v>173421058.90299997</v>
      </c>
      <c r="J122" s="106"/>
      <c r="K122" s="106"/>
      <c r="L122" s="106"/>
      <c r="M122" s="106"/>
      <c r="N122" s="106"/>
      <c r="O122" s="106"/>
      <c r="P122" s="106"/>
    </row>
    <row r="123" spans="1:16" x14ac:dyDescent="0.25">
      <c r="A123" s="286">
        <v>16</v>
      </c>
      <c r="B123" s="282" t="s">
        <v>177</v>
      </c>
      <c r="C123" s="283"/>
      <c r="D123" s="276"/>
      <c r="E123" s="284"/>
      <c r="F123" s="285">
        <v>183826324.21000001</v>
      </c>
      <c r="G123" s="453"/>
      <c r="H123" s="454"/>
      <c r="I123" s="454"/>
    </row>
    <row r="124" spans="1:16" ht="15.75" thickBot="1" x14ac:dyDescent="0.3">
      <c r="A124" s="281">
        <v>17</v>
      </c>
      <c r="B124" s="64" t="s">
        <v>171</v>
      </c>
      <c r="C124" s="262"/>
      <c r="D124" s="65"/>
      <c r="E124" s="263"/>
      <c r="F124" s="66">
        <v>179818616.16</v>
      </c>
      <c r="G124" s="453" t="s">
        <v>164</v>
      </c>
      <c r="H124" s="454"/>
      <c r="I124" s="454"/>
    </row>
    <row r="125" spans="1:16" ht="25.5" customHeight="1" thickBot="1" x14ac:dyDescent="0.3">
      <c r="A125" s="67">
        <v>18</v>
      </c>
      <c r="B125" s="58" t="s">
        <v>33</v>
      </c>
      <c r="C125" s="41"/>
      <c r="D125" s="45"/>
      <c r="E125" s="46"/>
      <c r="F125" s="47">
        <f>F124*0.2</f>
        <v>35963723.232000001</v>
      </c>
      <c r="G125" s="273" t="s">
        <v>156</v>
      </c>
      <c r="H125" s="273" t="s">
        <v>157</v>
      </c>
      <c r="I125" s="273" t="s">
        <v>158</v>
      </c>
    </row>
    <row r="126" spans="1:16" ht="15.75" thickBot="1" x14ac:dyDescent="0.3">
      <c r="A126" s="69">
        <v>19</v>
      </c>
      <c r="B126" s="59" t="s">
        <v>34</v>
      </c>
      <c r="C126" s="60"/>
      <c r="D126" s="61"/>
      <c r="E126" s="62"/>
      <c r="F126" s="107">
        <f>F124+F125</f>
        <v>215782339.39199999</v>
      </c>
      <c r="G126" s="271">
        <f>G94*1.06</f>
        <v>96998.215000000011</v>
      </c>
      <c r="H126" s="271">
        <f>H94*1.06</f>
        <v>116770.9038</v>
      </c>
      <c r="I126" s="271">
        <f>F126/D118</f>
        <v>120435.086087437</v>
      </c>
    </row>
  </sheetData>
  <mergeCells count="62">
    <mergeCell ref="G123:I123"/>
    <mergeCell ref="G107:I107"/>
    <mergeCell ref="G124:I124"/>
    <mergeCell ref="G108:I108"/>
    <mergeCell ref="D112:E112"/>
    <mergeCell ref="D113:E113"/>
    <mergeCell ref="D114:E114"/>
    <mergeCell ref="D115:E115"/>
    <mergeCell ref="D116:E116"/>
    <mergeCell ref="G92:I92"/>
    <mergeCell ref="D96:E96"/>
    <mergeCell ref="D97:E97"/>
    <mergeCell ref="D98:E98"/>
    <mergeCell ref="D99:E99"/>
    <mergeCell ref="D100:E100"/>
    <mergeCell ref="D81:E81"/>
    <mergeCell ref="D82:E82"/>
    <mergeCell ref="D83:E83"/>
    <mergeCell ref="D84:E84"/>
    <mergeCell ref="D85:E85"/>
    <mergeCell ref="G77:I77"/>
    <mergeCell ref="D53:E53"/>
    <mergeCell ref="D54:E54"/>
    <mergeCell ref="D55:E55"/>
    <mergeCell ref="D56:E56"/>
    <mergeCell ref="D57:E57"/>
    <mergeCell ref="G62:I62"/>
    <mergeCell ref="D66:E66"/>
    <mergeCell ref="D67:E67"/>
    <mergeCell ref="D68:E68"/>
    <mergeCell ref="D69:E69"/>
    <mergeCell ref="D70:E70"/>
    <mergeCell ref="D44:E44"/>
    <mergeCell ref="G49:I49"/>
    <mergeCell ref="D41:E41"/>
    <mergeCell ref="D42:E42"/>
    <mergeCell ref="D43:E43"/>
    <mergeCell ref="D31:E31"/>
    <mergeCell ref="G36:I36"/>
    <mergeCell ref="D40:E40"/>
    <mergeCell ref="D25:E25"/>
    <mergeCell ref="D26:E26"/>
    <mergeCell ref="D27:E27"/>
    <mergeCell ref="D28:E28"/>
    <mergeCell ref="D29:E29"/>
    <mergeCell ref="D30:E30"/>
    <mergeCell ref="G17:I17"/>
    <mergeCell ref="D21:E21"/>
    <mergeCell ref="D22:E22"/>
    <mergeCell ref="D23:E23"/>
    <mergeCell ref="D24:E24"/>
    <mergeCell ref="D12:E12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!расчет по разделам (3)</vt:lpstr>
      <vt:lpstr>свод-компенс без НДС  (2)</vt:lpstr>
      <vt:lpstr>расчет Заказчика</vt:lpstr>
      <vt:lpstr>табл+пересчет сварки и УЗК</vt:lpstr>
      <vt:lpstr>для Андрея на 220 млн</vt:lpstr>
      <vt:lpstr>свод-компенс без НДС </vt:lpstr>
      <vt:lpstr>свод-компенс с НДС</vt:lpstr>
      <vt:lpstr>свод </vt:lpstr>
      <vt:lpstr>свод по ст</vt:lpstr>
      <vt:lpstr>!расчет (2 сценария)</vt:lpstr>
      <vt:lpstr>без настила</vt:lpstr>
      <vt:lpstr>+ЗУ+дефлятор</vt:lpstr>
      <vt:lpstr>!расчет по разделам</vt:lpstr>
      <vt:lpstr>+ЗУ + коэф.инфляции</vt:lpstr>
      <vt:lpstr>расчет дефлятора 2кв_1кв 26г.</vt:lpstr>
      <vt:lpstr>Дефл год Базовый Сайт</vt:lpstr>
      <vt:lpstr>расчет по разделам</vt:lpstr>
      <vt:lpstr>с настилом</vt:lpstr>
      <vt:lpstr>'Дефл год Базовый Сайт'!Заголовки_для_печати</vt:lpstr>
      <vt:lpstr>'Дефл год Базовый Сайт'!Область_печати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2025-10-05T16:42:12Z</dcterms:created>
  <dcterms:modified xsi:type="dcterms:W3CDTF">2025-10-28T07:10:33Z</dcterms:modified>
</cp:coreProperties>
</file>