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417_кс-2 ЭЭ под ССР2\"/>
    </mc:Choice>
  </mc:AlternateContent>
  <xr:revisionPtr revIDLastSave="0" documentId="13_ncr:1_{CD94C996-FB02-49B9-902A-12A07F78CE04}" xr6:coauthVersionLast="47" xr6:coauthVersionMax="47" xr10:uidLastSave="{00000000-0000-0000-0000-000000000000}"/>
  <bookViews>
    <workbookView xWindow="28680" yWindow="1290" windowWidth="29040" windowHeight="15720" tabRatio="709" firstSheet="2" activeTab="2" xr2:uid="{00000000-000D-0000-FFFF-FFFF00000000}"/>
  </bookViews>
  <sheets>
    <sheet name="КС3 №6" sheetId="36" state="hidden" r:id="rId1"/>
    <sheet name="реестр" sheetId="14" state="hidden" r:id="rId2"/>
    <sheet name="ЭЭ" sheetId="39" r:id="rId3"/>
    <sheet name="реестр ССР2-2" sheetId="38" r:id="rId4"/>
    <sheet name="первичка" sheetId="30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ЭЭ!$A$10:$J$41</definedName>
    <definedName name="_xlnm.Print_Area" localSheetId="0">'КС3 №6'!$A$1:$H$97</definedName>
    <definedName name="_xlnm.Print_Area" localSheetId="1">реестр!$A$1:$J$17</definedName>
    <definedName name="_xlnm.Print_Area" localSheetId="3">'реестр ССР2-2'!$A$1:$J$52</definedName>
    <definedName name="_xlnm.Print_Area" localSheetId="2">ЭЭ!$A$1:$N$41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39" l="1"/>
  <c r="N33" i="39"/>
  <c r="M33" i="39"/>
  <c r="M25" i="39"/>
  <c r="M26" i="39"/>
  <c r="N26" i="39" s="1"/>
  <c r="M39" i="39"/>
  <c r="N39" i="39" s="1"/>
  <c r="M34" i="39"/>
  <c r="N25" i="39"/>
  <c r="N42" i="39"/>
  <c r="M40" i="39"/>
  <c r="M28" i="39"/>
  <c r="M29" i="39"/>
  <c r="M30" i="39"/>
  <c r="M31" i="39"/>
  <c r="M32" i="39"/>
  <c r="M35" i="39"/>
  <c r="M36" i="39"/>
  <c r="M37" i="39"/>
  <c r="M38" i="39"/>
  <c r="M27" i="39"/>
  <c r="M20" i="39"/>
  <c r="M21" i="39"/>
  <c r="M22" i="39"/>
  <c r="M23" i="39"/>
  <c r="M24" i="39"/>
  <c r="M12" i="39"/>
  <c r="M13" i="39"/>
  <c r="M14" i="39"/>
  <c r="M15" i="39"/>
  <c r="M16" i="39"/>
  <c r="M17" i="39"/>
  <c r="M18" i="39"/>
  <c r="M19" i="39"/>
  <c r="M11" i="39"/>
  <c r="M41" i="39" l="1"/>
  <c r="M44" i="39" s="1"/>
  <c r="O33" i="39" s="1"/>
  <c r="L41" i="39"/>
  <c r="L12" i="39"/>
  <c r="L13" i="39"/>
  <c r="L14" i="39"/>
  <c r="L15" i="39"/>
  <c r="L16" i="39"/>
  <c r="L17" i="39"/>
  <c r="L18" i="39"/>
  <c r="L19" i="39"/>
  <c r="L20" i="39"/>
  <c r="L21" i="39"/>
  <c r="L22" i="39"/>
  <c r="L23" i="39"/>
  <c r="L24" i="39"/>
  <c r="L25" i="39"/>
  <c r="L26" i="39"/>
  <c r="L27" i="39"/>
  <c r="L28" i="39"/>
  <c r="L29" i="39"/>
  <c r="L30" i="39"/>
  <c r="L31" i="39"/>
  <c r="L32" i="39"/>
  <c r="L33" i="39"/>
  <c r="L34" i="39"/>
  <c r="L35" i="39"/>
  <c r="L36" i="39"/>
  <c r="L37" i="39"/>
  <c r="L38" i="39"/>
  <c r="L39" i="39"/>
  <c r="L40" i="39"/>
  <c r="L11" i="39"/>
  <c r="J43" i="38"/>
  <c r="J42" i="38"/>
  <c r="H41" i="39" l="1"/>
  <c r="J40" i="39" l="1"/>
  <c r="H29" i="39"/>
  <c r="G41" i="39"/>
  <c r="F41" i="39"/>
  <c r="E41" i="39"/>
  <c r="D41" i="39"/>
  <c r="J37" i="39"/>
  <c r="H36" i="39"/>
  <c r="J35" i="39"/>
  <c r="H35" i="39"/>
  <c r="H34" i="39"/>
  <c r="J34" i="39" s="1"/>
  <c r="J33" i="39"/>
  <c r="J32" i="39"/>
  <c r="H31" i="39"/>
  <c r="J28" i="39"/>
  <c r="H28" i="39"/>
  <c r="H27" i="39"/>
  <c r="J25" i="39"/>
  <c r="H24" i="39"/>
  <c r="J23" i="39"/>
  <c r="J22" i="39"/>
  <c r="H21" i="39"/>
  <c r="J19" i="39"/>
  <c r="J16" i="39"/>
  <c r="H14" i="39"/>
  <c r="J13" i="39"/>
  <c r="H80" i="36"/>
  <c r="H41" i="38"/>
  <c r="K41" i="36"/>
  <c r="S39" i="38"/>
  <c r="S38" i="38"/>
  <c r="S37" i="38"/>
  <c r="S36" i="38"/>
  <c r="S35" i="38"/>
  <c r="S34" i="38"/>
  <c r="S33" i="38"/>
  <c r="S32" i="38"/>
  <c r="S31" i="38"/>
  <c r="S30" i="38"/>
  <c r="S29" i="38"/>
  <c r="S28" i="38"/>
  <c r="S27" i="38"/>
  <c r="S26" i="38"/>
  <c r="S25" i="38"/>
  <c r="S24" i="38"/>
  <c r="S23" i="38"/>
  <c r="S22" i="38"/>
  <c r="S21" i="38"/>
  <c r="S20" i="38"/>
  <c r="S19" i="38"/>
  <c r="S18" i="38"/>
  <c r="S17" i="38"/>
  <c r="S16" i="38"/>
  <c r="S15" i="38"/>
  <c r="S14" i="38"/>
  <c r="S13" i="38"/>
  <c r="S12" i="38"/>
  <c r="U39" i="38"/>
  <c r="U37" i="38"/>
  <c r="U36" i="38"/>
  <c r="U35" i="38"/>
  <c r="U34" i="38"/>
  <c r="U33" i="38"/>
  <c r="V33" i="38" s="1"/>
  <c r="U32" i="38"/>
  <c r="U31" i="38"/>
  <c r="U30" i="38"/>
  <c r="V30" i="38" s="1"/>
  <c r="U29" i="38"/>
  <c r="U28" i="38"/>
  <c r="U27" i="38"/>
  <c r="U26" i="38"/>
  <c r="U25" i="38"/>
  <c r="U38" i="38"/>
  <c r="U24" i="38"/>
  <c r="V24" i="38" s="1"/>
  <c r="U23" i="38"/>
  <c r="V23" i="38" s="1"/>
  <c r="U22" i="38"/>
  <c r="U21" i="38"/>
  <c r="U20" i="38"/>
  <c r="U19" i="38"/>
  <c r="U18" i="38"/>
  <c r="U17" i="38"/>
  <c r="U16" i="38"/>
  <c r="U15" i="38"/>
  <c r="U14" i="38"/>
  <c r="U13" i="38"/>
  <c r="V12" i="38"/>
  <c r="V13" i="38"/>
  <c r="V14" i="38"/>
  <c r="V15" i="38"/>
  <c r="V16" i="38"/>
  <c r="V17" i="38"/>
  <c r="V18" i="38"/>
  <c r="V19" i="38"/>
  <c r="V20" i="38"/>
  <c r="V21" i="38"/>
  <c r="V22" i="38"/>
  <c r="V25" i="38"/>
  <c r="V26" i="38"/>
  <c r="V27" i="38"/>
  <c r="V28" i="38"/>
  <c r="V29" i="38"/>
  <c r="V31" i="38"/>
  <c r="V32" i="38"/>
  <c r="V34" i="38"/>
  <c r="V35" i="38"/>
  <c r="V36" i="38"/>
  <c r="V37" i="38"/>
  <c r="V38" i="38"/>
  <c r="V39" i="38"/>
  <c r="V11" i="38"/>
  <c r="U12" i="38"/>
  <c r="U11" i="38"/>
  <c r="J12" i="39" l="1"/>
  <c r="J21" i="39"/>
  <c r="J15" i="39"/>
  <c r="J18" i="39"/>
  <c r="J24" i="39"/>
  <c r="J30" i="39"/>
  <c r="J39" i="39"/>
  <c r="J38" i="39"/>
  <c r="J11" i="39"/>
  <c r="J14" i="39"/>
  <c r="J17" i="39"/>
  <c r="J20" i="39"/>
  <c r="J26" i="39"/>
  <c r="J29" i="39"/>
  <c r="J27" i="39"/>
  <c r="J31" i="39"/>
  <c r="J36" i="39"/>
  <c r="H39" i="38"/>
  <c r="H38" i="38"/>
  <c r="H37" i="38"/>
  <c r="H36" i="38"/>
  <c r="H35" i="38"/>
  <c r="H34" i="38"/>
  <c r="H33" i="38"/>
  <c r="T33" i="38" s="1"/>
  <c r="H32" i="38"/>
  <c r="H31" i="38"/>
  <c r="T31" i="38" s="1"/>
  <c r="H30" i="38"/>
  <c r="H29" i="38"/>
  <c r="H28" i="38"/>
  <c r="H27" i="38"/>
  <c r="J27" i="38" s="1"/>
  <c r="H26" i="38"/>
  <c r="H25" i="38"/>
  <c r="T25" i="38" s="1"/>
  <c r="H24" i="38"/>
  <c r="H23" i="38"/>
  <c r="T23" i="38" s="1"/>
  <c r="H22" i="38"/>
  <c r="T22" i="38" s="1"/>
  <c r="H21" i="38"/>
  <c r="H20" i="38"/>
  <c r="M20" i="38" s="1"/>
  <c r="H19" i="38"/>
  <c r="T19" i="38" s="1"/>
  <c r="H18" i="38"/>
  <c r="J18" i="38" s="1"/>
  <c r="H17" i="38"/>
  <c r="M17" i="38" s="1"/>
  <c r="H16" i="38"/>
  <c r="M16" i="38" s="1"/>
  <c r="H15" i="38"/>
  <c r="H14" i="38"/>
  <c r="T14" i="38" s="1"/>
  <c r="H13" i="38"/>
  <c r="H12" i="38"/>
  <c r="T12" i="38"/>
  <c r="T13" i="38"/>
  <c r="T15" i="38"/>
  <c r="T20" i="38"/>
  <c r="T21" i="38"/>
  <c r="T24" i="38"/>
  <c r="T26" i="38"/>
  <c r="T28" i="38"/>
  <c r="T29" i="38"/>
  <c r="T30" i="38"/>
  <c r="T32" i="38"/>
  <c r="T34" i="38"/>
  <c r="T35" i="38"/>
  <c r="T36" i="38"/>
  <c r="T37" i="38"/>
  <c r="T38" i="38"/>
  <c r="T39" i="38"/>
  <c r="T40" i="38"/>
  <c r="S11" i="38"/>
  <c r="S41" i="38" s="1"/>
  <c r="H11" i="38"/>
  <c r="F24" i="36"/>
  <c r="H34" i="36"/>
  <c r="G34" i="36"/>
  <c r="F34" i="36"/>
  <c r="G41" i="38"/>
  <c r="F41" i="38"/>
  <c r="E41" i="38"/>
  <c r="D41" i="38"/>
  <c r="N39" i="38"/>
  <c r="O39" i="38" s="1"/>
  <c r="J39" i="38"/>
  <c r="Q39" i="38" s="1"/>
  <c r="N38" i="38"/>
  <c r="O38" i="38" s="1"/>
  <c r="L38" i="38"/>
  <c r="M38" i="38" s="1"/>
  <c r="J38" i="38"/>
  <c r="Q38" i="38" s="1"/>
  <c r="N37" i="38"/>
  <c r="O37" i="38" s="1"/>
  <c r="J37" i="38"/>
  <c r="Q37" i="38" s="1"/>
  <c r="N36" i="38"/>
  <c r="O36" i="38" s="1"/>
  <c r="L36" i="38"/>
  <c r="M36" i="38" s="1"/>
  <c r="J36" i="38"/>
  <c r="Q36" i="38" s="1"/>
  <c r="O35" i="38"/>
  <c r="N35" i="38"/>
  <c r="L35" i="38"/>
  <c r="M35" i="38" s="1"/>
  <c r="J35" i="38"/>
  <c r="Q35" i="38" s="1"/>
  <c r="N34" i="38"/>
  <c r="O34" i="38" s="1"/>
  <c r="L34" i="38"/>
  <c r="M34" i="38" s="1"/>
  <c r="J34" i="38"/>
  <c r="Q34" i="38" s="1"/>
  <c r="O33" i="38"/>
  <c r="N33" i="38"/>
  <c r="L33" i="38"/>
  <c r="M33" i="38" s="1"/>
  <c r="J33" i="38"/>
  <c r="Q33" i="38" s="1"/>
  <c r="N32" i="38"/>
  <c r="O32" i="38" s="1"/>
  <c r="L32" i="38"/>
  <c r="M32" i="38" s="1"/>
  <c r="J32" i="38"/>
  <c r="Q32" i="38" s="1"/>
  <c r="O31" i="38"/>
  <c r="N31" i="38"/>
  <c r="L31" i="38"/>
  <c r="N30" i="38"/>
  <c r="O30" i="38" s="1"/>
  <c r="L30" i="38"/>
  <c r="M30" i="38" s="1"/>
  <c r="J30" i="38"/>
  <c r="Q30" i="38" s="1"/>
  <c r="O29" i="38"/>
  <c r="N29" i="38"/>
  <c r="J29" i="38"/>
  <c r="Q29" i="38" s="1"/>
  <c r="M28" i="38"/>
  <c r="L28" i="38"/>
  <c r="J28" i="38"/>
  <c r="L27" i="38"/>
  <c r="L26" i="38"/>
  <c r="M26" i="38" s="1"/>
  <c r="J26" i="38"/>
  <c r="L25" i="38"/>
  <c r="J25" i="38"/>
  <c r="M24" i="38"/>
  <c r="L24" i="38"/>
  <c r="J24" i="38"/>
  <c r="L23" i="38"/>
  <c r="L22" i="38"/>
  <c r="M21" i="38"/>
  <c r="L21" i="38"/>
  <c r="J21" i="38"/>
  <c r="L20" i="38"/>
  <c r="L19" i="38"/>
  <c r="J19" i="38"/>
  <c r="L18" i="38"/>
  <c r="L17" i="38"/>
  <c r="L16" i="38"/>
  <c r="L15" i="38"/>
  <c r="M15" i="38" s="1"/>
  <c r="J15" i="38"/>
  <c r="L14" i="38"/>
  <c r="M13" i="38"/>
  <c r="L13" i="38"/>
  <c r="J13" i="38"/>
  <c r="M12" i="38"/>
  <c r="L12" i="38"/>
  <c r="J12" i="38"/>
  <c r="L11" i="38"/>
  <c r="M11" i="38" s="1"/>
  <c r="J11" i="38"/>
  <c r="J41" i="39" l="1"/>
  <c r="T11" i="38"/>
  <c r="J31" i="38"/>
  <c r="Q31" i="38" s="1"/>
  <c r="M31" i="38"/>
  <c r="T27" i="38"/>
  <c r="M27" i="38"/>
  <c r="M25" i="38"/>
  <c r="J23" i="38"/>
  <c r="M23" i="38"/>
  <c r="J22" i="38"/>
  <c r="M22" i="38"/>
  <c r="J20" i="38"/>
  <c r="M19" i="38"/>
  <c r="M18" i="38"/>
  <c r="T18" i="38"/>
  <c r="T17" i="38"/>
  <c r="J17" i="38"/>
  <c r="J16" i="38"/>
  <c r="T16" i="38"/>
  <c r="J14" i="38"/>
  <c r="M14" i="38"/>
  <c r="L41" i="38" l="1"/>
  <c r="J41" i="38"/>
  <c r="H13" i="14"/>
  <c r="G13" i="14"/>
  <c r="F13" i="14"/>
  <c r="E13" i="14"/>
  <c r="D13" i="14"/>
  <c r="H39" i="36"/>
  <c r="G39" i="36"/>
  <c r="F39" i="36"/>
  <c r="H36" i="36"/>
  <c r="G36" i="36" s="1"/>
  <c r="F36" i="36" s="1"/>
  <c r="H35" i="36"/>
  <c r="G35" i="36" s="1"/>
  <c r="F35" i="36" s="1"/>
  <c r="C14" i="36"/>
  <c r="G15" i="14"/>
  <c r="F15" i="14"/>
  <c r="E15" i="14"/>
  <c r="D15" i="14"/>
  <c r="H15" i="14" l="1"/>
  <c r="H14" i="14"/>
  <c r="H12" i="14"/>
  <c r="H11" i="14"/>
  <c r="G14" i="14"/>
  <c r="F14" i="14"/>
  <c r="E14" i="14"/>
  <c r="D14" i="14"/>
  <c r="D12" i="14" l="1"/>
  <c r="G12" i="14"/>
  <c r="F12" i="14"/>
  <c r="E12" i="14"/>
  <c r="G11" i="14"/>
  <c r="D11" i="14"/>
  <c r="F11" i="14"/>
  <c r="E11" i="14"/>
  <c r="J12" i="14" l="1"/>
  <c r="J13" i="14"/>
  <c r="G17" i="14" l="1"/>
  <c r="F17" i="14"/>
  <c r="E17" i="14"/>
  <c r="D17" i="14"/>
  <c r="J14" i="14"/>
  <c r="H17" i="14" l="1"/>
  <c r="J15" i="14"/>
  <c r="J11" i="14"/>
  <c r="H33" i="36" l="1"/>
  <c r="H40" i="36" s="1"/>
  <c r="H41" i="36" s="1"/>
  <c r="H42" i="36" s="1"/>
  <c r="H81" i="36" s="1"/>
  <c r="F33" i="36"/>
  <c r="G33" i="36"/>
  <c r="K81" i="36"/>
  <c r="J17" i="14"/>
  <c r="O81" i="36" l="1"/>
  <c r="L81" i="36"/>
  <c r="N41" i="39" l="1"/>
  <c r="O41" i="39" s="1"/>
</calcChain>
</file>

<file path=xl/sharedStrings.xml><?xml version="1.0" encoding="utf-8"?>
<sst xmlns="http://schemas.openxmlformats.org/spreadsheetml/2006/main" count="347" uniqueCount="221">
  <si>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</si>
  <si>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</si>
  <si>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</si>
  <si>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</si>
  <si>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</si>
  <si>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</si>
  <si>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</si>
  <si>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</si>
  <si>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</si>
  <si>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</si>
  <si>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</si>
  <si>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</si>
  <si>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</si>
  <si>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</si>
  <si>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</si>
  <si>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</si>
  <si>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</si>
  <si>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ООО «КиКГЕОСТРОЙ»; 109004, г. Москва, ул. Земляной Вал, д.65, кв.59; +7 (495) 915-24-71</t>
  </si>
  <si>
    <t>организация, адрес, телефон, факс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</si>
  <si>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</si>
  <si>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</si>
  <si>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</si>
  <si>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</si>
  <si>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</si>
  <si>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</si>
  <si>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</si>
  <si>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</si>
  <si>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</si>
  <si>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</si>
  <si>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</si>
  <si>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</si>
  <si>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</si>
  <si>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</si>
  <si>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</si>
  <si>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</si>
  <si>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</si>
  <si>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</si>
  <si>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</si>
  <si>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</si>
  <si>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</si>
  <si>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</si>
  <si>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</si>
  <si>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</si>
  <si>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</si>
  <si>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</si>
  <si>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</si>
  <si>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</si>
  <si>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</si>
  <si>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</si>
  <si>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</si>
  <si>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</si>
  <si>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</si>
  <si>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</si>
  <si>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</si>
  <si>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</si>
  <si>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</si>
  <si>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</si>
  <si>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</si>
  <si>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</si>
  <si>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</si>
  <si>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</si>
  <si>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</si>
  <si>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</si>
  <si>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</si>
  <si>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</si>
  <si>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</si>
  <si>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</si>
  <si>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</si>
  <si>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</si>
  <si>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</si>
  <si>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</si>
  <si>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</si>
  <si>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</si>
  <si>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</si>
  <si>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</si>
  <si>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</si>
  <si>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</si>
  <si>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</si>
  <si>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</si>
  <si>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</si>
  <si>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</si>
  <si>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</si>
  <si>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</si>
  <si>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</si>
  <si>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</si>
  <si>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</si>
  <si>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</si>
  <si>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</si>
  <si>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</si>
  <si>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</si>
  <si>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</si>
  <si>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</si>
  <si>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</si>
  <si>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</si>
  <si>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</si>
  <si>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</si>
  <si>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</si>
  <si>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</si>
  <si>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</si>
  <si>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</si>
  <si>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</si>
  <si>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</si>
  <si>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</si>
  <si>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</si>
  <si>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</si>
  <si>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</si>
  <si>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</si>
  <si>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</si>
  <si>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</si>
  <si>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остаток по Договору</t>
  </si>
  <si>
    <t>декабрь-2</t>
  </si>
  <si>
    <t>декабрь-1</t>
  </si>
  <si>
    <t>проверка</t>
  </si>
  <si>
    <t>8,9,10,11,12</t>
  </si>
  <si>
    <t>06-02-03</t>
  </si>
  <si>
    <t>06-02-01</t>
  </si>
  <si>
    <t>07-01-02</t>
  </si>
  <si>
    <t>Трубопровод ливневых сточных вод от трансбордера. НВК1</t>
  </si>
  <si>
    <t>Переустройство хозяйственно-бытовой канализации.НВК4</t>
  </si>
  <si>
    <t>Генеральный план. ГП2</t>
  </si>
  <si>
    <t>кс-2№14</t>
  </si>
  <si>
    <t>кс-2№15</t>
  </si>
  <si>
    <t>кс-2№16</t>
  </si>
  <si>
    <t xml:space="preserve">ТН №6 от 16.02.2024 ООО "ШЕЛЛРОКК" </t>
  </si>
  <si>
    <t xml:space="preserve">ТН №7 от 16.02.2024 ООО "ШЕЛЛРОКК" </t>
  </si>
  <si>
    <t>06-03-01</t>
  </si>
  <si>
    <t>Теплоснабжение. Переустройство трубопровода.ТС1</t>
  </si>
  <si>
    <t>кс-2№17</t>
  </si>
  <si>
    <t>06-03-02</t>
  </si>
  <si>
    <t>Архитектурно-строительные решения. Эстакада для ТС1. АС 4</t>
  </si>
  <si>
    <t>кс-2№18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</si>
  <si>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</si>
  <si>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</si>
  <si>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</si>
  <si>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МВМ/03-07-П</t>
  </si>
  <si>
    <t>Договор №МВМ/03-07-П</t>
  </si>
  <si>
    <t>январь 24</t>
  </si>
  <si>
    <t>март</t>
  </si>
  <si>
    <t>апрель</t>
  </si>
  <si>
    <t>май</t>
  </si>
  <si>
    <t>июнь</t>
  </si>
  <si>
    <t>июль</t>
  </si>
  <si>
    <t>Генеральный директор                                                                                         ООО «ШЕЛЛРОКК»</t>
  </si>
  <si>
    <t>Е.А. Бусел</t>
  </si>
  <si>
    <t>Подрядчик:</t>
  </si>
  <si>
    <t>всего без НДС с понижающим коэффициентом 0,83</t>
  </si>
  <si>
    <t>14,15,16,17,18</t>
  </si>
  <si>
    <t>ноябрь 23</t>
  </si>
  <si>
    <t>Цена поставщика ООО "Террус"</t>
  </si>
  <si>
    <t>Цена Поставщика ООО “Грунт-маркет”</t>
  </si>
  <si>
    <t>Реестр актов выполненных работ к КС-3 №6 от 20.08.2024 г. (Договор  №МВМ/03-07-П от 28 июля 2023г)</t>
  </si>
  <si>
    <t>кс-2№</t>
  </si>
  <si>
    <t>02-01-01 изм.1</t>
  </si>
  <si>
    <t>Верхнее строение пути</t>
  </si>
  <si>
    <t>19корр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</si>
  <si>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</si>
  <si>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</si>
  <si>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</si>
  <si>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</si>
  <si>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</si>
  <si>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</si>
  <si>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</si>
  <si>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</si>
  <si>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</si>
  <si>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</si>
  <si>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</si>
  <si>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</si>
  <si>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</si>
  <si>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06-02-02 изм.1</t>
  </si>
  <si>
    <t>Переустройство ливневой канализации.НВК5.</t>
  </si>
  <si>
    <t>06-03-01 изм.1</t>
  </si>
  <si>
    <t>Теплоснабжение.ТС1. Переустройство трубопровода</t>
  </si>
  <si>
    <t>06-03-02 изм.1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</si>
  <si>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</si>
  <si>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</si>
  <si>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</si>
  <si>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</si>
  <si>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</si>
  <si>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</si>
  <si>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32корр</t>
  </si>
  <si>
    <t xml:space="preserve"> 07-01-01 изм.1</t>
  </si>
  <si>
    <t>Генеральный план. Трансбордер. ГП1</t>
  </si>
  <si>
    <t>07-01-02 изм.1</t>
  </si>
  <si>
    <t>Генеральный план 131-23 ГП2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</si>
  <si>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</si>
  <si>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</si>
  <si>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</si>
  <si>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</si>
  <si>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</si>
  <si>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Выполнение работ по ликвидации объектов по трассе ж.д. путей, подготовке трассы ж.д. путей.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</si>
  <si>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</si>
  <si>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</si>
  <si>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</si>
  <si>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</si>
  <si>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</si>
  <si>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</si>
  <si>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</si>
  <si>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</si>
  <si>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</si>
  <si>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</si>
  <si>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</si>
  <si>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</si>
  <si>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</si>
  <si>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</si>
  <si>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</si>
  <si>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</si>
  <si>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06-02-02 доп.1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</si>
  <si>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</si>
  <si>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</si>
  <si>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</si>
  <si>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март 24</t>
  </si>
  <si>
    <t>август 24</t>
  </si>
  <si>
    <t>К оплате, с учетом авансового платежа</t>
  </si>
  <si>
    <t>19-47</t>
  </si>
  <si>
    <t>ЛСР</t>
  </si>
  <si>
    <t>Реестр актов выполненных работ к КС-3 №6 от 20.08.2024 г. (Договор  №МВМ/03-07-П от 28 июля 2023г., ДС №9 от 01.08.2024г.)</t>
  </si>
  <si>
    <t xml:space="preserve">Зачет аванса </t>
  </si>
  <si>
    <t>Повторная выправка железнодорожных путей №30,31,32,34,36,1,2</t>
  </si>
  <si>
    <t>Послеосадочный</t>
  </si>
  <si>
    <t>всего</t>
  </si>
  <si>
    <t>отнять 0,04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</si>
</sst>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.00\ _₽_-;\-* #,##0.00\ _₽_-;_-* &quot;-&quot;??\ _₽_-;_-@_-"/>
    <numFmt numFmtId="172" formatCode="_-* #,##0_р_._-;\-* #,##0_р_._-;_-* &quot;-&quot;??_р_._-;_-@_-"/>
  </numFmts>
  <fonts count="4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Arial"/>
      <family val="2"/>
      <charset val="204"/>
    </font>
    <font>
      <sz val="11"/>
      <color rgb="FFC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1">
    <xf numFmtId="0" fontId="0" fillId="0" borderId="0"/>
    <xf numFmtId="0" fontId="3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0" fillId="0" borderId="0"/>
    <xf numFmtId="0" fontId="2" fillId="0" borderId="0"/>
    <xf numFmtId="0" fontId="12" fillId="0" borderId="0"/>
    <xf numFmtId="43" fontId="7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/>
    <xf numFmtId="0" fontId="30" fillId="0" borderId="0"/>
    <xf numFmtId="0" fontId="16" fillId="0" borderId="0"/>
    <xf numFmtId="0" fontId="20" fillId="0" borderId="0"/>
    <xf numFmtId="0" fontId="1" fillId="0" borderId="0"/>
    <xf numFmtId="0" fontId="7" fillId="0" borderId="0"/>
  </cellStyleXfs>
  <cellXfs count="319">
    <xf numFmtId="0" fontId="0" fillId="0" borderId="0" xfId="0"/>
    <xf numFmtId="0" fontId="12" fillId="0" borderId="0" xfId="9"/>
    <xf numFmtId="0" fontId="14" fillId="0" borderId="0" xfId="3" applyFont="1" applyAlignment="1">
      <alignment vertical="top"/>
    </xf>
    <xf numFmtId="0" fontId="13" fillId="0" borderId="0" xfId="3" applyFont="1" applyAlignment="1">
      <alignment vertical="center" wrapText="1"/>
    </xf>
    <xf numFmtId="0" fontId="11" fillId="0" borderId="0" xfId="4" applyFont="1"/>
    <xf numFmtId="0" fontId="11" fillId="0" borderId="0" xfId="4" applyFont="1" applyAlignment="1">
      <alignment horizontal="center"/>
    </xf>
    <xf numFmtId="0" fontId="11" fillId="0" borderId="9" xfId="8" applyFont="1" applyBorder="1" applyAlignment="1">
      <alignment horizontal="center" vertical="center"/>
    </xf>
    <xf numFmtId="0" fontId="11" fillId="0" borderId="9" xfId="8" applyFont="1" applyBorder="1" applyAlignment="1">
      <alignment horizontal="center" vertical="center" wrapText="1"/>
    </xf>
    <xf numFmtId="0" fontId="14" fillId="0" borderId="9" xfId="8" applyFont="1" applyBorder="1" applyAlignment="1">
      <alignment horizontal="center" vertical="center"/>
    </xf>
    <xf numFmtId="49" fontId="14" fillId="0" borderId="9" xfId="8" applyNumberFormat="1" applyFont="1" applyBorder="1" applyAlignment="1">
      <alignment horizontal="center" vertical="center"/>
    </xf>
    <xf numFmtId="0" fontId="14" fillId="0" borderId="9" xfId="8" applyFont="1" applyBorder="1" applyAlignment="1">
      <alignment horizontal="left" vertical="center" wrapText="1"/>
    </xf>
    <xf numFmtId="43" fontId="14" fillId="0" borderId="9" xfId="10" applyFont="1" applyFill="1" applyBorder="1" applyAlignment="1">
      <alignment horizontal="center" vertical="center"/>
    </xf>
    <xf numFmtId="164" fontId="14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4" fillId="0" borderId="12" xfId="8" applyFont="1" applyBorder="1" applyAlignment="1">
      <alignment horizontal="center" vertical="center"/>
    </xf>
    <xf numFmtId="0" fontId="14" fillId="0" borderId="12" xfId="8" applyFont="1" applyBorder="1" applyAlignment="1">
      <alignment horizontal="left" vertical="center" wrapText="1"/>
    </xf>
    <xf numFmtId="43" fontId="14" fillId="0" borderId="12" xfId="10" applyFont="1" applyFill="1" applyBorder="1" applyAlignment="1">
      <alignment horizontal="center" vertical="center"/>
    </xf>
    <xf numFmtId="164" fontId="14" fillId="0" borderId="12" xfId="8" applyNumberFormat="1" applyFont="1" applyBorder="1" applyAlignment="1">
      <alignment horizontal="center" vertical="center"/>
    </xf>
    <xf numFmtId="4" fontId="13" fillId="0" borderId="12" xfId="8" applyNumberFormat="1" applyFont="1" applyBorder="1" applyAlignment="1">
      <alignment horizontal="center" vertical="center"/>
    </xf>
    <xf numFmtId="0" fontId="11" fillId="0" borderId="13" xfId="8" applyFont="1" applyBorder="1"/>
    <xf numFmtId="0" fontId="15" fillId="0" borderId="13" xfId="8" applyFont="1" applyBorder="1" applyAlignment="1">
      <alignment horizontal="center" vertical="center"/>
    </xf>
    <xf numFmtId="4" fontId="15" fillId="0" borderId="13" xfId="8" applyNumberFormat="1" applyFont="1" applyBorder="1" applyAlignment="1">
      <alignment horizontal="center" vertical="center"/>
    </xf>
    <xf numFmtId="4" fontId="12" fillId="0" borderId="0" xfId="9" applyNumberFormat="1"/>
    <xf numFmtId="0" fontId="17" fillId="0" borderId="0" xfId="11" applyFont="1"/>
    <xf numFmtId="0" fontId="18" fillId="0" borderId="0" xfId="11" applyFont="1"/>
    <xf numFmtId="0" fontId="18" fillId="0" borderId="0" xfId="11" applyFont="1" applyAlignment="1">
      <alignment horizontal="right"/>
    </xf>
    <xf numFmtId="165" fontId="17" fillId="0" borderId="0" xfId="12" applyFont="1"/>
    <xf numFmtId="0" fontId="17" fillId="0" borderId="9" xfId="11" applyFont="1" applyBorder="1" applyAlignment="1">
      <alignment horizontal="center"/>
    </xf>
    <xf numFmtId="49" fontId="17" fillId="0" borderId="9" xfId="11" applyNumberFormat="1" applyFont="1" applyBorder="1" applyAlignment="1">
      <alignment horizontal="center"/>
    </xf>
    <xf numFmtId="0" fontId="17" fillId="0" borderId="9" xfId="11" applyFont="1" applyBorder="1"/>
    <xf numFmtId="0" fontId="19" fillId="0" borderId="0" xfId="11" applyFont="1"/>
    <xf numFmtId="165" fontId="18" fillId="0" borderId="0" xfId="12" applyFont="1"/>
    <xf numFmtId="0" fontId="17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17" fillId="0" borderId="9" xfId="13" applyBorder="1" applyAlignment="1">
      <alignment horizontal="center"/>
    </xf>
    <xf numFmtId="165" fontId="18" fillId="0" borderId="0" xfId="12" applyFont="1" applyBorder="1"/>
    <xf numFmtId="0" fontId="17" fillId="0" borderId="0" xfId="11" applyFont="1" applyAlignment="1">
      <alignment vertical="center" wrapText="1"/>
    </xf>
    <xf numFmtId="166" fontId="17" fillId="0" borderId="0" xfId="11" applyNumberFormat="1" applyFont="1"/>
    <xf numFmtId="0" fontId="19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49" fontId="16" fillId="0" borderId="16" xfId="11" applyNumberFormat="1" applyBorder="1" applyAlignment="1">
      <alignment horizontal="center"/>
    </xf>
    <xf numFmtId="0" fontId="21" fillId="0" borderId="0" xfId="14" applyFont="1"/>
    <xf numFmtId="167" fontId="21" fillId="0" borderId="0" xfId="12" applyNumberFormat="1" applyFont="1" applyBorder="1" applyAlignment="1">
      <alignment horizontal="center" wrapText="1"/>
    </xf>
    <xf numFmtId="14" fontId="16" fillId="0" borderId="16" xfId="11" applyNumberFormat="1" applyBorder="1" applyAlignment="1">
      <alignment horizontal="center"/>
    </xf>
    <xf numFmtId="10" fontId="21" fillId="0" borderId="0" xfId="14" applyNumberFormat="1" applyFont="1" applyAlignment="1">
      <alignment horizontal="center"/>
    </xf>
    <xf numFmtId="168" fontId="21" fillId="0" borderId="0" xfId="14" applyNumberFormat="1" applyFont="1" applyAlignment="1">
      <alignment horizontal="center"/>
    </xf>
    <xf numFmtId="0" fontId="21" fillId="0" borderId="0" xfId="11" applyFont="1"/>
    <xf numFmtId="168" fontId="21" fillId="0" borderId="0" xfId="11" applyNumberFormat="1" applyFont="1" applyAlignment="1">
      <alignment horizontal="center"/>
    </xf>
    <xf numFmtId="14" fontId="18" fillId="0" borderId="0" xfId="11" applyNumberFormat="1" applyFont="1" applyAlignment="1">
      <alignment horizontal="center"/>
    </xf>
    <xf numFmtId="0" fontId="18" fillId="0" borderId="17" xfId="11" applyFont="1" applyBorder="1" applyAlignment="1">
      <alignment horizontal="center"/>
    </xf>
    <xf numFmtId="0" fontId="18" fillId="0" borderId="18" xfId="11" applyFont="1" applyBorder="1" applyAlignment="1">
      <alignment horizontal="center"/>
    </xf>
    <xf numFmtId="0" fontId="18" fillId="0" borderId="0" xfId="11" applyFont="1" applyAlignment="1">
      <alignment horizontal="center"/>
    </xf>
    <xf numFmtId="0" fontId="18" fillId="0" borderId="21" xfId="11" applyFont="1" applyBorder="1" applyAlignment="1">
      <alignment horizontal="right"/>
    </xf>
    <xf numFmtId="0" fontId="17" fillId="0" borderId="7" xfId="11" applyFont="1" applyBorder="1"/>
    <xf numFmtId="0" fontId="18" fillId="0" borderId="16" xfId="11" applyFont="1" applyBorder="1" applyAlignment="1">
      <alignment horizontal="center"/>
    </xf>
    <xf numFmtId="0" fontId="17" fillId="0" borderId="19" xfId="11" applyFont="1" applyBorder="1" applyAlignment="1">
      <alignment horizontal="center"/>
    </xf>
    <xf numFmtId="14" fontId="17" fillId="0" borderId="22" xfId="11" applyNumberFormat="1" applyFont="1" applyBorder="1" applyAlignment="1">
      <alignment horizontal="center"/>
    </xf>
    <xf numFmtId="166" fontId="18" fillId="0" borderId="0" xfId="11" applyNumberFormat="1" applyFont="1"/>
    <xf numFmtId="0" fontId="4" fillId="0" borderId="0" xfId="11" applyFont="1"/>
    <xf numFmtId="165" fontId="4" fillId="0" borderId="0" xfId="12" applyFont="1" applyBorder="1"/>
    <xf numFmtId="0" fontId="22" fillId="0" borderId="0" xfId="11" applyFont="1"/>
    <xf numFmtId="0" fontId="4" fillId="0" borderId="2" xfId="11" applyFont="1" applyBorder="1"/>
    <xf numFmtId="0" fontId="17" fillId="0" borderId="2" xfId="11" applyFont="1" applyBorder="1"/>
    <xf numFmtId="0" fontId="17" fillId="0" borderId="3" xfId="11" applyFont="1" applyBorder="1"/>
    <xf numFmtId="0" fontId="4" fillId="0" borderId="23" xfId="11" applyFont="1" applyBorder="1" applyAlignment="1">
      <alignment horizontal="center"/>
    </xf>
    <xf numFmtId="0" fontId="17" fillId="0" borderId="8" xfId="11" applyFont="1" applyBorder="1"/>
    <xf numFmtId="0" fontId="17" fillId="0" borderId="11" xfId="11" applyFont="1" applyBorder="1"/>
    <xf numFmtId="0" fontId="17" fillId="0" borderId="13" xfId="11" applyFont="1" applyBorder="1"/>
    <xf numFmtId="0" fontId="17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17" fillId="0" borderId="24" xfId="11" applyFont="1" applyBorder="1" applyAlignment="1">
      <alignment horizontal="center"/>
    </xf>
    <xf numFmtId="49" fontId="17" fillId="0" borderId="16" xfId="11" applyNumberFormat="1" applyFont="1" applyBorder="1" applyAlignment="1">
      <alignment horizontal="center"/>
    </xf>
    <xf numFmtId="0" fontId="17" fillId="0" borderId="16" xfId="11" applyFont="1" applyBorder="1" applyAlignment="1">
      <alignment horizontal="center"/>
    </xf>
    <xf numFmtId="169" fontId="17" fillId="0" borderId="16" xfId="11" applyNumberFormat="1" applyFont="1" applyBorder="1" applyAlignment="1">
      <alignment horizontal="center"/>
    </xf>
    <xf numFmtId="49" fontId="17" fillId="0" borderId="13" xfId="11" applyNumberFormat="1" applyFont="1" applyBorder="1" applyAlignment="1">
      <alignment horizontal="center"/>
    </xf>
    <xf numFmtId="169" fontId="16" fillId="0" borderId="9" xfId="11" applyNumberFormat="1" applyBorder="1" applyAlignment="1">
      <alignment horizontal="center"/>
    </xf>
    <xf numFmtId="169" fontId="17" fillId="0" borderId="1" xfId="11" applyNumberFormat="1" applyFont="1" applyBorder="1" applyAlignment="1">
      <alignment horizontal="center"/>
    </xf>
    <xf numFmtId="169" fontId="17" fillId="0" borderId="9" xfId="11" applyNumberFormat="1" applyFont="1" applyBorder="1" applyAlignment="1">
      <alignment horizontal="center"/>
    </xf>
    <xf numFmtId="165" fontId="17" fillId="0" borderId="0" xfId="11" applyNumberFormat="1" applyFont="1"/>
    <xf numFmtId="0" fontId="24" fillId="0" borderId="0" xfId="11" applyFont="1"/>
    <xf numFmtId="49" fontId="5" fillId="0" borderId="0" xfId="11" applyNumberFormat="1" applyFont="1" applyAlignment="1">
      <alignment horizontal="center"/>
    </xf>
    <xf numFmtId="165" fontId="5" fillId="0" borderId="9" xfId="12" applyFont="1" applyBorder="1" applyAlignment="1">
      <alignment horizontal="center"/>
    </xf>
    <xf numFmtId="165" fontId="23" fillId="0" borderId="0" xfId="12" applyFont="1"/>
    <xf numFmtId="49" fontId="17" fillId="0" borderId="28" xfId="11" applyNumberFormat="1" applyFont="1" applyBorder="1" applyAlignment="1">
      <alignment horizontal="center"/>
    </xf>
    <xf numFmtId="49" fontId="17" fillId="0" borderId="10" xfId="11" applyNumberFormat="1" applyFont="1" applyBorder="1" applyAlignment="1">
      <alignment horizontal="center"/>
    </xf>
    <xf numFmtId="0" fontId="22" fillId="0" borderId="14" xfId="11" applyFont="1" applyBorder="1"/>
    <xf numFmtId="169" fontId="17" fillId="0" borderId="13" xfId="11" applyNumberFormat="1" applyFont="1" applyBorder="1" applyAlignment="1">
      <alignment horizontal="center"/>
    </xf>
    <xf numFmtId="169" fontId="17" fillId="0" borderId="10" xfId="11" applyNumberFormat="1" applyFont="1" applyBorder="1" applyAlignment="1">
      <alignment horizontal="center"/>
    </xf>
    <xf numFmtId="169" fontId="17" fillId="0" borderId="29" xfId="11" applyNumberFormat="1" applyFont="1" applyBorder="1" applyAlignment="1">
      <alignment horizontal="center"/>
    </xf>
    <xf numFmtId="49" fontId="17" fillId="0" borderId="0" xfId="11" applyNumberFormat="1" applyFont="1" applyAlignment="1">
      <alignment horizontal="center"/>
    </xf>
    <xf numFmtId="0" fontId="22" fillId="0" borderId="4" xfId="11" applyFont="1" applyBorder="1"/>
    <xf numFmtId="169" fontId="17" fillId="0" borderId="30" xfId="11" applyNumberFormat="1" applyFont="1" applyBorder="1" applyAlignment="1">
      <alignment horizontal="center"/>
    </xf>
    <xf numFmtId="49" fontId="17" fillId="0" borderId="2" xfId="11" applyNumberFormat="1" applyFont="1" applyBorder="1" applyAlignment="1">
      <alignment horizontal="center"/>
    </xf>
    <xf numFmtId="169" fontId="17" fillId="0" borderId="11" xfId="11" applyNumberFormat="1" applyFont="1" applyBorder="1" applyAlignment="1">
      <alignment horizontal="center"/>
    </xf>
    <xf numFmtId="169" fontId="17" fillId="0" borderId="31" xfId="11" applyNumberFormat="1" applyFont="1" applyBorder="1" applyAlignment="1">
      <alignment horizontal="center"/>
    </xf>
    <xf numFmtId="49" fontId="17" fillId="0" borderId="14" xfId="11" applyNumberFormat="1" applyFont="1" applyBorder="1" applyAlignment="1">
      <alignment horizontal="center"/>
    </xf>
    <xf numFmtId="169" fontId="17" fillId="0" borderId="15" xfId="11" applyNumberFormat="1" applyFont="1" applyBorder="1" applyAlignment="1">
      <alignment horizontal="center"/>
    </xf>
    <xf numFmtId="169" fontId="17" fillId="0" borderId="14" xfId="11" applyNumberFormat="1" applyFont="1" applyBorder="1" applyAlignment="1">
      <alignment horizontal="center"/>
    </xf>
    <xf numFmtId="169" fontId="17" fillId="0" borderId="3" xfId="11" applyNumberFormat="1" applyFont="1" applyBorder="1" applyAlignment="1">
      <alignment horizontal="center"/>
    </xf>
    <xf numFmtId="169" fontId="17" fillId="0" borderId="29" xfId="11" applyNumberFormat="1" applyFont="1" applyBorder="1" applyAlignment="1">
      <alignment horizontal="right"/>
    </xf>
    <xf numFmtId="0" fontId="17" fillId="0" borderId="3" xfId="11" applyFont="1" applyBorder="1" applyAlignment="1">
      <alignment horizontal="center"/>
    </xf>
    <xf numFmtId="170" fontId="17" fillId="0" borderId="29" xfId="11" applyNumberFormat="1" applyFont="1" applyBorder="1" applyAlignment="1">
      <alignment horizontal="right"/>
    </xf>
    <xf numFmtId="49" fontId="17" fillId="0" borderId="1" xfId="11" applyNumberFormat="1" applyFont="1" applyBorder="1" applyAlignment="1">
      <alignment horizontal="center"/>
    </xf>
    <xf numFmtId="0" fontId="17" fillId="0" borderId="1" xfId="11" applyFont="1" applyBorder="1" applyAlignment="1">
      <alignment horizontal="center"/>
    </xf>
    <xf numFmtId="170" fontId="17" fillId="0" borderId="30" xfId="11" applyNumberFormat="1" applyFont="1" applyBorder="1" applyAlignment="1">
      <alignment horizontal="center"/>
    </xf>
    <xf numFmtId="0" fontId="17" fillId="0" borderId="1" xfId="11" applyFont="1" applyBorder="1"/>
    <xf numFmtId="49" fontId="17" fillId="0" borderId="4" xfId="11" applyNumberFormat="1" applyFont="1" applyBorder="1" applyAlignment="1">
      <alignment horizontal="center"/>
    </xf>
    <xf numFmtId="49" fontId="17" fillId="0" borderId="5" xfId="11" applyNumberFormat="1" applyFont="1" applyBorder="1" applyAlignment="1">
      <alignment horizontal="center"/>
    </xf>
    <xf numFmtId="0" fontId="22" fillId="0" borderId="5" xfId="11" applyFont="1" applyBorder="1"/>
    <xf numFmtId="0" fontId="17" fillId="0" borderId="5" xfId="11" applyFont="1" applyBorder="1"/>
    <xf numFmtId="170" fontId="17" fillId="0" borderId="31" xfId="11" applyNumberFormat="1" applyFont="1" applyBorder="1" applyAlignment="1">
      <alignment horizontal="center"/>
    </xf>
    <xf numFmtId="4" fontId="17" fillId="0" borderId="11" xfId="11" applyNumberFormat="1" applyFont="1" applyBorder="1" applyAlignment="1">
      <alignment horizontal="center"/>
    </xf>
    <xf numFmtId="4" fontId="17" fillId="0" borderId="4" xfId="11" applyNumberFormat="1" applyFont="1" applyBorder="1" applyAlignment="1">
      <alignment horizontal="center"/>
    </xf>
    <xf numFmtId="4" fontId="17" fillId="0" borderId="31" xfId="11" applyNumberFormat="1" applyFont="1" applyBorder="1" applyAlignment="1">
      <alignment horizontal="center"/>
    </xf>
    <xf numFmtId="4" fontId="17" fillId="0" borderId="3" xfId="11" applyNumberFormat="1" applyFont="1" applyBorder="1" applyAlignment="1">
      <alignment horizontal="center"/>
    </xf>
    <xf numFmtId="4" fontId="17" fillId="0" borderId="1" xfId="11" applyNumberFormat="1" applyFont="1" applyBorder="1" applyAlignment="1">
      <alignment horizontal="center"/>
    </xf>
    <xf numFmtId="4" fontId="17" fillId="0" borderId="30" xfId="11" applyNumberFormat="1" applyFont="1" applyBorder="1" applyAlignment="1">
      <alignment horizontal="center"/>
    </xf>
    <xf numFmtId="4" fontId="17" fillId="0" borderId="9" xfId="11" applyNumberFormat="1" applyFont="1" applyBorder="1" applyAlignment="1">
      <alignment horizontal="center"/>
    </xf>
    <xf numFmtId="4" fontId="17" fillId="0" borderId="0" xfId="11" applyNumberFormat="1" applyFont="1" applyAlignment="1">
      <alignment horizontal="center"/>
    </xf>
    <xf numFmtId="4" fontId="17" fillId="0" borderId="32" xfId="11" applyNumberFormat="1" applyFont="1" applyBorder="1" applyAlignment="1">
      <alignment horizontal="center"/>
    </xf>
    <xf numFmtId="49" fontId="17" fillId="0" borderId="11" xfId="11" applyNumberFormat="1" applyFont="1" applyBorder="1" applyAlignment="1">
      <alignment horizontal="center"/>
    </xf>
    <xf numFmtId="4" fontId="17" fillId="0" borderId="6" xfId="11" applyNumberFormat="1" applyFont="1" applyBorder="1" applyAlignment="1">
      <alignment horizontal="center"/>
    </xf>
    <xf numFmtId="49" fontId="17" fillId="0" borderId="24" xfId="11" applyNumberFormat="1" applyFont="1" applyBorder="1" applyAlignment="1">
      <alignment horizontal="center"/>
    </xf>
    <xf numFmtId="49" fontId="17" fillId="0" borderId="26" xfId="11" applyNumberFormat="1" applyFont="1" applyBorder="1" applyAlignment="1">
      <alignment horizontal="center"/>
    </xf>
    <xf numFmtId="0" fontId="22" fillId="0" borderId="26" xfId="11" applyFont="1" applyBorder="1"/>
    <xf numFmtId="0" fontId="17" fillId="0" borderId="24" xfId="11" applyFont="1" applyBorder="1"/>
    <xf numFmtId="4" fontId="17" fillId="0" borderId="27" xfId="11" applyNumberFormat="1" applyFont="1" applyBorder="1" applyAlignment="1">
      <alignment horizontal="center"/>
    </xf>
    <xf numFmtId="4" fontId="17" fillId="0" borderId="25" xfId="11" applyNumberFormat="1" applyFont="1" applyBorder="1" applyAlignment="1">
      <alignment horizontal="center"/>
    </xf>
    <xf numFmtId="4" fontId="17" fillId="0" borderId="33" xfId="11" applyNumberFormat="1" applyFont="1" applyBorder="1"/>
    <xf numFmtId="169" fontId="17" fillId="0" borderId="16" xfId="11" applyNumberFormat="1" applyFont="1" applyBorder="1" applyAlignment="1">
      <alignment horizontal="right"/>
    </xf>
    <xf numFmtId="170" fontId="17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3" fillId="0" borderId="0" xfId="11" applyFont="1"/>
    <xf numFmtId="165" fontId="26" fillId="0" borderId="0" xfId="12" applyFont="1"/>
    <xf numFmtId="165" fontId="5" fillId="0" borderId="0" xfId="12" applyFont="1"/>
    <xf numFmtId="0" fontId="27" fillId="0" borderId="0" xfId="11" applyFont="1"/>
    <xf numFmtId="0" fontId="28" fillId="0" borderId="0" xfId="11" applyFont="1"/>
    <xf numFmtId="0" fontId="5" fillId="0" borderId="0" xfId="13" applyFont="1"/>
    <xf numFmtId="0" fontId="27" fillId="0" borderId="0" xfId="11" applyFont="1" applyAlignment="1">
      <alignment horizontal="right"/>
    </xf>
    <xf numFmtId="0" fontId="27" fillId="0" borderId="0" xfId="11" applyFont="1" applyAlignment="1">
      <alignment horizontal="left"/>
    </xf>
    <xf numFmtId="0" fontId="31" fillId="0" borderId="0" xfId="16" applyFont="1"/>
    <xf numFmtId="0" fontId="16" fillId="0" borderId="0" xfId="17"/>
    <xf numFmtId="0" fontId="30" fillId="0" borderId="0" xfId="16"/>
    <xf numFmtId="4" fontId="33" fillId="3" borderId="0" xfId="16" applyNumberFormat="1" applyFont="1" applyFill="1"/>
    <xf numFmtId="0" fontId="31" fillId="0" borderId="0" xfId="16" applyFont="1" applyAlignment="1">
      <alignment horizontal="center" vertical="center"/>
    </xf>
    <xf numFmtId="4" fontId="32" fillId="0" borderId="0" xfId="17" applyNumberFormat="1" applyFont="1" applyAlignment="1">
      <alignment horizontal="center" vertical="center"/>
    </xf>
    <xf numFmtId="165" fontId="35" fillId="0" borderId="13" xfId="12" applyFont="1" applyBorder="1" applyAlignment="1">
      <alignment horizontal="center" vertical="center"/>
    </xf>
    <xf numFmtId="165" fontId="35" fillId="0" borderId="13" xfId="11" applyNumberFormat="1" applyFont="1" applyBorder="1" applyAlignment="1">
      <alignment horizontal="center" vertical="center"/>
    </xf>
    <xf numFmtId="49" fontId="14" fillId="0" borderId="12" xfId="8" applyNumberFormat="1" applyFont="1" applyBorder="1" applyAlignment="1">
      <alignment horizontal="center" vertical="center"/>
    </xf>
    <xf numFmtId="169" fontId="17" fillId="4" borderId="9" xfId="11" applyNumberFormat="1" applyFont="1" applyFill="1" applyBorder="1" applyAlignment="1">
      <alignment horizontal="center"/>
    </xf>
    <xf numFmtId="3" fontId="34" fillId="0" borderId="0" xfId="18" applyNumberFormat="1" applyFont="1" applyAlignment="1">
      <alignment horizontal="center" vertical="center" wrapText="1"/>
    </xf>
    <xf numFmtId="4" fontId="33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7" fillId="2" borderId="16" xfId="11" applyNumberFormat="1" applyFont="1" applyFill="1" applyBorder="1" applyAlignment="1">
      <alignment horizontal="center"/>
    </xf>
    <xf numFmtId="171" fontId="17" fillId="0" borderId="0" xfId="11" applyNumberFormat="1" applyFont="1"/>
    <xf numFmtId="171" fontId="12" fillId="0" borderId="0" xfId="9" applyNumberFormat="1"/>
    <xf numFmtId="0" fontId="6" fillId="0" borderId="0" xfId="0" applyFont="1"/>
    <xf numFmtId="0" fontId="22" fillId="0" borderId="1" xfId="11" applyFont="1" applyBorder="1"/>
    <xf numFmtId="0" fontId="22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17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2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14" fontId="17" fillId="0" borderId="16" xfId="11" applyNumberFormat="1" applyFont="1" applyBorder="1" applyAlignment="1">
      <alignment horizontal="center"/>
    </xf>
    <xf numFmtId="165" fontId="35" fillId="0" borderId="12" xfId="12" applyFont="1" applyBorder="1" applyAlignment="1">
      <alignment vertical="center"/>
    </xf>
    <xf numFmtId="165" fontId="35" fillId="0" borderId="13" xfId="12" applyFont="1" applyBorder="1"/>
    <xf numFmtId="172" fontId="35" fillId="0" borderId="13" xfId="12" applyNumberFormat="1" applyFont="1" applyBorder="1" applyAlignment="1">
      <alignment horizontal="center" vertical="center"/>
    </xf>
    <xf numFmtId="165" fontId="35" fillId="0" borderId="9" xfId="12" applyFont="1" applyBorder="1"/>
    <xf numFmtId="165" fontId="35" fillId="0" borderId="9" xfId="12" applyFont="1" applyBorder="1" applyAlignment="1">
      <alignment horizontal="center" vertical="center"/>
    </xf>
    <xf numFmtId="165" fontId="35" fillId="0" borderId="9" xfId="11" applyNumberFormat="1" applyFont="1" applyBorder="1" applyAlignment="1">
      <alignment horizontal="center" vertical="center"/>
    </xf>
    <xf numFmtId="165" fontId="5" fillId="3" borderId="9" xfId="12" applyFont="1" applyFill="1" applyBorder="1" applyAlignment="1">
      <alignment horizontal="center"/>
    </xf>
    <xf numFmtId="165" fontId="35" fillId="0" borderId="12" xfId="12" applyFont="1" applyBorder="1"/>
    <xf numFmtId="165" fontId="35" fillId="0" borderId="12" xfId="12" applyFont="1" applyBorder="1" applyAlignment="1">
      <alignment horizontal="center" vertical="center"/>
    </xf>
    <xf numFmtId="165" fontId="35" fillId="0" borderId="12" xfId="11" applyNumberFormat="1" applyFont="1" applyBorder="1" applyAlignment="1">
      <alignment horizontal="center" vertical="center"/>
    </xf>
    <xf numFmtId="49" fontId="35" fillId="0" borderId="9" xfId="16" applyNumberFormat="1" applyFont="1" applyBorder="1" applyAlignment="1">
      <alignment vertical="center"/>
    </xf>
    <xf numFmtId="169" fontId="35" fillId="0" borderId="9" xfId="16" applyNumberFormat="1" applyFont="1" applyBorder="1" applyAlignment="1">
      <alignment vertical="center"/>
    </xf>
    <xf numFmtId="0" fontId="35" fillId="0" borderId="9" xfId="16" applyFont="1" applyBorder="1" applyAlignment="1">
      <alignment horizontal="center" vertical="center"/>
    </xf>
    <xf numFmtId="0" fontId="35" fillId="0" borderId="9" xfId="17" applyFont="1" applyBorder="1" applyAlignment="1">
      <alignment horizontal="center" vertical="center"/>
    </xf>
    <xf numFmtId="4" fontId="35" fillId="0" borderId="9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0" fontId="35" fillId="0" borderId="12" xfId="16" applyFont="1" applyBorder="1" applyAlignment="1">
      <alignment horizontal="center" vertical="center"/>
    </xf>
    <xf numFmtId="0" fontId="35" fillId="0" borderId="12" xfId="17" applyFont="1" applyBorder="1" applyAlignment="1">
      <alignment horizontal="center" vertical="center"/>
    </xf>
    <xf numFmtId="49" fontId="35" fillId="0" borderId="13" xfId="16" applyNumberFormat="1" applyFont="1" applyBorder="1" applyAlignment="1">
      <alignment vertical="center"/>
    </xf>
    <xf numFmtId="3" fontId="35" fillId="0" borderId="13" xfId="18" applyNumberFormat="1" applyFont="1" applyBorder="1" applyAlignment="1">
      <alignment horizontal="center" vertical="center" wrapText="1"/>
    </xf>
    <xf numFmtId="49" fontId="35" fillId="0" borderId="9" xfId="16" applyNumberFormat="1" applyFont="1" applyBorder="1"/>
    <xf numFmtId="0" fontId="35" fillId="0" borderId="9" xfId="17" applyFont="1" applyBorder="1" applyAlignment="1">
      <alignment vertical="center"/>
    </xf>
    <xf numFmtId="49" fontId="35" fillId="0" borderId="12" xfId="16" applyNumberFormat="1" applyFont="1" applyBorder="1"/>
    <xf numFmtId="0" fontId="35" fillId="0" borderId="13" xfId="16" applyFont="1" applyBorder="1"/>
    <xf numFmtId="4" fontId="35" fillId="0" borderId="13" xfId="16" applyNumberFormat="1" applyFont="1" applyBorder="1"/>
    <xf numFmtId="0" fontId="11" fillId="0" borderId="0" xfId="1" applyFont="1"/>
    <xf numFmtId="2" fontId="17" fillId="0" borderId="0" xfId="11" applyNumberFormat="1" applyFont="1"/>
    <xf numFmtId="0" fontId="7" fillId="0" borderId="0" xfId="20"/>
    <xf numFmtId="0" fontId="11" fillId="0" borderId="9" xfId="19" applyFont="1" applyBorder="1" applyAlignment="1">
      <alignment horizontal="center" vertical="center"/>
    </xf>
    <xf numFmtId="0" fontId="11" fillId="0" borderId="9" xfId="19" applyFont="1" applyBorder="1" applyAlignment="1">
      <alignment horizontal="center" vertical="center" wrapText="1"/>
    </xf>
    <xf numFmtId="0" fontId="36" fillId="0" borderId="9" xfId="19" applyFont="1" applyBorder="1" applyAlignment="1">
      <alignment horizontal="center" vertical="center"/>
    </xf>
    <xf numFmtId="0" fontId="14" fillId="0" borderId="9" xfId="19" applyFont="1" applyBorder="1" applyAlignment="1">
      <alignment horizontal="center" vertical="center"/>
    </xf>
    <xf numFmtId="0" fontId="14" fillId="0" borderId="9" xfId="19" applyFont="1" applyBorder="1" applyAlignment="1">
      <alignment horizontal="left" vertical="center"/>
    </xf>
    <xf numFmtId="4" fontId="14" fillId="0" borderId="9" xfId="19" applyNumberFormat="1" applyFont="1" applyBorder="1" applyAlignment="1">
      <alignment horizontal="center" vertical="center"/>
    </xf>
    <xf numFmtId="4" fontId="14" fillId="0" borderId="9" xfId="19" applyNumberFormat="1" applyFont="1" applyBorder="1" applyAlignment="1">
      <alignment horizontal="center" vertical="center" wrapText="1"/>
    </xf>
    <xf numFmtId="164" fontId="14" fillId="0" borderId="9" xfId="19" applyNumberFormat="1" applyFont="1" applyBorder="1" applyAlignment="1">
      <alignment horizontal="center" vertical="center"/>
    </xf>
    <xf numFmtId="4" fontId="7" fillId="0" borderId="0" xfId="20" applyNumberFormat="1"/>
    <xf numFmtId="0" fontId="11" fillId="0" borderId="9" xfId="19" applyFont="1" applyBorder="1" applyAlignment="1">
      <alignment horizontal="left" vertical="center"/>
    </xf>
    <xf numFmtId="4" fontId="11" fillId="0" borderId="9" xfId="19" applyNumberFormat="1" applyFont="1" applyBorder="1" applyAlignment="1">
      <alignment horizontal="center" vertical="center"/>
    </xf>
    <xf numFmtId="4" fontId="11" fillId="0" borderId="9" xfId="19" applyNumberFormat="1" applyFont="1" applyBorder="1" applyAlignment="1">
      <alignment horizontal="center" vertical="center" wrapText="1"/>
    </xf>
    <xf numFmtId="164" fontId="11" fillId="0" borderId="9" xfId="19" applyNumberFormat="1" applyFont="1" applyBorder="1" applyAlignment="1">
      <alignment horizontal="center" vertical="center"/>
    </xf>
    <xf numFmtId="0" fontId="37" fillId="0" borderId="0" xfId="20" applyFont="1"/>
    <xf numFmtId="0" fontId="38" fillId="0" borderId="9" xfId="19" applyFont="1" applyBorder="1" applyAlignment="1">
      <alignment horizontal="center" vertical="center"/>
    </xf>
    <xf numFmtId="0" fontId="11" fillId="0" borderId="9" xfId="19" applyFont="1" applyBorder="1" applyAlignment="1">
      <alignment vertical="center"/>
    </xf>
    <xf numFmtId="49" fontId="11" fillId="0" borderId="9" xfId="19" applyNumberFormat="1" applyFont="1" applyBorder="1" applyAlignment="1">
      <alignment horizontal="center" vertical="center"/>
    </xf>
    <xf numFmtId="0" fontId="14" fillId="0" borderId="9" xfId="19" applyFont="1" applyBorder="1" applyAlignment="1">
      <alignment vertical="center" wrapText="1"/>
    </xf>
    <xf numFmtId="4" fontId="14" fillId="2" borderId="9" xfId="19" applyNumberFormat="1" applyFont="1" applyFill="1" applyBorder="1" applyAlignment="1">
      <alignment horizontal="center" vertical="center" wrapText="1"/>
    </xf>
    <xf numFmtId="0" fontId="14" fillId="0" borderId="9" xfId="19" applyFont="1" applyBorder="1" applyAlignment="1">
      <alignment vertical="center"/>
    </xf>
    <xf numFmtId="0" fontId="11" fillId="0" borderId="12" xfId="19" applyFont="1" applyBorder="1" applyAlignment="1">
      <alignment horizontal="center" vertical="center"/>
    </xf>
    <xf numFmtId="0" fontId="14" fillId="0" borderId="34" xfId="19" applyFont="1" applyBorder="1" applyAlignment="1">
      <alignment horizontal="center" vertical="center"/>
    </xf>
    <xf numFmtId="49" fontId="14" fillId="0" borderId="12" xfId="19" applyNumberFormat="1" applyFont="1" applyBorder="1" applyAlignment="1">
      <alignment horizontal="center" vertical="center"/>
    </xf>
    <xf numFmtId="0" fontId="14" fillId="0" borderId="12" xfId="19" applyFont="1" applyBorder="1" applyAlignment="1">
      <alignment horizontal="left" vertical="center" wrapText="1"/>
    </xf>
    <xf numFmtId="164" fontId="14" fillId="0" borderId="12" xfId="19" applyNumberFormat="1" applyFont="1" applyBorder="1" applyAlignment="1">
      <alignment horizontal="center" vertical="center"/>
    </xf>
    <xf numFmtId="4" fontId="13" fillId="0" borderId="12" xfId="19" applyNumberFormat="1" applyFont="1" applyBorder="1" applyAlignment="1">
      <alignment horizontal="center" vertical="center"/>
    </xf>
    <xf numFmtId="0" fontId="11" fillId="0" borderId="13" xfId="19" applyFont="1" applyBorder="1"/>
    <xf numFmtId="0" fontId="15" fillId="0" borderId="13" xfId="19" applyFont="1" applyBorder="1" applyAlignment="1">
      <alignment horizontal="center" vertical="center"/>
    </xf>
    <xf numFmtId="4" fontId="15" fillId="0" borderId="13" xfId="19" applyNumberFormat="1" applyFont="1" applyBorder="1" applyAlignment="1">
      <alignment horizontal="center" vertical="center"/>
    </xf>
    <xf numFmtId="171" fontId="7" fillId="0" borderId="0" xfId="20" applyNumberFormat="1"/>
    <xf numFmtId="2" fontId="7" fillId="0" borderId="0" xfId="20" applyNumberFormat="1"/>
    <xf numFmtId="0" fontId="12" fillId="0" borderId="0" xfId="9" applyAlignment="1">
      <alignment horizontal="center" vertical="center"/>
    </xf>
    <xf numFmtId="0" fontId="7" fillId="0" borderId="0" xfId="20" applyAlignment="1">
      <alignment horizontal="center" vertical="center"/>
    </xf>
    <xf numFmtId="4" fontId="7" fillId="0" borderId="0" xfId="20" applyNumberFormat="1" applyAlignment="1">
      <alignment horizontal="center" vertical="center"/>
    </xf>
    <xf numFmtId="0" fontId="37" fillId="0" borderId="0" xfId="20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4" fontId="37" fillId="0" borderId="0" xfId="20" applyNumberFormat="1" applyFont="1" applyAlignment="1">
      <alignment horizontal="center" vertical="center"/>
    </xf>
    <xf numFmtId="4" fontId="7" fillId="0" borderId="0" xfId="20" applyNumberFormat="1" applyFont="1" applyAlignment="1">
      <alignment horizontal="center" vertical="center"/>
    </xf>
    <xf numFmtId="0" fontId="17" fillId="3" borderId="0" xfId="11" applyFont="1" applyFill="1"/>
    <xf numFmtId="0" fontId="4" fillId="3" borderId="0" xfId="11" applyFont="1" applyFill="1"/>
    <xf numFmtId="0" fontId="38" fillId="0" borderId="9" xfId="19" applyFont="1" applyBorder="1" applyAlignment="1">
      <alignment vertical="center" wrapText="1"/>
    </xf>
    <xf numFmtId="4" fontId="38" fillId="0" borderId="9" xfId="19" applyNumberFormat="1" applyFont="1" applyBorder="1" applyAlignment="1">
      <alignment horizontal="center" vertical="center"/>
    </xf>
    <xf numFmtId="4" fontId="38" fillId="0" borderId="9" xfId="19" applyNumberFormat="1" applyFont="1" applyBorder="1" applyAlignment="1">
      <alignment horizontal="center" vertical="center" wrapText="1"/>
    </xf>
    <xf numFmtId="164" fontId="38" fillId="0" borderId="9" xfId="19" applyNumberFormat="1" applyFont="1" applyBorder="1" applyAlignment="1">
      <alignment horizontal="center" vertical="center"/>
    </xf>
    <xf numFmtId="4" fontId="38" fillId="2" borderId="9" xfId="19" applyNumberFormat="1" applyFont="1" applyFill="1" applyBorder="1" applyAlignment="1">
      <alignment horizontal="center" vertical="center" wrapText="1"/>
    </xf>
    <xf numFmtId="0" fontId="38" fillId="0" borderId="9" xfId="19" applyFont="1" applyBorder="1" applyAlignment="1">
      <alignment vertical="center"/>
    </xf>
    <xf numFmtId="0" fontId="38" fillId="0" borderId="9" xfId="19" applyFont="1" applyBorder="1" applyAlignment="1">
      <alignment horizontal="left" vertical="center"/>
    </xf>
    <xf numFmtId="49" fontId="38" fillId="0" borderId="9" xfId="19" applyNumberFormat="1" applyFont="1" applyBorder="1" applyAlignment="1">
      <alignment horizontal="center" vertical="center"/>
    </xf>
    <xf numFmtId="0" fontId="38" fillId="0" borderId="12" xfId="19" applyFont="1" applyBorder="1" applyAlignment="1">
      <alignment horizontal="center" vertical="center"/>
    </xf>
    <xf numFmtId="0" fontId="38" fillId="0" borderId="12" xfId="19" applyFont="1" applyBorder="1" applyAlignment="1">
      <alignment vertical="center" wrapText="1"/>
    </xf>
    <xf numFmtId="4" fontId="38" fillId="0" borderId="12" xfId="19" applyNumberFormat="1" applyFont="1" applyBorder="1" applyAlignment="1">
      <alignment horizontal="center" vertical="center"/>
    </xf>
    <xf numFmtId="4" fontId="38" fillId="0" borderId="12" xfId="19" applyNumberFormat="1" applyFont="1" applyBorder="1" applyAlignment="1">
      <alignment horizontal="center" vertical="center" wrapText="1"/>
    </xf>
    <xf numFmtId="164" fontId="38" fillId="0" borderId="12" xfId="19" applyNumberFormat="1" applyFont="1" applyBorder="1" applyAlignment="1">
      <alignment horizontal="center" vertical="center"/>
    </xf>
    <xf numFmtId="4" fontId="38" fillId="2" borderId="12" xfId="19" applyNumberFormat="1" applyFont="1" applyFill="1" applyBorder="1" applyAlignment="1">
      <alignment horizontal="center" vertical="center" wrapText="1"/>
    </xf>
    <xf numFmtId="4" fontId="41" fillId="0" borderId="13" xfId="19" applyNumberFormat="1" applyFont="1" applyBorder="1" applyAlignment="1">
      <alignment horizontal="center" vertical="center"/>
    </xf>
    <xf numFmtId="0" fontId="38" fillId="5" borderId="9" xfId="19" applyFont="1" applyFill="1" applyBorder="1" applyAlignment="1">
      <alignment horizontal="center" vertical="center"/>
    </xf>
    <xf numFmtId="0" fontId="38" fillId="5" borderId="9" xfId="19" applyFont="1" applyFill="1" applyBorder="1" applyAlignment="1">
      <alignment horizontal="left" vertical="center"/>
    </xf>
    <xf numFmtId="4" fontId="38" fillId="5" borderId="9" xfId="19" applyNumberFormat="1" applyFont="1" applyFill="1" applyBorder="1" applyAlignment="1">
      <alignment horizontal="center" vertical="center" wrapText="1"/>
    </xf>
    <xf numFmtId="164" fontId="38" fillId="5" borderId="9" xfId="19" applyNumberFormat="1" applyFont="1" applyFill="1" applyBorder="1" applyAlignment="1">
      <alignment horizontal="center" vertical="center"/>
    </xf>
    <xf numFmtId="0" fontId="38" fillId="5" borderId="9" xfId="19" applyFont="1" applyFill="1" applyBorder="1" applyAlignment="1">
      <alignment vertical="center"/>
    </xf>
    <xf numFmtId="4" fontId="7" fillId="0" borderId="35" xfId="20" applyNumberFormat="1" applyBorder="1" applyAlignment="1">
      <alignment horizontal="center" vertical="center"/>
    </xf>
    <xf numFmtId="0" fontId="7" fillId="0" borderId="35" xfId="20" applyBorder="1" applyAlignment="1">
      <alignment horizontal="center" vertical="center"/>
    </xf>
    <xf numFmtId="0" fontId="42" fillId="0" borderId="0" xfId="9" applyFont="1" applyAlignment="1">
      <alignment horizontal="center" vertical="center"/>
    </xf>
    <xf numFmtId="0" fontId="42" fillId="0" borderId="0" xfId="20" applyFont="1" applyAlignment="1">
      <alignment horizontal="center" vertical="center"/>
    </xf>
    <xf numFmtId="0" fontId="42" fillId="0" borderId="35" xfId="20" applyFont="1" applyBorder="1" applyAlignment="1">
      <alignment horizontal="center" vertical="center"/>
    </xf>
    <xf numFmtId="4" fontId="42" fillId="0" borderId="0" xfId="20" applyNumberFormat="1" applyFont="1" applyAlignment="1">
      <alignment horizontal="center" vertical="center"/>
    </xf>
    <xf numFmtId="4" fontId="7" fillId="5" borderId="0" xfId="20" applyNumberFormat="1" applyFill="1" applyAlignment="1">
      <alignment horizontal="center" vertical="center"/>
    </xf>
    <xf numFmtId="0" fontId="38" fillId="5" borderId="12" xfId="19" applyFont="1" applyFill="1" applyBorder="1" applyAlignment="1">
      <alignment horizontal="center" vertical="center"/>
    </xf>
    <xf numFmtId="0" fontId="38" fillId="5" borderId="12" xfId="19" applyFont="1" applyFill="1" applyBorder="1" applyAlignment="1">
      <alignment vertical="center" wrapText="1"/>
    </xf>
    <xf numFmtId="4" fontId="38" fillId="5" borderId="12" xfId="19" applyNumberFormat="1" applyFont="1" applyFill="1" applyBorder="1" applyAlignment="1">
      <alignment horizontal="center" vertical="center"/>
    </xf>
    <xf numFmtId="4" fontId="38" fillId="5" borderId="12" xfId="19" applyNumberFormat="1" applyFont="1" applyFill="1" applyBorder="1" applyAlignment="1">
      <alignment horizontal="center" vertical="center" wrapText="1"/>
    </xf>
    <xf numFmtId="164" fontId="38" fillId="5" borderId="12" xfId="19" applyNumberFormat="1" applyFont="1" applyFill="1" applyBorder="1" applyAlignment="1">
      <alignment horizontal="center" vertical="center"/>
    </xf>
    <xf numFmtId="4" fontId="38" fillId="5" borderId="9" xfId="19" applyNumberFormat="1" applyFont="1" applyFill="1" applyBorder="1" applyAlignment="1">
      <alignment horizontal="center" vertical="center"/>
    </xf>
    <xf numFmtId="4" fontId="7" fillId="6" borderId="0" xfId="20" applyNumberFormat="1" applyFill="1" applyAlignment="1">
      <alignment horizontal="center" vertical="center"/>
    </xf>
    <xf numFmtId="4" fontId="42" fillId="6" borderId="0" xfId="20" applyNumberFormat="1" applyFont="1" applyFill="1" applyAlignment="1">
      <alignment horizontal="center" vertical="center"/>
    </xf>
    <xf numFmtId="4" fontId="7" fillId="7" borderId="0" xfId="20" applyNumberFormat="1" applyFill="1" applyAlignment="1">
      <alignment horizontal="center" vertical="center"/>
    </xf>
    <xf numFmtId="4" fontId="7" fillId="8" borderId="0" xfId="20" applyNumberFormat="1" applyFill="1" applyAlignment="1">
      <alignment horizontal="center" vertical="center"/>
    </xf>
    <xf numFmtId="0" fontId="5" fillId="0" borderId="0" xfId="11" applyFont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5" xfId="11" applyFont="1" applyBorder="1" applyAlignment="1">
      <alignment horizontal="center"/>
    </xf>
    <xf numFmtId="0" fontId="27" fillId="0" borderId="0" xfId="11" applyFont="1" applyAlignment="1">
      <alignment horizontal="center"/>
    </xf>
    <xf numFmtId="0" fontId="32" fillId="0" borderId="0" xfId="17" applyFont="1" applyAlignment="1">
      <alignment horizontal="center" vertical="center"/>
    </xf>
    <xf numFmtId="0" fontId="22" fillId="0" borderId="1" xfId="11" applyFont="1" applyBorder="1"/>
    <xf numFmtId="0" fontId="22" fillId="0" borderId="2" xfId="11" applyFont="1" applyBorder="1"/>
    <xf numFmtId="0" fontId="22" fillId="0" borderId="3" xfId="11" applyFont="1" applyBorder="1"/>
    <xf numFmtId="0" fontId="25" fillId="0" borderId="0" xfId="11" applyFont="1"/>
    <xf numFmtId="0" fontId="4" fillId="0" borderId="0" xfId="11" applyFont="1" applyAlignment="1">
      <alignment horizontal="right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17" fillId="0" borderId="14" xfId="11" applyFont="1" applyBorder="1" applyAlignment="1">
      <alignment horizontal="center"/>
    </xf>
    <xf numFmtId="0" fontId="17" fillId="0" borderId="10" xfId="11" applyFont="1" applyBorder="1" applyAlignment="1">
      <alignment horizontal="center"/>
    </xf>
    <xf numFmtId="0" fontId="17" fillId="0" borderId="15" xfId="11" applyFont="1" applyBorder="1" applyAlignment="1">
      <alignment horizontal="center"/>
    </xf>
    <xf numFmtId="0" fontId="17" fillId="0" borderId="25" xfId="11" applyFont="1" applyBorder="1" applyAlignment="1">
      <alignment horizontal="center"/>
    </xf>
    <xf numFmtId="0" fontId="17" fillId="0" borderId="26" xfId="11" applyFont="1" applyBorder="1" applyAlignment="1">
      <alignment horizontal="center"/>
    </xf>
    <xf numFmtId="0" fontId="17" fillId="0" borderId="27" xfId="11" applyFont="1" applyBorder="1" applyAlignment="1">
      <alignment horizontal="center"/>
    </xf>
    <xf numFmtId="2" fontId="22" fillId="0" borderId="19" xfId="11" applyNumberFormat="1" applyFont="1" applyBorder="1" applyAlignment="1">
      <alignment wrapText="1"/>
    </xf>
    <xf numFmtId="2" fontId="22" fillId="0" borderId="22" xfId="11" applyNumberFormat="1" applyFont="1" applyBorder="1" applyAlignment="1">
      <alignment wrapText="1"/>
    </xf>
    <xf numFmtId="2" fontId="22" fillId="0" borderId="20" xfId="11" applyNumberFormat="1" applyFont="1" applyBorder="1" applyAlignment="1">
      <alignment wrapText="1"/>
    </xf>
    <xf numFmtId="0" fontId="18" fillId="0" borderId="19" xfId="11" applyFont="1" applyBorder="1" applyAlignment="1">
      <alignment horizontal="center"/>
    </xf>
    <xf numFmtId="0" fontId="18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4" fontId="29" fillId="0" borderId="0" xfId="15" applyNumberFormat="1" applyFont="1" applyAlignment="1">
      <alignment horizontal="center" vertical="top" wrapText="1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30" fillId="0" borderId="0" xfId="16" applyAlignment="1">
      <alignment horizontal="center" vertical="center" wrapText="1"/>
    </xf>
    <xf numFmtId="0" fontId="17" fillId="0" borderId="10" xfId="11" applyFont="1" applyBorder="1" applyAlignment="1">
      <alignment horizontal="left" wrapText="1"/>
    </xf>
    <xf numFmtId="0" fontId="17" fillId="0" borderId="0" xfId="11" applyFont="1" applyAlignment="1">
      <alignment horizontal="left" vertical="top" wrapText="1"/>
    </xf>
    <xf numFmtId="0" fontId="17" fillId="0" borderId="10" xfId="11" applyFont="1" applyBorder="1" applyAlignment="1">
      <alignment vertical="top" wrapText="1"/>
    </xf>
    <xf numFmtId="0" fontId="17" fillId="0" borderId="10" xfId="13" applyBorder="1" applyAlignment="1">
      <alignment vertical="top" wrapText="1"/>
    </xf>
    <xf numFmtId="0" fontId="13" fillId="0" borderId="0" xfId="3" applyFont="1" applyAlignment="1">
      <alignment horizontal="center" vertical="center"/>
    </xf>
    <xf numFmtId="0" fontId="11" fillId="0" borderId="10" xfId="3" applyFont="1" applyBorder="1" applyAlignment="1">
      <alignment horizontal="left" wrapText="1"/>
    </xf>
    <xf numFmtId="0" fontId="34" fillId="0" borderId="5" xfId="3" applyFont="1" applyBorder="1" applyAlignment="1">
      <alignment horizontal="center" vertical="top"/>
    </xf>
    <xf numFmtId="0" fontId="11" fillId="0" borderId="10" xfId="3" applyFont="1" applyBorder="1" applyAlignment="1">
      <alignment horizontal="left" vertical="center" wrapText="1"/>
    </xf>
    <xf numFmtId="0" fontId="14" fillId="0" borderId="5" xfId="3" applyFont="1" applyBorder="1" applyAlignment="1">
      <alignment horizontal="center" vertical="top"/>
    </xf>
    <xf numFmtId="0" fontId="39" fillId="0" borderId="5" xfId="3" applyFont="1" applyBorder="1" applyAlignment="1">
      <alignment horizontal="center" vertical="top"/>
    </xf>
  </cellXfs>
  <cellStyles count="21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4 2" xfId="20" xr:uid="{8E215C70-9A05-4C10-856E-048F026A202A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3 2" xfId="19" xr:uid="{4FB8BF4E-9E7B-4785-A938-55B2173E409F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6%20&#1057;&#1084;&#1077;&#1090;&#1072;%20&#8470;06-02-02%20&#1053;&#1042;&#1050;4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7%20&#1057;&#1084;&#1077;&#1090;&#1072;%20&#8470;06-02-02%20&#1053;&#1042;&#1050;5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8%20&#1057;&#1084;&#1077;&#1090;&#1072;%20&#8470;06-03-01%20&#1058;&#1057;1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9%20&#1057;&#1084;&#1077;&#1090;&#1072;%20&#8470;06-03-02%20&#1040;&#1057;4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0%20&#1057;&#1084;&#1077;&#1090;&#1072;%20&#8470;06-03-04%20&#1058;&#1057;2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1%20&#1057;&#1084;&#1077;&#1090;&#1072;%20&#8470;06-03-04%20&#1058;&#1057;3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2%20&#1057;&#1084;&#1077;&#1090;&#1072;%20&#8470;06-04-01%20&#1043;&#1057;&#1053;%20&#1080;&#1079;&#1084;.1_&#1082;&#1086;&#1088;&#1088;.&#1087;&#1086;%20&#1079;&#1072;&#1084;&#1077;&#1095;.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3%20&#1057;&#1084;&#1077;&#1090;&#1072;%20&#8470;07-01-01%20&#1043;&#1055;1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4%20&#1057;&#1084;&#1077;&#1090;&#1072;%20&#8470;07-01-02%20&#1043;&#1055;2%20&#1080;&#1079;&#1084;.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5%20&#1057;&#1084;&#1077;&#1090;&#1072;%20&#8470;09-01-01%20&#1069;&#1057;1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19%20&#1057;&#1084;&#1077;&#1090;&#1072;%20&#8470;02-01-01%20&#1055;&#1046;%20&#1080;&#1079;&#1084;.1_&#1082;&#1086;&#1088;&#1088;.%20&#1087;&#1086;%20&#1079;&#1072;&#1084;&#1077;&#1095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6%20&#1057;&#1084;&#1077;&#1090;&#1072;%20&#8470;09-01-02%20&#1069;&#1057;2%20&#1055;&#1053;&#1056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7%20&#1057;&#1084;&#1077;&#1090;&#1072;%20&#8470;01-01-01%20&#1076;&#1086;&#1087;.1%20&#1051;&#1080;&#1082;&#1074;&#1080;&#1076;&#1072;&#1094;&#1080;&#1103;%20&#1086;&#1073;&#1098;&#1077;&#1082;&#1090;&#1086;&#1074;%20&#1087;&#1086;%20&#1090;&#1088;&#1072;&#1089;&#1089;&#1077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8%20&#1057;&#1084;&#1077;&#1090;&#1072;%20&#8470;01-01-02%20&#1076;&#1086;&#1087;.1%20&#1057;&#1085;&#1103;&#1090;&#1080;&#1077;%20&#1083;&#1072;&#1084;&#1087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39%20&#1057;&#1084;&#1077;&#1090;&#1072;%20&#8470;01-01-02%20&#1076;&#1086;&#1087;.2%20&#1055;&#1077;&#1088;&#1077;&#1091;&#1089;&#1090;&#1088;-&#1074;&#1086;%20&#1093;&#1086;&#1079;&#1087;&#1080;&#1090;&#1100;&#1077;&#1074;.&#1074;&#1086;&#1076;&#1086;&#1087;&#1088;-&#1076;&#1072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0%20&#1057;&#1084;&#1077;&#1090;&#1072;%20&#8470;02-01-01%20&#1076;&#1086;&#1087;.1%20&#1042;&#1088;&#1077;&#1084;.&#1087;&#1077;&#1088;&#1077;&#1077;&#1079;&#1076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1%20&#1057;&#1084;&#1077;&#1090;&#1072;%20&#8470;02-01-01%20&#1076;&#1086;&#1087;.2%20&#1050;&#1057;%20&#1086;&#1073;&#1082;&#1072;&#1090;&#1086;&#1095;&#1085;&#1099;&#1093;%20&#1087;&#1091;&#1090;&#1077;&#1081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2%20&#1057;&#1084;&#1077;&#1090;&#1072;%20&#8470;02-03-01%20&#1076;&#1086;&#1087;.1%20&#1057;&#1084;&#1077;&#1097;&#1077;&#1085;&#1080;&#1077;%20&#1079;&#1072;&#1082;&#1083;&#1072;&#1076;&#1085;&#1099;&#1093;%20&#1052;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3%20&#1057;&#1084;&#1077;&#1090;&#1072;%20&#8470;02-03-01%20&#1076;&#1086;&#1087;.2%20&#1058;&#1088;&#1072;&#1085;&#1089;&#1073;&#1086;&#1088;&#1076;&#1077;&#1088;.%20&#1050;&#1086;&#1085;&#1090;&#1072;&#1082;&#1090;&#1085;&#1072;&#1103;%20&#1089;&#1077;&#1090;&#110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4%20&#1057;&#1084;&#1077;&#1090;&#1072;%20&#8470;02-03-01%20&#1076;&#1086;&#1087;.3%20&#1059;&#1089;&#1090;&#1088;-&#1074;&#1086;%20&#1086;&#1075;&#1088;&#1072;&#1078;&#1076;&#1077;&#1085;&#1080;&#1103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5%20&#1057;&#1084;&#1077;&#1090;&#1072;%20&#8470;05-01-01%20&#1076;&#1086;&#1087;.1%20&#1055;&#1077;&#1088;&#1077;&#1091;&#1089;&#1090;&#1088;-&#1074;&#1086;%20&#1082;&#1072;&#1073;&#1077;&#1083;&#1100;&#1085;.&#1082;&#1072;&#1085;&#1072;&#1083;-&#1080;.%20&#1057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44;&#1057;/&#1057;&#1057;&#1056;2_&#1087;&#1088;&#1080;&#1083;.2_&#1050;&#1080;&#1082;-&#1064;&#1077;&#1083;&#1083;_&#1086;&#1092;&#1086;&#1088;&#1084;&#1083;&#1077;&#1085;&#1086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6%20&#1057;&#1084;&#1077;&#1090;&#1072;%20&#8470;06-02-02%20&#1076;&#1086;&#1087;.1%20&#1055;&#1077;&#1088;&#1077;&#1091;&#1089;&#1090;&#1088;-&#1074;&#1086;%20&#1083;&#1080;&#1074;&#1085;.&#1082;&#1072;&#1085;&#1072;&#1083;-&#1080;.%20&#1053;&#1042;&#1050;5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47%20&#1057;&#1084;&#1077;&#1090;&#1072;%20&#8470;07-01-01%20&#1076;&#1086;&#1087;.1%20&#1042;&#1086;&#1089;&#1089;&#1090;&#1072;&#1085;&#1086;&#1074;&#1083;&#1077;&#1085;&#1080;&#1077;%20&#1072;&#1073;%20&#1087;&#1086;&#1082;&#1088;&#1099;&#1090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0%20&#1057;&#1084;&#1077;&#1090;&#1072;%20&#8470;02-03-01%20&#1040;&#1057;1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1%20&#1057;&#1084;&#1077;&#1090;&#1072;%20&#8470;02-03-02%20&#1040;&#1057;2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2%20&#1057;&#1084;&#1077;&#1090;&#1072;%20&#8470;04-01-01%20&#1069;&#1057;1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3%20&#1057;&#1084;&#1077;&#1090;&#1072;%20&#8470;04-01-02%20&#1069;&#1057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4%20&#1057;&#1084;&#1077;&#1090;&#1072;%20&#8470;06-01-01%20&#1053;&#1042;&#1050;2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50;&#1080;&#1082;-&#1064;&#1077;&#1083;&#1083;/&#1082;&#1089;-2,3/&#1040;&#1082;&#1090;%20&#8470;25%20&#1057;&#1084;&#1077;&#1090;&#1072;%20&#8470;06-01-02_&#1053;&#1042;&#1050;3%20&#1080;&#1079;&#1084;.1_&#1075;&#1080;&#1076;&#1088;=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 refreshError="1"/>
      <sheetData sheetId="1" refreshError="1"/>
      <sheetData sheetId="2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84">
          <cell r="O984">
            <v>1518775.93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48">
          <cell r="O1248">
            <v>2077845.21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57">
          <cell r="O357">
            <v>735338.57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45">
          <cell r="O245">
            <v>2372498.35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67">
          <cell r="O1267">
            <v>1708591.37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49">
          <cell r="O849">
            <v>3252012.02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4-01 ГСН изм.1_согл. - Акт"/>
    </sheetNames>
    <sheetDataSet>
      <sheetData sheetId="0">
        <row r="548">
          <cell r="O548">
            <v>4335615.7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415">
          <cell r="O415">
            <v>13177717.789999999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76">
          <cell r="O976">
            <v>47813221.649999999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57">
          <cell r="O57">
            <v>54848.77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2-01-01 ПЖ -изм.1_согл. - Акт"/>
    </sheetNames>
    <sheetDataSet>
      <sheetData sheetId="0">
        <row r="764">
          <cell r="O764">
            <v>26315216.989999998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90">
          <cell r="O90">
            <v>169117.04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Вырубка кустарников_согл (1"/>
    </sheetNames>
    <sheetDataSet>
      <sheetData sheetId="0">
        <row r="98">
          <cell r="O98">
            <v>144497.88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19"/>
    </sheetNames>
    <sheetDataSet>
      <sheetData sheetId="0">
        <row r="85">
          <cell r="O85">
            <v>19136.37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Временный водопровод 121_со"/>
    </sheetNames>
    <sheetDataSet>
      <sheetData sheetId="0">
        <row r="140">
          <cell r="O140">
            <v>59380.52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Временный переезд_согл - Ак"/>
    </sheetNames>
    <sheetDataSet>
      <sheetData sheetId="0">
        <row r="149">
          <cell r="O149">
            <v>489700.27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Отвод КС_06.02 ВЕРСИЯ ЗАКАЗ"/>
    </sheetNames>
    <sheetDataSet>
      <sheetData sheetId="0">
        <row r="590">
          <cell r="O590">
            <v>3944924.52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Смещение ЗД согл - Акт по М"/>
    </sheetNames>
    <sheetDataSet>
      <sheetData sheetId="0">
        <row r="198">
          <cell r="O198">
            <v>39934.21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Трансбордер.Контактная сеть"/>
    </sheetNames>
    <sheetDataSet>
      <sheetData sheetId="0">
        <row r="245">
          <cell r="O245">
            <v>207172.37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стройство ограждения.АС1_с"/>
    </sheetNames>
    <sheetDataSet>
      <sheetData sheetId="0">
        <row r="566">
          <cell r="O566">
            <v>1411398.18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СС Переустройство каб.канал"/>
    </sheetNames>
    <sheetDataSet>
      <sheetData sheetId="0">
        <row r="383">
          <cell r="O383">
            <v>384991.72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ССР2-2"/>
      <sheetName val="реестр кс-2 по ССР2"/>
      <sheetName val="ССР2 с 1,0514"/>
      <sheetName val="справочно кс-2 ССР2-2 с 0,83"/>
      <sheetName val="ССР2_1,0514х0,83"/>
      <sheetName val="ССР2 без коэфф. корр"/>
      <sheetName val="корр"/>
      <sheetName val="3 (с 1,0514)"/>
      <sheetName val="ССР2 с 1,0514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+06-01-02_НВК3 изм.1_корр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  <sheetName val="справочно кс-2 с 0,83"/>
      <sheetName val="ССР2_корр.2 (с 1,05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00">
          <cell r="N100">
            <v>173397.46</v>
          </cell>
        </row>
      </sheetData>
      <sheetData sheetId="11">
        <row r="91">
          <cell r="N91">
            <v>22963.64</v>
          </cell>
        </row>
      </sheetData>
      <sheetData sheetId="12">
        <row r="123">
          <cell r="N123">
            <v>71256.62</v>
          </cell>
        </row>
      </sheetData>
      <sheetData sheetId="13">
        <row r="840">
          <cell r="N840">
            <v>32263516.940000001</v>
          </cell>
        </row>
      </sheetData>
      <sheetData sheetId="14">
        <row r="126">
          <cell r="N126">
            <v>587640.31999999995</v>
          </cell>
        </row>
      </sheetData>
      <sheetData sheetId="15">
        <row r="499">
          <cell r="N499">
            <v>4733909.42</v>
          </cell>
        </row>
      </sheetData>
      <sheetData sheetId="16">
        <row r="1166">
          <cell r="N1166">
            <v>2994326.24</v>
          </cell>
        </row>
      </sheetData>
      <sheetData sheetId="17">
        <row r="345">
          <cell r="N345">
            <v>332904.06</v>
          </cell>
        </row>
      </sheetData>
      <sheetData sheetId="18">
        <row r="195">
          <cell r="N195">
            <v>47921.05</v>
          </cell>
        </row>
      </sheetData>
      <sheetData sheetId="19">
        <row r="215">
          <cell r="N215">
            <v>248606.84</v>
          </cell>
        </row>
      </sheetData>
      <sheetData sheetId="20">
        <row r="518">
          <cell r="N518">
            <v>1693677.82</v>
          </cell>
        </row>
      </sheetData>
      <sheetData sheetId="21">
        <row r="274">
          <cell r="N274">
            <v>287025.59000000003</v>
          </cell>
        </row>
      </sheetData>
      <sheetData sheetId="22">
        <row r="1661">
          <cell r="N1661">
            <v>3755612.94</v>
          </cell>
        </row>
      </sheetData>
      <sheetData sheetId="23">
        <row r="332">
          <cell r="N332">
            <v>461990.06</v>
          </cell>
        </row>
      </sheetData>
      <sheetData sheetId="24">
        <row r="472">
          <cell r="N472">
            <v>1266730.3799999999</v>
          </cell>
        </row>
      </sheetData>
      <sheetData sheetId="25">
        <row r="5570">
          <cell r="N5570">
            <v>16312059.91</v>
          </cell>
        </row>
      </sheetData>
      <sheetData sheetId="26">
        <row r="1080">
          <cell r="N1080">
            <v>1822531.12</v>
          </cell>
        </row>
      </sheetData>
      <sheetData sheetId="27">
        <row r="1341">
          <cell r="N1341">
            <v>2493414.25</v>
          </cell>
        </row>
      </sheetData>
      <sheetData sheetId="28">
        <row r="397">
          <cell r="N397">
            <v>882406.28</v>
          </cell>
        </row>
      </sheetData>
      <sheetData sheetId="29">
        <row r="277">
          <cell r="N277">
            <v>2846998.02</v>
          </cell>
        </row>
      </sheetData>
      <sheetData sheetId="30">
        <row r="1370">
          <cell r="N1370">
            <v>2050309.64</v>
          </cell>
        </row>
      </sheetData>
      <sheetData sheetId="31">
        <row r="927">
          <cell r="N927">
            <v>3902414.42</v>
          </cell>
        </row>
      </sheetData>
      <sheetData sheetId="32">
        <row r="673">
          <cell r="N673">
            <v>5327854.08</v>
          </cell>
        </row>
      </sheetData>
      <sheetData sheetId="33">
        <row r="328">
          <cell r="N328">
            <v>654100.87</v>
          </cell>
        </row>
      </sheetData>
      <sheetData sheetId="34">
        <row r="468">
          <cell r="N468">
            <v>15813261.35</v>
          </cell>
        </row>
      </sheetData>
      <sheetData sheetId="35">
        <row r="274">
          <cell r="N274">
            <v>945879.78</v>
          </cell>
        </row>
      </sheetData>
      <sheetData sheetId="36">
        <row r="1068">
          <cell r="N1068">
            <v>57375865.979999997</v>
          </cell>
        </row>
      </sheetData>
      <sheetData sheetId="37">
        <row r="77">
          <cell r="N77">
            <v>65818.52</v>
          </cell>
        </row>
      </sheetData>
      <sheetData sheetId="38">
        <row r="117">
          <cell r="N117">
            <v>202940.45</v>
          </cell>
        </row>
      </sheetData>
      <sheetData sheetId="39" refreshError="1"/>
      <sheetData sheetId="4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НВК5 доп.работы_согл - Акт "/>
    </sheetNames>
    <sheetDataSet>
      <sheetData sheetId="0">
        <row r="344">
          <cell r="O344">
            <v>545084.06000000006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ГП1 доп.работы _согл - Акт "/>
    </sheetNames>
    <sheetDataSet>
      <sheetData sheetId="0">
        <row r="318">
          <cell r="O318">
            <v>788233.15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62">
          <cell r="O1062">
            <v>2495271.87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303">
          <cell r="O303">
            <v>277420.05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40">
          <cell r="O240">
            <v>239187.99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94">
          <cell r="O1494">
            <v>3129677.45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28">
          <cell r="O428">
            <v>1055608.6499999999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16">
          <cell r="O5116">
            <v>13593383.26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7BED-9C1A-47B4-ABAD-2F46E312755C}">
  <sheetPr>
    <tabColor rgb="FFFFFF00"/>
  </sheetPr>
  <dimension ref="A1:Q97"/>
  <sheetViews>
    <sheetView view="pageBreakPreview" topLeftCell="A96" zoomScaleNormal="100" zoomScaleSheetLayoutView="100" workbookViewId="0">
      <selection activeCell="K83" sqref="K83"/>
    </sheetView>
  </sheetViews>
  <sheetFormatPr defaultColWidth="9" defaultRowHeight="12.75" x14ac:dyDescent="0.2"/>
  <cols>
    <col min="1" max="1" width="6.28515625" style="24" customWidth="1"/>
    <col min="2" max="2" width="10.42578125" style="24" customWidth="1"/>
    <col min="3" max="3" width="22.5703125" style="24" customWidth="1"/>
    <col min="4" max="4" width="18.85546875" style="24" customWidth="1"/>
    <col min="5" max="5" width="12.85546875" style="24" customWidth="1"/>
    <col min="6" max="6" width="15.42578125" style="24" customWidth="1"/>
    <col min="7" max="7" width="15.5703125" style="24" customWidth="1"/>
    <col min="8" max="8" width="16.85546875" style="24" customWidth="1"/>
    <col min="9" max="9" width="6.42578125" style="24" customWidth="1"/>
    <col min="10" max="10" width="11.5703125" style="27" customWidth="1"/>
    <col min="11" max="11" width="17.5703125" style="27" customWidth="1"/>
    <col min="12" max="12" width="17.140625" style="27" customWidth="1"/>
    <col min="13" max="13" width="8.140625" style="27" customWidth="1"/>
    <col min="14" max="14" width="14.7109375" style="24" customWidth="1"/>
    <col min="15" max="15" width="14" style="24" bestFit="1" customWidth="1"/>
    <col min="16" max="16" width="14.28515625" style="24" customWidth="1"/>
    <col min="17" max="16384" width="9" style="24"/>
  </cols>
  <sheetData>
    <row r="1" spans="1:16" x14ac:dyDescent="0.2">
      <c r="G1" s="25"/>
      <c r="H1" s="26" t="s">
        <v>32</v>
      </c>
    </row>
    <row r="2" spans="1:16" x14ac:dyDescent="0.2">
      <c r="G2" s="25"/>
      <c r="H2" s="26" t="s">
        <v>33</v>
      </c>
    </row>
    <row r="3" spans="1:16" x14ac:dyDescent="0.2">
      <c r="G3" s="25"/>
      <c r="H3" s="26" t="s">
        <v>34</v>
      </c>
    </row>
    <row r="4" spans="1:16" ht="9.75" customHeight="1" x14ac:dyDescent="0.2"/>
    <row r="5" spans="1:16" ht="16.350000000000001" customHeight="1" x14ac:dyDescent="0.2">
      <c r="G5" s="167"/>
      <c r="H5" s="28" t="s">
        <v>0</v>
      </c>
    </row>
    <row r="6" spans="1:16" x14ac:dyDescent="0.2">
      <c r="G6" s="164" t="s">
        <v>1</v>
      </c>
      <c r="H6" s="29" t="s">
        <v>35</v>
      </c>
    </row>
    <row r="7" spans="1:16" ht="25.9" customHeight="1" x14ac:dyDescent="0.2">
      <c r="A7" s="24" t="s">
        <v>2</v>
      </c>
      <c r="C7" s="309"/>
      <c r="D7" s="309"/>
      <c r="E7" s="309"/>
      <c r="F7" s="309"/>
      <c r="G7" s="164"/>
      <c r="H7" s="30"/>
    </row>
    <row r="8" spans="1:16" s="25" customFormat="1" ht="18.399999999999999" customHeight="1" x14ac:dyDescent="0.2">
      <c r="A8" s="24"/>
      <c r="B8" s="24"/>
      <c r="C8" s="24"/>
      <c r="D8" s="31"/>
      <c r="E8" s="31"/>
      <c r="F8" s="24"/>
      <c r="G8" s="164"/>
      <c r="H8" s="30"/>
      <c r="J8" s="32"/>
      <c r="K8" s="32"/>
      <c r="L8" s="32"/>
      <c r="M8" s="32"/>
    </row>
    <row r="9" spans="1:16" s="25" customFormat="1" ht="25.5" customHeight="1" x14ac:dyDescent="0.2">
      <c r="A9" s="310" t="s">
        <v>131</v>
      </c>
      <c r="B9" s="310"/>
      <c r="C9" s="311" t="s">
        <v>17</v>
      </c>
      <c r="D9" s="311"/>
      <c r="E9" s="311"/>
      <c r="F9" s="311"/>
      <c r="G9" s="164" t="s">
        <v>3</v>
      </c>
      <c r="H9" s="28">
        <v>16673706</v>
      </c>
      <c r="J9" s="32"/>
      <c r="K9" s="32"/>
      <c r="L9" s="32"/>
      <c r="M9" s="32"/>
    </row>
    <row r="10" spans="1:16" s="25" customFormat="1" x14ac:dyDescent="0.2">
      <c r="A10" s="33"/>
      <c r="B10" s="33"/>
      <c r="C10" s="24"/>
      <c r="D10" s="31"/>
      <c r="E10" s="24"/>
      <c r="H10" s="28"/>
      <c r="J10" s="32"/>
      <c r="K10" s="32"/>
      <c r="L10" s="32"/>
      <c r="M10" s="32"/>
    </row>
    <row r="11" spans="1:16" s="25" customFormat="1" ht="31.5" customHeight="1" x14ac:dyDescent="0.2">
      <c r="A11" s="33" t="s">
        <v>132</v>
      </c>
      <c r="B11" s="33"/>
      <c r="C11" s="312" t="s">
        <v>133</v>
      </c>
      <c r="D11" s="312"/>
      <c r="E11" s="312"/>
      <c r="F11" s="312"/>
      <c r="G11" s="34" t="s">
        <v>3</v>
      </c>
      <c r="H11" s="35">
        <v>58306175</v>
      </c>
      <c r="J11" s="32"/>
      <c r="K11" s="32"/>
      <c r="L11" s="32"/>
      <c r="M11" s="32"/>
    </row>
    <row r="12" spans="1:16" s="25" customFormat="1" x14ac:dyDescent="0.2">
      <c r="A12" s="33"/>
      <c r="B12" s="33"/>
      <c r="C12" s="24"/>
      <c r="D12" s="31"/>
      <c r="G12" s="164"/>
      <c r="H12" s="28"/>
      <c r="J12" s="32"/>
      <c r="K12" s="32"/>
      <c r="L12" s="32"/>
      <c r="M12" s="32"/>
    </row>
    <row r="13" spans="1:16" s="25" customFormat="1" ht="42" hidden="1" customHeight="1" x14ac:dyDescent="0.2">
      <c r="A13" s="33" t="s">
        <v>36</v>
      </c>
      <c r="B13" s="33"/>
      <c r="C13" s="309" t="s">
        <v>37</v>
      </c>
      <c r="D13" s="309"/>
      <c r="E13" s="309"/>
      <c r="F13" s="309"/>
      <c r="G13" s="24"/>
      <c r="H13" s="30"/>
      <c r="J13" s="32"/>
      <c r="K13" s="32"/>
      <c r="L13" s="36"/>
      <c r="M13" s="32"/>
    </row>
    <row r="14" spans="1:16" ht="36.75" customHeight="1" x14ac:dyDescent="0.2">
      <c r="A14" s="33" t="s">
        <v>38</v>
      </c>
      <c r="B14" s="33"/>
      <c r="C14" s="309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09"/>
      <c r="E14" s="309"/>
      <c r="F14" s="309"/>
      <c r="G14" s="37"/>
      <c r="H14" s="30"/>
      <c r="I14" s="38"/>
      <c r="P14" s="197"/>
    </row>
    <row r="15" spans="1:16" ht="36.75" customHeight="1" x14ac:dyDescent="0.2">
      <c r="D15" s="24" t="s">
        <v>39</v>
      </c>
      <c r="E15" s="39"/>
      <c r="F15" s="39"/>
      <c r="G15" s="40" t="s">
        <v>40</v>
      </c>
      <c r="H15" s="40"/>
      <c r="I15" s="25"/>
      <c r="J15" s="25"/>
      <c r="K15" s="25"/>
      <c r="L15" s="25"/>
      <c r="M15" s="25"/>
      <c r="N15" s="25"/>
      <c r="P15" s="197"/>
    </row>
    <row r="16" spans="1:16" s="25" customFormat="1" ht="15.6" customHeight="1" thickBot="1" x14ac:dyDescent="0.25">
      <c r="D16" s="39"/>
      <c r="E16" s="39"/>
      <c r="F16" s="169" t="s">
        <v>41</v>
      </c>
      <c r="G16" s="164" t="s">
        <v>42</v>
      </c>
      <c r="H16" s="30"/>
      <c r="P16" s="197"/>
    </row>
    <row r="17" spans="1:16" s="25" customFormat="1" ht="15" customHeight="1" thickBot="1" x14ac:dyDescent="0.25">
      <c r="D17" s="37"/>
      <c r="E17" s="37"/>
      <c r="F17" s="164" t="s">
        <v>43</v>
      </c>
      <c r="G17" s="40" t="s">
        <v>4</v>
      </c>
      <c r="H17" s="41" t="s">
        <v>134</v>
      </c>
      <c r="P17" s="197"/>
    </row>
    <row r="18" spans="1:16" s="25" customFormat="1" ht="15" customHeight="1" thickBot="1" x14ac:dyDescent="0.25">
      <c r="C18" s="42"/>
      <c r="D18" s="43"/>
      <c r="G18" s="40" t="s">
        <v>5</v>
      </c>
      <c r="H18" s="44">
        <v>45135</v>
      </c>
      <c r="P18" s="197"/>
    </row>
    <row r="19" spans="1:16" s="25" customFormat="1" ht="15" customHeight="1" x14ac:dyDescent="0.2">
      <c r="C19" s="42"/>
      <c r="D19" s="45"/>
      <c r="F19" s="169"/>
      <c r="G19" s="164" t="s">
        <v>6</v>
      </c>
      <c r="H19" s="30"/>
      <c r="P19" s="197"/>
    </row>
    <row r="20" spans="1:16" s="25" customFormat="1" ht="15" customHeight="1" x14ac:dyDescent="0.2">
      <c r="C20" s="42"/>
      <c r="D20" s="46"/>
      <c r="F20" s="26"/>
      <c r="G20" s="24" t="s">
        <v>39</v>
      </c>
      <c r="H20" s="24"/>
      <c r="P20" s="197"/>
    </row>
    <row r="21" spans="1:16" s="25" customFormat="1" ht="5.45" customHeight="1" thickBot="1" x14ac:dyDescent="0.25">
      <c r="C21" s="47"/>
      <c r="D21" s="48"/>
      <c r="F21" s="26"/>
      <c r="G21" s="24"/>
      <c r="H21" s="24"/>
      <c r="J21" s="32"/>
      <c r="K21" s="32"/>
      <c r="L21" s="32"/>
      <c r="M21" s="32"/>
      <c r="P21" s="197"/>
    </row>
    <row r="22" spans="1:16" s="25" customFormat="1" ht="12.2" customHeight="1" thickBot="1" x14ac:dyDescent="0.25">
      <c r="D22" s="49"/>
      <c r="E22" s="50" t="s">
        <v>44</v>
      </c>
      <c r="F22" s="51" t="s">
        <v>45</v>
      </c>
      <c r="G22" s="299" t="s">
        <v>7</v>
      </c>
      <c r="H22" s="300"/>
      <c r="J22" s="32"/>
      <c r="K22" s="32"/>
      <c r="L22" s="32"/>
      <c r="M22" s="32"/>
      <c r="P22" s="197"/>
    </row>
    <row r="23" spans="1:16" s="25" customFormat="1" ht="12.2" customHeight="1" thickBot="1" x14ac:dyDescent="0.25">
      <c r="D23" s="52"/>
      <c r="E23" s="53"/>
      <c r="F23" s="54"/>
      <c r="G23" s="55" t="s">
        <v>8</v>
      </c>
      <c r="H23" s="55" t="s">
        <v>9</v>
      </c>
      <c r="J23" s="32"/>
      <c r="K23" s="32"/>
      <c r="L23" s="32"/>
      <c r="M23" s="32"/>
      <c r="P23" s="197"/>
    </row>
    <row r="24" spans="1:16" s="25" customFormat="1" ht="18" customHeight="1" thickBot="1" x14ac:dyDescent="0.25">
      <c r="D24" s="24"/>
      <c r="E24" s="56">
        <v>6</v>
      </c>
      <c r="F24" s="157">
        <f>H24</f>
        <v>45524</v>
      </c>
      <c r="G24" s="57">
        <v>45372</v>
      </c>
      <c r="H24" s="170">
        <v>45524</v>
      </c>
      <c r="I24" s="58"/>
      <c r="J24" s="32"/>
      <c r="K24" s="32"/>
      <c r="L24" s="32"/>
      <c r="M24" s="32"/>
    </row>
    <row r="25" spans="1:16" s="59" customFormat="1" ht="11.25" x14ac:dyDescent="0.2">
      <c r="J25" s="60"/>
      <c r="K25" s="60"/>
      <c r="L25" s="60"/>
      <c r="M25" s="60"/>
    </row>
    <row r="26" spans="1:16" x14ac:dyDescent="0.2">
      <c r="E26" s="167" t="s">
        <v>46</v>
      </c>
    </row>
    <row r="27" spans="1:16" x14ac:dyDescent="0.2">
      <c r="D27" s="61"/>
      <c r="E27" s="167" t="s">
        <v>47</v>
      </c>
      <c r="F27" s="61"/>
      <c r="G27" s="61"/>
    </row>
    <row r="28" spans="1:16" ht="20.25" customHeight="1" x14ac:dyDescent="0.2">
      <c r="A28" s="155" t="s">
        <v>11</v>
      </c>
      <c r="B28" s="301" t="s">
        <v>48</v>
      </c>
      <c r="C28" s="302"/>
      <c r="D28" s="303"/>
      <c r="E28" s="163" t="s">
        <v>49</v>
      </c>
      <c r="F28" s="62" t="s">
        <v>50</v>
      </c>
      <c r="G28" s="63"/>
      <c r="H28" s="64"/>
      <c r="J28" s="304" t="s">
        <v>135</v>
      </c>
      <c r="K28" s="304"/>
      <c r="L28" s="304"/>
      <c r="M28" s="304"/>
      <c r="N28" s="304"/>
      <c r="O28" s="168"/>
      <c r="P28" s="168"/>
    </row>
    <row r="29" spans="1:16" ht="24.75" customHeight="1" x14ac:dyDescent="0.2">
      <c r="A29" s="156" t="s">
        <v>51</v>
      </c>
      <c r="B29" s="305" t="s">
        <v>52</v>
      </c>
      <c r="C29" s="306"/>
      <c r="D29" s="307"/>
      <c r="E29" s="66"/>
      <c r="F29" s="165" t="s">
        <v>53</v>
      </c>
      <c r="G29" s="67"/>
      <c r="H29" s="165" t="s">
        <v>54</v>
      </c>
      <c r="J29" s="308" t="s">
        <v>102</v>
      </c>
      <c r="K29" s="308"/>
      <c r="L29" s="154"/>
      <c r="M29" s="143"/>
      <c r="N29" s="144"/>
      <c r="O29" s="148"/>
      <c r="P29" s="148"/>
    </row>
    <row r="30" spans="1:16" ht="17.25" customHeight="1" x14ac:dyDescent="0.25">
      <c r="A30" s="156" t="s">
        <v>55</v>
      </c>
      <c r="B30" s="305"/>
      <c r="C30" s="306"/>
      <c r="D30" s="307"/>
      <c r="E30" s="66"/>
      <c r="F30" s="165" t="s">
        <v>56</v>
      </c>
      <c r="G30" s="65" t="s">
        <v>57</v>
      </c>
      <c r="H30" s="165" t="s">
        <v>58</v>
      </c>
      <c r="J30" s="145"/>
      <c r="K30" s="147" t="s">
        <v>103</v>
      </c>
      <c r="L30" s="147" t="s">
        <v>104</v>
      </c>
      <c r="M30" s="153" t="s">
        <v>105</v>
      </c>
      <c r="N30" s="153" t="s">
        <v>106</v>
      </c>
      <c r="O30" s="168" t="s">
        <v>112</v>
      </c>
      <c r="P30" s="168"/>
    </row>
    <row r="31" spans="1:16" x14ac:dyDescent="0.2">
      <c r="A31" s="68"/>
      <c r="B31" s="290"/>
      <c r="C31" s="291"/>
      <c r="D31" s="292"/>
      <c r="E31" s="69"/>
      <c r="F31" s="70" t="s">
        <v>59</v>
      </c>
      <c r="G31" s="71"/>
      <c r="H31" s="70" t="s">
        <v>60</v>
      </c>
      <c r="J31" s="181" t="s">
        <v>147</v>
      </c>
      <c r="K31" s="182">
        <v>145538819.49000001</v>
      </c>
      <c r="L31" s="182">
        <v>174646583.38999999</v>
      </c>
      <c r="M31" s="183">
        <v>1</v>
      </c>
      <c r="N31" s="184" t="s">
        <v>107</v>
      </c>
      <c r="O31" s="168"/>
      <c r="P31" s="168"/>
    </row>
    <row r="32" spans="1:16" ht="13.5" thickBot="1" x14ac:dyDescent="0.25">
      <c r="A32" s="72">
        <v>1</v>
      </c>
      <c r="B32" s="293">
        <v>2</v>
      </c>
      <c r="C32" s="294"/>
      <c r="D32" s="295"/>
      <c r="E32" s="72">
        <v>3</v>
      </c>
      <c r="F32" s="72">
        <v>4</v>
      </c>
      <c r="G32" s="72">
        <v>5</v>
      </c>
      <c r="H32" s="72">
        <v>6</v>
      </c>
      <c r="J32" s="181" t="s">
        <v>111</v>
      </c>
      <c r="K32" s="185">
        <v>55318345.75</v>
      </c>
      <c r="L32" s="182">
        <v>66382014.899999999</v>
      </c>
      <c r="M32" s="183">
        <v>2</v>
      </c>
      <c r="N32" s="184" t="s">
        <v>108</v>
      </c>
      <c r="O32" s="148"/>
      <c r="P32" s="168"/>
    </row>
    <row r="33" spans="1:17" ht="27" customHeight="1" thickBot="1" x14ac:dyDescent="0.25">
      <c r="A33" s="73"/>
      <c r="B33" s="296" t="s">
        <v>61</v>
      </c>
      <c r="C33" s="297"/>
      <c r="D33" s="298"/>
      <c r="E33" s="74" t="s">
        <v>62</v>
      </c>
      <c r="F33" s="75">
        <f>F34</f>
        <v>383517787.43000001</v>
      </c>
      <c r="G33" s="75">
        <f>G34</f>
        <v>141943474.88999999</v>
      </c>
      <c r="H33" s="75">
        <f>H34</f>
        <v>132355801.88</v>
      </c>
      <c r="I33" s="27"/>
      <c r="J33" s="186" t="s">
        <v>110</v>
      </c>
      <c r="K33" s="171">
        <v>40717147.299999997</v>
      </c>
      <c r="L33" s="171">
        <v>48860576.759999998</v>
      </c>
      <c r="M33" s="187">
        <v>3</v>
      </c>
      <c r="N33" s="188" t="s">
        <v>113</v>
      </c>
      <c r="O33" s="148"/>
      <c r="P33" s="148"/>
      <c r="Q33" s="158"/>
    </row>
    <row r="34" spans="1:17" ht="18.75" customHeight="1" x14ac:dyDescent="0.2">
      <c r="A34" s="76" t="s">
        <v>12</v>
      </c>
      <c r="B34" s="283" t="s">
        <v>63</v>
      </c>
      <c r="C34" s="284"/>
      <c r="D34" s="285"/>
      <c r="E34" s="68"/>
      <c r="F34" s="77">
        <f>K31+K32+K33+K34+K40+K41</f>
        <v>383517787.43000001</v>
      </c>
      <c r="G34" s="78">
        <f>K34+K40+K41</f>
        <v>141943474.88999999</v>
      </c>
      <c r="H34" s="152">
        <f>K41</f>
        <v>132355801.88</v>
      </c>
      <c r="I34" s="27"/>
      <c r="J34" s="189" t="s">
        <v>136</v>
      </c>
      <c r="K34" s="172">
        <v>3627965.22</v>
      </c>
      <c r="L34" s="172">
        <v>4353558.26</v>
      </c>
      <c r="M34" s="173">
        <v>4</v>
      </c>
      <c r="N34" s="190">
        <v>13</v>
      </c>
      <c r="O34" s="168"/>
      <c r="P34" s="168"/>
    </row>
    <row r="35" spans="1:17" hidden="1" x14ac:dyDescent="0.2">
      <c r="A35" s="76" t="s">
        <v>10</v>
      </c>
      <c r="B35" s="283" t="s">
        <v>63</v>
      </c>
      <c r="C35" s="284"/>
      <c r="D35" s="285"/>
      <c r="E35" s="68"/>
      <c r="F35" s="77">
        <f t="shared" ref="F35:G39" si="0">G35</f>
        <v>0</v>
      </c>
      <c r="G35" s="78">
        <f t="shared" si="0"/>
        <v>0</v>
      </c>
      <c r="H35" s="79">
        <f>SUM(I35:Q35)</f>
        <v>0</v>
      </c>
      <c r="I35" s="27"/>
      <c r="J35" s="191" t="s">
        <v>137</v>
      </c>
      <c r="K35" s="174"/>
      <c r="L35" s="174"/>
      <c r="M35" s="175"/>
      <c r="N35" s="184"/>
      <c r="O35" s="168"/>
      <c r="P35" s="168"/>
    </row>
    <row r="36" spans="1:17" hidden="1" x14ac:dyDescent="0.2">
      <c r="A36" s="76" t="s">
        <v>13</v>
      </c>
      <c r="B36" s="283" t="s">
        <v>64</v>
      </c>
      <c r="C36" s="284"/>
      <c r="D36" s="285"/>
      <c r="E36" s="68"/>
      <c r="F36" s="77">
        <f t="shared" si="0"/>
        <v>0</v>
      </c>
      <c r="G36" s="78">
        <f t="shared" si="0"/>
        <v>0</v>
      </c>
      <c r="H36" s="79">
        <f>SUM(I36:Q36)</f>
        <v>0</v>
      </c>
      <c r="I36" s="27"/>
      <c r="J36" s="191" t="s">
        <v>138</v>
      </c>
      <c r="K36" s="174"/>
      <c r="L36" s="174"/>
      <c r="M36" s="175"/>
      <c r="N36" s="184"/>
      <c r="O36" s="282"/>
      <c r="P36" s="282"/>
    </row>
    <row r="37" spans="1:17" hidden="1" x14ac:dyDescent="0.2">
      <c r="A37" s="76" t="s">
        <v>14</v>
      </c>
      <c r="B37" s="283" t="s">
        <v>65</v>
      </c>
      <c r="C37" s="284"/>
      <c r="D37" s="285"/>
      <c r="E37" s="68"/>
      <c r="F37" s="77"/>
      <c r="G37" s="78"/>
      <c r="H37" s="79"/>
      <c r="I37" s="27"/>
      <c r="J37" s="191" t="s">
        <v>139</v>
      </c>
      <c r="K37" s="174"/>
      <c r="L37" s="174"/>
      <c r="M37" s="175"/>
      <c r="N37" s="183"/>
      <c r="O37" s="148"/>
      <c r="P37" s="148"/>
    </row>
    <row r="38" spans="1:17" hidden="1" x14ac:dyDescent="0.2">
      <c r="A38" s="76" t="s">
        <v>14</v>
      </c>
      <c r="B38" s="283" t="s">
        <v>66</v>
      </c>
      <c r="C38" s="284"/>
      <c r="D38" s="285"/>
      <c r="E38" s="68"/>
      <c r="F38" s="77"/>
      <c r="G38" s="78"/>
      <c r="H38" s="79"/>
      <c r="I38" s="27"/>
      <c r="J38" s="191" t="s">
        <v>140</v>
      </c>
      <c r="K38" s="174"/>
      <c r="L38" s="174"/>
      <c r="M38" s="175"/>
      <c r="N38" s="183"/>
      <c r="O38" s="168"/>
      <c r="P38" s="168"/>
    </row>
    <row r="39" spans="1:17" hidden="1" x14ac:dyDescent="0.2">
      <c r="A39" s="76" t="s">
        <v>15</v>
      </c>
      <c r="B39" s="283" t="s">
        <v>67</v>
      </c>
      <c r="C39" s="284"/>
      <c r="D39" s="285"/>
      <c r="E39" s="68"/>
      <c r="F39" s="77">
        <f t="shared" si="0"/>
        <v>0</v>
      </c>
      <c r="G39" s="78">
        <f t="shared" si="0"/>
        <v>0</v>
      </c>
      <c r="H39" s="79">
        <f>SUM(I39:Q39)</f>
        <v>0</v>
      </c>
      <c r="I39" s="27"/>
      <c r="J39" s="191" t="s">
        <v>141</v>
      </c>
      <c r="K39" s="174"/>
      <c r="L39" s="174"/>
      <c r="M39" s="175"/>
      <c r="N39" s="184"/>
      <c r="O39" s="168"/>
      <c r="P39" s="168"/>
    </row>
    <row r="40" spans="1:17" ht="14.25" customHeight="1" x14ac:dyDescent="0.2">
      <c r="A40" s="82"/>
      <c r="E40" s="286" t="s">
        <v>68</v>
      </c>
      <c r="F40" s="286"/>
      <c r="G40" s="286"/>
      <c r="H40" s="83">
        <f>H33</f>
        <v>132355801.88</v>
      </c>
      <c r="I40" s="27"/>
      <c r="J40" s="191" t="s">
        <v>210</v>
      </c>
      <c r="K40" s="174">
        <v>5959707.79</v>
      </c>
      <c r="L40" s="174">
        <v>7151649.3399999999</v>
      </c>
      <c r="M40" s="183">
        <v>5</v>
      </c>
      <c r="N40" s="192" t="s">
        <v>146</v>
      </c>
      <c r="O40" s="148"/>
      <c r="P40" s="168"/>
    </row>
    <row r="41" spans="1:17" ht="14.25" customHeight="1" x14ac:dyDescent="0.2">
      <c r="A41" s="82"/>
      <c r="E41" s="286" t="s">
        <v>69</v>
      </c>
      <c r="F41" s="286"/>
      <c r="G41" s="286"/>
      <c r="H41" s="83">
        <f>ROUND(H40*0.2,2)</f>
        <v>26471160.379999999</v>
      </c>
      <c r="I41" s="27"/>
      <c r="J41" s="191" t="s">
        <v>211</v>
      </c>
      <c r="K41" s="174">
        <f>L41/1.2</f>
        <v>132355801.88</v>
      </c>
      <c r="L41" s="174">
        <v>158826962.25999999</v>
      </c>
      <c r="M41" s="183">
        <v>6</v>
      </c>
      <c r="N41" s="184" t="s">
        <v>213</v>
      </c>
      <c r="O41" s="148"/>
      <c r="P41" s="168"/>
    </row>
    <row r="42" spans="1:17" ht="14.25" customHeight="1" x14ac:dyDescent="0.2">
      <c r="A42" s="82"/>
      <c r="E42" s="286" t="s">
        <v>70</v>
      </c>
      <c r="F42" s="286"/>
      <c r="G42" s="286"/>
      <c r="H42" s="83">
        <f>H40+H41</f>
        <v>158826962.25999999</v>
      </c>
      <c r="I42" s="27"/>
      <c r="J42" s="191"/>
      <c r="K42" s="174"/>
      <c r="L42" s="174"/>
      <c r="M42" s="183"/>
      <c r="N42" s="184"/>
      <c r="O42" s="168"/>
      <c r="P42" s="168"/>
    </row>
    <row r="43" spans="1:17" ht="12.75" hidden="1" customHeight="1" x14ac:dyDescent="0.2">
      <c r="A43" s="85"/>
      <c r="B43" s="86"/>
      <c r="C43" s="86"/>
      <c r="D43" s="87"/>
      <c r="E43" s="68"/>
      <c r="F43" s="88"/>
      <c r="G43" s="89"/>
      <c r="H43" s="90"/>
      <c r="I43" s="27"/>
      <c r="J43" s="191"/>
      <c r="K43" s="174"/>
      <c r="L43" s="174"/>
      <c r="M43" s="183"/>
      <c r="N43" s="184"/>
      <c r="O43" s="168"/>
      <c r="P43" s="168"/>
    </row>
    <row r="44" spans="1:17" ht="12.75" hidden="1" customHeight="1" x14ac:dyDescent="0.2">
      <c r="A44" s="85" t="s">
        <v>71</v>
      </c>
      <c r="B44" s="91"/>
      <c r="C44" s="91"/>
      <c r="D44" s="92" t="s">
        <v>72</v>
      </c>
      <c r="E44" s="68"/>
      <c r="F44" s="79" t="e">
        <v>#REF!</v>
      </c>
      <c r="G44" s="78" t="e">
        <v>#REF!</v>
      </c>
      <c r="H44" s="93">
        <v>68388.36</v>
      </c>
      <c r="I44" s="27"/>
      <c r="J44" s="191"/>
      <c r="K44" s="174"/>
      <c r="L44" s="174"/>
      <c r="M44" s="183"/>
      <c r="N44" s="184"/>
      <c r="O44" s="168"/>
      <c r="P44" s="168"/>
    </row>
    <row r="45" spans="1:17" ht="12.75" hidden="1" customHeight="1" x14ac:dyDescent="0.2">
      <c r="A45" s="29"/>
      <c r="B45" s="94"/>
      <c r="C45" s="94"/>
      <c r="D45" s="162" t="s">
        <v>73</v>
      </c>
      <c r="E45" s="30"/>
      <c r="F45" s="95"/>
      <c r="G45" s="78" t="e">
        <v>#REF!</v>
      </c>
      <c r="H45" s="96">
        <v>437891.54</v>
      </c>
      <c r="I45" s="27"/>
      <c r="J45" s="191"/>
      <c r="K45" s="174"/>
      <c r="L45" s="174"/>
      <c r="M45" s="183"/>
      <c r="N45" s="184"/>
      <c r="O45" s="168"/>
      <c r="P45" s="168"/>
    </row>
    <row r="46" spans="1:17" ht="12.75" hidden="1" customHeight="1" x14ac:dyDescent="0.2">
      <c r="A46" s="29"/>
      <c r="B46" s="94"/>
      <c r="C46" s="94"/>
      <c r="D46" s="162" t="s">
        <v>74</v>
      </c>
      <c r="E46" s="30"/>
      <c r="F46" s="95"/>
      <c r="G46" s="78">
        <v>0</v>
      </c>
      <c r="H46" s="96">
        <v>0</v>
      </c>
      <c r="I46" s="27"/>
      <c r="J46" s="191"/>
      <c r="K46" s="174"/>
      <c r="L46" s="174"/>
      <c r="M46" s="183"/>
      <c r="N46" s="184"/>
      <c r="O46" s="168"/>
      <c r="P46" s="168"/>
    </row>
    <row r="47" spans="1:17" ht="12.75" hidden="1" customHeight="1" x14ac:dyDescent="0.2">
      <c r="A47" s="29"/>
      <c r="B47" s="94"/>
      <c r="C47" s="94"/>
      <c r="D47" s="162" t="s">
        <v>72</v>
      </c>
      <c r="E47" s="30"/>
      <c r="F47" s="95"/>
      <c r="G47" s="78">
        <v>0</v>
      </c>
      <c r="H47" s="96">
        <v>0</v>
      </c>
      <c r="I47" s="27"/>
      <c r="J47" s="191"/>
      <c r="K47" s="174"/>
      <c r="L47" s="174"/>
      <c r="M47" s="183"/>
      <c r="N47" s="184"/>
      <c r="O47" s="168"/>
      <c r="P47" s="168"/>
    </row>
    <row r="48" spans="1:17" ht="12.75" hidden="1" customHeight="1" x14ac:dyDescent="0.2">
      <c r="A48" s="29"/>
      <c r="B48" s="94"/>
      <c r="C48" s="94"/>
      <c r="D48" s="162" t="s">
        <v>75</v>
      </c>
      <c r="E48" s="30"/>
      <c r="F48" s="95"/>
      <c r="G48" s="78">
        <v>0</v>
      </c>
      <c r="H48" s="93">
        <v>0</v>
      </c>
      <c r="I48" s="27"/>
      <c r="J48" s="191"/>
      <c r="K48" s="174"/>
      <c r="L48" s="174"/>
      <c r="M48" s="183"/>
      <c r="N48" s="184"/>
      <c r="O48" s="168"/>
      <c r="P48" s="168"/>
    </row>
    <row r="49" spans="1:16" ht="12.75" hidden="1" customHeight="1" x14ac:dyDescent="0.2">
      <c r="A49" s="76" t="s">
        <v>76</v>
      </c>
      <c r="B49" s="97"/>
      <c r="C49" s="97"/>
      <c r="D49" s="87" t="s">
        <v>72</v>
      </c>
      <c r="E49" s="68"/>
      <c r="F49" s="98">
        <v>0</v>
      </c>
      <c r="G49" s="99">
        <v>0</v>
      </c>
      <c r="H49" s="90">
        <v>0</v>
      </c>
      <c r="I49" s="27"/>
      <c r="J49" s="191"/>
      <c r="K49" s="174"/>
      <c r="L49" s="174"/>
      <c r="M49" s="183"/>
      <c r="N49" s="184"/>
      <c r="O49" s="168"/>
      <c r="P49" s="168"/>
    </row>
    <row r="50" spans="1:16" ht="13.5" hidden="1" customHeight="1" thickBot="1" x14ac:dyDescent="0.25">
      <c r="A50" s="76"/>
      <c r="B50" s="97"/>
      <c r="C50" s="97"/>
      <c r="D50" s="87"/>
      <c r="E50" s="68"/>
      <c r="F50" s="100"/>
      <c r="G50" s="78"/>
      <c r="H50" s="93"/>
      <c r="I50" s="27"/>
      <c r="J50" s="191"/>
      <c r="K50" s="174"/>
      <c r="L50" s="174"/>
      <c r="M50" s="183"/>
      <c r="N50" s="184"/>
      <c r="O50" s="168"/>
      <c r="P50" s="168"/>
    </row>
    <row r="51" spans="1:16" ht="12.75" hidden="1" customHeight="1" x14ac:dyDescent="0.2">
      <c r="A51" s="76" t="s">
        <v>77</v>
      </c>
      <c r="B51" s="97"/>
      <c r="C51" s="97"/>
      <c r="D51" s="87" t="s">
        <v>78</v>
      </c>
      <c r="E51" s="68"/>
      <c r="F51" s="100">
        <v>0</v>
      </c>
      <c r="G51" s="78">
        <v>0</v>
      </c>
      <c r="H51" s="93">
        <v>0</v>
      </c>
      <c r="I51" s="27"/>
      <c r="J51" s="191"/>
      <c r="K51" s="174"/>
      <c r="L51" s="174"/>
      <c r="M51" s="183"/>
      <c r="N51" s="184"/>
      <c r="O51" s="168"/>
      <c r="P51" s="168"/>
    </row>
    <row r="52" spans="1:16" ht="15.75" hidden="1" customHeight="1" x14ac:dyDescent="0.2">
      <c r="A52" s="76"/>
      <c r="B52" s="97"/>
      <c r="C52" s="97"/>
      <c r="D52" s="87" t="s">
        <v>79</v>
      </c>
      <c r="E52" s="68"/>
      <c r="F52" s="100">
        <v>0</v>
      </c>
      <c r="G52" s="89">
        <v>0</v>
      </c>
      <c r="H52" s="101">
        <v>0</v>
      </c>
      <c r="I52" s="27"/>
      <c r="J52" s="191"/>
      <c r="K52" s="174"/>
      <c r="L52" s="174"/>
      <c r="M52" s="183"/>
      <c r="N52" s="184"/>
      <c r="O52" s="168"/>
      <c r="P52" s="168"/>
    </row>
    <row r="53" spans="1:16" ht="15.75" hidden="1" customHeight="1" x14ac:dyDescent="0.2">
      <c r="A53" s="76"/>
      <c r="B53" s="97"/>
      <c r="C53" s="97"/>
      <c r="D53" s="87"/>
      <c r="E53" s="68"/>
      <c r="F53" s="102"/>
      <c r="G53" s="166"/>
      <c r="H53" s="103"/>
      <c r="I53" s="27"/>
      <c r="J53" s="191"/>
      <c r="K53" s="174"/>
      <c r="L53" s="174"/>
      <c r="M53" s="183"/>
      <c r="N53" s="184"/>
      <c r="O53" s="168"/>
      <c r="P53" s="168"/>
    </row>
    <row r="54" spans="1:16" ht="15.75" hidden="1" customHeight="1" x14ac:dyDescent="0.2">
      <c r="A54" s="29" t="s">
        <v>80</v>
      </c>
      <c r="B54" s="104"/>
      <c r="C54" s="104"/>
      <c r="D54" s="161" t="s">
        <v>72</v>
      </c>
      <c r="E54" s="30"/>
      <c r="F54" s="100">
        <v>0</v>
      </c>
      <c r="G54" s="78">
        <v>0</v>
      </c>
      <c r="H54" s="93">
        <v>0</v>
      </c>
      <c r="I54" s="27"/>
      <c r="J54" s="191"/>
      <c r="K54" s="174"/>
      <c r="L54" s="174"/>
      <c r="M54" s="183"/>
      <c r="N54" s="184"/>
      <c r="O54" s="168"/>
      <c r="P54" s="168"/>
    </row>
    <row r="55" spans="1:16" ht="12.75" hidden="1" customHeight="1" x14ac:dyDescent="0.2">
      <c r="A55" s="29"/>
      <c r="B55" s="104"/>
      <c r="C55" s="104"/>
      <c r="D55" s="161"/>
      <c r="E55" s="30"/>
      <c r="F55" s="100"/>
      <c r="G55" s="78"/>
      <c r="H55" s="93"/>
      <c r="I55" s="27"/>
      <c r="J55" s="191"/>
      <c r="K55" s="174"/>
      <c r="L55" s="174"/>
      <c r="M55" s="183"/>
      <c r="N55" s="176"/>
    </row>
    <row r="56" spans="1:16" ht="12.75" hidden="1" customHeight="1" x14ac:dyDescent="0.2">
      <c r="A56" s="29" t="s">
        <v>77</v>
      </c>
      <c r="B56" s="104"/>
      <c r="C56" s="104"/>
      <c r="D56" s="161" t="s">
        <v>81</v>
      </c>
      <c r="E56" s="30"/>
      <c r="F56" s="100">
        <v>401728.83</v>
      </c>
      <c r="G56" s="78">
        <v>401728.83</v>
      </c>
      <c r="H56" s="93">
        <v>401728.83</v>
      </c>
      <c r="I56" s="27"/>
      <c r="J56" s="191"/>
      <c r="K56" s="174"/>
      <c r="L56" s="174"/>
      <c r="M56" s="183"/>
      <c r="N56" s="176"/>
    </row>
    <row r="57" spans="1:16" ht="12.75" hidden="1" customHeight="1" x14ac:dyDescent="0.2">
      <c r="A57" s="29"/>
      <c r="B57" s="104"/>
      <c r="C57" s="104"/>
      <c r="D57" s="161"/>
      <c r="E57" s="30"/>
      <c r="F57" s="102"/>
      <c r="G57" s="105"/>
      <c r="H57" s="106"/>
      <c r="I57" s="27"/>
      <c r="J57" s="191"/>
      <c r="K57" s="174"/>
      <c r="L57" s="174"/>
      <c r="M57" s="183"/>
      <c r="N57" s="176"/>
    </row>
    <row r="58" spans="1:16" ht="12.75" hidden="1" customHeight="1" x14ac:dyDescent="0.2">
      <c r="A58" s="29" t="s">
        <v>80</v>
      </c>
      <c r="B58" s="104"/>
      <c r="C58" s="104"/>
      <c r="D58" s="161" t="s">
        <v>72</v>
      </c>
      <c r="E58" s="30"/>
      <c r="F58" s="100">
        <v>72311.19</v>
      </c>
      <c r="G58" s="78">
        <v>72311.19</v>
      </c>
      <c r="H58" s="93">
        <v>72311.19</v>
      </c>
      <c r="I58" s="27"/>
      <c r="J58" s="191"/>
      <c r="K58" s="174"/>
      <c r="L58" s="174"/>
      <c r="M58" s="183"/>
      <c r="N58" s="176"/>
    </row>
    <row r="59" spans="1:16" ht="12.75" hidden="1" customHeight="1" x14ac:dyDescent="0.2">
      <c r="A59" s="29"/>
      <c r="B59" s="104"/>
      <c r="C59" s="104"/>
      <c r="D59" s="161"/>
      <c r="E59" s="30"/>
      <c r="F59" s="102"/>
      <c r="G59" s="105"/>
      <c r="H59" s="106"/>
      <c r="I59" s="27"/>
      <c r="J59" s="191"/>
      <c r="K59" s="174"/>
      <c r="L59" s="174"/>
      <c r="M59" s="183"/>
      <c r="N59" s="176"/>
    </row>
    <row r="60" spans="1:16" ht="12.75" hidden="1" customHeight="1" x14ac:dyDescent="0.2">
      <c r="A60" s="29"/>
      <c r="B60" s="104"/>
      <c r="C60" s="104"/>
      <c r="D60" s="161"/>
      <c r="E60" s="30"/>
      <c r="F60" s="64"/>
      <c r="G60" s="107"/>
      <c r="H60" s="93"/>
      <c r="I60" s="27"/>
      <c r="J60" s="191"/>
      <c r="K60" s="174"/>
      <c r="L60" s="174"/>
      <c r="M60" s="183"/>
      <c r="N60" s="176"/>
    </row>
    <row r="61" spans="1:16" ht="12.75" hidden="1" customHeight="1" x14ac:dyDescent="0.2">
      <c r="A61" s="108"/>
      <c r="B61" s="109"/>
      <c r="C61" s="109"/>
      <c r="D61" s="110"/>
      <c r="E61" s="67"/>
      <c r="F61" s="111"/>
      <c r="G61" s="111"/>
      <c r="H61" s="112"/>
      <c r="I61" s="27"/>
      <c r="J61" s="191"/>
      <c r="K61" s="174"/>
      <c r="L61" s="174"/>
      <c r="M61" s="183"/>
      <c r="N61" s="176"/>
    </row>
    <row r="62" spans="1:16" ht="12.75" hidden="1" customHeight="1" x14ac:dyDescent="0.2">
      <c r="A62" s="29"/>
      <c r="B62" s="104"/>
      <c r="C62" s="104"/>
      <c r="D62" s="161" t="s">
        <v>82</v>
      </c>
      <c r="E62" s="30"/>
      <c r="F62" s="113"/>
      <c r="G62" s="114">
        <v>0</v>
      </c>
      <c r="H62" s="115">
        <v>0</v>
      </c>
      <c r="I62" s="27"/>
      <c r="J62" s="191"/>
      <c r="K62" s="174"/>
      <c r="L62" s="174"/>
      <c r="M62" s="183"/>
      <c r="N62" s="176"/>
    </row>
    <row r="63" spans="1:16" ht="12.75" hidden="1" customHeight="1" x14ac:dyDescent="0.2">
      <c r="A63" s="29"/>
      <c r="B63" s="104"/>
      <c r="C63" s="104"/>
      <c r="D63" s="161" t="s">
        <v>72</v>
      </c>
      <c r="E63" s="30"/>
      <c r="F63" s="116"/>
      <c r="G63" s="117">
        <v>0</v>
      </c>
      <c r="H63" s="118">
        <v>0</v>
      </c>
      <c r="I63" s="27"/>
      <c r="J63" s="191"/>
      <c r="K63" s="174"/>
      <c r="L63" s="174"/>
      <c r="M63" s="183"/>
      <c r="N63" s="176"/>
    </row>
    <row r="64" spans="1:16" ht="12.75" hidden="1" customHeight="1" x14ac:dyDescent="0.2">
      <c r="A64" s="29"/>
      <c r="B64" s="104"/>
      <c r="C64" s="104"/>
      <c r="D64" s="161" t="s">
        <v>83</v>
      </c>
      <c r="E64" s="30"/>
      <c r="F64" s="116"/>
      <c r="G64" s="117">
        <v>0</v>
      </c>
      <c r="H64" s="118">
        <v>0</v>
      </c>
      <c r="I64" s="27"/>
      <c r="J64" s="191"/>
      <c r="K64" s="174"/>
      <c r="L64" s="174"/>
      <c r="M64" s="183"/>
      <c r="N64" s="176"/>
    </row>
    <row r="65" spans="1:14" ht="12.75" hidden="1" customHeight="1" x14ac:dyDescent="0.2">
      <c r="A65" s="29"/>
      <c r="B65" s="104"/>
      <c r="C65" s="104"/>
      <c r="D65" s="161" t="s">
        <v>84</v>
      </c>
      <c r="E65" s="67"/>
      <c r="F65" s="116"/>
      <c r="G65" s="117">
        <v>0</v>
      </c>
      <c r="H65" s="118">
        <v>0</v>
      </c>
      <c r="I65" s="27"/>
      <c r="J65" s="191"/>
      <c r="K65" s="174"/>
      <c r="L65" s="174"/>
      <c r="M65" s="183"/>
      <c r="N65" s="176"/>
    </row>
    <row r="66" spans="1:14" ht="12.75" hidden="1" customHeight="1" x14ac:dyDescent="0.2">
      <c r="A66" s="29"/>
      <c r="B66" s="104"/>
      <c r="C66" s="104"/>
      <c r="D66" s="161" t="s">
        <v>72</v>
      </c>
      <c r="E66" s="30"/>
      <c r="F66" s="119"/>
      <c r="G66" s="120">
        <v>0</v>
      </c>
      <c r="H66" s="121">
        <v>0</v>
      </c>
      <c r="I66" s="27"/>
      <c r="J66" s="191"/>
      <c r="K66" s="174"/>
      <c r="L66" s="174"/>
      <c r="M66" s="183"/>
      <c r="N66" s="176"/>
    </row>
    <row r="67" spans="1:14" ht="12.75" hidden="1" customHeight="1" x14ac:dyDescent="0.2">
      <c r="A67" s="122"/>
      <c r="B67" s="108"/>
      <c r="C67" s="108"/>
      <c r="D67" s="92" t="s">
        <v>85</v>
      </c>
      <c r="E67" s="67"/>
      <c r="F67" s="123"/>
      <c r="G67" s="114">
        <v>0</v>
      </c>
      <c r="H67" s="118">
        <v>0</v>
      </c>
      <c r="I67" s="27"/>
      <c r="J67" s="191"/>
      <c r="K67" s="174"/>
      <c r="L67" s="174"/>
      <c r="M67" s="183"/>
      <c r="N67" s="176"/>
    </row>
    <row r="68" spans="1:14" ht="12.75" hidden="1" customHeight="1" x14ac:dyDescent="0.2">
      <c r="A68" s="29"/>
      <c r="B68" s="94"/>
      <c r="C68" s="94"/>
      <c r="D68" s="162" t="s">
        <v>86</v>
      </c>
      <c r="E68" s="30"/>
      <c r="F68" s="116"/>
      <c r="G68" s="117">
        <v>0</v>
      </c>
      <c r="H68" s="118">
        <v>0</v>
      </c>
      <c r="I68" s="27"/>
      <c r="J68" s="191"/>
      <c r="K68" s="174"/>
      <c r="L68" s="174"/>
      <c r="M68" s="183"/>
      <c r="N68" s="176"/>
    </row>
    <row r="69" spans="1:14" ht="12.75" hidden="1" customHeight="1" x14ac:dyDescent="0.2">
      <c r="A69" s="29"/>
      <c r="B69" s="94"/>
      <c r="C69" s="94"/>
      <c r="D69" s="162" t="s">
        <v>72</v>
      </c>
      <c r="E69" s="30"/>
      <c r="F69" s="116"/>
      <c r="G69" s="117">
        <v>0</v>
      </c>
      <c r="H69" s="118">
        <v>0</v>
      </c>
      <c r="I69" s="27"/>
      <c r="J69" s="191"/>
      <c r="K69" s="174"/>
      <c r="L69" s="174"/>
      <c r="M69" s="183"/>
      <c r="N69" s="176"/>
    </row>
    <row r="70" spans="1:14" ht="12.75" hidden="1" customHeight="1" x14ac:dyDescent="0.2">
      <c r="A70" s="29"/>
      <c r="B70" s="94"/>
      <c r="C70" s="94"/>
      <c r="D70" s="162" t="s">
        <v>87</v>
      </c>
      <c r="E70" s="30"/>
      <c r="F70" s="116"/>
      <c r="G70" s="117">
        <v>0</v>
      </c>
      <c r="H70" s="118">
        <v>0</v>
      </c>
      <c r="I70" s="27"/>
      <c r="J70" s="191"/>
      <c r="K70" s="174"/>
      <c r="L70" s="174"/>
      <c r="M70" s="183"/>
      <c r="N70" s="176"/>
    </row>
    <row r="71" spans="1:14" ht="12.75" hidden="1" customHeight="1" x14ac:dyDescent="0.2">
      <c r="A71" s="122"/>
      <c r="B71" s="109"/>
      <c r="C71" s="109"/>
      <c r="D71" s="110" t="s">
        <v>88</v>
      </c>
      <c r="E71" s="67"/>
      <c r="F71" s="123"/>
      <c r="G71" s="114">
        <v>0</v>
      </c>
      <c r="H71" s="115">
        <v>0</v>
      </c>
      <c r="I71" s="27"/>
      <c r="J71" s="191"/>
      <c r="K71" s="174"/>
      <c r="L71" s="174"/>
      <c r="M71" s="183"/>
      <c r="N71" s="176"/>
    </row>
    <row r="72" spans="1:14" ht="12.75" hidden="1" customHeight="1" x14ac:dyDescent="0.2">
      <c r="A72" s="122"/>
      <c r="B72" s="109"/>
      <c r="C72" s="109"/>
      <c r="D72" s="110" t="s">
        <v>72</v>
      </c>
      <c r="E72" s="67"/>
      <c r="F72" s="123"/>
      <c r="G72" s="114">
        <v>0</v>
      </c>
      <c r="H72" s="115">
        <v>0</v>
      </c>
      <c r="I72" s="27"/>
      <c r="J72" s="191"/>
      <c r="K72" s="174"/>
      <c r="L72" s="174"/>
      <c r="M72" s="183"/>
      <c r="N72" s="176"/>
    </row>
    <row r="73" spans="1:14" ht="12.75" hidden="1" customHeight="1" x14ac:dyDescent="0.2">
      <c r="A73" s="122"/>
      <c r="B73" s="109"/>
      <c r="C73" s="109"/>
      <c r="D73" s="110" t="s">
        <v>89</v>
      </c>
      <c r="E73" s="67"/>
      <c r="F73" s="123"/>
      <c r="G73" s="114">
        <v>0</v>
      </c>
      <c r="H73" s="115">
        <v>0</v>
      </c>
      <c r="I73" s="27"/>
      <c r="J73" s="191"/>
      <c r="K73" s="174"/>
      <c r="L73" s="174"/>
      <c r="M73" s="183"/>
      <c r="N73" s="176"/>
    </row>
    <row r="74" spans="1:14" ht="12.75" hidden="1" customHeight="1" x14ac:dyDescent="0.2">
      <c r="A74" s="124" t="s">
        <v>16</v>
      </c>
      <c r="B74" s="125"/>
      <c r="C74" s="125"/>
      <c r="D74" s="126" t="s">
        <v>90</v>
      </c>
      <c r="E74" s="127"/>
      <c r="F74" s="128"/>
      <c r="G74" s="129" t="e">
        <v>#REF!</v>
      </c>
      <c r="H74" s="130"/>
      <c r="I74" s="27"/>
      <c r="J74" s="191"/>
      <c r="K74" s="174"/>
      <c r="L74" s="174"/>
      <c r="M74" s="183"/>
      <c r="N74" s="176"/>
    </row>
    <row r="75" spans="1:14" ht="13.5" hidden="1" customHeight="1" thickBot="1" x14ac:dyDescent="0.25">
      <c r="A75" s="59"/>
      <c r="B75" s="59"/>
      <c r="C75" s="59"/>
      <c r="F75" s="59"/>
      <c r="G75" s="169" t="s">
        <v>91</v>
      </c>
      <c r="H75" s="131">
        <v>379935.31</v>
      </c>
      <c r="I75" s="27"/>
      <c r="J75" s="191"/>
      <c r="K75" s="174"/>
      <c r="L75" s="174"/>
      <c r="M75" s="183"/>
      <c r="N75" s="176"/>
    </row>
    <row r="76" spans="1:14" ht="13.5" hidden="1" customHeight="1" thickBot="1" x14ac:dyDescent="0.25">
      <c r="F76" s="59"/>
      <c r="G76" s="169" t="s">
        <v>92</v>
      </c>
      <c r="H76" s="131">
        <v>68388.36</v>
      </c>
      <c r="I76" s="27"/>
      <c r="J76" s="191"/>
      <c r="K76" s="174"/>
      <c r="L76" s="174"/>
      <c r="M76" s="183"/>
      <c r="N76" s="176"/>
    </row>
    <row r="77" spans="1:14" ht="13.5" hidden="1" customHeight="1" thickBot="1" x14ac:dyDescent="0.25">
      <c r="F77" s="287" t="s">
        <v>93</v>
      </c>
      <c r="G77" s="287"/>
      <c r="H77" s="131">
        <v>448323.67</v>
      </c>
      <c r="I77" s="27"/>
      <c r="J77" s="191"/>
      <c r="K77" s="174"/>
      <c r="L77" s="174"/>
      <c r="M77" s="183"/>
      <c r="N77" s="176"/>
    </row>
    <row r="78" spans="1:14" ht="12.75" hidden="1" customHeight="1" x14ac:dyDescent="0.2">
      <c r="F78" s="59"/>
      <c r="G78" s="59"/>
      <c r="H78" s="132"/>
      <c r="I78" s="27"/>
      <c r="J78" s="191"/>
      <c r="K78" s="174"/>
      <c r="L78" s="174"/>
      <c r="M78" s="183"/>
      <c r="N78" s="176"/>
    </row>
    <row r="79" spans="1:14" x14ac:dyDescent="0.2">
      <c r="E79" s="237" t="s">
        <v>216</v>
      </c>
      <c r="F79" s="238"/>
      <c r="G79" s="238"/>
      <c r="H79" s="177">
        <v>82569682.689999998</v>
      </c>
      <c r="I79" s="27"/>
      <c r="J79" s="191"/>
      <c r="K79" s="174"/>
      <c r="L79" s="174"/>
      <c r="M79" s="183"/>
      <c r="N79" s="176"/>
    </row>
    <row r="80" spans="1:14" ht="13.5" thickBot="1" x14ac:dyDescent="0.25">
      <c r="E80" s="237" t="s">
        <v>212</v>
      </c>
      <c r="F80" s="238"/>
      <c r="G80" s="238"/>
      <c r="H80" s="177">
        <f>H42-H79</f>
        <v>76257279.569999993</v>
      </c>
      <c r="I80" s="27"/>
      <c r="J80" s="193"/>
      <c r="K80" s="178"/>
      <c r="L80" s="178"/>
      <c r="M80" s="179"/>
      <c r="N80" s="180"/>
    </row>
    <row r="81" spans="1:15" ht="13.5" thickTop="1" x14ac:dyDescent="0.2">
      <c r="E81" s="24" t="s">
        <v>94</v>
      </c>
      <c r="F81" s="59"/>
      <c r="G81" s="59"/>
      <c r="H81" s="83">
        <f>H80/120*20</f>
        <v>12709546.6</v>
      </c>
      <c r="I81" s="81"/>
      <c r="J81" s="194"/>
      <c r="K81" s="195">
        <f>SUM(K31:K80)</f>
        <v>383517787.43000001</v>
      </c>
      <c r="L81" s="195">
        <f>SUM(L31:L80)</f>
        <v>460221344.91000003</v>
      </c>
      <c r="M81" s="149"/>
      <c r="N81" s="150"/>
      <c r="O81" s="148">
        <f>F33-K81</f>
        <v>0</v>
      </c>
    </row>
    <row r="82" spans="1:15" x14ac:dyDescent="0.2">
      <c r="F82" s="59"/>
      <c r="G82" s="59"/>
      <c r="H82" s="132"/>
      <c r="I82" s="81"/>
      <c r="J82" s="84"/>
      <c r="N82" s="80"/>
    </row>
    <row r="83" spans="1:15" ht="15.75" x14ac:dyDescent="0.25">
      <c r="F83" s="59"/>
      <c r="G83" s="59"/>
      <c r="H83" s="132"/>
      <c r="I83" s="81"/>
      <c r="J83" s="84" t="s">
        <v>109</v>
      </c>
      <c r="K83" s="84"/>
      <c r="L83" s="146"/>
      <c r="N83" s="80"/>
    </row>
    <row r="84" spans="1:15" s="134" customFormat="1" ht="25.5" customHeight="1" x14ac:dyDescent="0.2">
      <c r="A84" s="288" t="s">
        <v>131</v>
      </c>
      <c r="B84" s="288"/>
      <c r="C84" s="288" t="s">
        <v>99</v>
      </c>
      <c r="D84" s="288"/>
      <c r="E84" s="288"/>
      <c r="F84" s="289"/>
      <c r="G84" s="289"/>
      <c r="H84" s="134" t="s">
        <v>100</v>
      </c>
      <c r="I84" s="135"/>
      <c r="J84" s="136"/>
      <c r="K84" s="137"/>
      <c r="L84" s="27"/>
      <c r="M84" s="137"/>
      <c r="N84" s="80"/>
    </row>
    <row r="85" spans="1:15" s="134" customFormat="1" ht="15.75" customHeight="1" x14ac:dyDescent="0.2">
      <c r="C85" s="281" t="s">
        <v>95</v>
      </c>
      <c r="D85" s="281"/>
      <c r="E85" s="281"/>
      <c r="F85" s="280" t="s">
        <v>96</v>
      </c>
      <c r="G85" s="280"/>
      <c r="H85" s="138" t="s">
        <v>97</v>
      </c>
      <c r="I85" s="139"/>
      <c r="J85" s="136"/>
      <c r="K85" s="137"/>
      <c r="L85" s="27"/>
      <c r="M85" s="137"/>
      <c r="N85" s="80"/>
    </row>
    <row r="86" spans="1:15" s="138" customFormat="1" ht="15.75" customHeight="1" x14ac:dyDescent="0.2">
      <c r="D86" s="276"/>
      <c r="E86" s="276"/>
      <c r="F86" s="134"/>
      <c r="G86" s="134"/>
      <c r="H86" s="134"/>
      <c r="I86" s="135"/>
      <c r="J86" s="136"/>
      <c r="K86" s="137"/>
      <c r="L86" s="27"/>
      <c r="M86" s="137"/>
      <c r="N86" s="80"/>
    </row>
    <row r="87" spans="1:15" s="134" customFormat="1" ht="12.75" hidden="1" customHeight="1" x14ac:dyDescent="0.2">
      <c r="J87" s="137"/>
      <c r="K87" s="137"/>
      <c r="L87" s="27"/>
      <c r="M87" s="137"/>
      <c r="N87" s="80"/>
    </row>
    <row r="88" spans="1:15" s="134" customFormat="1" ht="12.75" hidden="1" customHeight="1" x14ac:dyDescent="0.2">
      <c r="J88" s="137"/>
      <c r="K88" s="137"/>
      <c r="L88" s="27"/>
      <c r="M88" s="137"/>
      <c r="N88" s="80"/>
    </row>
    <row r="89" spans="1:15" s="134" customFormat="1" x14ac:dyDescent="0.2">
      <c r="B89" s="59" t="s">
        <v>98</v>
      </c>
      <c r="J89" s="137"/>
      <c r="K89" s="137"/>
      <c r="L89" s="27"/>
      <c r="M89" s="137"/>
      <c r="N89" s="80"/>
    </row>
    <row r="90" spans="1:15" s="134" customFormat="1" x14ac:dyDescent="0.2">
      <c r="J90" s="137"/>
      <c r="K90" s="137"/>
      <c r="L90" s="27"/>
      <c r="M90" s="137"/>
    </row>
    <row r="91" spans="1:15" s="134" customFormat="1" x14ac:dyDescent="0.2">
      <c r="J91" s="137"/>
      <c r="K91" s="137"/>
      <c r="L91" s="27"/>
      <c r="M91" s="137"/>
    </row>
    <row r="92" spans="1:15" s="134" customFormat="1" x14ac:dyDescent="0.2">
      <c r="J92" s="137"/>
      <c r="K92" s="137"/>
      <c r="L92" s="27"/>
      <c r="M92" s="137"/>
    </row>
    <row r="93" spans="1:15" s="134" customFormat="1" x14ac:dyDescent="0.2">
      <c r="C93" s="277"/>
      <c r="D93" s="278"/>
      <c r="E93" s="278"/>
      <c r="F93" s="278"/>
      <c r="G93" s="278"/>
      <c r="H93" s="140"/>
      <c r="J93" s="137"/>
      <c r="K93" s="137"/>
      <c r="L93" s="137"/>
      <c r="M93" s="137"/>
    </row>
    <row r="94" spans="1:15" s="134" customFormat="1" ht="30.6" customHeight="1" x14ac:dyDescent="0.2">
      <c r="A94" s="133" t="s">
        <v>132</v>
      </c>
      <c r="B94" s="167"/>
      <c r="C94" s="277" t="s">
        <v>142</v>
      </c>
      <c r="D94" s="278"/>
      <c r="E94" s="278"/>
      <c r="F94" s="279"/>
      <c r="G94" s="279"/>
      <c r="H94" s="140" t="s">
        <v>143</v>
      </c>
      <c r="J94" s="137"/>
      <c r="K94" s="137"/>
      <c r="L94" s="137"/>
      <c r="M94" s="137"/>
    </row>
    <row r="95" spans="1:15" s="134" customFormat="1" x14ac:dyDescent="0.2">
      <c r="D95" s="141" t="s">
        <v>95</v>
      </c>
      <c r="E95" s="138"/>
      <c r="F95" s="280" t="s">
        <v>96</v>
      </c>
      <c r="G95" s="280"/>
      <c r="H95" s="142" t="s">
        <v>97</v>
      </c>
      <c r="J95" s="137"/>
      <c r="K95" s="137"/>
      <c r="L95" s="137"/>
      <c r="M95" s="137"/>
    </row>
    <row r="96" spans="1:15" s="134" customFormat="1" x14ac:dyDescent="0.2">
      <c r="D96" s="276" t="s">
        <v>101</v>
      </c>
      <c r="E96" s="276"/>
      <c r="J96" s="137"/>
      <c r="K96" s="137"/>
      <c r="L96" s="137"/>
      <c r="M96" s="137"/>
    </row>
    <row r="97" spans="2:13" s="134" customFormat="1" x14ac:dyDescent="0.2">
      <c r="B97" s="59" t="s">
        <v>98</v>
      </c>
      <c r="J97" s="137"/>
      <c r="K97" s="137"/>
      <c r="L97" s="137"/>
      <c r="M97" s="137"/>
    </row>
  </sheetData>
  <mergeCells count="38">
    <mergeCell ref="B30:D30"/>
    <mergeCell ref="C7:F7"/>
    <mergeCell ref="A9:B9"/>
    <mergeCell ref="C9:F9"/>
    <mergeCell ref="C11:F11"/>
    <mergeCell ref="C13:F13"/>
    <mergeCell ref="C14:F14"/>
    <mergeCell ref="G22:H22"/>
    <mergeCell ref="B28:D28"/>
    <mergeCell ref="J28:N28"/>
    <mergeCell ref="B29:D29"/>
    <mergeCell ref="J29:K29"/>
    <mergeCell ref="B31:D31"/>
    <mergeCell ref="B32:D32"/>
    <mergeCell ref="B33:D33"/>
    <mergeCell ref="B34:D34"/>
    <mergeCell ref="B35:D35"/>
    <mergeCell ref="C85:E85"/>
    <mergeCell ref="F85:G85"/>
    <mergeCell ref="O36:P36"/>
    <mergeCell ref="B37:D37"/>
    <mergeCell ref="B38:D38"/>
    <mergeCell ref="B39:D39"/>
    <mergeCell ref="E40:G40"/>
    <mergeCell ref="E41:G41"/>
    <mergeCell ref="B36:D36"/>
    <mergeCell ref="E42:G42"/>
    <mergeCell ref="F77:G77"/>
    <mergeCell ref="A84:B84"/>
    <mergeCell ref="C84:E84"/>
    <mergeCell ref="F84:G84"/>
    <mergeCell ref="D96:E96"/>
    <mergeCell ref="D86:E86"/>
    <mergeCell ref="C93:E93"/>
    <mergeCell ref="F93:G93"/>
    <mergeCell ref="C94:E94"/>
    <mergeCell ref="F94:G94"/>
    <mergeCell ref="F95:G95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M20"/>
  <sheetViews>
    <sheetView view="pageBreakPreview" zoomScaleNormal="100" zoomScaleSheetLayoutView="100" workbookViewId="0">
      <selection activeCell="H10" sqref="H10"/>
    </sheetView>
  </sheetViews>
  <sheetFormatPr defaultColWidth="9.140625" defaultRowHeight="15" x14ac:dyDescent="0.25"/>
  <cols>
    <col min="1" max="1" width="17" style="1" customWidth="1"/>
    <col min="2" max="2" width="20.85546875" style="1" customWidth="1"/>
    <col min="3" max="3" width="52.42578125" style="1" customWidth="1"/>
    <col min="4" max="4" width="15.7109375" style="1" bestFit="1" customWidth="1"/>
    <col min="5" max="5" width="18.28515625" style="1" customWidth="1"/>
    <col min="6" max="6" width="15.85546875" style="1" customWidth="1"/>
    <col min="7" max="7" width="15.7109375" style="1" customWidth="1"/>
    <col min="8" max="8" width="20.5703125" style="1" customWidth="1"/>
    <col min="9" max="9" width="8.7109375" style="1" bestFit="1" customWidth="1"/>
    <col min="10" max="10" width="26.5703125" style="1" bestFit="1" customWidth="1"/>
    <col min="11" max="11" width="9.140625" style="1"/>
    <col min="12" max="12" width="12.42578125" style="1" bestFit="1" customWidth="1"/>
    <col min="13" max="16384" width="9.140625" style="1"/>
  </cols>
  <sheetData>
    <row r="1" spans="1:13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</row>
    <row r="2" spans="1:13" ht="28.5" customHeight="1" x14ac:dyDescent="0.25">
      <c r="A2" s="3" t="s">
        <v>131</v>
      </c>
      <c r="B2" s="314" t="s">
        <v>17</v>
      </c>
      <c r="C2" s="314"/>
      <c r="D2" s="314"/>
      <c r="E2" s="314"/>
      <c r="F2" s="314"/>
      <c r="G2" s="314"/>
      <c r="H2" s="314"/>
      <c r="I2" s="314"/>
      <c r="J2" s="314"/>
    </row>
    <row r="3" spans="1:13" x14ac:dyDescent="0.25">
      <c r="A3" s="2"/>
      <c r="B3" s="315" t="s">
        <v>18</v>
      </c>
      <c r="C3" s="315"/>
      <c r="D3" s="315"/>
      <c r="E3" s="315"/>
      <c r="F3" s="315"/>
      <c r="G3" s="315"/>
      <c r="H3" s="315"/>
      <c r="I3" s="315"/>
      <c r="J3" s="315"/>
    </row>
    <row r="4" spans="1:13" ht="15" customHeight="1" x14ac:dyDescent="0.25">
      <c r="A4" s="3" t="s">
        <v>144</v>
      </c>
      <c r="B4" s="316" t="s">
        <v>133</v>
      </c>
      <c r="C4" s="316"/>
      <c r="D4" s="316"/>
      <c r="E4" s="316"/>
      <c r="F4" s="316"/>
      <c r="G4" s="316"/>
      <c r="H4" s="316"/>
      <c r="I4" s="316"/>
      <c r="J4" s="316"/>
    </row>
    <row r="5" spans="1:13" x14ac:dyDescent="0.25">
      <c r="A5" s="4"/>
      <c r="B5" s="317" t="s">
        <v>18</v>
      </c>
      <c r="C5" s="317"/>
      <c r="D5" s="317"/>
      <c r="E5" s="317"/>
      <c r="F5" s="317"/>
      <c r="G5" s="317"/>
      <c r="H5" s="317"/>
      <c r="I5" s="317"/>
      <c r="J5" s="317"/>
    </row>
    <row r="6" spans="1:13" x14ac:dyDescent="0.25">
      <c r="A6" s="3" t="s">
        <v>19</v>
      </c>
      <c r="B6" s="316" t="s">
        <v>20</v>
      </c>
      <c r="C6" s="316"/>
      <c r="D6" s="316"/>
      <c r="E6" s="316"/>
      <c r="F6" s="316"/>
      <c r="G6" s="316"/>
      <c r="H6" s="316"/>
      <c r="I6" s="316"/>
      <c r="J6" s="316"/>
    </row>
    <row r="7" spans="1:13" x14ac:dyDescent="0.25">
      <c r="A7" s="4"/>
      <c r="B7" s="317" t="s">
        <v>21</v>
      </c>
      <c r="C7" s="317"/>
      <c r="D7" s="317"/>
      <c r="E7" s="317"/>
      <c r="F7" s="317"/>
      <c r="G7" s="317"/>
      <c r="H7" s="317"/>
      <c r="I7" s="317"/>
      <c r="J7" s="317"/>
    </row>
    <row r="8" spans="1:13" x14ac:dyDescent="0.25">
      <c r="A8" s="313" t="s">
        <v>150</v>
      </c>
      <c r="B8" s="313"/>
      <c r="C8" s="313"/>
      <c r="D8" s="313"/>
      <c r="E8" s="313"/>
      <c r="F8" s="313"/>
      <c r="G8" s="313"/>
      <c r="H8" s="313"/>
      <c r="I8" s="313"/>
      <c r="J8" s="313"/>
      <c r="K8" s="14"/>
    </row>
    <row r="9" spans="1:13" x14ac:dyDescent="0.25">
      <c r="A9" s="5"/>
      <c r="B9" s="5"/>
      <c r="C9" s="5"/>
      <c r="D9" s="5"/>
      <c r="E9" s="5"/>
      <c r="F9" s="5"/>
      <c r="G9" s="5"/>
      <c r="H9" s="5"/>
      <c r="I9" s="4"/>
      <c r="J9" s="5"/>
    </row>
    <row r="10" spans="1:13" ht="45" x14ac:dyDescent="0.25">
      <c r="A10" s="6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7" t="s">
        <v>145</v>
      </c>
      <c r="I10" s="6" t="s">
        <v>29</v>
      </c>
      <c r="J10" s="7" t="s">
        <v>30</v>
      </c>
    </row>
    <row r="11" spans="1:13" ht="35.25" customHeight="1" x14ac:dyDescent="0.25">
      <c r="A11" s="8">
        <v>1</v>
      </c>
      <c r="B11" s="9" t="s">
        <v>114</v>
      </c>
      <c r="C11" s="10" t="s">
        <v>117</v>
      </c>
      <c r="D11" s="11" t="e">
        <f>#REF!</f>
        <v>#REF!</v>
      </c>
      <c r="E11" s="11" t="e">
        <f>#REF!</f>
        <v>#REF!</v>
      </c>
      <c r="F11" s="11" t="e">
        <f>#REF!</f>
        <v>#REF!</v>
      </c>
      <c r="G11" s="11" t="e">
        <f>#REF!</f>
        <v>#REF!</v>
      </c>
      <c r="H11" s="11" t="e">
        <f>#REF!</f>
        <v>#REF!</v>
      </c>
      <c r="I11" s="12">
        <v>1.2</v>
      </c>
      <c r="J11" s="13" t="e">
        <f>ROUND(H11*I11,2)</f>
        <v>#REF!</v>
      </c>
      <c r="K11" s="14" t="s">
        <v>120</v>
      </c>
      <c r="L11" s="23"/>
      <c r="M11" s="159"/>
    </row>
    <row r="12" spans="1:13" ht="33" customHeight="1" x14ac:dyDescent="0.25">
      <c r="A12" s="8">
        <v>2</v>
      </c>
      <c r="B12" s="9" t="s">
        <v>115</v>
      </c>
      <c r="C12" s="10" t="s">
        <v>118</v>
      </c>
      <c r="D12" s="11" t="e">
        <f>#REF!</f>
        <v>#REF!</v>
      </c>
      <c r="E12" s="11" t="e">
        <f>#REF!</f>
        <v>#REF!</v>
      </c>
      <c r="F12" s="11" t="e">
        <f>#REF!</f>
        <v>#REF!</v>
      </c>
      <c r="G12" s="11" t="e">
        <f>#REF!</f>
        <v>#REF!</v>
      </c>
      <c r="H12" s="11" t="e">
        <f>#REF!</f>
        <v>#REF!</v>
      </c>
      <c r="I12" s="12">
        <v>1.2</v>
      </c>
      <c r="J12" s="13" t="e">
        <f t="shared" ref="J12:J13" si="0">ROUND(H12*I12,2)</f>
        <v>#REF!</v>
      </c>
      <c r="K12" s="14" t="s">
        <v>121</v>
      </c>
      <c r="L12" s="23"/>
      <c r="M12" s="159"/>
    </row>
    <row r="13" spans="1:13" ht="29.25" customHeight="1" x14ac:dyDescent="0.25">
      <c r="A13" s="8">
        <v>3</v>
      </c>
      <c r="B13" s="9" t="s">
        <v>116</v>
      </c>
      <c r="C13" s="10" t="s">
        <v>119</v>
      </c>
      <c r="D13" s="11" t="e">
        <f>#REF!</f>
        <v>#REF!</v>
      </c>
      <c r="E13" s="11" t="e">
        <f>#REF!</f>
        <v>#REF!</v>
      </c>
      <c r="F13" s="11" t="e">
        <f>#REF!</f>
        <v>#REF!</v>
      </c>
      <c r="G13" s="11" t="e">
        <f>#REF!</f>
        <v>#REF!</v>
      </c>
      <c r="H13" s="11" t="e">
        <f>#REF!</f>
        <v>#REF!</v>
      </c>
      <c r="I13" s="12">
        <v>1.2</v>
      </c>
      <c r="J13" s="13" t="e">
        <f t="shared" si="0"/>
        <v>#REF!</v>
      </c>
      <c r="K13" s="14" t="s">
        <v>122</v>
      </c>
      <c r="L13" s="23"/>
      <c r="M13" s="159"/>
    </row>
    <row r="14" spans="1:13" ht="24" customHeight="1" x14ac:dyDescent="0.25">
      <c r="A14" s="8">
        <v>4</v>
      </c>
      <c r="B14" s="9" t="s">
        <v>125</v>
      </c>
      <c r="C14" s="10" t="s">
        <v>126</v>
      </c>
      <c r="D14" s="11" t="e">
        <f>#REF!+#REF!</f>
        <v>#REF!</v>
      </c>
      <c r="E14" s="11" t="e">
        <f>#REF!</f>
        <v>#REF!</v>
      </c>
      <c r="F14" s="11" t="e">
        <f>#REF!</f>
        <v>#REF!</v>
      </c>
      <c r="G14" s="11" t="e">
        <f>#REF!</f>
        <v>#REF!</v>
      </c>
      <c r="H14" s="11" t="e">
        <f>#REF!</f>
        <v>#REF!</v>
      </c>
      <c r="I14" s="12">
        <v>1.2</v>
      </c>
      <c r="J14" s="13" t="e">
        <f t="shared" ref="J14:J15" si="1">ROUND(H14*I14,2)</f>
        <v>#REF!</v>
      </c>
      <c r="K14" s="14" t="s">
        <v>127</v>
      </c>
      <c r="L14" s="23"/>
      <c r="M14" s="159"/>
    </row>
    <row r="15" spans="1:13" ht="36.75" customHeight="1" x14ac:dyDescent="0.25">
      <c r="A15" s="8">
        <v>5</v>
      </c>
      <c r="B15" s="9" t="s">
        <v>128</v>
      </c>
      <c r="C15" s="10" t="s">
        <v>129</v>
      </c>
      <c r="D15" s="11" t="e">
        <f>#REF!+#REF!</f>
        <v>#REF!</v>
      </c>
      <c r="E15" s="11" t="e">
        <f>#REF!</f>
        <v>#REF!</v>
      </c>
      <c r="F15" s="11" t="e">
        <f>#REF!</f>
        <v>#REF!</v>
      </c>
      <c r="G15" s="11" t="e">
        <f>#REF!</f>
        <v>#REF!</v>
      </c>
      <c r="H15" s="11" t="e">
        <f>#REF!</f>
        <v>#REF!</v>
      </c>
      <c r="I15" s="12">
        <v>1.2</v>
      </c>
      <c r="J15" s="13" t="e">
        <f t="shared" si="1"/>
        <v>#REF!</v>
      </c>
      <c r="K15" s="14" t="s">
        <v>130</v>
      </c>
      <c r="L15" s="23"/>
      <c r="M15" s="159"/>
    </row>
    <row r="16" spans="1:13" ht="0.75" customHeight="1" thickBot="1" x14ac:dyDescent="0.3">
      <c r="A16" s="15"/>
      <c r="B16" s="151"/>
      <c r="C16" s="16"/>
      <c r="D16" s="17"/>
      <c r="E16" s="17"/>
      <c r="F16" s="17"/>
      <c r="G16" s="17"/>
      <c r="H16" s="17"/>
      <c r="I16" s="18"/>
      <c r="J16" s="19"/>
      <c r="K16" s="14"/>
    </row>
    <row r="17" spans="1:12" ht="24" customHeight="1" thickTop="1" x14ac:dyDescent="0.25">
      <c r="A17" s="20"/>
      <c r="B17" s="21" t="s">
        <v>31</v>
      </c>
      <c r="C17" s="20"/>
      <c r="D17" s="22" t="e">
        <f>SUM(D11:D16)</f>
        <v>#REF!</v>
      </c>
      <c r="E17" s="22" t="e">
        <f>SUM(E11:E16)</f>
        <v>#REF!</v>
      </c>
      <c r="F17" s="22" t="e">
        <f>SUM(F11:F16)</f>
        <v>#REF!</v>
      </c>
      <c r="G17" s="22" t="e">
        <f>SUM(G11:G16)</f>
        <v>#REF!</v>
      </c>
      <c r="H17" s="22" t="e">
        <f>SUM(H11:H16)</f>
        <v>#REF!</v>
      </c>
      <c r="I17" s="22"/>
      <c r="J17" s="22" t="e">
        <f>SUM(J11:J16)</f>
        <v>#REF!</v>
      </c>
      <c r="L17" s="23"/>
    </row>
    <row r="18" spans="1:12" x14ac:dyDescent="0.25">
      <c r="H18" s="23"/>
    </row>
    <row r="19" spans="1:12" x14ac:dyDescent="0.25">
      <c r="F19" s="159"/>
      <c r="G19" s="159"/>
      <c r="L19" s="23"/>
    </row>
    <row r="20" spans="1:12" x14ac:dyDescent="0.25">
      <c r="F20" s="159"/>
      <c r="L20" s="23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D5EB-3F49-406F-8A45-C82A22550CEA}">
  <sheetPr>
    <tabColor rgb="FFFF0000"/>
  </sheetPr>
  <dimension ref="A1:V47"/>
  <sheetViews>
    <sheetView tabSelected="1" view="pageBreakPreview" zoomScaleNormal="100" zoomScaleSheetLayoutView="100" workbookViewId="0">
      <pane ySplit="10" topLeftCell="A33" activePane="bottomLeft" state="frozen"/>
      <selection pane="bottomLeft" activeCell="O17" sqref="O17"/>
    </sheetView>
  </sheetViews>
  <sheetFormatPr defaultColWidth="9.140625" defaultRowHeight="15" x14ac:dyDescent="0.25"/>
  <cols>
    <col min="1" max="1" width="17" style="198" customWidth="1"/>
    <col min="2" max="2" width="20.85546875" style="198" customWidth="1"/>
    <col min="3" max="3" width="63.28515625" style="198" customWidth="1"/>
    <col min="4" max="4" width="15.7109375" style="198" hidden="1" customWidth="1"/>
    <col min="5" max="5" width="18.28515625" style="198" hidden="1" customWidth="1"/>
    <col min="6" max="6" width="15.85546875" style="198" hidden="1" customWidth="1"/>
    <col min="7" max="7" width="15.7109375" style="198" hidden="1" customWidth="1"/>
    <col min="8" max="8" width="20.5703125" style="198" customWidth="1"/>
    <col min="9" max="9" width="12.85546875" style="198" customWidth="1"/>
    <col min="10" max="10" width="26.5703125" style="198" bestFit="1" customWidth="1"/>
    <col min="11" max="11" width="7.7109375" style="262" customWidth="1"/>
    <col min="12" max="12" width="16.140625" style="231" customWidth="1"/>
    <col min="13" max="13" width="38.28515625" style="231" customWidth="1"/>
    <col min="14" max="14" width="16.7109375" style="231" customWidth="1"/>
    <col min="15" max="15" width="13.42578125" style="231" customWidth="1"/>
    <col min="16" max="16" width="12.42578125" style="231" customWidth="1"/>
    <col min="17" max="18" width="9.140625" style="231" customWidth="1"/>
    <col min="19" max="19" width="13.5703125" style="231" bestFit="1" customWidth="1"/>
    <col min="20" max="20" width="13.7109375" style="231" customWidth="1"/>
    <col min="21" max="21" width="12.42578125" style="231" bestFit="1" customWidth="1"/>
    <col min="22" max="22" width="15.140625" style="231" customWidth="1"/>
    <col min="23" max="16384" width="9.140625" style="198"/>
  </cols>
  <sheetData>
    <row r="1" spans="1:22" s="1" customForma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261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s="1" customFormat="1" ht="28.5" customHeight="1" x14ac:dyDescent="0.25">
      <c r="A2" s="3" t="s">
        <v>131</v>
      </c>
      <c r="B2" s="314" t="s">
        <v>133</v>
      </c>
      <c r="C2" s="314"/>
      <c r="D2" s="314"/>
      <c r="E2" s="314"/>
      <c r="F2" s="314"/>
      <c r="G2" s="314"/>
      <c r="H2" s="314"/>
      <c r="I2" s="314"/>
      <c r="J2" s="314"/>
      <c r="K2" s="261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s="1" customFormat="1" x14ac:dyDescent="0.25">
      <c r="A3" s="2"/>
      <c r="B3" s="318" t="s">
        <v>18</v>
      </c>
      <c r="C3" s="318"/>
      <c r="D3" s="318"/>
      <c r="E3" s="318"/>
      <c r="F3" s="318"/>
      <c r="G3" s="318"/>
      <c r="H3" s="318"/>
      <c r="I3" s="318"/>
      <c r="J3" s="318"/>
      <c r="K3" s="261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</row>
    <row r="4" spans="1:22" s="1" customFormat="1" ht="15" customHeight="1" x14ac:dyDescent="0.25">
      <c r="A4" s="3" t="s">
        <v>144</v>
      </c>
      <c r="B4" s="316"/>
      <c r="C4" s="316"/>
      <c r="D4" s="316"/>
      <c r="E4" s="316"/>
      <c r="F4" s="316"/>
      <c r="G4" s="316"/>
      <c r="H4" s="316"/>
      <c r="I4" s="316"/>
      <c r="J4" s="316"/>
      <c r="K4" s="261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</row>
    <row r="5" spans="1:22" s="1" customFormat="1" x14ac:dyDescent="0.25">
      <c r="A5" s="4"/>
      <c r="B5" s="318" t="s">
        <v>18</v>
      </c>
      <c r="C5" s="318"/>
      <c r="D5" s="318"/>
      <c r="E5" s="318"/>
      <c r="F5" s="318"/>
      <c r="G5" s="318"/>
      <c r="H5" s="318"/>
      <c r="I5" s="318"/>
      <c r="J5" s="318"/>
      <c r="K5" s="261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</row>
    <row r="6" spans="1:22" s="1" customFormat="1" x14ac:dyDescent="0.25">
      <c r="A6" s="3" t="s">
        <v>19</v>
      </c>
      <c r="B6" s="316" t="s">
        <v>20</v>
      </c>
      <c r="C6" s="316"/>
      <c r="D6" s="316"/>
      <c r="E6" s="316"/>
      <c r="F6" s="316"/>
      <c r="G6" s="316"/>
      <c r="H6" s="316"/>
      <c r="I6" s="316"/>
      <c r="J6" s="316"/>
      <c r="K6" s="261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7" spans="1:22" s="1" customFormat="1" x14ac:dyDescent="0.25">
      <c r="A7" s="4"/>
      <c r="B7" s="318" t="s">
        <v>21</v>
      </c>
      <c r="C7" s="318"/>
      <c r="D7" s="318"/>
      <c r="E7" s="318"/>
      <c r="F7" s="318"/>
      <c r="G7" s="318"/>
      <c r="H7" s="318"/>
      <c r="I7" s="318"/>
      <c r="J7" s="318"/>
      <c r="K7" s="261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</row>
    <row r="8" spans="1:22" s="1" customFormat="1" x14ac:dyDescent="0.25">
      <c r="A8" s="313" t="s">
        <v>215</v>
      </c>
      <c r="B8" s="313"/>
      <c r="C8" s="313"/>
      <c r="D8" s="313"/>
      <c r="E8" s="313"/>
      <c r="F8" s="313"/>
      <c r="G8" s="313"/>
      <c r="H8" s="313"/>
      <c r="I8" s="313"/>
      <c r="J8" s="313"/>
      <c r="K8" s="261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</row>
    <row r="9" spans="1:22" x14ac:dyDescent="0.25">
      <c r="A9" s="5"/>
      <c r="B9" s="5"/>
      <c r="C9" s="5"/>
      <c r="D9" s="5"/>
      <c r="E9" s="5"/>
      <c r="F9" s="5"/>
      <c r="G9" s="5"/>
      <c r="H9" s="5"/>
      <c r="I9" s="4"/>
      <c r="J9" s="5"/>
    </row>
    <row r="10" spans="1:22" ht="45" x14ac:dyDescent="0.25">
      <c r="A10" s="199" t="s">
        <v>22</v>
      </c>
      <c r="B10" s="199" t="s">
        <v>23</v>
      </c>
      <c r="C10" s="199" t="s">
        <v>24</v>
      </c>
      <c r="D10" s="199" t="s">
        <v>25</v>
      </c>
      <c r="E10" s="199" t="s">
        <v>26</v>
      </c>
      <c r="F10" s="199" t="s">
        <v>27</v>
      </c>
      <c r="G10" s="199" t="s">
        <v>28</v>
      </c>
      <c r="H10" s="200" t="s">
        <v>145</v>
      </c>
      <c r="I10" s="199" t="s">
        <v>29</v>
      </c>
      <c r="J10" s="200" t="s">
        <v>30</v>
      </c>
    </row>
    <row r="11" spans="1:22" ht="30" customHeight="1" x14ac:dyDescent="0.25">
      <c r="A11" s="213">
        <v>1</v>
      </c>
      <c r="B11" s="213" t="s">
        <v>152</v>
      </c>
      <c r="C11" s="245" t="s">
        <v>153</v>
      </c>
      <c r="D11" s="240">
        <v>27216587.620000001</v>
      </c>
      <c r="E11" s="240">
        <v>2231760.1800000002</v>
      </c>
      <c r="F11" s="240">
        <v>706760.35</v>
      </c>
      <c r="G11" s="240">
        <v>30155108.149999999</v>
      </c>
      <c r="H11" s="241">
        <v>17221536.199999999</v>
      </c>
      <c r="I11" s="242">
        <v>1.2</v>
      </c>
      <c r="J11" s="241">
        <f>ROUND(H11*I11,2)</f>
        <v>20665843.440000001</v>
      </c>
      <c r="K11" s="262">
        <v>0.98</v>
      </c>
      <c r="L11" s="232">
        <f>J11*K11</f>
        <v>20252526.57</v>
      </c>
      <c r="M11" s="274">
        <f>L11</f>
        <v>20252526.57</v>
      </c>
      <c r="S11" s="232"/>
      <c r="T11" s="232"/>
      <c r="U11" s="232"/>
      <c r="V11" s="235"/>
    </row>
    <row r="12" spans="1:22" ht="30" customHeight="1" x14ac:dyDescent="0.25">
      <c r="A12" s="213">
        <v>2</v>
      </c>
      <c r="B12" s="213" t="s">
        <v>155</v>
      </c>
      <c r="C12" s="245" t="s">
        <v>156</v>
      </c>
      <c r="D12" s="240">
        <v>2580741.9900000002</v>
      </c>
      <c r="E12" s="240">
        <v>211620.84</v>
      </c>
      <c r="F12" s="240">
        <v>67016.710000000006</v>
      </c>
      <c r="G12" s="240">
        <v>2859379.54</v>
      </c>
      <c r="H12" s="241">
        <v>2456991.48</v>
      </c>
      <c r="I12" s="242">
        <v>1.2</v>
      </c>
      <c r="J12" s="241">
        <f t="shared" ref="J12:J39" si="0">ROUND(H12*I12,2)</f>
        <v>2948389.78</v>
      </c>
      <c r="K12" s="262">
        <v>0.98</v>
      </c>
      <c r="L12" s="232">
        <f t="shared" ref="L12:L40" si="1">J12*K12</f>
        <v>2889421.98</v>
      </c>
      <c r="M12" s="274">
        <f t="shared" ref="M12:M24" si="2">L12</f>
        <v>2889421.98</v>
      </c>
      <c r="S12" s="232"/>
      <c r="T12" s="232"/>
      <c r="U12" s="232"/>
      <c r="V12" s="232"/>
    </row>
    <row r="13" spans="1:22" ht="30" customHeight="1" x14ac:dyDescent="0.25">
      <c r="A13" s="213">
        <v>3</v>
      </c>
      <c r="B13" s="213" t="s">
        <v>157</v>
      </c>
      <c r="C13" s="245" t="s">
        <v>158</v>
      </c>
      <c r="D13" s="240">
        <v>286922.48</v>
      </c>
      <c r="E13" s="240">
        <v>23527.64</v>
      </c>
      <c r="F13" s="240">
        <v>7450.8</v>
      </c>
      <c r="G13" s="240">
        <v>317900.92</v>
      </c>
      <c r="H13" s="241">
        <v>269387.34000000003</v>
      </c>
      <c r="I13" s="242">
        <v>1.2</v>
      </c>
      <c r="J13" s="241">
        <f t="shared" si="0"/>
        <v>323264.81</v>
      </c>
      <c r="K13" s="262">
        <v>0.98</v>
      </c>
      <c r="L13" s="232">
        <f t="shared" si="1"/>
        <v>316799.51</v>
      </c>
      <c r="M13" s="274">
        <f t="shared" si="2"/>
        <v>316799.51</v>
      </c>
      <c r="S13" s="232"/>
      <c r="T13" s="232"/>
      <c r="U13" s="232"/>
      <c r="V13" s="232"/>
    </row>
    <row r="14" spans="1:22" ht="30" customHeight="1" x14ac:dyDescent="0.25">
      <c r="A14" s="213">
        <v>4</v>
      </c>
      <c r="B14" s="213" t="s">
        <v>159</v>
      </c>
      <c r="C14" s="245" t="s">
        <v>160</v>
      </c>
      <c r="D14" s="240">
        <v>247380.85</v>
      </c>
      <c r="E14" s="240">
        <v>20285.23</v>
      </c>
      <c r="F14" s="240">
        <v>6423.99</v>
      </c>
      <c r="G14" s="240">
        <v>274090.07</v>
      </c>
      <c r="H14" s="241">
        <f>288178.3*0.83</f>
        <v>239187.99</v>
      </c>
      <c r="I14" s="242">
        <v>1.2</v>
      </c>
      <c r="J14" s="241">
        <f t="shared" si="0"/>
        <v>287025.59000000003</v>
      </c>
      <c r="K14" s="262">
        <v>0.98</v>
      </c>
      <c r="L14" s="232">
        <f t="shared" si="1"/>
        <v>281285.08</v>
      </c>
      <c r="M14" s="274">
        <f t="shared" si="2"/>
        <v>281285.08</v>
      </c>
      <c r="S14" s="232"/>
      <c r="T14" s="232"/>
      <c r="U14" s="232"/>
      <c r="V14" s="232"/>
    </row>
    <row r="15" spans="1:22" ht="30" customHeight="1" x14ac:dyDescent="0.25">
      <c r="A15" s="213">
        <v>5</v>
      </c>
      <c r="B15" s="213" t="s">
        <v>161</v>
      </c>
      <c r="C15" s="245" t="s">
        <v>162</v>
      </c>
      <c r="D15" s="240">
        <v>3236877.75</v>
      </c>
      <c r="E15" s="240">
        <v>265423.98</v>
      </c>
      <c r="F15" s="240">
        <v>84055.24</v>
      </c>
      <c r="G15" s="240">
        <v>3586356.97</v>
      </c>
      <c r="H15" s="241">
        <v>2861432.78</v>
      </c>
      <c r="I15" s="242">
        <v>1.2</v>
      </c>
      <c r="J15" s="241">
        <f t="shared" si="0"/>
        <v>3433719.34</v>
      </c>
      <c r="K15" s="262">
        <v>0.98</v>
      </c>
      <c r="L15" s="232">
        <f t="shared" si="1"/>
        <v>3365044.95</v>
      </c>
      <c r="M15" s="274">
        <f t="shared" si="2"/>
        <v>3365044.95</v>
      </c>
      <c r="S15" s="232"/>
      <c r="T15" s="232"/>
      <c r="U15" s="232"/>
      <c r="V15" s="232"/>
    </row>
    <row r="16" spans="1:22" ht="30" customHeight="1" x14ac:dyDescent="0.25">
      <c r="A16" s="213">
        <v>6</v>
      </c>
      <c r="B16" s="213" t="s">
        <v>163</v>
      </c>
      <c r="C16" s="245" t="s">
        <v>164</v>
      </c>
      <c r="D16" s="240">
        <v>1091766.23</v>
      </c>
      <c r="E16" s="240">
        <v>89524.83</v>
      </c>
      <c r="F16" s="240">
        <v>28350.99</v>
      </c>
      <c r="G16" s="240">
        <v>1209642.05</v>
      </c>
      <c r="H16" s="241">
        <v>894966.71</v>
      </c>
      <c r="I16" s="242">
        <v>1.2</v>
      </c>
      <c r="J16" s="241">
        <f t="shared" si="0"/>
        <v>1073960.05</v>
      </c>
      <c r="K16" s="262">
        <v>0.98</v>
      </c>
      <c r="L16" s="232">
        <f t="shared" si="1"/>
        <v>1052480.8500000001</v>
      </c>
      <c r="M16" s="274">
        <f t="shared" si="2"/>
        <v>1052480.8500000001</v>
      </c>
      <c r="S16" s="232"/>
      <c r="T16" s="232"/>
      <c r="U16" s="232"/>
      <c r="V16" s="232"/>
    </row>
    <row r="17" spans="1:22" s="212" customFormat="1" ht="30" customHeight="1" x14ac:dyDescent="0.25">
      <c r="A17" s="213">
        <v>7</v>
      </c>
      <c r="B17" s="213" t="s">
        <v>165</v>
      </c>
      <c r="C17" s="245" t="s">
        <v>166</v>
      </c>
      <c r="D17" s="240">
        <v>14058995.09</v>
      </c>
      <c r="E17" s="240">
        <v>1152837.6000000001</v>
      </c>
      <c r="F17" s="240">
        <v>365083.98</v>
      </c>
      <c r="G17" s="240">
        <v>15576916.67</v>
      </c>
      <c r="H17" s="241">
        <v>11943861.83</v>
      </c>
      <c r="I17" s="242">
        <v>1.2</v>
      </c>
      <c r="J17" s="241">
        <f t="shared" si="0"/>
        <v>14332634.199999999</v>
      </c>
      <c r="K17" s="262">
        <v>0.98</v>
      </c>
      <c r="L17" s="232">
        <f t="shared" si="1"/>
        <v>14045981.52</v>
      </c>
      <c r="M17" s="274">
        <f t="shared" si="2"/>
        <v>14045981.52</v>
      </c>
      <c r="N17" s="233"/>
      <c r="O17" s="233"/>
      <c r="P17" s="233"/>
      <c r="Q17" s="233"/>
      <c r="R17" s="233"/>
      <c r="S17" s="236"/>
      <c r="T17" s="232"/>
      <c r="U17" s="236"/>
      <c r="V17" s="232"/>
    </row>
    <row r="18" spans="1:22" ht="30" customHeight="1" x14ac:dyDescent="0.25">
      <c r="A18" s="213">
        <v>8</v>
      </c>
      <c r="B18" s="213" t="s">
        <v>167</v>
      </c>
      <c r="C18" s="245" t="s">
        <v>118</v>
      </c>
      <c r="D18" s="240">
        <v>1570798.31</v>
      </c>
      <c r="E18" s="240">
        <v>128805.46</v>
      </c>
      <c r="F18" s="240">
        <v>40790.49</v>
      </c>
      <c r="G18" s="240">
        <v>1740394.26</v>
      </c>
      <c r="H18" s="241">
        <v>1369651.45</v>
      </c>
      <c r="I18" s="242">
        <v>1.2</v>
      </c>
      <c r="J18" s="241">
        <f t="shared" si="0"/>
        <v>1643581.74</v>
      </c>
      <c r="K18" s="262">
        <v>0.98</v>
      </c>
      <c r="L18" s="232">
        <f t="shared" si="1"/>
        <v>1610710.11</v>
      </c>
      <c r="M18" s="275">
        <f t="shared" si="2"/>
        <v>1610710.11</v>
      </c>
      <c r="S18" s="232"/>
      <c r="T18" s="232"/>
      <c r="U18" s="232"/>
      <c r="V18" s="232"/>
    </row>
    <row r="19" spans="1:22" ht="30" customHeight="1" x14ac:dyDescent="0.25">
      <c r="A19" s="213">
        <v>9</v>
      </c>
      <c r="B19" s="213" t="s">
        <v>168</v>
      </c>
      <c r="C19" s="245" t="s">
        <v>169</v>
      </c>
      <c r="D19" s="240">
        <v>2149017.2799999998</v>
      </c>
      <c r="E19" s="240">
        <v>176219.42</v>
      </c>
      <c r="F19" s="240">
        <v>55805.68</v>
      </c>
      <c r="G19" s="240">
        <v>2381042.38</v>
      </c>
      <c r="H19" s="241">
        <v>1870615.94</v>
      </c>
      <c r="I19" s="242">
        <v>1.2</v>
      </c>
      <c r="J19" s="241">
        <f t="shared" si="0"/>
        <v>2244739.13</v>
      </c>
      <c r="K19" s="262">
        <v>0.98</v>
      </c>
      <c r="L19" s="232">
        <f t="shared" si="1"/>
        <v>2199844.35</v>
      </c>
      <c r="M19" s="275">
        <f t="shared" si="2"/>
        <v>2199844.35</v>
      </c>
      <c r="S19" s="232"/>
      <c r="T19" s="232"/>
      <c r="U19" s="232"/>
      <c r="V19" s="232"/>
    </row>
    <row r="20" spans="1:22" ht="30" customHeight="1" x14ac:dyDescent="0.25">
      <c r="A20" s="254">
        <v>10</v>
      </c>
      <c r="B20" s="254" t="s">
        <v>170</v>
      </c>
      <c r="C20" s="255" t="s">
        <v>171</v>
      </c>
      <c r="D20" s="240">
        <v>760525.99</v>
      </c>
      <c r="E20" s="240">
        <v>62363.13</v>
      </c>
      <c r="F20" s="240">
        <v>19749.34</v>
      </c>
      <c r="G20" s="240">
        <v>842638.46</v>
      </c>
      <c r="H20" s="256">
        <v>645851.07999999996</v>
      </c>
      <c r="I20" s="257">
        <v>1.2</v>
      </c>
      <c r="J20" s="256">
        <f t="shared" si="0"/>
        <v>775021.3</v>
      </c>
      <c r="K20" s="262">
        <v>0.98</v>
      </c>
      <c r="L20" s="265">
        <f t="shared" si="1"/>
        <v>759520.87</v>
      </c>
      <c r="M20" s="275">
        <f t="shared" si="2"/>
        <v>759520.87</v>
      </c>
      <c r="S20" s="232"/>
      <c r="T20" s="232"/>
      <c r="U20" s="232"/>
      <c r="V20" s="232"/>
    </row>
    <row r="21" spans="1:22" ht="30" customHeight="1" x14ac:dyDescent="0.25">
      <c r="A21" s="213">
        <v>11</v>
      </c>
      <c r="B21" s="213" t="s">
        <v>172</v>
      </c>
      <c r="C21" s="245" t="s">
        <v>129</v>
      </c>
      <c r="D21" s="240">
        <v>2453763.13</v>
      </c>
      <c r="E21" s="240">
        <v>201208.58</v>
      </c>
      <c r="F21" s="240">
        <v>63719.32</v>
      </c>
      <c r="G21" s="240">
        <v>2718691.03</v>
      </c>
      <c r="H21" s="241">
        <f>2858431.75*0.83</f>
        <v>2372498.35</v>
      </c>
      <c r="I21" s="242">
        <v>1.2</v>
      </c>
      <c r="J21" s="241">
        <f t="shared" si="0"/>
        <v>2846998.02</v>
      </c>
      <c r="K21" s="262">
        <v>0.98</v>
      </c>
      <c r="L21" s="232">
        <f t="shared" si="1"/>
        <v>2790058.06</v>
      </c>
      <c r="M21" s="275">
        <f t="shared" si="2"/>
        <v>2790058.06</v>
      </c>
      <c r="S21" s="232"/>
      <c r="T21" s="232"/>
      <c r="U21" s="232"/>
      <c r="V21" s="232"/>
    </row>
    <row r="22" spans="1:22" ht="30" customHeight="1" x14ac:dyDescent="0.25">
      <c r="A22" s="213">
        <v>12</v>
      </c>
      <c r="B22" s="213" t="s">
        <v>173</v>
      </c>
      <c r="C22" s="245" t="s">
        <v>174</v>
      </c>
      <c r="D22" s="240">
        <v>1767115.46</v>
      </c>
      <c r="E22" s="240">
        <v>144903.47</v>
      </c>
      <c r="F22" s="240">
        <v>45888.45</v>
      </c>
      <c r="G22" s="240">
        <v>1957907.38</v>
      </c>
      <c r="H22" s="241">
        <v>1532447.65</v>
      </c>
      <c r="I22" s="242">
        <v>1.2</v>
      </c>
      <c r="J22" s="241">
        <f t="shared" si="0"/>
        <v>1838937.18</v>
      </c>
      <c r="K22" s="262">
        <v>0.98</v>
      </c>
      <c r="L22" s="232">
        <f t="shared" si="1"/>
        <v>1802158.44</v>
      </c>
      <c r="M22" s="275">
        <f t="shared" si="2"/>
        <v>1802158.44</v>
      </c>
      <c r="S22" s="232"/>
      <c r="T22" s="232"/>
      <c r="U22" s="232"/>
      <c r="V22" s="232"/>
    </row>
    <row r="23" spans="1:22" ht="30" customHeight="1" x14ac:dyDescent="0.25">
      <c r="A23" s="213">
        <v>13</v>
      </c>
      <c r="B23" s="213" t="s">
        <v>175</v>
      </c>
      <c r="C23" s="245" t="s">
        <v>176</v>
      </c>
      <c r="D23" s="240">
        <v>3363402.63</v>
      </c>
      <c r="E23" s="240">
        <v>275799.02</v>
      </c>
      <c r="F23" s="240">
        <v>87340.84</v>
      </c>
      <c r="G23" s="240">
        <v>3726542.49</v>
      </c>
      <c r="H23" s="241">
        <v>2969380.13</v>
      </c>
      <c r="I23" s="242">
        <v>1.2</v>
      </c>
      <c r="J23" s="241">
        <f t="shared" si="0"/>
        <v>3563256.16</v>
      </c>
      <c r="K23" s="262">
        <v>0.98</v>
      </c>
      <c r="L23" s="232">
        <f t="shared" si="1"/>
        <v>3491991.04</v>
      </c>
      <c r="M23" s="275">
        <f t="shared" si="2"/>
        <v>3491991.04</v>
      </c>
      <c r="S23" s="232"/>
      <c r="T23" s="232"/>
      <c r="U23" s="232"/>
      <c r="V23" s="232"/>
    </row>
    <row r="24" spans="1:22" s="212" customFormat="1" ht="30" customHeight="1" x14ac:dyDescent="0.25">
      <c r="A24" s="213">
        <v>14</v>
      </c>
      <c r="B24" s="213" t="s">
        <v>177</v>
      </c>
      <c r="C24" s="245" t="s">
        <v>178</v>
      </c>
      <c r="D24" s="240">
        <v>4484122.8</v>
      </c>
      <c r="E24" s="240">
        <v>367698.07</v>
      </c>
      <c r="F24" s="240">
        <v>116443.7</v>
      </c>
      <c r="G24" s="240">
        <v>4968264.57</v>
      </c>
      <c r="H24" s="241">
        <f>5223633.37*0.83</f>
        <v>4335615.7</v>
      </c>
      <c r="I24" s="242">
        <v>1.2</v>
      </c>
      <c r="J24" s="241">
        <f t="shared" si="0"/>
        <v>5202738.84</v>
      </c>
      <c r="K24" s="262">
        <v>0.98</v>
      </c>
      <c r="L24" s="232">
        <f t="shared" si="1"/>
        <v>5098684.0599999996</v>
      </c>
      <c r="M24" s="275">
        <f t="shared" si="2"/>
        <v>5098684.0599999996</v>
      </c>
      <c r="N24" s="233"/>
      <c r="O24" s="233"/>
      <c r="P24" s="233"/>
      <c r="Q24" s="233"/>
      <c r="R24" s="233"/>
      <c r="S24" s="235"/>
      <c r="T24" s="232"/>
      <c r="U24" s="235"/>
      <c r="V24" s="235"/>
    </row>
    <row r="25" spans="1:22" ht="30" customHeight="1" x14ac:dyDescent="0.25">
      <c r="A25" s="254">
        <v>15</v>
      </c>
      <c r="B25" s="254" t="s">
        <v>180</v>
      </c>
      <c r="C25" s="255" t="s">
        <v>181</v>
      </c>
      <c r="D25" s="240">
        <v>13629091.9</v>
      </c>
      <c r="E25" s="240">
        <v>1117585.54</v>
      </c>
      <c r="F25" s="240">
        <v>353920.26</v>
      </c>
      <c r="G25" s="240">
        <v>15100597.699999999</v>
      </c>
      <c r="H25" s="256">
        <v>10337139.810000001</v>
      </c>
      <c r="I25" s="257">
        <v>1.2</v>
      </c>
      <c r="J25" s="256">
        <f t="shared" si="0"/>
        <v>12404567.77</v>
      </c>
      <c r="K25" s="262">
        <v>0.98</v>
      </c>
      <c r="L25" s="265">
        <f t="shared" si="1"/>
        <v>12156476.41</v>
      </c>
      <c r="M25" s="273">
        <f>13828433.71*0.83*0.98*1.2</f>
        <v>13497657.58</v>
      </c>
      <c r="N25" s="232">
        <f>M25-L25</f>
        <v>1341181.17</v>
      </c>
      <c r="S25" s="232"/>
      <c r="T25" s="232"/>
      <c r="U25" s="232"/>
      <c r="V25" s="232"/>
    </row>
    <row r="26" spans="1:22" ht="30" customHeight="1" x14ac:dyDescent="0.25">
      <c r="A26" s="254">
        <v>16</v>
      </c>
      <c r="B26" s="254" t="s">
        <v>182</v>
      </c>
      <c r="C26" s="258" t="s">
        <v>183</v>
      </c>
      <c r="D26" s="240">
        <v>49450959.759999998</v>
      </c>
      <c r="E26" s="240">
        <v>4054978.7</v>
      </c>
      <c r="F26" s="240">
        <v>1284142.52</v>
      </c>
      <c r="G26" s="240">
        <v>54790080.979999997</v>
      </c>
      <c r="H26" s="256">
        <v>41735188.780000001</v>
      </c>
      <c r="I26" s="257">
        <v>1.2</v>
      </c>
      <c r="J26" s="256">
        <f t="shared" si="0"/>
        <v>50082226.539999999</v>
      </c>
      <c r="K26" s="262">
        <v>0.98</v>
      </c>
      <c r="L26" s="265">
        <f t="shared" si="1"/>
        <v>49080582.009999998</v>
      </c>
      <c r="M26" s="273">
        <f>53809429.07*0.83*0.98*1.2</f>
        <v>52522307.530000001</v>
      </c>
      <c r="N26" s="232">
        <f>M26-L26</f>
        <v>3441725.52</v>
      </c>
      <c r="S26" s="232"/>
      <c r="T26" s="232"/>
      <c r="U26" s="232"/>
      <c r="V26" s="232"/>
    </row>
    <row r="27" spans="1:22" ht="30" customHeight="1" x14ac:dyDescent="0.25">
      <c r="A27" s="213">
        <v>17</v>
      </c>
      <c r="B27" s="246" t="s">
        <v>184</v>
      </c>
      <c r="C27" s="244" t="s">
        <v>185</v>
      </c>
      <c r="D27" s="240">
        <v>62852.24</v>
      </c>
      <c r="E27" s="213">
        <v>0</v>
      </c>
      <c r="F27" s="213">
        <v>0</v>
      </c>
      <c r="G27" s="240">
        <v>62852.24</v>
      </c>
      <c r="H27" s="241">
        <f>66082.85*0.83</f>
        <v>54848.77</v>
      </c>
      <c r="I27" s="242">
        <v>1.2</v>
      </c>
      <c r="J27" s="241">
        <f t="shared" si="0"/>
        <v>65818.52</v>
      </c>
      <c r="K27" s="262">
        <v>0.98</v>
      </c>
      <c r="L27" s="232">
        <f t="shared" si="1"/>
        <v>64502.15</v>
      </c>
      <c r="M27" s="232">
        <f>L27</f>
        <v>64502.15</v>
      </c>
      <c r="S27" s="232"/>
      <c r="T27" s="232"/>
      <c r="U27" s="232"/>
      <c r="V27" s="232"/>
    </row>
    <row r="28" spans="1:22" ht="30" customHeight="1" x14ac:dyDescent="0.25">
      <c r="A28" s="213">
        <v>18</v>
      </c>
      <c r="B28" s="246" t="s">
        <v>186</v>
      </c>
      <c r="C28" s="244" t="s">
        <v>187</v>
      </c>
      <c r="D28" s="240">
        <v>193794.44</v>
      </c>
      <c r="E28" s="213">
        <v>0</v>
      </c>
      <c r="F28" s="213">
        <v>0</v>
      </c>
      <c r="G28" s="240">
        <v>193794.44</v>
      </c>
      <c r="H28" s="241">
        <f>203755.47*0.83</f>
        <v>169117.04</v>
      </c>
      <c r="I28" s="242">
        <v>1.2</v>
      </c>
      <c r="J28" s="241">
        <f t="shared" si="0"/>
        <v>202940.45</v>
      </c>
      <c r="K28" s="262">
        <v>0.98</v>
      </c>
      <c r="L28" s="232">
        <f t="shared" si="1"/>
        <v>198881.64</v>
      </c>
      <c r="M28" s="232">
        <f t="shared" ref="M28:M40" si="3">L28</f>
        <v>198881.64</v>
      </c>
      <c r="S28" s="232"/>
      <c r="T28" s="232"/>
      <c r="U28" s="232"/>
      <c r="V28" s="232"/>
    </row>
    <row r="29" spans="1:22" ht="30" customHeight="1" x14ac:dyDescent="0.25">
      <c r="A29" s="213">
        <v>19</v>
      </c>
      <c r="B29" s="213" t="s">
        <v>188</v>
      </c>
      <c r="C29" s="239" t="s">
        <v>189</v>
      </c>
      <c r="D29" s="240">
        <v>149447.34</v>
      </c>
      <c r="E29" s="240">
        <v>12254.68</v>
      </c>
      <c r="F29" s="240">
        <v>3880.85</v>
      </c>
      <c r="G29" s="240">
        <v>165582.87</v>
      </c>
      <c r="H29" s="241">
        <f>115287.96</f>
        <v>115287.96</v>
      </c>
      <c r="I29" s="242">
        <v>1.2</v>
      </c>
      <c r="J29" s="243">
        <f>ROUND(H29*I29,2)</f>
        <v>138345.54999999999</v>
      </c>
      <c r="K29" s="262">
        <v>0.98</v>
      </c>
      <c r="L29" s="232">
        <f t="shared" si="1"/>
        <v>135578.64000000001</v>
      </c>
      <c r="M29" s="232">
        <f t="shared" si="3"/>
        <v>135578.64000000001</v>
      </c>
      <c r="N29" s="232"/>
      <c r="O29" s="232"/>
      <c r="Q29" s="232"/>
      <c r="S29" s="232"/>
      <c r="T29" s="232"/>
      <c r="U29" s="232"/>
      <c r="V29" s="232"/>
    </row>
    <row r="30" spans="1:22" ht="30" customHeight="1" x14ac:dyDescent="0.25">
      <c r="A30" s="213">
        <v>20</v>
      </c>
      <c r="B30" s="213" t="s">
        <v>190</v>
      </c>
      <c r="C30" s="244" t="s">
        <v>191</v>
      </c>
      <c r="D30" s="240">
        <v>19791.849999999999</v>
      </c>
      <c r="E30" s="240">
        <v>1622.93</v>
      </c>
      <c r="F30" s="240">
        <v>513.95000000000005</v>
      </c>
      <c r="G30" s="240">
        <v>21928.73</v>
      </c>
      <c r="H30" s="240">
        <v>19136.37</v>
      </c>
      <c r="I30" s="242">
        <v>1.2</v>
      </c>
      <c r="J30" s="243">
        <f t="shared" si="0"/>
        <v>22963.64</v>
      </c>
      <c r="K30" s="262">
        <v>0.98</v>
      </c>
      <c r="L30" s="232">
        <f t="shared" si="1"/>
        <v>22504.37</v>
      </c>
      <c r="M30" s="232">
        <f t="shared" si="3"/>
        <v>22504.37</v>
      </c>
      <c r="N30" s="232"/>
      <c r="O30" s="232"/>
      <c r="Q30" s="232"/>
      <c r="S30" s="232"/>
      <c r="T30" s="232"/>
      <c r="U30" s="232"/>
      <c r="V30" s="232"/>
    </row>
    <row r="31" spans="1:22" ht="30" customHeight="1" x14ac:dyDescent="0.25">
      <c r="A31" s="213">
        <v>21</v>
      </c>
      <c r="B31" s="213" t="s">
        <v>192</v>
      </c>
      <c r="C31" s="239" t="s">
        <v>193</v>
      </c>
      <c r="D31" s="240">
        <v>61414.47</v>
      </c>
      <c r="E31" s="240">
        <v>5035.99</v>
      </c>
      <c r="F31" s="240">
        <v>1594.81</v>
      </c>
      <c r="G31" s="240">
        <v>68045.27</v>
      </c>
      <c r="H31" s="240">
        <f>71542.8*0.83</f>
        <v>59380.52</v>
      </c>
      <c r="I31" s="242">
        <v>1.2</v>
      </c>
      <c r="J31" s="243">
        <f>ROUND(H31*I31,2)</f>
        <v>71256.62</v>
      </c>
      <c r="K31" s="262">
        <v>0.98</v>
      </c>
      <c r="L31" s="232">
        <f t="shared" si="1"/>
        <v>69831.490000000005</v>
      </c>
      <c r="M31" s="232">
        <f t="shared" si="3"/>
        <v>69831.490000000005</v>
      </c>
      <c r="N31" s="232"/>
      <c r="O31" s="232"/>
      <c r="Q31" s="232"/>
      <c r="S31" s="232"/>
      <c r="T31" s="232"/>
      <c r="U31" s="232"/>
      <c r="V31" s="232"/>
    </row>
    <row r="32" spans="1:22" ht="30" customHeight="1" x14ac:dyDescent="0.25">
      <c r="A32" s="213">
        <v>22</v>
      </c>
      <c r="B32" s="213" t="s">
        <v>194</v>
      </c>
      <c r="C32" s="239" t="s">
        <v>195</v>
      </c>
      <c r="D32" s="240">
        <v>506473.89</v>
      </c>
      <c r="E32" s="240">
        <v>41530.86</v>
      </c>
      <c r="F32" s="240">
        <v>13152.11</v>
      </c>
      <c r="G32" s="240">
        <v>561156.86</v>
      </c>
      <c r="H32" s="240">
        <v>463052.63</v>
      </c>
      <c r="I32" s="242">
        <v>1.2</v>
      </c>
      <c r="J32" s="243">
        <f t="shared" si="0"/>
        <v>555663.16</v>
      </c>
      <c r="K32" s="262">
        <v>0.98</v>
      </c>
      <c r="L32" s="232">
        <f t="shared" si="1"/>
        <v>544549.9</v>
      </c>
      <c r="M32" s="232">
        <f t="shared" si="3"/>
        <v>544549.9</v>
      </c>
      <c r="N32" s="232"/>
      <c r="O32" s="232"/>
      <c r="Q32" s="232"/>
      <c r="S32" s="232"/>
      <c r="T32" s="232"/>
      <c r="U32" s="232"/>
      <c r="V32" s="232"/>
    </row>
    <row r="33" spans="1:22" ht="30" customHeight="1" x14ac:dyDescent="0.25">
      <c r="A33" s="254">
        <v>23</v>
      </c>
      <c r="B33" s="254" t="s">
        <v>196</v>
      </c>
      <c r="C33" s="258" t="s">
        <v>197</v>
      </c>
      <c r="D33" s="271">
        <v>4080049.34</v>
      </c>
      <c r="E33" s="271">
        <v>334564.05</v>
      </c>
      <c r="F33" s="271">
        <v>105950.72</v>
      </c>
      <c r="G33" s="271">
        <v>4520564.1100000003</v>
      </c>
      <c r="H33" s="256">
        <v>3940876.12</v>
      </c>
      <c r="I33" s="257">
        <v>1.2</v>
      </c>
      <c r="J33" s="256">
        <f>ROUND(H33*I33,2)</f>
        <v>4729051.34</v>
      </c>
      <c r="K33" s="262">
        <v>0.98</v>
      </c>
      <c r="L33" s="232">
        <f t="shared" si="1"/>
        <v>4634470.3099999996</v>
      </c>
      <c r="M33" s="272">
        <f>6996331.59*0.83*0.98*1.2</f>
        <v>6828979.3399999999</v>
      </c>
      <c r="N33" s="232">
        <f>M33-L33</f>
        <v>2194509.0299999998</v>
      </c>
      <c r="O33" s="232">
        <f>M44</f>
        <v>0.04</v>
      </c>
      <c r="P33" s="231" t="s">
        <v>220</v>
      </c>
      <c r="Q33" s="232"/>
      <c r="S33" s="232"/>
      <c r="T33" s="232"/>
      <c r="U33" s="232"/>
      <c r="V33" s="232"/>
    </row>
    <row r="34" spans="1:22" ht="30" customHeight="1" x14ac:dyDescent="0.25">
      <c r="A34" s="213">
        <v>24</v>
      </c>
      <c r="B34" s="213" t="s">
        <v>198</v>
      </c>
      <c r="C34" s="244" t="s">
        <v>199</v>
      </c>
      <c r="D34" s="240">
        <v>41302.080000000002</v>
      </c>
      <c r="E34" s="240">
        <v>3386.77</v>
      </c>
      <c r="F34" s="240">
        <v>1072.53</v>
      </c>
      <c r="G34" s="240">
        <v>45761.38</v>
      </c>
      <c r="H34" s="241">
        <f>48113.51*0.83</f>
        <v>39934.21</v>
      </c>
      <c r="I34" s="242">
        <v>1.2</v>
      </c>
      <c r="J34" s="243">
        <f>ROUND(H34*I34,2)</f>
        <v>47921.05</v>
      </c>
      <c r="K34" s="262">
        <v>0.98</v>
      </c>
      <c r="L34" s="232">
        <f t="shared" si="1"/>
        <v>46962.63</v>
      </c>
      <c r="M34" s="232">
        <f>L34</f>
        <v>46962.63</v>
      </c>
      <c r="N34" s="232"/>
      <c r="O34" s="232"/>
      <c r="Q34" s="232"/>
      <c r="S34" s="232"/>
      <c r="T34" s="232"/>
      <c r="U34" s="232"/>
      <c r="V34" s="232"/>
    </row>
    <row r="35" spans="1:22" ht="30" customHeight="1" x14ac:dyDescent="0.25">
      <c r="A35" s="213">
        <v>25</v>
      </c>
      <c r="B35" s="213" t="s">
        <v>200</v>
      </c>
      <c r="C35" s="239" t="s">
        <v>201</v>
      </c>
      <c r="D35" s="240">
        <v>214268.6</v>
      </c>
      <c r="E35" s="240">
        <v>17570.03</v>
      </c>
      <c r="F35" s="240">
        <v>5564.13</v>
      </c>
      <c r="G35" s="240">
        <v>237402.76</v>
      </c>
      <c r="H35" s="240">
        <f>249605.26*0.83</f>
        <v>207172.37</v>
      </c>
      <c r="I35" s="242">
        <v>1.2</v>
      </c>
      <c r="J35" s="243">
        <f>ROUND(H35*I35,2)</f>
        <v>248606.84</v>
      </c>
      <c r="K35" s="262">
        <v>0.98</v>
      </c>
      <c r="L35" s="232">
        <f t="shared" si="1"/>
        <v>243634.7</v>
      </c>
      <c r="M35" s="232">
        <f t="shared" si="3"/>
        <v>243634.7</v>
      </c>
      <c r="N35" s="232"/>
      <c r="O35" s="232"/>
      <c r="Q35" s="232"/>
      <c r="S35" s="232"/>
      <c r="T35" s="232"/>
      <c r="U35" s="232"/>
      <c r="V35" s="232"/>
    </row>
    <row r="36" spans="1:22" ht="30" customHeight="1" x14ac:dyDescent="0.25">
      <c r="A36" s="213">
        <v>26</v>
      </c>
      <c r="B36" s="213" t="s">
        <v>202</v>
      </c>
      <c r="C36" s="239" t="s">
        <v>203</v>
      </c>
      <c r="D36" s="240">
        <v>1459742.56</v>
      </c>
      <c r="E36" s="240">
        <v>119698.89</v>
      </c>
      <c r="F36" s="240">
        <v>37906.589999999997</v>
      </c>
      <c r="G36" s="240">
        <v>1617348.04</v>
      </c>
      <c r="H36" s="240">
        <f>1700479.73*0.83</f>
        <v>1411398.18</v>
      </c>
      <c r="I36" s="242">
        <v>1.2</v>
      </c>
      <c r="J36" s="243">
        <f t="shared" si="0"/>
        <v>1693677.82</v>
      </c>
      <c r="K36" s="262">
        <v>0.98</v>
      </c>
      <c r="L36" s="232">
        <f t="shared" si="1"/>
        <v>1659804.26</v>
      </c>
      <c r="M36" s="232">
        <f t="shared" si="3"/>
        <v>1659804.26</v>
      </c>
      <c r="N36" s="232"/>
      <c r="O36" s="232"/>
      <c r="Q36" s="232"/>
      <c r="S36" s="232"/>
      <c r="T36" s="232"/>
      <c r="U36" s="232"/>
      <c r="V36" s="232"/>
    </row>
    <row r="37" spans="1:22" ht="30" customHeight="1" x14ac:dyDescent="0.25">
      <c r="A37" s="213">
        <v>27</v>
      </c>
      <c r="B37" s="213" t="s">
        <v>204</v>
      </c>
      <c r="C37" s="239" t="s">
        <v>205</v>
      </c>
      <c r="D37" s="240">
        <v>398178.78</v>
      </c>
      <c r="E37" s="240">
        <v>32650.66</v>
      </c>
      <c r="F37" s="240">
        <v>10339.91</v>
      </c>
      <c r="G37" s="240">
        <v>441169.35</v>
      </c>
      <c r="H37" s="241">
        <v>336346.89</v>
      </c>
      <c r="I37" s="242">
        <v>1.2</v>
      </c>
      <c r="J37" s="243">
        <f>ROUND(H37*I37,2)</f>
        <v>403616.27</v>
      </c>
      <c r="K37" s="262">
        <v>0.98</v>
      </c>
      <c r="L37" s="232">
        <f t="shared" si="1"/>
        <v>395543.94</v>
      </c>
      <c r="M37" s="232">
        <f t="shared" si="3"/>
        <v>395543.94</v>
      </c>
      <c r="N37" s="232"/>
      <c r="O37" s="232"/>
      <c r="Q37" s="232"/>
      <c r="S37" s="232"/>
      <c r="T37" s="232"/>
      <c r="U37" s="232"/>
      <c r="V37" s="232"/>
    </row>
    <row r="38" spans="1:22" ht="30" customHeight="1" x14ac:dyDescent="0.25">
      <c r="A38" s="213">
        <v>28</v>
      </c>
      <c r="B38" s="213" t="s">
        <v>206</v>
      </c>
      <c r="C38" s="244" t="s">
        <v>207</v>
      </c>
      <c r="D38" s="240">
        <v>563754.73</v>
      </c>
      <c r="E38" s="240">
        <v>46227.89</v>
      </c>
      <c r="F38" s="240">
        <v>14639.58</v>
      </c>
      <c r="G38" s="240">
        <v>624622.19999999995</v>
      </c>
      <c r="H38" s="241">
        <v>506829.25</v>
      </c>
      <c r="I38" s="242">
        <v>1.2</v>
      </c>
      <c r="J38" s="243">
        <f t="shared" si="0"/>
        <v>608195.1</v>
      </c>
      <c r="K38" s="262">
        <v>0.98</v>
      </c>
      <c r="L38" s="232">
        <f t="shared" si="1"/>
        <v>596031.19999999995</v>
      </c>
      <c r="M38" s="232">
        <f t="shared" si="3"/>
        <v>596031.19999999995</v>
      </c>
      <c r="N38" s="232"/>
      <c r="O38" s="232"/>
      <c r="Q38" s="232"/>
      <c r="S38" s="232"/>
      <c r="T38" s="232"/>
      <c r="U38" s="232"/>
      <c r="V38" s="232"/>
    </row>
    <row r="39" spans="1:22" ht="30" customHeight="1" thickBot="1" x14ac:dyDescent="0.3">
      <c r="A39" s="254">
        <v>29</v>
      </c>
      <c r="B39" s="266" t="s">
        <v>208</v>
      </c>
      <c r="C39" s="267" t="s">
        <v>209</v>
      </c>
      <c r="D39" s="268">
        <v>815232.37</v>
      </c>
      <c r="E39" s="268">
        <v>66849.05</v>
      </c>
      <c r="F39" s="268">
        <v>21169.95</v>
      </c>
      <c r="G39" s="268">
        <v>903251.37</v>
      </c>
      <c r="H39" s="269">
        <v>717142.77</v>
      </c>
      <c r="I39" s="270">
        <v>1.2</v>
      </c>
      <c r="J39" s="269">
        <f t="shared" si="0"/>
        <v>860571.32</v>
      </c>
      <c r="K39" s="262">
        <v>0.98</v>
      </c>
      <c r="L39" s="232">
        <f t="shared" si="1"/>
        <v>843359.89</v>
      </c>
      <c r="M39" s="272">
        <f>958591.44*0.83*0.98*1.2</f>
        <v>935661.93</v>
      </c>
      <c r="N39" s="232">
        <f>M39-L39</f>
        <v>92302.04</v>
      </c>
      <c r="O39" s="232"/>
      <c r="Q39" s="232"/>
      <c r="S39" s="232"/>
      <c r="T39" s="232"/>
      <c r="U39" s="232"/>
      <c r="V39" s="232"/>
    </row>
    <row r="40" spans="1:22" ht="23.25" customHeight="1" thickTop="1" thickBot="1" x14ac:dyDescent="0.3">
      <c r="A40" s="247">
        <v>30</v>
      </c>
      <c r="B40" s="247"/>
      <c r="C40" s="248" t="s">
        <v>217</v>
      </c>
      <c r="D40" s="249">
        <v>815232.37</v>
      </c>
      <c r="E40" s="249">
        <v>66849.05</v>
      </c>
      <c r="F40" s="249">
        <v>21169.95</v>
      </c>
      <c r="G40" s="249">
        <v>903251.37</v>
      </c>
      <c r="H40" s="250">
        <v>1648998.37</v>
      </c>
      <c r="I40" s="251">
        <v>1.2</v>
      </c>
      <c r="J40" s="252">
        <f t="shared" ref="J40" si="4">ROUND(H40*I40,2)</f>
        <v>1978798.04</v>
      </c>
      <c r="K40" s="263">
        <v>0.98</v>
      </c>
      <c r="L40" s="259">
        <f t="shared" si="1"/>
        <v>1939222.08</v>
      </c>
      <c r="M40" s="259">
        <f t="shared" si="3"/>
        <v>1939222.08</v>
      </c>
      <c r="N40" s="260"/>
      <c r="O40" s="232">
        <f>M40+M39+M38+M37+M36+M35+M34+M33+M32+M31+M30+M29+M28+M27+M24+M23+M22+M21+M20+M19+M18</f>
        <v>31434655.199999999</v>
      </c>
      <c r="T40" s="232"/>
    </row>
    <row r="41" spans="1:22" ht="24" customHeight="1" thickTop="1" x14ac:dyDescent="0.25">
      <c r="A41" s="225"/>
      <c r="B41" s="226" t="s">
        <v>31</v>
      </c>
      <c r="C41" s="225"/>
      <c r="D41" s="227">
        <f>SUM(D11:D39)</f>
        <v>136914371.96000001</v>
      </c>
      <c r="E41" s="227">
        <f>SUM(E11:E39)</f>
        <v>11205933.49</v>
      </c>
      <c r="F41" s="227">
        <f>SUM(F11:F39)</f>
        <v>3548727.79</v>
      </c>
      <c r="G41" s="227">
        <f>SUM(G11:G39)</f>
        <v>151669033.24000001</v>
      </c>
      <c r="H41" s="227">
        <f>SUM(H11:H40)-0.03</f>
        <v>112745274.64</v>
      </c>
      <c r="I41" s="227"/>
      <c r="J41" s="227">
        <f>SUM(J11:J40)</f>
        <v>135294329.61000001</v>
      </c>
      <c r="K41" s="264"/>
      <c r="L41" s="227">
        <f>SUM(L11:L40)</f>
        <v>132588443.01000001</v>
      </c>
      <c r="M41" s="227">
        <f>SUM(M11:M40)</f>
        <v>139658160.77000001</v>
      </c>
      <c r="N41" s="227">
        <f>SUM(N11:N40)</f>
        <v>7069717.7599999998</v>
      </c>
      <c r="O41" s="232">
        <f>N42-N41</f>
        <v>-0.04</v>
      </c>
      <c r="S41" s="232"/>
    </row>
    <row r="42" spans="1:22" ht="24" customHeight="1" x14ac:dyDescent="0.25">
      <c r="H42" s="207"/>
      <c r="J42" s="227"/>
      <c r="K42" s="264"/>
      <c r="M42" s="227">
        <v>139658160.72999999</v>
      </c>
      <c r="N42" s="232">
        <f>M42-L41</f>
        <v>7069717.7199999997</v>
      </c>
      <c r="S42" s="232"/>
    </row>
    <row r="43" spans="1:22" x14ac:dyDescent="0.25">
      <c r="F43" s="228"/>
      <c r="G43" s="228"/>
      <c r="H43" s="229"/>
      <c r="J43" s="207"/>
      <c r="K43" s="264"/>
    </row>
    <row r="44" spans="1:22" x14ac:dyDescent="0.25">
      <c r="F44" s="228"/>
      <c r="J44" s="207"/>
      <c r="M44" s="232">
        <f>M41-M42</f>
        <v>0.04</v>
      </c>
    </row>
    <row r="47" spans="1:22" x14ac:dyDescent="0.25">
      <c r="J47" s="229"/>
    </row>
  </sheetData>
  <autoFilter ref="A10:J41" xr:uid="{613BD5EB-3F49-406F-8A45-C82A22550CEA}"/>
  <mergeCells count="7">
    <mergeCell ref="A8:J8"/>
    <mergeCell ref="B2:J2"/>
    <mergeCell ref="B3:J3"/>
    <mergeCell ref="B4:J4"/>
    <mergeCell ref="B5:J5"/>
    <mergeCell ref="B6:J6"/>
    <mergeCell ref="B7:J7"/>
  </mergeCells>
  <phoneticPr fontId="40" type="noConversion"/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A87E-A73D-4BF6-B900-C0B3CA6A2C19}">
  <sheetPr>
    <tabColor rgb="FF00B0F0"/>
  </sheetPr>
  <dimension ref="A1:V47"/>
  <sheetViews>
    <sheetView view="pageBreakPreview" topLeftCell="A35" zoomScaleNormal="100" zoomScaleSheetLayoutView="100" workbookViewId="0">
      <selection activeCell="I44" sqref="I44"/>
    </sheetView>
  </sheetViews>
  <sheetFormatPr defaultColWidth="9.140625" defaultRowHeight="15" x14ac:dyDescent="0.25"/>
  <cols>
    <col min="1" max="1" width="17" style="198" customWidth="1"/>
    <col min="2" max="2" width="20.85546875" style="198" customWidth="1"/>
    <col min="3" max="3" width="63.28515625" style="198" customWidth="1"/>
    <col min="4" max="4" width="15.7109375" style="198" customWidth="1"/>
    <col min="5" max="5" width="18.28515625" style="198" customWidth="1"/>
    <col min="6" max="6" width="15.85546875" style="198" customWidth="1"/>
    <col min="7" max="7" width="15.7109375" style="198" customWidth="1"/>
    <col min="8" max="8" width="20.5703125" style="198" customWidth="1"/>
    <col min="9" max="9" width="12.85546875" style="198" customWidth="1"/>
    <col min="10" max="10" width="26.5703125" style="198" bestFit="1" customWidth="1"/>
    <col min="11" max="11" width="18.28515625" style="231" customWidth="1"/>
    <col min="12" max="12" width="12.42578125" style="231" hidden="1" customWidth="1"/>
    <col min="13" max="13" width="9.140625" style="231" hidden="1" customWidth="1"/>
    <col min="14" max="14" width="12.7109375" style="231" hidden="1" customWidth="1"/>
    <col min="15" max="18" width="0" style="231" hidden="1" customWidth="1"/>
    <col min="19" max="19" width="13.5703125" style="231" bestFit="1" customWidth="1"/>
    <col min="20" max="20" width="13.7109375" style="231" customWidth="1"/>
    <col min="21" max="21" width="12.42578125" style="231" bestFit="1" customWidth="1"/>
    <col min="22" max="22" width="15.140625" style="231" customWidth="1"/>
    <col min="23" max="16384" width="9.140625" style="198"/>
  </cols>
  <sheetData>
    <row r="1" spans="1:22" s="1" customForma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s="1" customFormat="1" ht="28.5" customHeight="1" x14ac:dyDescent="0.25">
      <c r="A2" s="3" t="s">
        <v>131</v>
      </c>
      <c r="B2" s="314" t="s">
        <v>17</v>
      </c>
      <c r="C2" s="314"/>
      <c r="D2" s="314"/>
      <c r="E2" s="314"/>
      <c r="F2" s="314"/>
      <c r="G2" s="314"/>
      <c r="H2" s="314"/>
      <c r="I2" s="314"/>
      <c r="J2" s="314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s="1" customFormat="1" x14ac:dyDescent="0.25">
      <c r="A3" s="2"/>
      <c r="B3" s="318" t="s">
        <v>18</v>
      </c>
      <c r="C3" s="318"/>
      <c r="D3" s="318"/>
      <c r="E3" s="318"/>
      <c r="F3" s="318"/>
      <c r="G3" s="318"/>
      <c r="H3" s="318"/>
      <c r="I3" s="318"/>
      <c r="J3" s="318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</row>
    <row r="4" spans="1:22" s="1" customFormat="1" ht="15" customHeight="1" x14ac:dyDescent="0.25">
      <c r="A4" s="3" t="s">
        <v>144</v>
      </c>
      <c r="B4" s="316" t="s">
        <v>133</v>
      </c>
      <c r="C4" s="316"/>
      <c r="D4" s="316"/>
      <c r="E4" s="316"/>
      <c r="F4" s="316"/>
      <c r="G4" s="316"/>
      <c r="H4" s="316"/>
      <c r="I4" s="316"/>
      <c r="J4" s="316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</row>
    <row r="5" spans="1:22" s="1" customFormat="1" x14ac:dyDescent="0.25">
      <c r="A5" s="4"/>
      <c r="B5" s="318" t="s">
        <v>18</v>
      </c>
      <c r="C5" s="318"/>
      <c r="D5" s="318"/>
      <c r="E5" s="318"/>
      <c r="F5" s="318"/>
      <c r="G5" s="318"/>
      <c r="H5" s="318"/>
      <c r="I5" s="318"/>
      <c r="J5" s="318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</row>
    <row r="6" spans="1:22" s="1" customFormat="1" x14ac:dyDescent="0.25">
      <c r="A6" s="3" t="s">
        <v>19</v>
      </c>
      <c r="B6" s="316" t="s">
        <v>20</v>
      </c>
      <c r="C6" s="316"/>
      <c r="D6" s="316"/>
      <c r="E6" s="316"/>
      <c r="F6" s="316"/>
      <c r="G6" s="316"/>
      <c r="H6" s="316"/>
      <c r="I6" s="316"/>
      <c r="J6" s="316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7" spans="1:22" s="1" customFormat="1" x14ac:dyDescent="0.25">
      <c r="A7" s="4"/>
      <c r="B7" s="318" t="s">
        <v>21</v>
      </c>
      <c r="C7" s="318"/>
      <c r="D7" s="318"/>
      <c r="E7" s="318"/>
      <c r="F7" s="318"/>
      <c r="G7" s="318"/>
      <c r="H7" s="318"/>
      <c r="I7" s="318"/>
      <c r="J7" s="318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</row>
    <row r="8" spans="1:22" s="1" customFormat="1" x14ac:dyDescent="0.25">
      <c r="A8" s="313" t="s">
        <v>215</v>
      </c>
      <c r="B8" s="313"/>
      <c r="C8" s="313"/>
      <c r="D8" s="313"/>
      <c r="E8" s="313"/>
      <c r="F8" s="313"/>
      <c r="G8" s="313"/>
      <c r="H8" s="313"/>
      <c r="I8" s="313"/>
      <c r="J8" s="313"/>
      <c r="K8" s="234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</row>
    <row r="9" spans="1:22" x14ac:dyDescent="0.25">
      <c r="A9" s="5"/>
      <c r="B9" s="5"/>
      <c r="C9" s="5"/>
      <c r="D9" s="5"/>
      <c r="E9" s="5"/>
      <c r="F9" s="5"/>
      <c r="G9" s="5"/>
      <c r="H9" s="5"/>
      <c r="I9" s="4"/>
      <c r="J9" s="5"/>
    </row>
    <row r="10" spans="1:22" ht="45" x14ac:dyDescent="0.25">
      <c r="A10" s="199" t="s">
        <v>22</v>
      </c>
      <c r="B10" s="199" t="s">
        <v>23</v>
      </c>
      <c r="C10" s="199" t="s">
        <v>24</v>
      </c>
      <c r="D10" s="199" t="s">
        <v>25</v>
      </c>
      <c r="E10" s="199" t="s">
        <v>26</v>
      </c>
      <c r="F10" s="199" t="s">
        <v>27</v>
      </c>
      <c r="G10" s="199" t="s">
        <v>28</v>
      </c>
      <c r="H10" s="200" t="s">
        <v>145</v>
      </c>
      <c r="I10" s="199" t="s">
        <v>29</v>
      </c>
      <c r="J10" s="200" t="s">
        <v>30</v>
      </c>
      <c r="K10" s="231" t="s">
        <v>151</v>
      </c>
      <c r="U10" s="231" t="s">
        <v>214</v>
      </c>
    </row>
    <row r="11" spans="1:22" ht="30" customHeight="1" x14ac:dyDescent="0.25">
      <c r="A11" s="201">
        <v>1</v>
      </c>
      <c r="B11" s="202" t="s">
        <v>152</v>
      </c>
      <c r="C11" s="203" t="s">
        <v>153</v>
      </c>
      <c r="D11" s="204">
        <v>27216587.620000001</v>
      </c>
      <c r="E11" s="204">
        <v>2231760.1800000002</v>
      </c>
      <c r="F11" s="204">
        <v>706760.35</v>
      </c>
      <c r="G11" s="204">
        <v>30155108.149999999</v>
      </c>
      <c r="H11" s="205">
        <f>31705080.71*0.83</f>
        <v>26315216.989999998</v>
      </c>
      <c r="I11" s="206">
        <v>1.2</v>
      </c>
      <c r="J11" s="205">
        <f>ROUND(H11*I11,2)</f>
        <v>31578260.390000001</v>
      </c>
      <c r="K11" s="233" t="s">
        <v>154</v>
      </c>
      <c r="L11" s="231">
        <f>G11*1.0514</f>
        <v>31705080.70891</v>
      </c>
      <c r="M11" s="232">
        <f>H11-L11</f>
        <v>-5389863.7199999997</v>
      </c>
      <c r="S11" s="232">
        <f>'[2]+02-01-01 ПЖ -изм.1_согл. - Акт'!$O$764</f>
        <v>26315216.989999998</v>
      </c>
      <c r="T11" s="232">
        <f>H11-S11</f>
        <v>0</v>
      </c>
      <c r="U11" s="232">
        <f>'[3]02-01-01 ПЖ -изм.1'!$N$840</f>
        <v>32263516.940000001</v>
      </c>
      <c r="V11" s="235">
        <f>J11-U11</f>
        <v>-685256.55</v>
      </c>
    </row>
    <row r="12" spans="1:22" ht="30" customHeight="1" x14ac:dyDescent="0.25">
      <c r="A12" s="199">
        <v>2</v>
      </c>
      <c r="B12" s="199" t="s">
        <v>155</v>
      </c>
      <c r="C12" s="208" t="s">
        <v>156</v>
      </c>
      <c r="D12" s="209">
        <v>2580741.9900000002</v>
      </c>
      <c r="E12" s="209">
        <v>211620.84</v>
      </c>
      <c r="F12" s="209">
        <v>67016.710000000006</v>
      </c>
      <c r="G12" s="209">
        <v>2859379.54</v>
      </c>
      <c r="H12" s="210">
        <f>3006351.65*0.83</f>
        <v>2495271.87</v>
      </c>
      <c r="I12" s="211">
        <v>1.2</v>
      </c>
      <c r="J12" s="210">
        <f t="shared" ref="J12:J39" si="0">ROUND(H12*I12,2)</f>
        <v>2994326.24</v>
      </c>
      <c r="K12" s="231">
        <v>20</v>
      </c>
      <c r="L12" s="231">
        <f t="shared" ref="L12:L38" si="1">G12*1.0514</f>
        <v>3006351.648356</v>
      </c>
      <c r="M12" s="232">
        <f t="shared" ref="M12:M38" si="2">H12-L12</f>
        <v>-511079.78</v>
      </c>
      <c r="S12" s="232">
        <f>'[4]02-03-01 АС1 изм.1 согл. - Акт '!$O$1062</f>
        <v>2495271.87</v>
      </c>
      <c r="T12" s="232">
        <f t="shared" ref="T12:T40" si="3">H12-S12</f>
        <v>0</v>
      </c>
      <c r="U12" s="232">
        <f>'[3]02-03-01 АС1 изм.1 '!$N$1166</f>
        <v>2994326.24</v>
      </c>
      <c r="V12" s="232">
        <f t="shared" ref="V12:V39" si="4">J12-U12</f>
        <v>0</v>
      </c>
    </row>
    <row r="13" spans="1:22" ht="30" customHeight="1" x14ac:dyDescent="0.25">
      <c r="A13" s="199">
        <v>3</v>
      </c>
      <c r="B13" s="199" t="s">
        <v>157</v>
      </c>
      <c r="C13" s="208" t="s">
        <v>158</v>
      </c>
      <c r="D13" s="209">
        <v>286922.48</v>
      </c>
      <c r="E13" s="209">
        <v>23527.64</v>
      </c>
      <c r="F13" s="209">
        <v>7450.8</v>
      </c>
      <c r="G13" s="209">
        <v>317900.92</v>
      </c>
      <c r="H13" s="210">
        <f>334241.03*0.83</f>
        <v>277420.05</v>
      </c>
      <c r="I13" s="211">
        <v>1.2</v>
      </c>
      <c r="J13" s="210">
        <f t="shared" si="0"/>
        <v>332904.06</v>
      </c>
      <c r="K13" s="231">
        <v>21</v>
      </c>
      <c r="L13" s="231">
        <f t="shared" si="1"/>
        <v>334241.02728799998</v>
      </c>
      <c r="M13" s="232">
        <f t="shared" si="2"/>
        <v>-56820.98</v>
      </c>
      <c r="S13" s="232">
        <f>'[5]02-03-02 АС2 изм.1_согл. - Акт '!$O$303</f>
        <v>277420.05</v>
      </c>
      <c r="T13" s="232">
        <f t="shared" si="3"/>
        <v>0</v>
      </c>
      <c r="U13" s="232">
        <f>'[3]02-03-02 АС2 изм.1'!$N$345</f>
        <v>332904.06</v>
      </c>
      <c r="V13" s="232">
        <f t="shared" si="4"/>
        <v>0</v>
      </c>
    </row>
    <row r="14" spans="1:22" ht="30" customHeight="1" x14ac:dyDescent="0.25">
      <c r="A14" s="199">
        <v>4</v>
      </c>
      <c r="B14" s="199" t="s">
        <v>159</v>
      </c>
      <c r="C14" s="208" t="s">
        <v>160</v>
      </c>
      <c r="D14" s="209">
        <v>247380.85</v>
      </c>
      <c r="E14" s="209">
        <v>20285.23</v>
      </c>
      <c r="F14" s="209">
        <v>6423.99</v>
      </c>
      <c r="G14" s="209">
        <v>274090.07</v>
      </c>
      <c r="H14" s="210">
        <f>288178.3*0.83</f>
        <v>239187.99</v>
      </c>
      <c r="I14" s="211">
        <v>1.2</v>
      </c>
      <c r="J14" s="210">
        <f t="shared" si="0"/>
        <v>287025.59000000003</v>
      </c>
      <c r="K14" s="231">
        <v>22</v>
      </c>
      <c r="L14" s="231">
        <f t="shared" si="1"/>
        <v>288178.29959800001</v>
      </c>
      <c r="M14" s="232">
        <f t="shared" si="2"/>
        <v>-48990.31</v>
      </c>
      <c r="S14" s="232">
        <f>'[6]04-01-01 ЭС1 изм.1_согл. - Акт '!$O$240</f>
        <v>239187.99</v>
      </c>
      <c r="T14" s="232">
        <f t="shared" si="3"/>
        <v>0</v>
      </c>
      <c r="U14" s="232">
        <f>'[3]04-01-01 ЭС1 изм.1'!$N$274</f>
        <v>287025.59000000003</v>
      </c>
      <c r="V14" s="232">
        <f t="shared" si="4"/>
        <v>0</v>
      </c>
    </row>
    <row r="15" spans="1:22" ht="30" customHeight="1" x14ac:dyDescent="0.25">
      <c r="A15" s="199">
        <v>5</v>
      </c>
      <c r="B15" s="199" t="s">
        <v>161</v>
      </c>
      <c r="C15" s="208" t="s">
        <v>162</v>
      </c>
      <c r="D15" s="209">
        <v>3236877.75</v>
      </c>
      <c r="E15" s="209">
        <v>265423.98</v>
      </c>
      <c r="F15" s="209">
        <v>84055.24</v>
      </c>
      <c r="G15" s="209">
        <v>3586356.97</v>
      </c>
      <c r="H15" s="210">
        <f>3770695.72*0.83</f>
        <v>3129677.45</v>
      </c>
      <c r="I15" s="211">
        <v>1.2</v>
      </c>
      <c r="J15" s="210">
        <f t="shared" si="0"/>
        <v>3755612.94</v>
      </c>
      <c r="K15" s="231">
        <v>23</v>
      </c>
      <c r="L15" s="231">
        <f t="shared" si="1"/>
        <v>3770695.718258</v>
      </c>
      <c r="M15" s="232">
        <f t="shared" si="2"/>
        <v>-641018.27</v>
      </c>
      <c r="S15" s="232">
        <f>'[7]04-01-02 ЭС2 изм.1_согл. - Акт '!$O$1494</f>
        <v>3129677.45</v>
      </c>
      <c r="T15" s="232">
        <f t="shared" si="3"/>
        <v>0</v>
      </c>
      <c r="U15" s="232">
        <f>'[3]04-01-02 ЭС2 изм.1'!$N$1661</f>
        <v>3755612.94</v>
      </c>
      <c r="V15" s="232">
        <f t="shared" si="4"/>
        <v>0</v>
      </c>
    </row>
    <row r="16" spans="1:22" ht="30" customHeight="1" x14ac:dyDescent="0.25">
      <c r="A16" s="199">
        <v>6</v>
      </c>
      <c r="B16" s="199" t="s">
        <v>163</v>
      </c>
      <c r="C16" s="208" t="s">
        <v>164</v>
      </c>
      <c r="D16" s="209">
        <v>1091766.23</v>
      </c>
      <c r="E16" s="209">
        <v>89524.83</v>
      </c>
      <c r="F16" s="209">
        <v>28350.99</v>
      </c>
      <c r="G16" s="209">
        <v>1209642.05</v>
      </c>
      <c r="H16" s="210">
        <f>1271817.65*0.83</f>
        <v>1055608.6499999999</v>
      </c>
      <c r="I16" s="211">
        <v>1.2</v>
      </c>
      <c r="J16" s="210">
        <f t="shared" si="0"/>
        <v>1266730.3799999999</v>
      </c>
      <c r="K16" s="231">
        <v>24</v>
      </c>
      <c r="L16" s="231">
        <f t="shared" si="1"/>
        <v>1271817.6513700001</v>
      </c>
      <c r="M16" s="232">
        <f t="shared" si="2"/>
        <v>-216209</v>
      </c>
      <c r="S16" s="232">
        <f>'[8]06-01-01 НВК2 изм.1_согл. - Акт'!$O$428</f>
        <v>1055608.6499999999</v>
      </c>
      <c r="T16" s="232">
        <f t="shared" si="3"/>
        <v>0</v>
      </c>
      <c r="U16" s="232">
        <f>'[3]06-01-01 НВК2 изм.1'!$N$472</f>
        <v>1266730.3799999999</v>
      </c>
      <c r="V16" s="232">
        <f t="shared" si="4"/>
        <v>0</v>
      </c>
    </row>
    <row r="17" spans="1:22" s="212" customFormat="1" ht="30" customHeight="1" x14ac:dyDescent="0.25">
      <c r="A17" s="202">
        <v>7</v>
      </c>
      <c r="B17" s="202" t="s">
        <v>165</v>
      </c>
      <c r="C17" s="203" t="s">
        <v>166</v>
      </c>
      <c r="D17" s="204">
        <v>14058995.09</v>
      </c>
      <c r="E17" s="204">
        <v>1152837.6000000001</v>
      </c>
      <c r="F17" s="204">
        <v>365083.98</v>
      </c>
      <c r="G17" s="204">
        <v>15576916.67</v>
      </c>
      <c r="H17" s="205">
        <f>16377570.19*0.83</f>
        <v>13593383.26</v>
      </c>
      <c r="I17" s="206">
        <v>1.2</v>
      </c>
      <c r="J17" s="205">
        <f t="shared" si="0"/>
        <v>16312059.91</v>
      </c>
      <c r="K17" s="231">
        <v>25</v>
      </c>
      <c r="L17" s="233">
        <f t="shared" si="1"/>
        <v>16377570.186837999</v>
      </c>
      <c r="M17" s="235">
        <f t="shared" si="2"/>
        <v>-2784186.93</v>
      </c>
      <c r="N17" s="233"/>
      <c r="O17" s="233"/>
      <c r="P17" s="233"/>
      <c r="Q17" s="233"/>
      <c r="R17" s="233"/>
      <c r="S17" s="236">
        <f>'[9]+06-01-02_НВК3 изм.1_согл. - Ак'!$O$5116</f>
        <v>13593383.26</v>
      </c>
      <c r="T17" s="232">
        <f t="shared" si="3"/>
        <v>0</v>
      </c>
      <c r="U17" s="236">
        <f>'[3]+06-01-02_НВК3 изм.1_корр'!$N$5570</f>
        <v>16312059.91</v>
      </c>
      <c r="V17" s="232">
        <f t="shared" si="4"/>
        <v>0</v>
      </c>
    </row>
    <row r="18" spans="1:22" ht="30" customHeight="1" x14ac:dyDescent="0.25">
      <c r="A18" s="199">
        <v>8</v>
      </c>
      <c r="B18" s="199" t="s">
        <v>167</v>
      </c>
      <c r="C18" s="208" t="s">
        <v>118</v>
      </c>
      <c r="D18" s="209">
        <v>1570798.31</v>
      </c>
      <c r="E18" s="209">
        <v>128805.46</v>
      </c>
      <c r="F18" s="209">
        <v>40790.49</v>
      </c>
      <c r="G18" s="209">
        <v>1740394.26</v>
      </c>
      <c r="H18" s="210">
        <f>1829850.52*0.83</f>
        <v>1518775.93</v>
      </c>
      <c r="I18" s="211">
        <v>1.2</v>
      </c>
      <c r="J18" s="210">
        <f t="shared" si="0"/>
        <v>1822531.12</v>
      </c>
      <c r="K18" s="231">
        <v>26</v>
      </c>
      <c r="L18" s="231">
        <f t="shared" si="1"/>
        <v>1829850.5249640001</v>
      </c>
      <c r="M18" s="232">
        <f t="shared" si="2"/>
        <v>-311074.59000000003</v>
      </c>
      <c r="S18" s="232">
        <f>'[10]06-02-02 НВК4 изм.1_согл. - Акт'!$O$984</f>
        <v>1518775.93</v>
      </c>
      <c r="T18" s="232">
        <f t="shared" si="3"/>
        <v>0</v>
      </c>
      <c r="U18" s="232">
        <f>'[3]06-02-01 НВК4 изм.1'!$N$1080</f>
        <v>1822531.12</v>
      </c>
      <c r="V18" s="232">
        <f t="shared" si="4"/>
        <v>0</v>
      </c>
    </row>
    <row r="19" spans="1:22" ht="30" customHeight="1" x14ac:dyDescent="0.25">
      <c r="A19" s="199">
        <v>9</v>
      </c>
      <c r="B19" s="199" t="s">
        <v>168</v>
      </c>
      <c r="C19" s="208" t="s">
        <v>169</v>
      </c>
      <c r="D19" s="209">
        <v>2149017.2799999998</v>
      </c>
      <c r="E19" s="209">
        <v>176219.42</v>
      </c>
      <c r="F19" s="209">
        <v>55805.68</v>
      </c>
      <c r="G19" s="209">
        <v>2381042.38</v>
      </c>
      <c r="H19" s="210">
        <f>2503427.96*0.83</f>
        <v>2077845.21</v>
      </c>
      <c r="I19" s="211">
        <v>1.2</v>
      </c>
      <c r="J19" s="210">
        <f t="shared" si="0"/>
        <v>2493414.25</v>
      </c>
      <c r="K19" s="231">
        <v>27</v>
      </c>
      <c r="L19" s="231">
        <f t="shared" si="1"/>
        <v>2503427.9583319998</v>
      </c>
      <c r="M19" s="232">
        <f t="shared" si="2"/>
        <v>-425582.75</v>
      </c>
      <c r="S19" s="232">
        <f>'[11]06-02-02 НВК5 изм.1_согл. - Акт'!$O$1248</f>
        <v>2077845.21</v>
      </c>
      <c r="T19" s="232">
        <f t="shared" si="3"/>
        <v>0</v>
      </c>
      <c r="U19" s="232">
        <f>'[3]06-02-02 НВК5 изм.1'!$N$1341</f>
        <v>2493414.25</v>
      </c>
      <c r="V19" s="232">
        <f t="shared" si="4"/>
        <v>0</v>
      </c>
    </row>
    <row r="20" spans="1:22" ht="30" customHeight="1" x14ac:dyDescent="0.25">
      <c r="A20" s="199">
        <v>10</v>
      </c>
      <c r="B20" s="199" t="s">
        <v>170</v>
      </c>
      <c r="C20" s="208" t="s">
        <v>171</v>
      </c>
      <c r="D20" s="209">
        <v>760525.99</v>
      </c>
      <c r="E20" s="209">
        <v>62363.13</v>
      </c>
      <c r="F20" s="209">
        <v>19749.34</v>
      </c>
      <c r="G20" s="209">
        <v>842638.46</v>
      </c>
      <c r="H20" s="210">
        <f>885950.08*0.83</f>
        <v>735338.57</v>
      </c>
      <c r="I20" s="211">
        <v>1.2</v>
      </c>
      <c r="J20" s="210">
        <f t="shared" si="0"/>
        <v>882406.28</v>
      </c>
      <c r="K20" s="231">
        <v>28</v>
      </c>
      <c r="L20" s="231">
        <f t="shared" si="1"/>
        <v>885950.07684400002</v>
      </c>
      <c r="M20" s="232">
        <f t="shared" si="2"/>
        <v>-150611.51</v>
      </c>
      <c r="S20" s="232">
        <f>'[12]06-03-01 ТС1 изм.1_согл. - Акт '!$O$357</f>
        <v>735338.57</v>
      </c>
      <c r="T20" s="232">
        <f t="shared" si="3"/>
        <v>0</v>
      </c>
      <c r="U20" s="232">
        <f>'[3]06-03-01 ТС1 изм.1'!$N$397</f>
        <v>882406.28</v>
      </c>
      <c r="V20" s="232">
        <f t="shared" si="4"/>
        <v>0</v>
      </c>
    </row>
    <row r="21" spans="1:22" ht="30" customHeight="1" x14ac:dyDescent="0.25">
      <c r="A21" s="199">
        <v>11</v>
      </c>
      <c r="B21" s="199" t="s">
        <v>172</v>
      </c>
      <c r="C21" s="208" t="s">
        <v>129</v>
      </c>
      <c r="D21" s="209">
        <v>2453763.13</v>
      </c>
      <c r="E21" s="209">
        <v>201208.58</v>
      </c>
      <c r="F21" s="209">
        <v>63719.32</v>
      </c>
      <c r="G21" s="209">
        <v>2718691.03</v>
      </c>
      <c r="H21" s="210">
        <f>2858431.75*0.83</f>
        <v>2372498.35</v>
      </c>
      <c r="I21" s="211">
        <v>1.2</v>
      </c>
      <c r="J21" s="210">
        <f t="shared" si="0"/>
        <v>2846998.02</v>
      </c>
      <c r="K21" s="231">
        <v>29</v>
      </c>
      <c r="L21" s="231">
        <f t="shared" si="1"/>
        <v>2858431.7489419999</v>
      </c>
      <c r="M21" s="232">
        <f t="shared" si="2"/>
        <v>-485933.4</v>
      </c>
      <c r="S21" s="232">
        <f>'[13]06-03-02 АС4 изм.1 _согл. - Акт'!$O$245</f>
        <v>2372498.35</v>
      </c>
      <c r="T21" s="232">
        <f t="shared" si="3"/>
        <v>0</v>
      </c>
      <c r="U21" s="232">
        <f>'[3]06-03-02 АС4 изм.1'!$N$277</f>
        <v>2846998.02</v>
      </c>
      <c r="V21" s="232">
        <f t="shared" si="4"/>
        <v>0</v>
      </c>
    </row>
    <row r="22" spans="1:22" ht="30" customHeight="1" x14ac:dyDescent="0.25">
      <c r="A22" s="199">
        <v>12</v>
      </c>
      <c r="B22" s="199" t="s">
        <v>173</v>
      </c>
      <c r="C22" s="208" t="s">
        <v>174</v>
      </c>
      <c r="D22" s="209">
        <v>1767115.46</v>
      </c>
      <c r="E22" s="209">
        <v>144903.47</v>
      </c>
      <c r="F22" s="209">
        <v>45888.45</v>
      </c>
      <c r="G22" s="209">
        <v>1957907.38</v>
      </c>
      <c r="H22" s="210">
        <f>2058543.82*0.83</f>
        <v>1708591.37</v>
      </c>
      <c r="I22" s="211">
        <v>1.2</v>
      </c>
      <c r="J22" s="210">
        <f t="shared" si="0"/>
        <v>2050309.64</v>
      </c>
      <c r="K22" s="231">
        <v>30</v>
      </c>
      <c r="L22" s="231">
        <f t="shared" si="1"/>
        <v>2058543.8193320001</v>
      </c>
      <c r="M22" s="232">
        <f t="shared" si="2"/>
        <v>-349952.45</v>
      </c>
      <c r="S22" s="232">
        <f>'[14]06-03-04 ТС2 изм.1_согл. - Акт '!$O$1267</f>
        <v>1708591.37</v>
      </c>
      <c r="T22" s="232">
        <f t="shared" si="3"/>
        <v>0</v>
      </c>
      <c r="U22" s="232">
        <f>'[3]06-03-03 ТС2 изм.1'!$N$1370</f>
        <v>2050309.64</v>
      </c>
      <c r="V22" s="232">
        <f t="shared" si="4"/>
        <v>0</v>
      </c>
    </row>
    <row r="23" spans="1:22" ht="30" customHeight="1" x14ac:dyDescent="0.25">
      <c r="A23" s="199">
        <v>13</v>
      </c>
      <c r="B23" s="199" t="s">
        <v>175</v>
      </c>
      <c r="C23" s="208" t="s">
        <v>176</v>
      </c>
      <c r="D23" s="209">
        <v>3363402.63</v>
      </c>
      <c r="E23" s="209">
        <v>275799.02</v>
      </c>
      <c r="F23" s="209">
        <v>87340.84</v>
      </c>
      <c r="G23" s="209">
        <v>3726542.49</v>
      </c>
      <c r="H23" s="210">
        <f>3918086.77*0.83</f>
        <v>3252012.02</v>
      </c>
      <c r="I23" s="211">
        <v>1.2</v>
      </c>
      <c r="J23" s="210">
        <f t="shared" si="0"/>
        <v>3902414.42</v>
      </c>
      <c r="K23" s="231">
        <v>31</v>
      </c>
      <c r="L23" s="231">
        <f t="shared" si="1"/>
        <v>3918086.7739860001</v>
      </c>
      <c r="M23" s="232">
        <f t="shared" si="2"/>
        <v>-666074.75</v>
      </c>
      <c r="S23" s="232">
        <f>'[15]06-03-04 ТС3 изм.1_согл. - Акт '!$O$849</f>
        <v>3252012.02</v>
      </c>
      <c r="T23" s="232">
        <f t="shared" si="3"/>
        <v>0</v>
      </c>
      <c r="U23" s="232">
        <f>'[3]06-03-04 ТС3 изм.1'!$N$927</f>
        <v>3902414.42</v>
      </c>
      <c r="V23" s="232">
        <f t="shared" si="4"/>
        <v>0</v>
      </c>
    </row>
    <row r="24" spans="1:22" s="212" customFormat="1" ht="30" customHeight="1" x14ac:dyDescent="0.25">
      <c r="A24" s="213">
        <v>14</v>
      </c>
      <c r="B24" s="202" t="s">
        <v>177</v>
      </c>
      <c r="C24" s="203" t="s">
        <v>178</v>
      </c>
      <c r="D24" s="204">
        <v>4484122.8</v>
      </c>
      <c r="E24" s="204">
        <v>367698.07</v>
      </c>
      <c r="F24" s="204">
        <v>116443.7</v>
      </c>
      <c r="G24" s="204">
        <v>4968264.57</v>
      </c>
      <c r="H24" s="205">
        <f>5223633.37*0.83</f>
        <v>4335615.7</v>
      </c>
      <c r="I24" s="206">
        <v>1.2</v>
      </c>
      <c r="J24" s="205">
        <f t="shared" si="0"/>
        <v>5202738.84</v>
      </c>
      <c r="K24" s="233" t="s">
        <v>179</v>
      </c>
      <c r="L24" s="233">
        <f t="shared" si="1"/>
        <v>5223633.3688979996</v>
      </c>
      <c r="M24" s="235">
        <f t="shared" si="2"/>
        <v>-888017.67</v>
      </c>
      <c r="N24" s="233"/>
      <c r="O24" s="233"/>
      <c r="P24" s="233"/>
      <c r="Q24" s="233"/>
      <c r="R24" s="233"/>
      <c r="S24" s="235">
        <f>'[16]+06-04-01 ГСН изм.1_согл. - Акт'!$O$548</f>
        <v>4335615.7</v>
      </c>
      <c r="T24" s="232">
        <f t="shared" si="3"/>
        <v>0</v>
      </c>
      <c r="U24" s="235">
        <f>'[3]06-04-01 ГСН изм.1'!$N$673</f>
        <v>5327854.08</v>
      </c>
      <c r="V24" s="235">
        <f t="shared" si="4"/>
        <v>-125115.24</v>
      </c>
    </row>
    <row r="25" spans="1:22" ht="30" customHeight="1" x14ac:dyDescent="0.25">
      <c r="A25" s="199">
        <v>15</v>
      </c>
      <c r="B25" s="199" t="s">
        <v>180</v>
      </c>
      <c r="C25" s="208" t="s">
        <v>181</v>
      </c>
      <c r="D25" s="209">
        <v>13629091.9</v>
      </c>
      <c r="E25" s="209">
        <v>1117585.54</v>
      </c>
      <c r="F25" s="209">
        <v>353920.26</v>
      </c>
      <c r="G25" s="209">
        <v>15100597.699999999</v>
      </c>
      <c r="H25" s="210">
        <f>15876768.42*0.83</f>
        <v>13177717.789999999</v>
      </c>
      <c r="I25" s="211">
        <v>1.2</v>
      </c>
      <c r="J25" s="210">
        <f t="shared" si="0"/>
        <v>15813261.35</v>
      </c>
      <c r="K25" s="231">
        <v>33</v>
      </c>
      <c r="L25" s="231">
        <f t="shared" si="1"/>
        <v>15876768.42178</v>
      </c>
      <c r="M25" s="232">
        <f t="shared" si="2"/>
        <v>-2699050.63</v>
      </c>
      <c r="S25" s="232">
        <f>'[17]07-01-01 ГП1 изм.1_согл. - Акт '!$O$415</f>
        <v>13177717.789999999</v>
      </c>
      <c r="T25" s="232">
        <f t="shared" si="3"/>
        <v>0</v>
      </c>
      <c r="U25" s="232">
        <f>'[3]07-01-01 ГП1 изм.1'!$N$468</f>
        <v>15813261.35</v>
      </c>
      <c r="V25" s="232">
        <f t="shared" si="4"/>
        <v>0</v>
      </c>
    </row>
    <row r="26" spans="1:22" ht="30" customHeight="1" x14ac:dyDescent="0.25">
      <c r="A26" s="199">
        <v>16</v>
      </c>
      <c r="B26" s="199" t="s">
        <v>182</v>
      </c>
      <c r="C26" s="214" t="s">
        <v>183</v>
      </c>
      <c r="D26" s="209">
        <v>49450959.759999998</v>
      </c>
      <c r="E26" s="209">
        <v>4054978.7</v>
      </c>
      <c r="F26" s="209">
        <v>1284142.52</v>
      </c>
      <c r="G26" s="209">
        <v>54790080.979999997</v>
      </c>
      <c r="H26" s="210">
        <f>57606291.14*0.83</f>
        <v>47813221.649999999</v>
      </c>
      <c r="I26" s="211">
        <v>1.2</v>
      </c>
      <c r="J26" s="210">
        <f t="shared" si="0"/>
        <v>57375865.979999997</v>
      </c>
      <c r="K26" s="231">
        <v>34</v>
      </c>
      <c r="L26" s="231">
        <f t="shared" si="1"/>
        <v>57606291.142371997</v>
      </c>
      <c r="M26" s="232">
        <f t="shared" si="2"/>
        <v>-9793069.4900000002</v>
      </c>
      <c r="S26" s="232">
        <f>'[18]07-01-02 ГП2 изм.1_согл. - Акт '!$O$976</f>
        <v>47813221.649999999</v>
      </c>
      <c r="T26" s="232">
        <f t="shared" si="3"/>
        <v>0</v>
      </c>
      <c r="U26" s="232">
        <f>'[3]07-01-02 ГП2 изм.1'!$N$1068</f>
        <v>57375865.979999997</v>
      </c>
      <c r="V26" s="232">
        <f t="shared" si="4"/>
        <v>0</v>
      </c>
    </row>
    <row r="27" spans="1:22" ht="30" customHeight="1" x14ac:dyDescent="0.25">
      <c r="A27" s="199">
        <v>17</v>
      </c>
      <c r="B27" s="215" t="s">
        <v>184</v>
      </c>
      <c r="C27" s="214" t="s">
        <v>185</v>
      </c>
      <c r="D27" s="209">
        <v>62852.24</v>
      </c>
      <c r="E27" s="199">
        <v>0</v>
      </c>
      <c r="F27" s="199">
        <v>0</v>
      </c>
      <c r="G27" s="209">
        <v>62852.24</v>
      </c>
      <c r="H27" s="210">
        <f>66082.85*0.83</f>
        <v>54848.77</v>
      </c>
      <c r="I27" s="211">
        <v>1.2</v>
      </c>
      <c r="J27" s="210">
        <f t="shared" si="0"/>
        <v>65818.52</v>
      </c>
      <c r="K27" s="231">
        <v>35</v>
      </c>
      <c r="L27" s="231">
        <f t="shared" si="1"/>
        <v>66082.845136000004</v>
      </c>
      <c r="M27" s="232">
        <f t="shared" si="2"/>
        <v>-11234.08</v>
      </c>
      <c r="S27" s="232">
        <f>'[19]09-01-01 ЭС1 ПНР_согл. - Акт по'!$O$57</f>
        <v>54848.77</v>
      </c>
      <c r="T27" s="232">
        <f t="shared" si="3"/>
        <v>0</v>
      </c>
      <c r="U27" s="232">
        <f>'[3]09-01-01 ЭС1 ПНР'!$N$77</f>
        <v>65818.52</v>
      </c>
      <c r="V27" s="232">
        <f t="shared" si="4"/>
        <v>0</v>
      </c>
    </row>
    <row r="28" spans="1:22" ht="30" customHeight="1" x14ac:dyDescent="0.25">
      <c r="A28" s="199">
        <v>18</v>
      </c>
      <c r="B28" s="215" t="s">
        <v>186</v>
      </c>
      <c r="C28" s="214" t="s">
        <v>187</v>
      </c>
      <c r="D28" s="209">
        <v>193794.44</v>
      </c>
      <c r="E28" s="199">
        <v>0</v>
      </c>
      <c r="F28" s="199">
        <v>0</v>
      </c>
      <c r="G28" s="209">
        <v>193794.44</v>
      </c>
      <c r="H28" s="210">
        <f>203755.47*0.83</f>
        <v>169117.04</v>
      </c>
      <c r="I28" s="211">
        <v>1.2</v>
      </c>
      <c r="J28" s="210">
        <f t="shared" si="0"/>
        <v>202940.45</v>
      </c>
      <c r="K28" s="231">
        <v>36</v>
      </c>
      <c r="L28" s="231">
        <f t="shared" si="1"/>
        <v>203755.474216</v>
      </c>
      <c r="M28" s="232">
        <f t="shared" si="2"/>
        <v>-34638.43</v>
      </c>
      <c r="S28" s="232">
        <f>'[20]09-01-02 ЭС2 ПНР_согл. - Акт по'!$O$90</f>
        <v>169117.04</v>
      </c>
      <c r="T28" s="232">
        <f t="shared" si="3"/>
        <v>0</v>
      </c>
      <c r="U28" s="232">
        <f>'[3]09-01-02 ЭС2 ПНР'!$N$117</f>
        <v>202940.45</v>
      </c>
      <c r="V28" s="232">
        <f t="shared" si="4"/>
        <v>0</v>
      </c>
    </row>
    <row r="29" spans="1:22" ht="30" customHeight="1" x14ac:dyDescent="0.25">
      <c r="A29" s="199">
        <v>19</v>
      </c>
      <c r="B29" s="202" t="s">
        <v>188</v>
      </c>
      <c r="C29" s="216" t="s">
        <v>189</v>
      </c>
      <c r="D29" s="204">
        <v>149447.34</v>
      </c>
      <c r="E29" s="204">
        <v>12254.68</v>
      </c>
      <c r="F29" s="204">
        <v>3880.85</v>
      </c>
      <c r="G29" s="204">
        <v>165582.87</v>
      </c>
      <c r="H29" s="205">
        <f>174093.83*0.83</f>
        <v>144497.88</v>
      </c>
      <c r="I29" s="206">
        <v>1.2</v>
      </c>
      <c r="J29" s="217">
        <f>ROUND(H29*I29,2)</f>
        <v>173397.46</v>
      </c>
      <c r="K29" s="231">
        <v>37</v>
      </c>
      <c r="N29" s="232">
        <f>D29+E29+F29</f>
        <v>165582.87</v>
      </c>
      <c r="O29" s="232">
        <f>G29-N29</f>
        <v>0</v>
      </c>
      <c r="P29" s="231">
        <v>208912.6</v>
      </c>
      <c r="Q29" s="232">
        <f>J29-P29</f>
        <v>-35515.14</v>
      </c>
      <c r="S29" s="232">
        <f>'[21]ЛСР Вырубка кустарников_согл (1'!$O$98</f>
        <v>144497.88</v>
      </c>
      <c r="T29" s="232">
        <f t="shared" si="3"/>
        <v>0</v>
      </c>
      <c r="U29" s="232">
        <f>'[3]01-01-01 доп.1'!$N$100</f>
        <v>173397.46</v>
      </c>
      <c r="V29" s="232">
        <f t="shared" si="4"/>
        <v>0</v>
      </c>
    </row>
    <row r="30" spans="1:22" ht="30" customHeight="1" x14ac:dyDescent="0.25">
      <c r="A30" s="199">
        <v>20</v>
      </c>
      <c r="B30" s="202" t="s">
        <v>190</v>
      </c>
      <c r="C30" s="218" t="s">
        <v>191</v>
      </c>
      <c r="D30" s="204">
        <v>19791.849999999999</v>
      </c>
      <c r="E30" s="204">
        <v>1622.93</v>
      </c>
      <c r="F30" s="204">
        <v>513.95000000000005</v>
      </c>
      <c r="G30" s="204">
        <v>21928.73</v>
      </c>
      <c r="H30" s="204">
        <f>23055.87*0.83</f>
        <v>19136.37</v>
      </c>
      <c r="I30" s="206">
        <v>1.2</v>
      </c>
      <c r="J30" s="217">
        <f t="shared" si="0"/>
        <v>22963.64</v>
      </c>
      <c r="K30" s="231">
        <v>38</v>
      </c>
      <c r="L30" s="231">
        <f t="shared" si="1"/>
        <v>23055.866721999999</v>
      </c>
      <c r="M30" s="232">
        <f t="shared" si="2"/>
        <v>-3919.5</v>
      </c>
      <c r="N30" s="232">
        <f t="shared" ref="N30:N39" si="5">D30+E30+F30</f>
        <v>21928.73</v>
      </c>
      <c r="O30" s="232">
        <f t="shared" ref="O30:O39" si="6">G30-N30</f>
        <v>0</v>
      </c>
      <c r="P30" s="231">
        <v>27667.040000000001</v>
      </c>
      <c r="Q30" s="232">
        <f t="shared" ref="Q30:Q39" si="7">J30-P30</f>
        <v>-4703.3999999999996</v>
      </c>
      <c r="S30" s="232">
        <f>'[22]Акт 19'!$O$85</f>
        <v>19136.37</v>
      </c>
      <c r="T30" s="232">
        <f t="shared" si="3"/>
        <v>0</v>
      </c>
      <c r="U30" s="232">
        <f>'[3]01-01-02 доп.1'!$N$91</f>
        <v>22963.64</v>
      </c>
      <c r="V30" s="232">
        <f t="shared" si="4"/>
        <v>0</v>
      </c>
    </row>
    <row r="31" spans="1:22" ht="30" customHeight="1" x14ac:dyDescent="0.25">
      <c r="A31" s="199">
        <v>21</v>
      </c>
      <c r="B31" s="202" t="s">
        <v>192</v>
      </c>
      <c r="C31" s="216" t="s">
        <v>193</v>
      </c>
      <c r="D31" s="204">
        <v>61414.47</v>
      </c>
      <c r="E31" s="204">
        <v>5035.99</v>
      </c>
      <c r="F31" s="204">
        <v>1594.81</v>
      </c>
      <c r="G31" s="204">
        <v>68045.27</v>
      </c>
      <c r="H31" s="204">
        <f>71542.8*0.83</f>
        <v>59380.52</v>
      </c>
      <c r="I31" s="206">
        <v>1.2</v>
      </c>
      <c r="J31" s="217">
        <f>ROUND(H31*I31,2)</f>
        <v>71256.62</v>
      </c>
      <c r="K31" s="231">
        <v>39</v>
      </c>
      <c r="L31" s="231">
        <f>G31*1.0514</f>
        <v>71542.796877999994</v>
      </c>
      <c r="M31" s="232">
        <f>H31-L31</f>
        <v>-12162.28</v>
      </c>
      <c r="N31" s="232">
        <f t="shared" si="5"/>
        <v>68045.27</v>
      </c>
      <c r="O31" s="232">
        <f t="shared" si="6"/>
        <v>0</v>
      </c>
      <c r="P31" s="231">
        <v>85851.36</v>
      </c>
      <c r="Q31" s="232">
        <f t="shared" si="7"/>
        <v>-14594.74</v>
      </c>
      <c r="S31" s="232">
        <f>'[23]ЛСР Временный водопровод 121_со'!$O$140</f>
        <v>59380.52</v>
      </c>
      <c r="T31" s="232">
        <f t="shared" si="3"/>
        <v>0</v>
      </c>
      <c r="U31" s="232">
        <f>'[3]01-01-02 доп.2'!$N$123</f>
        <v>71256.62</v>
      </c>
      <c r="V31" s="232">
        <f t="shared" si="4"/>
        <v>0</v>
      </c>
    </row>
    <row r="32" spans="1:22" ht="30" customHeight="1" x14ac:dyDescent="0.25">
      <c r="A32" s="199">
        <v>22</v>
      </c>
      <c r="B32" s="202" t="s">
        <v>194</v>
      </c>
      <c r="C32" s="216" t="s">
        <v>195</v>
      </c>
      <c r="D32" s="204">
        <v>506473.89</v>
      </c>
      <c r="E32" s="204">
        <v>41530.86</v>
      </c>
      <c r="F32" s="204">
        <v>13152.11</v>
      </c>
      <c r="G32" s="204">
        <v>561156.86</v>
      </c>
      <c r="H32" s="204">
        <f>590000.32*0.83</f>
        <v>489700.27</v>
      </c>
      <c r="I32" s="206">
        <v>1.2</v>
      </c>
      <c r="J32" s="217">
        <f t="shared" si="0"/>
        <v>587640.31999999995</v>
      </c>
      <c r="K32" s="231">
        <v>40</v>
      </c>
      <c r="L32" s="231">
        <f t="shared" si="1"/>
        <v>590000.32260399999</v>
      </c>
      <c r="M32" s="232">
        <f t="shared" si="2"/>
        <v>-100300.05</v>
      </c>
      <c r="N32" s="232">
        <f t="shared" si="5"/>
        <v>561156.86</v>
      </c>
      <c r="O32" s="232">
        <f t="shared" si="6"/>
        <v>0</v>
      </c>
      <c r="P32" s="231">
        <v>708000.38</v>
      </c>
      <c r="Q32" s="232">
        <f t="shared" si="7"/>
        <v>-120360.06</v>
      </c>
      <c r="S32" s="232">
        <f>'[24]ЛСР Временный переезд_согл - Ак'!$O$149</f>
        <v>489700.27</v>
      </c>
      <c r="T32" s="232">
        <f t="shared" si="3"/>
        <v>0</v>
      </c>
      <c r="U32" s="232">
        <f>'[3]02-01-01 доп.1'!$N$126</f>
        <v>587640.31999999995</v>
      </c>
      <c r="V32" s="232">
        <f t="shared" si="4"/>
        <v>0</v>
      </c>
    </row>
    <row r="33" spans="1:22" ht="30" customHeight="1" x14ac:dyDescent="0.25">
      <c r="A33" s="199">
        <v>23</v>
      </c>
      <c r="B33" s="202" t="s">
        <v>196</v>
      </c>
      <c r="C33" s="218" t="s">
        <v>197</v>
      </c>
      <c r="D33" s="204">
        <v>4080049.34</v>
      </c>
      <c r="E33" s="204">
        <v>334564.05</v>
      </c>
      <c r="F33" s="204">
        <v>105950.72</v>
      </c>
      <c r="G33" s="204">
        <v>4520564.1100000003</v>
      </c>
      <c r="H33" s="205">
        <f>4752921.11*0.83</f>
        <v>3944924.52</v>
      </c>
      <c r="I33" s="206">
        <v>1.2</v>
      </c>
      <c r="J33" s="217">
        <f>ROUND(H33*I33,2)</f>
        <v>4733909.42</v>
      </c>
      <c r="K33" s="231">
        <v>41</v>
      </c>
      <c r="L33" s="231">
        <f>G33*1.0514</f>
        <v>4752921.1052540001</v>
      </c>
      <c r="M33" s="232">
        <f>H33-L33</f>
        <v>-807996.59</v>
      </c>
      <c r="N33" s="232">
        <f t="shared" si="5"/>
        <v>4520564.1100000003</v>
      </c>
      <c r="O33" s="232">
        <f t="shared" si="6"/>
        <v>0</v>
      </c>
      <c r="P33" s="231">
        <v>5703505.3300000001</v>
      </c>
      <c r="Q33" s="232">
        <f t="shared" si="7"/>
        <v>-969595.91</v>
      </c>
      <c r="S33" s="232">
        <f>'[25]ЛСР Отвод КС_06.02 ВЕРСИЯ ЗАКАЗ'!$O$590</f>
        <v>3944924.52</v>
      </c>
      <c r="T33" s="232">
        <f t="shared" si="3"/>
        <v>0</v>
      </c>
      <c r="U33" s="232">
        <f>'[3]02-01-01 доп.2'!$N$499</f>
        <v>4733909.42</v>
      </c>
      <c r="V33" s="232">
        <f t="shared" si="4"/>
        <v>0</v>
      </c>
    </row>
    <row r="34" spans="1:22" ht="30" customHeight="1" x14ac:dyDescent="0.25">
      <c r="A34" s="199">
        <v>24</v>
      </c>
      <c r="B34" s="202" t="s">
        <v>198</v>
      </c>
      <c r="C34" s="218" t="s">
        <v>199</v>
      </c>
      <c r="D34" s="204">
        <v>41302.080000000002</v>
      </c>
      <c r="E34" s="204">
        <v>3386.77</v>
      </c>
      <c r="F34" s="204">
        <v>1072.53</v>
      </c>
      <c r="G34" s="204">
        <v>45761.38</v>
      </c>
      <c r="H34" s="205">
        <f>48113.51*0.83</f>
        <v>39934.21</v>
      </c>
      <c r="I34" s="206">
        <v>1.2</v>
      </c>
      <c r="J34" s="217">
        <f>ROUND(H34*I34,2)</f>
        <v>47921.05</v>
      </c>
      <c r="K34" s="231">
        <v>42</v>
      </c>
      <c r="L34" s="231">
        <f>G34*1.0514</f>
        <v>48113.514931999998</v>
      </c>
      <c r="M34" s="232">
        <f>H34-L34</f>
        <v>-8179.3</v>
      </c>
      <c r="N34" s="232">
        <f t="shared" si="5"/>
        <v>45761.38</v>
      </c>
      <c r="O34" s="232">
        <f t="shared" si="6"/>
        <v>0</v>
      </c>
      <c r="P34" s="231">
        <v>57736.21</v>
      </c>
      <c r="Q34" s="232">
        <f t="shared" si="7"/>
        <v>-9815.16</v>
      </c>
      <c r="S34" s="232">
        <f>'[26]ЛСР Смещение ЗД согл - Акт по М'!$O$198</f>
        <v>39934.21</v>
      </c>
      <c r="T34" s="232">
        <f t="shared" si="3"/>
        <v>0</v>
      </c>
      <c r="U34" s="232">
        <f>'[3]02-03-01 доп.1'!$N$195</f>
        <v>47921.05</v>
      </c>
      <c r="V34" s="232">
        <f t="shared" si="4"/>
        <v>0</v>
      </c>
    </row>
    <row r="35" spans="1:22" ht="30" customHeight="1" x14ac:dyDescent="0.25">
      <c r="A35" s="199">
        <v>25</v>
      </c>
      <c r="B35" s="202" t="s">
        <v>200</v>
      </c>
      <c r="C35" s="216" t="s">
        <v>201</v>
      </c>
      <c r="D35" s="204">
        <v>214268.6</v>
      </c>
      <c r="E35" s="204">
        <v>17570.03</v>
      </c>
      <c r="F35" s="204">
        <v>5564.13</v>
      </c>
      <c r="G35" s="204">
        <v>237402.76</v>
      </c>
      <c r="H35" s="204">
        <f>249605.26*0.83</f>
        <v>207172.37</v>
      </c>
      <c r="I35" s="206">
        <v>1.2</v>
      </c>
      <c r="J35" s="217">
        <f>ROUND(H35*I35,2)</f>
        <v>248606.84</v>
      </c>
      <c r="K35" s="231">
        <v>43</v>
      </c>
      <c r="L35" s="231">
        <f>G35*1.0514</f>
        <v>249605.261864</v>
      </c>
      <c r="M35" s="232">
        <f>H35-L35</f>
        <v>-42432.89</v>
      </c>
      <c r="N35" s="232">
        <f t="shared" si="5"/>
        <v>237402.76</v>
      </c>
      <c r="O35" s="232">
        <f t="shared" si="6"/>
        <v>0</v>
      </c>
      <c r="P35" s="231">
        <v>299526.31</v>
      </c>
      <c r="Q35" s="232">
        <f t="shared" si="7"/>
        <v>-50919.47</v>
      </c>
      <c r="S35" s="232">
        <f>'[27]ЛСР Трансбордер.Контактная сеть'!$O$245</f>
        <v>207172.37</v>
      </c>
      <c r="T35" s="232">
        <f t="shared" si="3"/>
        <v>0</v>
      </c>
      <c r="U35" s="232">
        <f>'[3]02-03-01 доп.2'!$N$215</f>
        <v>248606.84</v>
      </c>
      <c r="V35" s="232">
        <f t="shared" si="4"/>
        <v>0</v>
      </c>
    </row>
    <row r="36" spans="1:22" ht="30" customHeight="1" x14ac:dyDescent="0.25">
      <c r="A36" s="199">
        <v>26</v>
      </c>
      <c r="B36" s="202" t="s">
        <v>202</v>
      </c>
      <c r="C36" s="216" t="s">
        <v>203</v>
      </c>
      <c r="D36" s="204">
        <v>1459742.56</v>
      </c>
      <c r="E36" s="204">
        <v>119698.89</v>
      </c>
      <c r="F36" s="204">
        <v>37906.589999999997</v>
      </c>
      <c r="G36" s="204">
        <v>1617348.04</v>
      </c>
      <c r="H36" s="204">
        <f>1700479.73*0.83</f>
        <v>1411398.18</v>
      </c>
      <c r="I36" s="206">
        <v>1.2</v>
      </c>
      <c r="J36" s="217">
        <f t="shared" si="0"/>
        <v>1693677.82</v>
      </c>
      <c r="K36" s="231">
        <v>44</v>
      </c>
      <c r="L36" s="231">
        <f t="shared" si="1"/>
        <v>1700479.7292559999</v>
      </c>
      <c r="M36" s="232">
        <f t="shared" si="2"/>
        <v>-289081.55</v>
      </c>
      <c r="N36" s="232">
        <f t="shared" si="5"/>
        <v>1617348.04</v>
      </c>
      <c r="O36" s="232">
        <f t="shared" si="6"/>
        <v>0</v>
      </c>
      <c r="P36" s="231">
        <v>2040575.68</v>
      </c>
      <c r="Q36" s="232">
        <f t="shared" si="7"/>
        <v>-346897.86</v>
      </c>
      <c r="S36" s="232">
        <f>'[28]ЛСР Устройство ограждения.АС1_с'!$O$566</f>
        <v>1411398.18</v>
      </c>
      <c r="T36" s="232">
        <f t="shared" si="3"/>
        <v>0</v>
      </c>
      <c r="U36" s="232">
        <f>'[3]02-03-01 доп.3'!$N$518</f>
        <v>1693677.82</v>
      </c>
      <c r="V36" s="232">
        <f t="shared" si="4"/>
        <v>0</v>
      </c>
    </row>
    <row r="37" spans="1:22" ht="30" customHeight="1" x14ac:dyDescent="0.25">
      <c r="A37" s="199">
        <v>27</v>
      </c>
      <c r="B37" s="202" t="s">
        <v>204</v>
      </c>
      <c r="C37" s="216" t="s">
        <v>205</v>
      </c>
      <c r="D37" s="204">
        <v>398178.78</v>
      </c>
      <c r="E37" s="204">
        <v>32650.66</v>
      </c>
      <c r="F37" s="204">
        <v>10339.91</v>
      </c>
      <c r="G37" s="204">
        <v>441169.35</v>
      </c>
      <c r="H37" s="205">
        <f>463845.45*0.83</f>
        <v>384991.72</v>
      </c>
      <c r="I37" s="206">
        <v>1.2</v>
      </c>
      <c r="J37" s="217">
        <f>ROUND(H37*I37,2)</f>
        <v>461990.06</v>
      </c>
      <c r="K37" s="231">
        <v>45</v>
      </c>
      <c r="N37" s="232">
        <f t="shared" si="5"/>
        <v>441169.35</v>
      </c>
      <c r="O37" s="232">
        <f t="shared" si="6"/>
        <v>0</v>
      </c>
      <c r="P37" s="231">
        <v>556614.54</v>
      </c>
      <c r="Q37" s="232">
        <f t="shared" si="7"/>
        <v>-94624.48</v>
      </c>
      <c r="S37" s="232">
        <f>'[29]ЛСР СС Переустройство каб.канал'!$O$383</f>
        <v>384991.72</v>
      </c>
      <c r="T37" s="232">
        <f t="shared" si="3"/>
        <v>0</v>
      </c>
      <c r="U37" s="232">
        <f>'[3]05-01-01 доп.1'!$N$332</f>
        <v>461990.06</v>
      </c>
      <c r="V37" s="232">
        <f t="shared" si="4"/>
        <v>0</v>
      </c>
    </row>
    <row r="38" spans="1:22" ht="30" customHeight="1" x14ac:dyDescent="0.25">
      <c r="A38" s="199">
        <v>28</v>
      </c>
      <c r="B38" s="202" t="s">
        <v>206</v>
      </c>
      <c r="C38" s="218" t="s">
        <v>207</v>
      </c>
      <c r="D38" s="204">
        <v>563754.73</v>
      </c>
      <c r="E38" s="204">
        <v>46227.89</v>
      </c>
      <c r="F38" s="204">
        <v>14639.58</v>
      </c>
      <c r="G38" s="204">
        <v>624622.19999999995</v>
      </c>
      <c r="H38" s="205">
        <f>656727.78*0.83</f>
        <v>545084.06000000006</v>
      </c>
      <c r="I38" s="206">
        <v>1.2</v>
      </c>
      <c r="J38" s="217">
        <f t="shared" si="0"/>
        <v>654100.87</v>
      </c>
      <c r="K38" s="231">
        <v>46</v>
      </c>
      <c r="L38" s="231">
        <f t="shared" si="1"/>
        <v>656727.78107999999</v>
      </c>
      <c r="M38" s="232">
        <f t="shared" si="2"/>
        <v>-111643.72</v>
      </c>
      <c r="N38" s="232">
        <f t="shared" si="5"/>
        <v>624622.19999999995</v>
      </c>
      <c r="O38" s="232">
        <f t="shared" si="6"/>
        <v>0</v>
      </c>
      <c r="P38" s="231">
        <v>788073.34</v>
      </c>
      <c r="Q38" s="232">
        <f t="shared" si="7"/>
        <v>-133972.47</v>
      </c>
      <c r="S38" s="232">
        <f>'[30]ЛСР НВК5 доп.работы_согл - Акт '!$O$344</f>
        <v>545084.06000000006</v>
      </c>
      <c r="T38" s="232">
        <f t="shared" si="3"/>
        <v>0</v>
      </c>
      <c r="U38" s="232">
        <f>'[3]06-02-02 доп.1'!$N$328</f>
        <v>654100.87</v>
      </c>
      <c r="V38" s="232">
        <f t="shared" si="4"/>
        <v>0</v>
      </c>
    </row>
    <row r="39" spans="1:22" ht="30" customHeight="1" thickBot="1" x14ac:dyDescent="0.3">
      <c r="A39" s="219">
        <v>29</v>
      </c>
      <c r="B39" s="202" t="s">
        <v>208</v>
      </c>
      <c r="C39" s="216" t="s">
        <v>209</v>
      </c>
      <c r="D39" s="204">
        <v>815232.37</v>
      </c>
      <c r="E39" s="204">
        <v>66849.05</v>
      </c>
      <c r="F39" s="204">
        <v>21169.95</v>
      </c>
      <c r="G39" s="204">
        <v>903251.37</v>
      </c>
      <c r="H39" s="205">
        <f>949678.49*0.83</f>
        <v>788233.15</v>
      </c>
      <c r="I39" s="206">
        <v>1.2</v>
      </c>
      <c r="J39" s="217">
        <f t="shared" si="0"/>
        <v>945879.78</v>
      </c>
      <c r="K39" s="231">
        <v>47</v>
      </c>
      <c r="N39" s="232">
        <f t="shared" si="5"/>
        <v>903251.37</v>
      </c>
      <c r="O39" s="232">
        <f t="shared" si="6"/>
        <v>0</v>
      </c>
      <c r="P39" s="231">
        <v>1139614.19</v>
      </c>
      <c r="Q39" s="232">
        <f t="shared" si="7"/>
        <v>-193734.41</v>
      </c>
      <c r="S39" s="232">
        <f>'[31]ЛСР ГП1 доп.работы _согл - Акт '!$O$318</f>
        <v>788233.15</v>
      </c>
      <c r="T39" s="232">
        <f t="shared" si="3"/>
        <v>0</v>
      </c>
      <c r="U39" s="232">
        <f>'[3]07-01-01 доп.1'!$N$274</f>
        <v>945879.78</v>
      </c>
      <c r="V39" s="232">
        <f t="shared" si="4"/>
        <v>0</v>
      </c>
    </row>
    <row r="40" spans="1:22" ht="0.75" customHeight="1" thickTop="1" thickBot="1" x14ac:dyDescent="0.3">
      <c r="A40" s="220"/>
      <c r="B40" s="221"/>
      <c r="C40" s="222"/>
      <c r="D40" s="17"/>
      <c r="E40" s="17"/>
      <c r="F40" s="17"/>
      <c r="G40" s="17"/>
      <c r="H40" s="17"/>
      <c r="I40" s="223"/>
      <c r="J40" s="224"/>
      <c r="T40" s="232">
        <f t="shared" si="3"/>
        <v>0</v>
      </c>
    </row>
    <row r="41" spans="1:22" ht="24" customHeight="1" thickTop="1" x14ac:dyDescent="0.25">
      <c r="A41" s="225"/>
      <c r="B41" s="226" t="s">
        <v>31</v>
      </c>
      <c r="C41" s="225"/>
      <c r="D41" s="227">
        <f>SUM(D11:D39)</f>
        <v>136914371.96000001</v>
      </c>
      <c r="E41" s="227">
        <f>SUM(E11:E39)</f>
        <v>11205933.49</v>
      </c>
      <c r="F41" s="227">
        <f>SUM(F11:F39)</f>
        <v>3548727.79</v>
      </c>
      <c r="G41" s="227">
        <f>SUM(G11:G39)</f>
        <v>151669033.24000001</v>
      </c>
      <c r="H41" s="227">
        <f>SUM(H11:H39)-0.03</f>
        <v>132355801.88</v>
      </c>
      <c r="I41" s="227"/>
      <c r="J41" s="227">
        <f>SUM(J11:J39)</f>
        <v>158826962.25999999</v>
      </c>
      <c r="K41" s="232"/>
      <c r="L41" s="232">
        <f>SUM(J29:J39)</f>
        <v>9641343.8800000008</v>
      </c>
      <c r="S41" s="232">
        <f>SUM(S11:S40)</f>
        <v>132355801.91</v>
      </c>
    </row>
    <row r="42" spans="1:22" x14ac:dyDescent="0.25">
      <c r="G42" s="198" t="s">
        <v>218</v>
      </c>
      <c r="H42" s="207">
        <v>1648998.37</v>
      </c>
      <c r="I42" s="198">
        <v>1.2</v>
      </c>
      <c r="J42" s="227">
        <f>H42*I42</f>
        <v>1978798.04</v>
      </c>
      <c r="K42" s="232"/>
      <c r="S42" s="232"/>
    </row>
    <row r="43" spans="1:22" x14ac:dyDescent="0.25">
      <c r="F43" s="228"/>
      <c r="G43" s="228"/>
      <c r="H43" s="229"/>
      <c r="I43" s="198" t="s">
        <v>219</v>
      </c>
      <c r="J43" s="253">
        <f>J41+J42</f>
        <v>160805760.30000001</v>
      </c>
      <c r="K43" s="232"/>
    </row>
    <row r="44" spans="1:22" x14ac:dyDescent="0.25">
      <c r="F44" s="228"/>
      <c r="J44" s="207"/>
    </row>
    <row r="47" spans="1:22" x14ac:dyDescent="0.25">
      <c r="J47" s="22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773-5883-4D4E-BFDE-A01FDDBFC189}">
  <dimension ref="B2:C4"/>
  <sheetViews>
    <sheetView workbookViewId="0">
      <selection activeCell="B4" sqref="B4"/>
    </sheetView>
  </sheetViews>
  <sheetFormatPr defaultRowHeight="15" x14ac:dyDescent="0.25"/>
  <cols>
    <col min="2" max="2" width="47.5703125" customWidth="1"/>
  </cols>
  <sheetData>
    <row r="2" spans="2:3" x14ac:dyDescent="0.25">
      <c r="B2" s="160" t="s">
        <v>149</v>
      </c>
      <c r="C2" s="160" t="s">
        <v>123</v>
      </c>
    </row>
    <row r="3" spans="2:3" x14ac:dyDescent="0.25">
      <c r="B3" s="160" t="s">
        <v>149</v>
      </c>
      <c r="C3" s="160" t="s">
        <v>124</v>
      </c>
    </row>
    <row r="4" spans="2:3" x14ac:dyDescent="0.25">
      <c r="B4" s="160" t="s">
        <v>148</v>
      </c>
      <c r="C4" s="160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КС3 №6</vt:lpstr>
      <vt:lpstr>реестр</vt:lpstr>
      <vt:lpstr>ЭЭ</vt:lpstr>
      <vt:lpstr>реестр ССР2-2</vt:lpstr>
      <vt:lpstr>первичка</vt:lpstr>
      <vt:lpstr>'КС3 №6'!Область_печати</vt:lpstr>
      <vt:lpstr>реестр!Область_печати</vt:lpstr>
      <vt:lpstr>'реестр ССР2-2'!Область_печати</vt:lpstr>
      <vt:lpstr>ЭЭ!Область_печати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2024-10-21T22:03:56Z</dcterms:modified>
</cp:coreProperties>
</file>