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СП12_Ира\на подпись\"/>
    </mc:Choice>
  </mc:AlternateContent>
  <xr:revisionPtr revIDLastSave="0" documentId="13_ncr:1_{B01336F5-FB7E-4B39-8F6A-3FACF9EA4D8F}" xr6:coauthVersionLast="47" xr6:coauthVersionMax="47" xr10:uidLastSave="{00000000-0000-0000-0000-000000000000}"/>
  <bookViews>
    <workbookView xWindow="28680" yWindow="1290" windowWidth="29040" windowHeight="15720" xr2:uid="{FD7B2DA8-7076-4558-B07F-A1215280EDB1}"/>
  </bookViews>
  <sheets>
    <sheet name="Вход-выход 11 путь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'Вход-выход 11 путь'!$A$5:$W$81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0">'Вход-выход 11 путь'!$A$1:$L$80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80" i="1" l="1"/>
  <c r="U80" i="1" s="1"/>
  <c r="S80" i="1"/>
  <c r="P80" i="1"/>
  <c r="Q80" i="1" s="1"/>
  <c r="N80" i="1"/>
  <c r="O80" i="1" s="1"/>
  <c r="F80" i="1"/>
  <c r="G80" i="1" s="1"/>
  <c r="L80" i="1" s="1"/>
  <c r="S79" i="1"/>
  <c r="P79" i="1"/>
  <c r="D79" i="1"/>
  <c r="N79" i="1" s="1"/>
  <c r="O79" i="1" s="1"/>
  <c r="T78" i="1"/>
  <c r="U78" i="1" s="1"/>
  <c r="S78" i="1"/>
  <c r="P78" i="1"/>
  <c r="Q78" i="1" s="1"/>
  <c r="N78" i="1"/>
  <c r="O78" i="1" s="1"/>
  <c r="F78" i="1"/>
  <c r="K78" i="1" s="1"/>
  <c r="S77" i="1"/>
  <c r="P77" i="1"/>
  <c r="D77" i="1"/>
  <c r="N77" i="1" s="1"/>
  <c r="O77" i="1" s="1"/>
  <c r="S76" i="1"/>
  <c r="T76" i="1" s="1"/>
  <c r="U76" i="1" s="1"/>
  <c r="P76" i="1"/>
  <c r="Q76" i="1" s="1"/>
  <c r="N76" i="1"/>
  <c r="O76" i="1" s="1"/>
  <c r="F76" i="1"/>
  <c r="G76" i="1" s="1"/>
  <c r="L76" i="1" s="1"/>
  <c r="S75" i="1"/>
  <c r="T75" i="1" s="1"/>
  <c r="U75" i="1" s="1"/>
  <c r="N75" i="1"/>
  <c r="O75" i="1" s="1"/>
  <c r="E75" i="1"/>
  <c r="F75" i="1" s="1"/>
  <c r="S74" i="1"/>
  <c r="T74" i="1" s="1"/>
  <c r="U74" i="1" s="1"/>
  <c r="W74" i="1" s="1"/>
  <c r="P74" i="1"/>
  <c r="Q74" i="1" s="1"/>
  <c r="V74" i="1" s="1"/>
  <c r="N74" i="1"/>
  <c r="O74" i="1" s="1"/>
  <c r="I74" i="1"/>
  <c r="K74" i="1" s="1"/>
  <c r="S73" i="1"/>
  <c r="T73" i="1" s="1"/>
  <c r="U73" i="1" s="1"/>
  <c r="P73" i="1"/>
  <c r="Q73" i="1" s="1"/>
  <c r="N73" i="1"/>
  <c r="O73" i="1" s="1"/>
  <c r="F73" i="1"/>
  <c r="G73" i="1" s="1"/>
  <c r="L73" i="1" s="1"/>
  <c r="S72" i="1"/>
  <c r="T72" i="1" s="1"/>
  <c r="U72" i="1" s="1"/>
  <c r="W72" i="1" s="1"/>
  <c r="P72" i="1"/>
  <c r="Q72" i="1" s="1"/>
  <c r="V72" i="1" s="1"/>
  <c r="M72" i="1"/>
  <c r="N72" i="1" s="1"/>
  <c r="O72" i="1" s="1"/>
  <c r="P71" i="1"/>
  <c r="Q71" i="1" s="1"/>
  <c r="M71" i="1"/>
  <c r="S71" i="1" s="1"/>
  <c r="T71" i="1" s="1"/>
  <c r="U71" i="1" s="1"/>
  <c r="W71" i="1" s="1"/>
  <c r="S70" i="1"/>
  <c r="T70" i="1" s="1"/>
  <c r="U70" i="1" s="1"/>
  <c r="W70" i="1" s="1"/>
  <c r="P70" i="1"/>
  <c r="Q70" i="1" s="1"/>
  <c r="M70" i="1"/>
  <c r="N70" i="1" s="1"/>
  <c r="O70" i="1" s="1"/>
  <c r="S69" i="1"/>
  <c r="T69" i="1" s="1"/>
  <c r="U69" i="1" s="1"/>
  <c r="W69" i="1" s="1"/>
  <c r="P69" i="1"/>
  <c r="Q69" i="1" s="1"/>
  <c r="M69" i="1"/>
  <c r="N69" i="1" s="1"/>
  <c r="O69" i="1" s="1"/>
  <c r="S68" i="1"/>
  <c r="T68" i="1" s="1"/>
  <c r="U68" i="1" s="1"/>
  <c r="P68" i="1"/>
  <c r="Q68" i="1" s="1"/>
  <c r="N68" i="1"/>
  <c r="O68" i="1" s="1"/>
  <c r="G68" i="1"/>
  <c r="L68" i="1" s="1"/>
  <c r="F68" i="1"/>
  <c r="K68" i="1" s="1"/>
  <c r="A68" i="1"/>
  <c r="A73" i="1" s="1"/>
  <c r="A75" i="1" s="1"/>
  <c r="A76" i="1" s="1"/>
  <c r="A78" i="1" s="1"/>
  <c r="A80" i="1" s="1"/>
  <c r="P67" i="1"/>
  <c r="Q67" i="1" s="1"/>
  <c r="V67" i="1" s="1"/>
  <c r="M67" i="1"/>
  <c r="S67" i="1" s="1"/>
  <c r="T67" i="1" s="1"/>
  <c r="U67" i="1" s="1"/>
  <c r="W67" i="1" s="1"/>
  <c r="S66" i="1"/>
  <c r="T66" i="1" s="1"/>
  <c r="U66" i="1" s="1"/>
  <c r="P66" i="1"/>
  <c r="Q66" i="1" s="1"/>
  <c r="N66" i="1"/>
  <c r="O66" i="1" s="1"/>
  <c r="F66" i="1"/>
  <c r="G66" i="1" s="1"/>
  <c r="L66" i="1" s="1"/>
  <c r="T65" i="1"/>
  <c r="U65" i="1" s="1"/>
  <c r="S65" i="1"/>
  <c r="P65" i="1"/>
  <c r="Q65" i="1" s="1"/>
  <c r="N65" i="1"/>
  <c r="O65" i="1" s="1"/>
  <c r="F65" i="1"/>
  <c r="K65" i="1" s="1"/>
  <c r="S64" i="1"/>
  <c r="T64" i="1" s="1"/>
  <c r="U64" i="1" s="1"/>
  <c r="P64" i="1"/>
  <c r="Q64" i="1" s="1"/>
  <c r="N64" i="1"/>
  <c r="O64" i="1" s="1"/>
  <c r="G64" i="1"/>
  <c r="L64" i="1" s="1"/>
  <c r="F64" i="1"/>
  <c r="K64" i="1" s="1"/>
  <c r="S63" i="1"/>
  <c r="T63" i="1" s="1"/>
  <c r="U63" i="1" s="1"/>
  <c r="P63" i="1"/>
  <c r="Q63" i="1" s="1"/>
  <c r="N63" i="1"/>
  <c r="O63" i="1" s="1"/>
  <c r="F63" i="1"/>
  <c r="G63" i="1" s="1"/>
  <c r="L63" i="1" s="1"/>
  <c r="S62" i="1"/>
  <c r="T62" i="1" s="1"/>
  <c r="U62" i="1" s="1"/>
  <c r="P62" i="1"/>
  <c r="Q62" i="1" s="1"/>
  <c r="N62" i="1"/>
  <c r="O62" i="1" s="1"/>
  <c r="G62" i="1"/>
  <c r="L62" i="1" s="1"/>
  <c r="F62" i="1"/>
  <c r="K62" i="1" s="1"/>
  <c r="T61" i="1"/>
  <c r="P61" i="1"/>
  <c r="Q61" i="1" s="1"/>
  <c r="S60" i="1"/>
  <c r="T60" i="1" s="1"/>
  <c r="U60" i="1" s="1"/>
  <c r="Q60" i="1"/>
  <c r="P60" i="1"/>
  <c r="N60" i="1"/>
  <c r="O60" i="1" s="1"/>
  <c r="L60" i="1"/>
  <c r="G60" i="1"/>
  <c r="F60" i="1"/>
  <c r="K60" i="1" s="1"/>
  <c r="S59" i="1"/>
  <c r="T59" i="1" s="1"/>
  <c r="U59" i="1" s="1"/>
  <c r="P59" i="1"/>
  <c r="Q59" i="1" s="1"/>
  <c r="R59" i="1" s="1"/>
  <c r="I59" i="1"/>
  <c r="J59" i="1" s="1"/>
  <c r="L59" i="1" s="1"/>
  <c r="D59" i="1"/>
  <c r="N59" i="1" s="1"/>
  <c r="O59" i="1" s="1"/>
  <c r="S58" i="1"/>
  <c r="T58" i="1" s="1"/>
  <c r="U58" i="1" s="1"/>
  <c r="P58" i="1"/>
  <c r="Q58" i="1" s="1"/>
  <c r="O58" i="1"/>
  <c r="N58" i="1"/>
  <c r="F58" i="1"/>
  <c r="K58" i="1" s="1"/>
  <c r="T57" i="1"/>
  <c r="U57" i="1" s="1"/>
  <c r="S57" i="1"/>
  <c r="P57" i="1"/>
  <c r="N57" i="1"/>
  <c r="O57" i="1" s="1"/>
  <c r="D57" i="1"/>
  <c r="I57" i="1" s="1"/>
  <c r="J57" i="1" s="1"/>
  <c r="L57" i="1" s="1"/>
  <c r="S56" i="1"/>
  <c r="T56" i="1" s="1"/>
  <c r="U56" i="1" s="1"/>
  <c r="Q56" i="1"/>
  <c r="P56" i="1"/>
  <c r="N56" i="1"/>
  <c r="O56" i="1" s="1"/>
  <c r="F56" i="1"/>
  <c r="K56" i="1" s="1"/>
  <c r="S55" i="1"/>
  <c r="T55" i="1" s="1"/>
  <c r="U55" i="1" s="1"/>
  <c r="N55" i="1"/>
  <c r="O55" i="1" s="1"/>
  <c r="E55" i="1"/>
  <c r="P55" i="1" s="1"/>
  <c r="Q55" i="1" s="1"/>
  <c r="R55" i="1" s="1"/>
  <c r="W55" i="1" s="1"/>
  <c r="T54" i="1"/>
  <c r="U54" i="1" s="1"/>
  <c r="W54" i="1" s="1"/>
  <c r="S54" i="1"/>
  <c r="P54" i="1"/>
  <c r="Q54" i="1" s="1"/>
  <c r="V54" i="1" s="1"/>
  <c r="N54" i="1"/>
  <c r="O54" i="1" s="1"/>
  <c r="I54" i="1"/>
  <c r="K54" i="1" s="1"/>
  <c r="S53" i="1"/>
  <c r="T53" i="1" s="1"/>
  <c r="U53" i="1" s="1"/>
  <c r="P53" i="1"/>
  <c r="Q53" i="1" s="1"/>
  <c r="O53" i="1"/>
  <c r="N53" i="1"/>
  <c r="F53" i="1"/>
  <c r="K53" i="1" s="1"/>
  <c r="P52" i="1"/>
  <c r="Q52" i="1" s="1"/>
  <c r="M52" i="1"/>
  <c r="P51" i="1"/>
  <c r="Q51" i="1" s="1"/>
  <c r="M51" i="1"/>
  <c r="Q50" i="1"/>
  <c r="P50" i="1"/>
  <c r="M50" i="1"/>
  <c r="P49" i="1"/>
  <c r="Q49" i="1" s="1"/>
  <c r="M49" i="1"/>
  <c r="S48" i="1"/>
  <c r="T48" i="1" s="1"/>
  <c r="U48" i="1" s="1"/>
  <c r="Q48" i="1"/>
  <c r="R48" i="1" s="1"/>
  <c r="P48" i="1"/>
  <c r="N48" i="1"/>
  <c r="O48" i="1" s="1"/>
  <c r="K48" i="1"/>
  <c r="G48" i="1"/>
  <c r="L48" i="1" s="1"/>
  <c r="F48" i="1"/>
  <c r="P47" i="1"/>
  <c r="Q47" i="1" s="1"/>
  <c r="M47" i="1"/>
  <c r="S47" i="1" s="1"/>
  <c r="T47" i="1" s="1"/>
  <c r="U47" i="1" s="1"/>
  <c r="W47" i="1" s="1"/>
  <c r="S46" i="1"/>
  <c r="T46" i="1" s="1"/>
  <c r="U46" i="1" s="1"/>
  <c r="P46" i="1"/>
  <c r="Q46" i="1" s="1"/>
  <c r="N46" i="1"/>
  <c r="O46" i="1" s="1"/>
  <c r="F46" i="1"/>
  <c r="G46" i="1" s="1"/>
  <c r="L46" i="1" s="1"/>
  <c r="S45" i="1"/>
  <c r="T45" i="1" s="1"/>
  <c r="U45" i="1" s="1"/>
  <c r="Q45" i="1"/>
  <c r="P45" i="1"/>
  <c r="N45" i="1"/>
  <c r="O45" i="1" s="1"/>
  <c r="G45" i="1"/>
  <c r="L45" i="1" s="1"/>
  <c r="F45" i="1"/>
  <c r="K45" i="1" s="1"/>
  <c r="S44" i="1"/>
  <c r="T44" i="1" s="1"/>
  <c r="U44" i="1" s="1"/>
  <c r="P44" i="1"/>
  <c r="Q44" i="1" s="1"/>
  <c r="N44" i="1"/>
  <c r="O44" i="1" s="1"/>
  <c r="F44" i="1"/>
  <c r="K44" i="1" s="1"/>
  <c r="S43" i="1"/>
  <c r="T43" i="1" s="1"/>
  <c r="U43" i="1" s="1"/>
  <c r="Q43" i="1"/>
  <c r="P43" i="1"/>
  <c r="N43" i="1"/>
  <c r="O43" i="1" s="1"/>
  <c r="F43" i="1"/>
  <c r="K43" i="1" s="1"/>
  <c r="A43" i="1"/>
  <c r="A44" i="1" s="1"/>
  <c r="A45" i="1" s="1"/>
  <c r="A46" i="1" s="1"/>
  <c r="A48" i="1" s="1"/>
  <c r="A53" i="1" s="1"/>
  <c r="A55" i="1" s="1"/>
  <c r="A56" i="1" s="1"/>
  <c r="A58" i="1" s="1"/>
  <c r="A60" i="1" s="1"/>
  <c r="A62" i="1" s="1"/>
  <c r="A63" i="1" s="1"/>
  <c r="A64" i="1" s="1"/>
  <c r="A65" i="1" s="1"/>
  <c r="S42" i="1"/>
  <c r="T42" i="1" s="1"/>
  <c r="U42" i="1" s="1"/>
  <c r="P42" i="1"/>
  <c r="Q42" i="1" s="1"/>
  <c r="N42" i="1"/>
  <c r="O42" i="1" s="1"/>
  <c r="K42" i="1"/>
  <c r="F42" i="1"/>
  <c r="G42" i="1" s="1"/>
  <c r="L42" i="1" s="1"/>
  <c r="T41" i="1"/>
  <c r="P41" i="1"/>
  <c r="Q41" i="1" s="1"/>
  <c r="N41" i="1"/>
  <c r="O41" i="1" s="1"/>
  <c r="S40" i="1"/>
  <c r="T40" i="1" s="1"/>
  <c r="U40" i="1" s="1"/>
  <c r="P40" i="1"/>
  <c r="Q40" i="1" s="1"/>
  <c r="N40" i="1"/>
  <c r="O40" i="1" s="1"/>
  <c r="G40" i="1"/>
  <c r="L40" i="1" s="1"/>
  <c r="F40" i="1"/>
  <c r="K40" i="1" s="1"/>
  <c r="S39" i="1"/>
  <c r="T39" i="1" s="1"/>
  <c r="U39" i="1" s="1"/>
  <c r="P39" i="1"/>
  <c r="Q39" i="1" s="1"/>
  <c r="N39" i="1"/>
  <c r="O39" i="1" s="1"/>
  <c r="F39" i="1"/>
  <c r="K39" i="1" s="1"/>
  <c r="S38" i="1"/>
  <c r="T38" i="1" s="1"/>
  <c r="U38" i="1" s="1"/>
  <c r="P38" i="1"/>
  <c r="D38" i="1"/>
  <c r="Q38" i="1" s="1"/>
  <c r="S37" i="1"/>
  <c r="T37" i="1" s="1"/>
  <c r="U37" i="1" s="1"/>
  <c r="P37" i="1"/>
  <c r="Q37" i="1" s="1"/>
  <c r="N37" i="1"/>
  <c r="O37" i="1" s="1"/>
  <c r="F37" i="1"/>
  <c r="G37" i="1" s="1"/>
  <c r="L37" i="1" s="1"/>
  <c r="S36" i="1"/>
  <c r="T36" i="1" s="1"/>
  <c r="U36" i="1" s="1"/>
  <c r="P36" i="1"/>
  <c r="D36" i="1"/>
  <c r="N36" i="1" s="1"/>
  <c r="O36" i="1" s="1"/>
  <c r="T35" i="1"/>
  <c r="U35" i="1" s="1"/>
  <c r="S35" i="1"/>
  <c r="P35" i="1"/>
  <c r="Q35" i="1" s="1"/>
  <c r="N35" i="1"/>
  <c r="O35" i="1" s="1"/>
  <c r="F35" i="1"/>
  <c r="K35" i="1" s="1"/>
  <c r="S34" i="1"/>
  <c r="T34" i="1" s="1"/>
  <c r="U34" i="1" s="1"/>
  <c r="W34" i="1" s="1"/>
  <c r="P34" i="1"/>
  <c r="M34" i="1"/>
  <c r="D34" i="1"/>
  <c r="N34" i="1" s="1"/>
  <c r="O34" i="1" s="1"/>
  <c r="Q33" i="1"/>
  <c r="P33" i="1"/>
  <c r="M33" i="1"/>
  <c r="S33" i="1" s="1"/>
  <c r="T33" i="1" s="1"/>
  <c r="U33" i="1" s="1"/>
  <c r="W33" i="1" s="1"/>
  <c r="T32" i="1"/>
  <c r="U32" i="1" s="1"/>
  <c r="S32" i="1"/>
  <c r="P32" i="1"/>
  <c r="Q32" i="1" s="1"/>
  <c r="N32" i="1"/>
  <c r="O32" i="1" s="1"/>
  <c r="F32" i="1"/>
  <c r="K32" i="1" s="1"/>
  <c r="S31" i="1"/>
  <c r="T31" i="1" s="1"/>
  <c r="U31" i="1" s="1"/>
  <c r="W31" i="1" s="1"/>
  <c r="P31" i="1"/>
  <c r="Q31" i="1" s="1"/>
  <c r="M31" i="1"/>
  <c r="N31" i="1" s="1"/>
  <c r="O31" i="1" s="1"/>
  <c r="S30" i="1"/>
  <c r="T30" i="1" s="1"/>
  <c r="U30" i="1" s="1"/>
  <c r="P30" i="1"/>
  <c r="Q30" i="1" s="1"/>
  <c r="O30" i="1"/>
  <c r="N30" i="1"/>
  <c r="F30" i="1"/>
  <c r="K30" i="1" s="1"/>
  <c r="P29" i="1"/>
  <c r="Q29" i="1" s="1"/>
  <c r="N29" i="1"/>
  <c r="O29" i="1" s="1"/>
  <c r="M29" i="1"/>
  <c r="S29" i="1" s="1"/>
  <c r="T29" i="1" s="1"/>
  <c r="U29" i="1" s="1"/>
  <c r="P28" i="1"/>
  <c r="Q28" i="1" s="1"/>
  <c r="M28" i="1"/>
  <c r="S28" i="1" s="1"/>
  <c r="T28" i="1" s="1"/>
  <c r="U28" i="1" s="1"/>
  <c r="P27" i="1"/>
  <c r="Q27" i="1" s="1"/>
  <c r="M27" i="1"/>
  <c r="S27" i="1" s="1"/>
  <c r="T27" i="1" s="1"/>
  <c r="U27" i="1" s="1"/>
  <c r="P26" i="1"/>
  <c r="Q26" i="1" s="1"/>
  <c r="M26" i="1"/>
  <c r="N26" i="1" s="1"/>
  <c r="O26" i="1" s="1"/>
  <c r="R25" i="1"/>
  <c r="P25" i="1"/>
  <c r="Q25" i="1" s="1"/>
  <c r="M25" i="1"/>
  <c r="S25" i="1" s="1"/>
  <c r="T25" i="1" s="1"/>
  <c r="U25" i="1" s="1"/>
  <c r="T24" i="1"/>
  <c r="S24" i="1"/>
  <c r="P24" i="1"/>
  <c r="Q24" i="1" s="1"/>
  <c r="N24" i="1"/>
  <c r="O24" i="1" s="1"/>
  <c r="J24" i="1"/>
  <c r="L24" i="1" s="1"/>
  <c r="I24" i="1"/>
  <c r="K24" i="1" s="1"/>
  <c r="S23" i="1"/>
  <c r="T23" i="1" s="1"/>
  <c r="U23" i="1" s="1"/>
  <c r="P23" i="1"/>
  <c r="Q23" i="1" s="1"/>
  <c r="V23" i="1" s="1"/>
  <c r="O23" i="1"/>
  <c r="N23" i="1"/>
  <c r="F23" i="1"/>
  <c r="K23" i="1" s="1"/>
  <c r="P22" i="1"/>
  <c r="Q22" i="1" s="1"/>
  <c r="M22" i="1"/>
  <c r="T21" i="1"/>
  <c r="U21" i="1" s="1"/>
  <c r="S21" i="1"/>
  <c r="P21" i="1"/>
  <c r="Q21" i="1" s="1"/>
  <c r="R21" i="1" s="1"/>
  <c r="F21" i="1"/>
  <c r="G21" i="1" s="1"/>
  <c r="L21" i="1" s="1"/>
  <c r="T20" i="1"/>
  <c r="S20" i="1"/>
  <c r="P20" i="1"/>
  <c r="Q20" i="1" s="1"/>
  <c r="S19" i="1"/>
  <c r="T19" i="1" s="1"/>
  <c r="U19" i="1" s="1"/>
  <c r="P19" i="1"/>
  <c r="Q19" i="1" s="1"/>
  <c r="G19" i="1"/>
  <c r="L19" i="1" s="1"/>
  <c r="F19" i="1"/>
  <c r="K19" i="1" s="1"/>
  <c r="S18" i="1"/>
  <c r="T18" i="1" s="1"/>
  <c r="U18" i="1" s="1"/>
  <c r="P18" i="1"/>
  <c r="Q18" i="1" s="1"/>
  <c r="R18" i="1" s="1"/>
  <c r="D18" i="1"/>
  <c r="I18" i="1" s="1"/>
  <c r="U17" i="1"/>
  <c r="S17" i="1"/>
  <c r="T17" i="1" s="1"/>
  <c r="P17" i="1"/>
  <c r="Q17" i="1" s="1"/>
  <c r="L17" i="1"/>
  <c r="G17" i="1"/>
  <c r="F17" i="1"/>
  <c r="K17" i="1" s="1"/>
  <c r="S16" i="1"/>
  <c r="T16" i="1" s="1"/>
  <c r="U16" i="1" s="1"/>
  <c r="P16" i="1"/>
  <c r="Q16" i="1" s="1"/>
  <c r="R16" i="1" s="1"/>
  <c r="F16" i="1"/>
  <c r="G16" i="1" s="1"/>
  <c r="L16" i="1" s="1"/>
  <c r="T15" i="1"/>
  <c r="S15" i="1"/>
  <c r="P15" i="1"/>
  <c r="Q15" i="1" s="1"/>
  <c r="S14" i="1"/>
  <c r="T14" i="1" s="1"/>
  <c r="P14" i="1"/>
  <c r="Q14" i="1" s="1"/>
  <c r="R14" i="1" s="1"/>
  <c r="K14" i="1"/>
  <c r="G14" i="1"/>
  <c r="L14" i="1" s="1"/>
  <c r="F14" i="1"/>
  <c r="S13" i="1"/>
  <c r="T13" i="1" s="1"/>
  <c r="U13" i="1" s="1"/>
  <c r="P13" i="1"/>
  <c r="Q13" i="1" s="1"/>
  <c r="F13" i="1"/>
  <c r="G13" i="1" s="1"/>
  <c r="L13" i="1" s="1"/>
  <c r="S12" i="1"/>
  <c r="T12" i="1" s="1"/>
  <c r="U12" i="1" s="1"/>
  <c r="P12" i="1"/>
  <c r="Q12" i="1" s="1"/>
  <c r="F12" i="1"/>
  <c r="K12" i="1" s="1"/>
  <c r="S11" i="1"/>
  <c r="T11" i="1" s="1"/>
  <c r="U11" i="1" s="1"/>
  <c r="E11" i="1"/>
  <c r="P11" i="1" s="1"/>
  <c r="Q11" i="1" s="1"/>
  <c r="V11" i="1" s="1"/>
  <c r="S10" i="1"/>
  <c r="T10" i="1" s="1"/>
  <c r="U10" i="1" s="1"/>
  <c r="P10" i="1"/>
  <c r="Q10" i="1" s="1"/>
  <c r="K10" i="1"/>
  <c r="F10" i="1"/>
  <c r="G10" i="1" s="1"/>
  <c r="L10" i="1" s="1"/>
  <c r="A10" i="1"/>
  <c r="A11" i="1" s="1"/>
  <c r="A12" i="1" s="1"/>
  <c r="A13" i="1" s="1"/>
  <c r="A14" i="1" s="1"/>
  <c r="A16" i="1" s="1"/>
  <c r="A17" i="1" s="1"/>
  <c r="A19" i="1" s="1"/>
  <c r="A21" i="1" s="1"/>
  <c r="A23" i="1" s="1"/>
  <c r="A30" i="1" s="1"/>
  <c r="A32" i="1" s="1"/>
  <c r="A35" i="1" s="1"/>
  <c r="A37" i="1" s="1"/>
  <c r="A39" i="1" s="1"/>
  <c r="A40" i="1" s="1"/>
  <c r="S9" i="1"/>
  <c r="T9" i="1" s="1"/>
  <c r="U9" i="1" s="1"/>
  <c r="P9" i="1"/>
  <c r="Q9" i="1" s="1"/>
  <c r="F9" i="1"/>
  <c r="K9" i="1" s="1"/>
  <c r="J18" i="1" l="1"/>
  <c r="K18" i="1"/>
  <c r="W16" i="1"/>
  <c r="W59" i="1"/>
  <c r="W18" i="1"/>
  <c r="G53" i="1"/>
  <c r="L53" i="1" s="1"/>
  <c r="G56" i="1"/>
  <c r="L56" i="1" s="1"/>
  <c r="K21" i="1"/>
  <c r="N25" i="1"/>
  <c r="O25" i="1" s="1"/>
  <c r="K37" i="1"/>
  <c r="G58" i="1"/>
  <c r="L58" i="1" s="1"/>
  <c r="W21" i="1"/>
  <c r="Q34" i="1"/>
  <c r="K73" i="1"/>
  <c r="V70" i="1"/>
  <c r="T79" i="1"/>
  <c r="U79" i="1" s="1"/>
  <c r="K66" i="1"/>
  <c r="G30" i="1"/>
  <c r="L30" i="1" s="1"/>
  <c r="K46" i="1"/>
  <c r="F55" i="1"/>
  <c r="G55" i="1" s="1"/>
  <c r="L55" i="1" s="1"/>
  <c r="N71" i="1"/>
  <c r="O71" i="1" s="1"/>
  <c r="F11" i="1"/>
  <c r="K13" i="1"/>
  <c r="S26" i="1"/>
  <c r="T26" i="1" s="1"/>
  <c r="U26" i="1" s="1"/>
  <c r="V71" i="1"/>
  <c r="W48" i="1"/>
  <c r="G23" i="1"/>
  <c r="L23" i="1" s="1"/>
  <c r="N27" i="1"/>
  <c r="O27" i="1" s="1"/>
  <c r="J54" i="1"/>
  <c r="L54" i="1" s="1"/>
  <c r="Q57" i="1"/>
  <c r="R57" i="1" s="1"/>
  <c r="W57" i="1" s="1"/>
  <c r="K59" i="1"/>
  <c r="K16" i="1"/>
  <c r="G43" i="1"/>
  <c r="L43" i="1" s="1"/>
  <c r="K63" i="1"/>
  <c r="T77" i="1"/>
  <c r="U77" i="1" s="1"/>
  <c r="V13" i="1"/>
  <c r="R13" i="1"/>
  <c r="W13" i="1" s="1"/>
  <c r="U14" i="1"/>
  <c r="V14" i="1"/>
  <c r="V10" i="1"/>
  <c r="R10" i="1"/>
  <c r="W10" i="1" s="1"/>
  <c r="V9" i="1"/>
  <c r="R9" i="1"/>
  <c r="V12" i="1"/>
  <c r="R12" i="1"/>
  <c r="W12" i="1" s="1"/>
  <c r="W14" i="1"/>
  <c r="V16" i="1"/>
  <c r="V25" i="1"/>
  <c r="V29" i="1"/>
  <c r="R29" i="1"/>
  <c r="W29" i="1" s="1"/>
  <c r="V46" i="1"/>
  <c r="R46" i="1"/>
  <c r="W46" i="1" s="1"/>
  <c r="G9" i="1"/>
  <c r="R11" i="1"/>
  <c r="W11" i="1" s="1"/>
  <c r="G12" i="1"/>
  <c r="L12" i="1" s="1"/>
  <c r="V18" i="1"/>
  <c r="V21" i="1"/>
  <c r="V27" i="1"/>
  <c r="R27" i="1"/>
  <c r="W27" i="1" s="1"/>
  <c r="V28" i="1"/>
  <c r="V42" i="1"/>
  <c r="R42" i="1"/>
  <c r="W42" i="1" s="1"/>
  <c r="V47" i="1"/>
  <c r="V17" i="1"/>
  <c r="R17" i="1"/>
  <c r="W17" i="1" s="1"/>
  <c r="S22" i="1"/>
  <c r="T22" i="1" s="1"/>
  <c r="U22" i="1" s="1"/>
  <c r="W22" i="1" s="1"/>
  <c r="N22" i="1"/>
  <c r="O22" i="1" s="1"/>
  <c r="V30" i="1"/>
  <c r="V31" i="1"/>
  <c r="V32" i="1"/>
  <c r="R32" i="1"/>
  <c r="W32" i="1" s="1"/>
  <c r="V34" i="1"/>
  <c r="V35" i="1"/>
  <c r="R35" i="1"/>
  <c r="W35" i="1" s="1"/>
  <c r="V38" i="1"/>
  <c r="R38" i="1"/>
  <c r="W38" i="1" s="1"/>
  <c r="L18" i="1"/>
  <c r="V19" i="1"/>
  <c r="R19" i="1"/>
  <c r="W19" i="1" s="1"/>
  <c r="W25" i="1"/>
  <c r="V33" i="1"/>
  <c r="V37" i="1"/>
  <c r="R37" i="1"/>
  <c r="W37" i="1" s="1"/>
  <c r="V39" i="1"/>
  <c r="R39" i="1"/>
  <c r="W39" i="1" s="1"/>
  <c r="V40" i="1"/>
  <c r="V43" i="1"/>
  <c r="V44" i="1"/>
  <c r="R44" i="1"/>
  <c r="W44" i="1" s="1"/>
  <c r="V45" i="1"/>
  <c r="N28" i="1"/>
  <c r="O28" i="1" s="1"/>
  <c r="R28" i="1"/>
  <c r="W28" i="1" s="1"/>
  <c r="G32" i="1"/>
  <c r="L32" i="1" s="1"/>
  <c r="G35" i="1"/>
  <c r="L35" i="1" s="1"/>
  <c r="I38" i="1"/>
  <c r="N38" i="1"/>
  <c r="O38" i="1" s="1"/>
  <c r="G39" i="1"/>
  <c r="L39" i="1" s="1"/>
  <c r="R43" i="1"/>
  <c r="W43" i="1" s="1"/>
  <c r="G44" i="1"/>
  <c r="L44" i="1" s="1"/>
  <c r="N47" i="1"/>
  <c r="O47" i="1" s="1"/>
  <c r="S50" i="1"/>
  <c r="T50" i="1" s="1"/>
  <c r="U50" i="1" s="1"/>
  <c r="W50" i="1" s="1"/>
  <c r="N50" i="1"/>
  <c r="O50" i="1" s="1"/>
  <c r="S52" i="1"/>
  <c r="T52" i="1" s="1"/>
  <c r="U52" i="1" s="1"/>
  <c r="W52" i="1" s="1"/>
  <c r="N52" i="1"/>
  <c r="O52" i="1" s="1"/>
  <c r="V55" i="1"/>
  <c r="V56" i="1"/>
  <c r="R56" i="1"/>
  <c r="W56" i="1" s="1"/>
  <c r="V58" i="1"/>
  <c r="R58" i="1"/>
  <c r="W58" i="1" s="1"/>
  <c r="V59" i="1"/>
  <c r="V60" i="1"/>
  <c r="R60" i="1"/>
  <c r="W60" i="1" s="1"/>
  <c r="V63" i="1"/>
  <c r="R63" i="1"/>
  <c r="W63" i="1" s="1"/>
  <c r="V73" i="1"/>
  <c r="R73" i="1"/>
  <c r="W73" i="1" s="1"/>
  <c r="Q36" i="1"/>
  <c r="V48" i="1"/>
  <c r="V53" i="1"/>
  <c r="R53" i="1"/>
  <c r="W53" i="1" s="1"/>
  <c r="V64" i="1"/>
  <c r="V65" i="1"/>
  <c r="R65" i="1"/>
  <c r="W65" i="1" s="1"/>
  <c r="V76" i="1"/>
  <c r="R76" i="1"/>
  <c r="W76" i="1" s="1"/>
  <c r="V78" i="1"/>
  <c r="R78" i="1"/>
  <c r="W78" i="1" s="1"/>
  <c r="V80" i="1"/>
  <c r="R80" i="1"/>
  <c r="W80" i="1" s="1"/>
  <c r="R23" i="1"/>
  <c r="W23" i="1" s="1"/>
  <c r="R26" i="1"/>
  <c r="W26" i="1" s="1"/>
  <c r="R30" i="1"/>
  <c r="W30" i="1" s="1"/>
  <c r="N33" i="1"/>
  <c r="O33" i="1" s="1"/>
  <c r="I36" i="1"/>
  <c r="R40" i="1"/>
  <c r="W40" i="1" s="1"/>
  <c r="R45" i="1"/>
  <c r="W45" i="1" s="1"/>
  <c r="S49" i="1"/>
  <c r="T49" i="1" s="1"/>
  <c r="N49" i="1"/>
  <c r="O49" i="1" s="1"/>
  <c r="S51" i="1"/>
  <c r="T51" i="1" s="1"/>
  <c r="N51" i="1"/>
  <c r="O51" i="1" s="1"/>
  <c r="K55" i="1"/>
  <c r="K57" i="1"/>
  <c r="V62" i="1"/>
  <c r="V66" i="1"/>
  <c r="R66" i="1"/>
  <c r="W66" i="1" s="1"/>
  <c r="V68" i="1"/>
  <c r="V69" i="1"/>
  <c r="K75" i="1"/>
  <c r="G75" i="1"/>
  <c r="L75" i="1" s="1"/>
  <c r="K76" i="1"/>
  <c r="Q77" i="1"/>
  <c r="K80" i="1"/>
  <c r="R64" i="1"/>
  <c r="W64" i="1" s="1"/>
  <c r="G65" i="1"/>
  <c r="L65" i="1" s="1"/>
  <c r="N67" i="1"/>
  <c r="O67" i="1" s="1"/>
  <c r="J74" i="1"/>
  <c r="L74" i="1" s="1"/>
  <c r="P75" i="1"/>
  <c r="Q75" i="1" s="1"/>
  <c r="I77" i="1"/>
  <c r="G78" i="1"/>
  <c r="L78" i="1" s="1"/>
  <c r="Q79" i="1"/>
  <c r="R62" i="1"/>
  <c r="W62" i="1" s="1"/>
  <c r="R68" i="1"/>
  <c r="W68" i="1" s="1"/>
  <c r="I79" i="1"/>
  <c r="K11" i="1" l="1"/>
  <c r="G11" i="1"/>
  <c r="L11" i="1" s="1"/>
  <c r="V57" i="1"/>
  <c r="V26" i="1"/>
  <c r="V79" i="1"/>
  <c r="R79" i="1"/>
  <c r="W79" i="1" s="1"/>
  <c r="V75" i="1"/>
  <c r="R75" i="1"/>
  <c r="W75" i="1" s="1"/>
  <c r="U49" i="1"/>
  <c r="W49" i="1" s="1"/>
  <c r="V49" i="1"/>
  <c r="V36" i="1"/>
  <c r="R36" i="1"/>
  <c r="W36" i="1" s="1"/>
  <c r="V50" i="1"/>
  <c r="W9" i="1"/>
  <c r="O81" i="1"/>
  <c r="K79" i="1"/>
  <c r="J79" i="1"/>
  <c r="L79" i="1" s="1"/>
  <c r="V77" i="1"/>
  <c r="R77" i="1"/>
  <c r="W77" i="1" s="1"/>
  <c r="U51" i="1"/>
  <c r="W51" i="1" s="1"/>
  <c r="V51" i="1"/>
  <c r="K77" i="1"/>
  <c r="J77" i="1"/>
  <c r="L77" i="1" s="1"/>
  <c r="J36" i="1"/>
  <c r="K36" i="1"/>
  <c r="K38" i="1"/>
  <c r="J38" i="1"/>
  <c r="L38" i="1" s="1"/>
  <c r="V52" i="1"/>
  <c r="G81" i="1"/>
  <c r="L9" i="1"/>
  <c r="V22" i="1"/>
  <c r="V81" i="1" l="1"/>
  <c r="R81" i="1"/>
  <c r="W81" i="1"/>
  <c r="L36" i="1"/>
  <c r="L81" i="1" s="1"/>
  <c r="J81" i="1"/>
  <c r="U81" i="1"/>
</calcChain>
</file>

<file path=xl/sharedStrings.xml><?xml version="1.0" encoding="utf-8"?>
<sst xmlns="http://schemas.openxmlformats.org/spreadsheetml/2006/main" count="209" uniqueCount="112">
  <si>
    <t>№ п/п</t>
  </si>
  <si>
    <t>Наименование материалов</t>
  </si>
  <si>
    <t>Ед.изм</t>
  </si>
  <si>
    <t>Кол-во</t>
  </si>
  <si>
    <t>ООО "ЭлектроЭнергетика"</t>
  </si>
  <si>
    <t>Собственные материалы</t>
  </si>
  <si>
    <t>Ксмр</t>
  </si>
  <si>
    <t>Кмтр</t>
  </si>
  <si>
    <t>ООО КиКГКОСТРОЙ - старые сметы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</si>
  <si>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</si>
  <si>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</si>
  <si>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</si>
  <si>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</si>
  <si>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</si>
  <si>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</si>
  <si>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</si>
  <si>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</si>
  <si>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Ремонт СП12 - Электрифицированный путь у ЛСЦ</t>
  </si>
  <si>
    <t>Ремонтно-восстановительные работы на пути 11</t>
  </si>
  <si>
    <t xml:space="preserve">Демонтаж рельсошпальной решётки </t>
  </si>
  <si>
    <t>1</t>
  </si>
  <si>
    <t>Очистка  шпал от мусора, бетонного боя, грунта и пр.</t>
  </si>
  <si>
    <t>м3</t>
  </si>
  <si>
    <t>Демонтаж стяжек рельсовых металлических</t>
  </si>
  <si>
    <t>шт.</t>
  </si>
  <si>
    <t>Разборка стыков Р-50 (демонтаж стыковых накладок)</t>
  </si>
  <si>
    <t>Расшивка шпал деревянных (скрепление Д-50 -742шт.)</t>
  </si>
  <si>
    <t>к-т</t>
  </si>
  <si>
    <t xml:space="preserve">Демонтаж рельс Р-50 звеньями до 12,5м </t>
  </si>
  <si>
    <t>м</t>
  </si>
  <si>
    <t>Демонтаж шпал деревянных</t>
  </si>
  <si>
    <t>Подготовка зем. полотна (уборка старого)</t>
  </si>
  <si>
    <t>Очистка основания жд. путей после демонтажа РШР от загрязнённого щебня, мусора, грунта и пр.</t>
  </si>
  <si>
    <t>Внесение дополнительного щебня в основание пути</t>
  </si>
  <si>
    <t>8.1</t>
  </si>
  <si>
    <t>Щебень балластный кат.2</t>
  </si>
  <si>
    <t xml:space="preserve">Уплотнение основания балластного  </t>
  </si>
  <si>
    <t>м2</t>
  </si>
  <si>
    <t>Монтажные работы</t>
  </si>
  <si>
    <t>Укладка шпал ж.б., с эпюрой 1840</t>
  </si>
  <si>
    <t>10.1</t>
  </si>
  <si>
    <t xml:space="preserve">Шпала ж.б </t>
  </si>
  <si>
    <t>Монтаж скрепления КБ65 (796шт.)</t>
  </si>
  <si>
    <t>11.1</t>
  </si>
  <si>
    <t>Комплект скрепления КБ 65 на шпалу (новые), в составе:</t>
  </si>
  <si>
    <t>11.2</t>
  </si>
  <si>
    <t xml:space="preserve">Подкладка КБ-65 </t>
  </si>
  <si>
    <t>11.3</t>
  </si>
  <si>
    <t>Болт закладной М22Х175 в сборе</t>
  </si>
  <si>
    <t>11.4</t>
  </si>
  <si>
    <t>Болт клеммный М22Х75 в сборе</t>
  </si>
  <si>
    <t>11.5</t>
  </si>
  <si>
    <t>Прокладка ЦП-143</t>
  </si>
  <si>
    <t>11.6</t>
  </si>
  <si>
    <t>Прокладка ЦП-328</t>
  </si>
  <si>
    <t>Монтаж рельс звеньями по 12,5м (35 шт.)</t>
  </si>
  <si>
    <t>12.1</t>
  </si>
  <si>
    <t>Рельс новый 12,5 м РП65 ДТ350</t>
  </si>
  <si>
    <t>Монтаж стыковочных накладок Р-65 (6-ти отверстных)</t>
  </si>
  <si>
    <t>13.1</t>
  </si>
  <si>
    <t>Накладка 6-дырная Р65</t>
  </si>
  <si>
    <t>компл.</t>
  </si>
  <si>
    <t>13.2</t>
  </si>
  <si>
    <t>Болт стыковой в сборе</t>
  </si>
  <si>
    <t>Балластировка путей</t>
  </si>
  <si>
    <t>14.1</t>
  </si>
  <si>
    <t>Выправка пути</t>
  </si>
  <si>
    <t>15.1</t>
  </si>
  <si>
    <t>Рихтовка пути</t>
  </si>
  <si>
    <t>Погрузка  балансодержателю демонтированных элементов (шпалы, рельсы, скрепления, болты)</t>
  </si>
  <si>
    <t>т</t>
  </si>
  <si>
    <t>Замена деревянного бруса на стрелочном переводе 126 (1/9)</t>
  </si>
  <si>
    <t>19</t>
  </si>
  <si>
    <t>Очистка межшпальных ящиков от грунта, боя и мусора</t>
  </si>
  <si>
    <t>Демонтаж переводного механизма (флюгарки)</t>
  </si>
  <si>
    <t>Демонтаж скреплений (расшивка костылей, шурупов)</t>
  </si>
  <si>
    <t xml:space="preserve">Демонтаж бруса деревянного на стрелочном переводе </t>
  </si>
  <si>
    <t xml:space="preserve">Монтаж бруса деревянного на стрелочном переводе </t>
  </si>
  <si>
    <t>23.1</t>
  </si>
  <si>
    <t>Брус деревянный для стрелочных переводов</t>
  </si>
  <si>
    <t>Закрепление шпал/ брусьев (монтаж скреплений)</t>
  </si>
  <si>
    <t>24.1</t>
  </si>
  <si>
    <t>Подкладка СД65</t>
  </si>
  <si>
    <t>шт</t>
  </si>
  <si>
    <t>24.2</t>
  </si>
  <si>
    <t>Прокладка резиновая ЦП-362</t>
  </si>
  <si>
    <t>24.3</t>
  </si>
  <si>
    <t>Костыли</t>
  </si>
  <si>
    <t>24.4</t>
  </si>
  <si>
    <t>Шурупы</t>
  </si>
  <si>
    <t>Монтаж бруса деревянного под переводные механизмы</t>
  </si>
  <si>
    <t>25.1</t>
  </si>
  <si>
    <t xml:space="preserve">Брус деревянный L-5.25м. </t>
  </si>
  <si>
    <t>Монтаж ранее демонтированного переводного механизма (флюгарки)</t>
  </si>
  <si>
    <t>Балластировка  стрелочного перевода</t>
  </si>
  <si>
    <t>27.1</t>
  </si>
  <si>
    <t>Выправка и рихтовка стрелочного перевода</t>
  </si>
  <si>
    <t>28.1</t>
  </si>
  <si>
    <t>Погрузка отходов бруса деревянного в автомобили</t>
  </si>
  <si>
    <t>Замена деревянного бруса на стрелочном переводе 12 (1/9)</t>
  </si>
  <si>
    <t>34.1</t>
  </si>
  <si>
    <t xml:space="preserve">Брус деревянный для стрелочных переводов </t>
  </si>
  <si>
    <t>36.3</t>
  </si>
  <si>
    <t xml:space="preserve">Подкладка СД50 </t>
  </si>
  <si>
    <t>Прокладка резиновая ОП 68-74</t>
  </si>
  <si>
    <t>36.4</t>
  </si>
  <si>
    <t>36.5</t>
  </si>
  <si>
    <t>37.1</t>
  </si>
  <si>
    <t>39.1</t>
  </si>
  <si>
    <t>40.1</t>
  </si>
  <si>
    <t>Итого ВСЕГО</t>
  </si>
  <si>
    <t>с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</si>
</sst>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\ ##0.00"/>
    <numFmt numFmtId="165" formatCode="0.00000000"/>
    <numFmt numFmtId="166" formatCode="_-* #,##0_-;\-* #,##0_-;_-* &quot;-&quot;??_-;_-@_-"/>
    <numFmt numFmtId="167" formatCode="_-* #\ ##0.00_-;\-* #\ ##0.00_-;_-* &quot;-&quot;??_-;_-@_-"/>
    <numFmt numFmtId="168" formatCode="_-* #,##0\ _₽_-;\-* #,##0\ _₽_-;_-* &quot;-&quot;??\ _₽_-;_-@_-"/>
    <numFmt numFmtId="169" formatCode="_-* #\ ##0_-;\-* #\ ##0_-;_-* &quot;-&quot;??_-;_-@_-"/>
    <numFmt numFmtId="170" formatCode="0.0"/>
    <numFmt numFmtId="171" formatCode="_-* #,##0.00\ _₽_-;\-* #,##0.00\ _₽_-;_-* &quot;-&quot;??\ _₽_-;_-@_-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1"/>
      <color theme="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>
      <alignment vertical="top"/>
    </xf>
    <xf numFmtId="0" fontId="6" fillId="0" borderId="0"/>
  </cellStyleXfs>
  <cellXfs count="158">
    <xf numFmtId="0" fontId="0" fillId="0" borderId="0" xfId="0"/>
    <xf numFmtId="0" fontId="1" fillId="4" borderId="0" xfId="3" applyFill="1"/>
    <xf numFmtId="0" fontId="1" fillId="5" borderId="0" xfId="3" applyFill="1"/>
    <xf numFmtId="165" fontId="1" fillId="5" borderId="0" xfId="3" applyNumberFormat="1" applyFill="1"/>
    <xf numFmtId="0" fontId="4" fillId="0" borderId="0" xfId="1" applyFont="1"/>
    <xf numFmtId="4" fontId="3" fillId="2" borderId="3" xfId="1" applyNumberFormat="1" applyFont="1" applyFill="1" applyBorder="1" applyAlignment="1">
      <alignment horizontal="center" vertical="center" wrapText="1"/>
    </xf>
    <xf numFmtId="166" fontId="3" fillId="2" borderId="3" xfId="4" applyNumberFormat="1" applyFont="1" applyFill="1" applyBorder="1" applyAlignment="1">
      <alignment vertical="center"/>
    </xf>
    <xf numFmtId="4" fontId="3" fillId="2" borderId="16" xfId="1" applyNumberFormat="1" applyFont="1" applyFill="1" applyBorder="1" applyAlignment="1">
      <alignment horizontal="center" vertical="center" wrapText="1"/>
    </xf>
    <xf numFmtId="164" fontId="3" fillId="3" borderId="21" xfId="2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 applyAlignment="1">
      <alignment horizontal="center" vertical="center" wrapText="1"/>
    </xf>
    <xf numFmtId="4" fontId="5" fillId="3" borderId="22" xfId="5" applyNumberFormat="1" applyFont="1" applyFill="1" applyBorder="1" applyAlignment="1">
      <alignment horizontal="center" vertical="center" wrapText="1"/>
    </xf>
    <xf numFmtId="164" fontId="3" fillId="4" borderId="14" xfId="3" applyNumberFormat="1" applyFont="1" applyFill="1" applyBorder="1" applyAlignment="1">
      <alignment horizontal="center" vertical="center" wrapText="1"/>
    </xf>
    <xf numFmtId="4" fontId="3" fillId="4" borderId="14" xfId="3" applyNumberFormat="1" applyFont="1" applyFill="1" applyBorder="1" applyAlignment="1">
      <alignment horizontal="center" vertical="center" wrapText="1"/>
    </xf>
    <xf numFmtId="4" fontId="5" fillId="4" borderId="14" xfId="5" applyNumberFormat="1" applyFont="1" applyFill="1" applyBorder="1" applyAlignment="1">
      <alignment horizontal="center" vertical="center" wrapText="1"/>
    </xf>
    <xf numFmtId="164" fontId="3" fillId="4" borderId="16" xfId="3" applyNumberFormat="1" applyFont="1" applyFill="1" applyBorder="1" applyAlignment="1">
      <alignment horizontal="center" vertical="center" wrapText="1"/>
    </xf>
    <xf numFmtId="4" fontId="5" fillId="4" borderId="15" xfId="5" applyNumberFormat="1" applyFont="1" applyFill="1" applyBorder="1" applyAlignment="1">
      <alignment horizontal="center" vertical="center" wrapText="1"/>
    </xf>
    <xf numFmtId="4" fontId="3" fillId="4" borderId="15" xfId="3" applyNumberFormat="1" applyFont="1" applyFill="1" applyBorder="1" applyAlignment="1">
      <alignment horizontal="center" vertical="center" wrapText="1"/>
    </xf>
    <xf numFmtId="1" fontId="3" fillId="0" borderId="3" xfId="6" applyNumberFormat="1" applyFont="1" applyBorder="1" applyAlignment="1">
      <alignment horizontal="center" vertical="center"/>
    </xf>
    <xf numFmtId="0" fontId="3" fillId="0" borderId="3" xfId="6" applyFont="1" applyBorder="1" applyAlignment="1">
      <alignment horizontal="center" vertical="center"/>
    </xf>
    <xf numFmtId="0" fontId="3" fillId="0" borderId="3" xfId="6" applyFont="1" applyBorder="1" applyAlignment="1">
      <alignment horizontal="right" vertical="center"/>
    </xf>
    <xf numFmtId="0" fontId="3" fillId="0" borderId="8" xfId="6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3" fillId="0" borderId="23" xfId="6" applyFont="1" applyBorder="1" applyAlignment="1">
      <alignment horizontal="center" vertical="center"/>
    </xf>
    <xf numFmtId="3" fontId="3" fillId="0" borderId="8" xfId="6" applyNumberFormat="1" applyFont="1" applyBorder="1" applyAlignment="1">
      <alignment horizontal="center" vertical="center"/>
    </xf>
    <xf numFmtId="3" fontId="3" fillId="0" borderId="24" xfId="6" applyNumberFormat="1" applyFont="1" applyBorder="1" applyAlignment="1">
      <alignment horizontal="center" vertical="center"/>
    </xf>
    <xf numFmtId="3" fontId="3" fillId="0" borderId="0" xfId="6" applyNumberFormat="1" applyFont="1" applyAlignment="1">
      <alignment horizontal="center" vertical="center"/>
    </xf>
    <xf numFmtId="3" fontId="3" fillId="0" borderId="4" xfId="6" applyNumberFormat="1" applyFont="1" applyBorder="1" applyAlignment="1">
      <alignment horizontal="center" vertical="center"/>
    </xf>
    <xf numFmtId="3" fontId="3" fillId="0" borderId="9" xfId="6" applyNumberFormat="1" applyFont="1" applyBorder="1" applyAlignment="1">
      <alignment horizontal="center" vertical="center"/>
    </xf>
    <xf numFmtId="0" fontId="7" fillId="6" borderId="16" xfId="1" applyFont="1" applyFill="1" applyBorder="1" applyAlignment="1">
      <alignment horizontal="left" vertical="center"/>
    </xf>
    <xf numFmtId="0" fontId="7" fillId="6" borderId="14" xfId="1" applyFont="1" applyFill="1" applyBorder="1" applyAlignment="1">
      <alignment vertical="center" wrapText="1"/>
    </xf>
    <xf numFmtId="4" fontId="7" fillId="6" borderId="3" xfId="1" applyNumberFormat="1" applyFont="1" applyFill="1" applyBorder="1" applyAlignment="1">
      <alignment horizontal="left" vertical="center" wrapText="1"/>
    </xf>
    <xf numFmtId="168" fontId="7" fillId="6" borderId="3" xfId="1" applyNumberFormat="1" applyFont="1" applyFill="1" applyBorder="1" applyAlignment="1">
      <alignment horizontal="left" vertical="center" wrapText="1"/>
    </xf>
    <xf numFmtId="166" fontId="7" fillId="6" borderId="3" xfId="4" applyNumberFormat="1" applyFont="1" applyFill="1" applyBorder="1" applyAlignment="1">
      <alignment horizontal="left" vertical="center" wrapText="1"/>
    </xf>
    <xf numFmtId="166" fontId="7" fillId="6" borderId="16" xfId="4" applyNumberFormat="1" applyFont="1" applyFill="1" applyBorder="1" applyAlignment="1">
      <alignment horizontal="left" vertical="center" wrapText="1"/>
    </xf>
    <xf numFmtId="169" fontId="7" fillId="6" borderId="21" xfId="5" applyNumberFormat="1" applyFont="1" applyFill="1" applyBorder="1" applyAlignment="1">
      <alignment horizontal="left" vertical="center" wrapText="1"/>
    </xf>
    <xf numFmtId="4" fontId="7" fillId="6" borderId="3" xfId="5" applyNumberFormat="1" applyFont="1" applyFill="1" applyBorder="1" applyAlignment="1">
      <alignment horizontal="left" vertical="center" wrapText="1"/>
    </xf>
    <xf numFmtId="4" fontId="7" fillId="6" borderId="22" xfId="5" applyNumberFormat="1" applyFont="1" applyFill="1" applyBorder="1" applyAlignment="1">
      <alignment horizontal="left" vertical="center" wrapText="1"/>
    </xf>
    <xf numFmtId="169" fontId="7" fillId="6" borderId="15" xfId="5" applyNumberFormat="1" applyFont="1" applyFill="1" applyBorder="1" applyAlignment="1">
      <alignment horizontal="left" vertical="center" wrapText="1"/>
    </xf>
    <xf numFmtId="4" fontId="7" fillId="6" borderId="14" xfId="5" applyNumberFormat="1" applyFont="1" applyFill="1" applyBorder="1" applyAlignment="1">
      <alignment horizontal="left" vertical="center" wrapText="1"/>
    </xf>
    <xf numFmtId="4" fontId="7" fillId="6" borderId="16" xfId="5" applyNumberFormat="1" applyFont="1" applyFill="1" applyBorder="1" applyAlignment="1">
      <alignment horizontal="left" vertical="center" wrapText="1"/>
    </xf>
    <xf numFmtId="4" fontId="7" fillId="6" borderId="15" xfId="5" applyNumberFormat="1" applyFont="1" applyFill="1" applyBorder="1" applyAlignment="1">
      <alignment horizontal="left" vertical="center" wrapText="1"/>
    </xf>
    <xf numFmtId="0" fontId="3" fillId="7" borderId="16" xfId="0" applyFont="1" applyFill="1" applyBorder="1" applyAlignment="1">
      <alignment horizontal="left" vertical="center"/>
    </xf>
    <xf numFmtId="0" fontId="3" fillId="7" borderId="16" xfId="0" applyFont="1" applyFill="1" applyBorder="1" applyAlignment="1">
      <alignment vertical="center" wrapText="1"/>
    </xf>
    <xf numFmtId="0" fontId="3" fillId="7" borderId="14" xfId="0" applyFont="1" applyFill="1" applyBorder="1" applyAlignment="1">
      <alignment vertical="center" wrapText="1"/>
    </xf>
    <xf numFmtId="4" fontId="3" fillId="7" borderId="3" xfId="0" applyNumberFormat="1" applyFont="1" applyFill="1" applyBorder="1" applyAlignment="1">
      <alignment horizontal="left" vertical="center" wrapText="1"/>
    </xf>
    <xf numFmtId="168" fontId="3" fillId="7" borderId="3" xfId="0" applyNumberFormat="1" applyFont="1" applyFill="1" applyBorder="1" applyAlignment="1">
      <alignment horizontal="left" vertical="center" wrapText="1"/>
    </xf>
    <xf numFmtId="166" fontId="3" fillId="7" borderId="3" xfId="4" applyNumberFormat="1" applyFont="1" applyFill="1" applyBorder="1" applyAlignment="1">
      <alignment horizontal="left" vertical="center" wrapText="1"/>
    </xf>
    <xf numFmtId="166" fontId="3" fillId="7" borderId="16" xfId="4" applyNumberFormat="1" applyFont="1" applyFill="1" applyBorder="1" applyAlignment="1">
      <alignment horizontal="left" vertical="center" wrapText="1"/>
    </xf>
    <xf numFmtId="166" fontId="3" fillId="7" borderId="21" xfId="4" applyNumberFormat="1" applyFont="1" applyFill="1" applyBorder="1" applyAlignment="1">
      <alignment horizontal="left" vertical="center" wrapText="1"/>
    </xf>
    <xf numFmtId="166" fontId="3" fillId="7" borderId="22" xfId="4" applyNumberFormat="1" applyFont="1" applyFill="1" applyBorder="1" applyAlignment="1">
      <alignment horizontal="left" vertical="center" wrapText="1"/>
    </xf>
    <xf numFmtId="166" fontId="3" fillId="7" borderId="15" xfId="4" applyNumberFormat="1" applyFont="1" applyFill="1" applyBorder="1" applyAlignment="1">
      <alignment horizontal="left" vertical="center" wrapText="1"/>
    </xf>
    <xf numFmtId="49" fontId="8" fillId="8" borderId="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170" fontId="8" fillId="0" borderId="3" xfId="0" applyNumberFormat="1" applyFont="1" applyBorder="1" applyAlignment="1">
      <alignment horizontal="right" vertical="center" wrapText="1"/>
    </xf>
    <xf numFmtId="43" fontId="8" fillId="0" borderId="3" xfId="4" applyFont="1" applyFill="1" applyBorder="1" applyAlignment="1">
      <alignment horizontal="center" vertical="center"/>
    </xf>
    <xf numFmtId="43" fontId="8" fillId="0" borderId="3" xfId="4" applyFont="1" applyBorder="1" applyAlignment="1">
      <alignment vertical="center"/>
    </xf>
    <xf numFmtId="43" fontId="10" fillId="0" borderId="3" xfId="4" applyFont="1" applyFill="1" applyBorder="1" applyAlignment="1">
      <alignment horizontal="center" vertical="center" wrapText="1"/>
    </xf>
    <xf numFmtId="43" fontId="8" fillId="8" borderId="3" xfId="4" applyFont="1" applyFill="1" applyBorder="1" applyAlignment="1">
      <alignment vertical="center"/>
    </xf>
    <xf numFmtId="43" fontId="8" fillId="8" borderId="3" xfId="4" applyFont="1" applyFill="1" applyBorder="1" applyAlignment="1">
      <alignment horizontal="center" vertical="center" wrapText="1"/>
    </xf>
    <xf numFmtId="43" fontId="8" fillId="0" borderId="16" xfId="4" applyFont="1" applyBorder="1" applyAlignment="1">
      <alignment vertical="center"/>
    </xf>
    <xf numFmtId="4" fontId="8" fillId="0" borderId="21" xfId="4" applyNumberFormat="1" applyFont="1" applyBorder="1" applyAlignment="1">
      <alignment vertical="center"/>
    </xf>
    <xf numFmtId="4" fontId="8" fillId="0" borderId="3" xfId="4" applyNumberFormat="1" applyFont="1" applyBorder="1" applyAlignment="1">
      <alignment vertical="center"/>
    </xf>
    <xf numFmtId="4" fontId="8" fillId="0" borderId="22" xfId="4" applyNumberFormat="1" applyFont="1" applyBorder="1" applyAlignment="1">
      <alignment vertical="center"/>
    </xf>
    <xf numFmtId="43" fontId="8" fillId="0" borderId="15" xfId="4" applyFont="1" applyBorder="1" applyAlignment="1">
      <alignment vertical="center"/>
    </xf>
    <xf numFmtId="0" fontId="8" fillId="0" borderId="3" xfId="7" applyFont="1" applyBorder="1" applyAlignment="1">
      <alignment horizontal="left" vertical="center" wrapText="1"/>
    </xf>
    <xf numFmtId="2" fontId="8" fillId="0" borderId="3" xfId="0" applyNumberFormat="1" applyFont="1" applyBorder="1" applyAlignment="1">
      <alignment horizontal="right" vertical="center" wrapText="1"/>
    </xf>
    <xf numFmtId="43" fontId="8" fillId="0" borderId="3" xfId="4" applyFont="1" applyFill="1" applyBorder="1" applyAlignment="1">
      <alignment horizontal="center" vertical="center" wrapText="1"/>
    </xf>
    <xf numFmtId="49" fontId="8" fillId="9" borderId="3" xfId="0" applyNumberFormat="1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vertical="center" wrapText="1"/>
    </xf>
    <xf numFmtId="0" fontId="8" fillId="9" borderId="3" xfId="0" applyFont="1" applyFill="1" applyBorder="1" applyAlignment="1">
      <alignment horizontal="center" vertical="center"/>
    </xf>
    <xf numFmtId="2" fontId="8" fillId="9" borderId="3" xfId="4" applyNumberFormat="1" applyFont="1" applyFill="1" applyBorder="1" applyAlignment="1">
      <alignment horizontal="right" vertical="center"/>
    </xf>
    <xf numFmtId="43" fontId="8" fillId="9" borderId="3" xfId="4" applyFont="1" applyFill="1" applyBorder="1" applyAlignment="1">
      <alignment horizontal="center" vertical="center" wrapText="1"/>
    </xf>
    <xf numFmtId="43" fontId="8" fillId="9" borderId="3" xfId="4" applyFont="1" applyFill="1" applyBorder="1" applyAlignment="1">
      <alignment vertical="center"/>
    </xf>
    <xf numFmtId="43" fontId="8" fillId="9" borderId="16" xfId="4" applyFont="1" applyFill="1" applyBorder="1" applyAlignment="1">
      <alignment vertical="center"/>
    </xf>
    <xf numFmtId="4" fontId="8" fillId="9" borderId="21" xfId="4" applyNumberFormat="1" applyFont="1" applyFill="1" applyBorder="1" applyAlignment="1">
      <alignment vertical="center"/>
    </xf>
    <xf numFmtId="4" fontId="8" fillId="9" borderId="3" xfId="4" applyNumberFormat="1" applyFont="1" applyFill="1" applyBorder="1" applyAlignment="1">
      <alignment vertical="center"/>
    </xf>
    <xf numFmtId="4" fontId="8" fillId="9" borderId="22" xfId="4" applyNumberFormat="1" applyFont="1" applyFill="1" applyBorder="1" applyAlignment="1">
      <alignment vertical="center"/>
    </xf>
    <xf numFmtId="43" fontId="8" fillId="9" borderId="15" xfId="4" applyFont="1" applyFill="1" applyBorder="1" applyAlignment="1">
      <alignment vertical="center"/>
    </xf>
    <xf numFmtId="49" fontId="8" fillId="10" borderId="3" xfId="0" applyNumberFormat="1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vertical="center" wrapText="1"/>
    </xf>
    <xf numFmtId="0" fontId="8" fillId="10" borderId="3" xfId="0" applyFont="1" applyFill="1" applyBorder="1" applyAlignment="1">
      <alignment horizontal="center" vertical="center"/>
    </xf>
    <xf numFmtId="2" fontId="8" fillId="10" borderId="3" xfId="4" applyNumberFormat="1" applyFont="1" applyFill="1" applyBorder="1" applyAlignment="1">
      <alignment horizontal="right" vertical="center" wrapText="1"/>
    </xf>
    <xf numFmtId="43" fontId="8" fillId="10" borderId="3" xfId="4" applyFont="1" applyFill="1" applyBorder="1" applyAlignment="1">
      <alignment horizontal="center" vertical="center" wrapText="1"/>
    </xf>
    <xf numFmtId="43" fontId="8" fillId="10" borderId="3" xfId="4" applyFont="1" applyFill="1" applyBorder="1" applyAlignment="1">
      <alignment vertical="center"/>
    </xf>
    <xf numFmtId="43" fontId="8" fillId="10" borderId="16" xfId="4" applyFont="1" applyFill="1" applyBorder="1" applyAlignment="1">
      <alignment vertical="center"/>
    </xf>
    <xf numFmtId="4" fontId="8" fillId="10" borderId="21" xfId="4" applyNumberFormat="1" applyFont="1" applyFill="1" applyBorder="1" applyAlignment="1">
      <alignment vertical="center"/>
    </xf>
    <xf numFmtId="4" fontId="8" fillId="10" borderId="16" xfId="4" applyNumberFormat="1" applyFont="1" applyFill="1" applyBorder="1" applyAlignment="1">
      <alignment vertical="center"/>
    </xf>
    <xf numFmtId="4" fontId="8" fillId="10" borderId="22" xfId="4" applyNumberFormat="1" applyFont="1" applyFill="1" applyBorder="1" applyAlignment="1">
      <alignment vertical="center"/>
    </xf>
    <xf numFmtId="43" fontId="8" fillId="10" borderId="15" xfId="4" applyFont="1" applyFill="1" applyBorder="1" applyAlignment="1">
      <alignment vertical="center"/>
    </xf>
    <xf numFmtId="4" fontId="8" fillId="0" borderId="16" xfId="4" applyNumberFormat="1" applyFont="1" applyBorder="1" applyAlignment="1">
      <alignment vertical="center"/>
    </xf>
    <xf numFmtId="0" fontId="8" fillId="10" borderId="3" xfId="7" applyFont="1" applyFill="1" applyBorder="1" applyAlignment="1">
      <alignment horizontal="left" vertical="center" wrapText="1"/>
    </xf>
    <xf numFmtId="2" fontId="8" fillId="10" borderId="3" xfId="0" applyNumberFormat="1" applyFont="1" applyFill="1" applyBorder="1" applyAlignment="1">
      <alignment horizontal="right" vertical="center" wrapText="1"/>
    </xf>
    <xf numFmtId="43" fontId="10" fillId="10" borderId="3" xfId="4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 wrapText="1"/>
    </xf>
    <xf numFmtId="43" fontId="8" fillId="10" borderId="3" xfId="4" applyFont="1" applyFill="1" applyBorder="1" applyAlignment="1">
      <alignment horizontal="center" vertical="center"/>
    </xf>
    <xf numFmtId="4" fontId="8" fillId="10" borderId="21" xfId="4" applyNumberFormat="1" applyFont="1" applyFill="1" applyBorder="1" applyAlignment="1">
      <alignment horizontal="center" vertical="center" wrapText="1"/>
    </xf>
    <xf numFmtId="43" fontId="8" fillId="10" borderId="15" xfId="4" applyFont="1" applyFill="1" applyBorder="1" applyAlignment="1">
      <alignment horizontal="center" vertical="center" wrapText="1"/>
    </xf>
    <xf numFmtId="4" fontId="8" fillId="9" borderId="16" xfId="4" applyNumberFormat="1" applyFont="1" applyFill="1" applyBorder="1" applyAlignment="1">
      <alignment vertical="center"/>
    </xf>
    <xf numFmtId="0" fontId="3" fillId="7" borderId="16" xfId="0" applyFont="1" applyFill="1" applyBorder="1" applyAlignment="1">
      <alignment vertical="center"/>
    </xf>
    <xf numFmtId="2" fontId="3" fillId="7" borderId="14" xfId="0" applyNumberFormat="1" applyFont="1" applyFill="1" applyBorder="1" applyAlignment="1">
      <alignment vertical="center" wrapText="1"/>
    </xf>
    <xf numFmtId="43" fontId="3" fillId="7" borderId="3" xfId="4" applyFont="1" applyFill="1" applyBorder="1" applyAlignment="1">
      <alignment horizontal="left" vertical="center" wrapText="1"/>
    </xf>
    <xf numFmtId="4" fontId="3" fillId="7" borderId="21" xfId="4" applyNumberFormat="1" applyFont="1" applyFill="1" applyBorder="1" applyAlignment="1">
      <alignment horizontal="left" vertical="center" wrapText="1"/>
    </xf>
    <xf numFmtId="4" fontId="3" fillId="7" borderId="16" xfId="4" applyNumberFormat="1" applyFont="1" applyFill="1" applyBorder="1" applyAlignment="1">
      <alignment horizontal="left" vertical="center" wrapText="1"/>
    </xf>
    <xf numFmtId="4" fontId="3" fillId="7" borderId="22" xfId="4" applyNumberFormat="1" applyFont="1" applyFill="1" applyBorder="1" applyAlignment="1">
      <alignment horizontal="left" vertical="center" wrapText="1"/>
    </xf>
    <xf numFmtId="0" fontId="8" fillId="8" borderId="3" xfId="0" applyFont="1" applyFill="1" applyBorder="1" applyAlignment="1">
      <alignment horizontal="center" vertical="center" wrapText="1"/>
    </xf>
    <xf numFmtId="43" fontId="8" fillId="0" borderId="3" xfId="4" applyFont="1" applyBorder="1" applyAlignment="1">
      <alignment horizontal="center" vertical="center"/>
    </xf>
    <xf numFmtId="0" fontId="8" fillId="9" borderId="3" xfId="7" applyFont="1" applyFill="1" applyBorder="1" applyAlignment="1">
      <alignment horizontal="left" vertical="center" wrapText="1"/>
    </xf>
    <xf numFmtId="2" fontId="8" fillId="9" borderId="3" xfId="4" applyNumberFormat="1" applyFont="1" applyFill="1" applyBorder="1" applyAlignment="1">
      <alignment horizontal="right" vertical="center" wrapText="1"/>
    </xf>
    <xf numFmtId="0" fontId="3" fillId="7" borderId="14" xfId="0" applyFont="1" applyFill="1" applyBorder="1" applyAlignment="1">
      <alignment vertical="center"/>
    </xf>
    <xf numFmtId="2" fontId="3" fillId="7" borderId="14" xfId="0" applyNumberFormat="1" applyFont="1" applyFill="1" applyBorder="1" applyAlignment="1">
      <alignment vertical="center"/>
    </xf>
    <xf numFmtId="43" fontId="3" fillId="8" borderId="3" xfId="4" applyFont="1" applyFill="1" applyBorder="1"/>
    <xf numFmtId="43" fontId="3" fillId="11" borderId="3" xfId="4" applyFont="1" applyFill="1" applyBorder="1"/>
    <xf numFmtId="166" fontId="4" fillId="0" borderId="0" xfId="4" applyNumberFormat="1" applyFont="1"/>
    <xf numFmtId="43" fontId="3" fillId="11" borderId="16" xfId="4" applyFont="1" applyFill="1" applyBorder="1"/>
    <xf numFmtId="43" fontId="3" fillId="0" borderId="21" xfId="4" applyFont="1" applyBorder="1"/>
    <xf numFmtId="43" fontId="3" fillId="0" borderId="3" xfId="4" applyFont="1" applyBorder="1"/>
    <xf numFmtId="43" fontId="3" fillId="0" borderId="15" xfId="4" applyFont="1" applyBorder="1"/>
    <xf numFmtId="43" fontId="3" fillId="12" borderId="3" xfId="4" applyFont="1" applyFill="1" applyBorder="1"/>
    <xf numFmtId="43" fontId="3" fillId="5" borderId="3" xfId="4" applyFont="1" applyFill="1" applyBorder="1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right" vertical="center"/>
    </xf>
    <xf numFmtId="171" fontId="4" fillId="0" borderId="0" xfId="1" applyNumberFormat="1" applyFont="1"/>
    <xf numFmtId="43" fontId="3" fillId="11" borderId="22" xfId="4" applyFont="1" applyFill="1" applyBorder="1"/>
    <xf numFmtId="0" fontId="3" fillId="11" borderId="16" xfId="7" applyFont="1" applyFill="1" applyBorder="1" applyAlignment="1">
      <alignment horizontal="right" vertical="center" wrapText="1"/>
    </xf>
    <xf numFmtId="0" fontId="3" fillId="11" borderId="14" xfId="7" applyFont="1" applyFill="1" applyBorder="1" applyAlignment="1">
      <alignment horizontal="right" vertical="center" wrapText="1"/>
    </xf>
    <xf numFmtId="0" fontId="3" fillId="11" borderId="15" xfId="7" applyFont="1" applyFill="1" applyBorder="1" applyAlignment="1">
      <alignment horizontal="right" vertical="center" wrapText="1"/>
    </xf>
    <xf numFmtId="0" fontId="2" fillId="4" borderId="14" xfId="3" applyFont="1" applyFill="1" applyBorder="1" applyAlignment="1">
      <alignment horizontal="center"/>
    </xf>
    <xf numFmtId="0" fontId="2" fillId="4" borderId="15" xfId="3" applyFont="1" applyFill="1" applyBorder="1" applyAlignment="1">
      <alignment horizontal="center"/>
    </xf>
    <xf numFmtId="4" fontId="3" fillId="2" borderId="3" xfId="1" applyNumberFormat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164" fontId="3" fillId="4" borderId="14" xfId="3" applyNumberFormat="1" applyFont="1" applyFill="1" applyBorder="1" applyAlignment="1">
      <alignment horizontal="center" vertical="center" wrapText="1"/>
    </xf>
    <xf numFmtId="164" fontId="3" fillId="4" borderId="16" xfId="3" applyNumberFormat="1" applyFont="1" applyFill="1" applyBorder="1" applyAlignment="1">
      <alignment horizontal="center" vertical="center" wrapText="1"/>
    </xf>
    <xf numFmtId="164" fontId="3" fillId="4" borderId="15" xfId="3" applyNumberFormat="1" applyFont="1" applyFill="1" applyBorder="1" applyAlignment="1">
      <alignment horizontal="center" vertical="center" wrapText="1"/>
    </xf>
    <xf numFmtId="4" fontId="5" fillId="4" borderId="14" xfId="3" applyNumberFormat="1" applyFont="1" applyFill="1" applyBorder="1" applyAlignment="1">
      <alignment horizontal="center" vertical="center"/>
    </xf>
    <xf numFmtId="4" fontId="5" fillId="4" borderId="15" xfId="3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 wrapText="1"/>
    </xf>
    <xf numFmtId="4" fontId="3" fillId="0" borderId="2" xfId="1" applyNumberFormat="1" applyFont="1" applyBorder="1" applyAlignment="1">
      <alignment horizontal="center" vertical="center" wrapText="1"/>
    </xf>
    <xf numFmtId="4" fontId="3" fillId="0" borderId="9" xfId="1" applyNumberFormat="1" applyFont="1" applyBorder="1" applyAlignment="1">
      <alignment horizontal="center" vertical="center" wrapText="1"/>
    </xf>
    <xf numFmtId="4" fontId="3" fillId="0" borderId="20" xfId="1" applyNumberFormat="1" applyFont="1" applyBorder="1" applyAlignment="1">
      <alignment horizontal="center" vertical="center" wrapText="1"/>
    </xf>
    <xf numFmtId="4" fontId="3" fillId="0" borderId="3" xfId="1" applyNumberFormat="1" applyFont="1" applyBorder="1" applyAlignment="1">
      <alignment horizontal="center" vertical="center" wrapText="1"/>
    </xf>
    <xf numFmtId="4" fontId="3" fillId="0" borderId="3" xfId="1" applyNumberFormat="1" applyFont="1" applyBorder="1" applyAlignment="1">
      <alignment horizontal="right" vertical="center" wrapText="1"/>
    </xf>
    <xf numFmtId="4" fontId="3" fillId="2" borderId="4" xfId="1" applyNumberFormat="1" applyFont="1" applyFill="1" applyBorder="1" applyAlignment="1">
      <alignment horizontal="center" vertical="center" wrapText="1"/>
    </xf>
    <xf numFmtId="4" fontId="3" fillId="2" borderId="0" xfId="1" applyNumberFormat="1" applyFont="1" applyFill="1" applyAlignment="1">
      <alignment horizontal="center" vertical="center" wrapText="1"/>
    </xf>
    <xf numFmtId="4" fontId="3" fillId="2" borderId="10" xfId="1" applyNumberFormat="1" applyFont="1" applyFill="1" applyBorder="1" applyAlignment="1">
      <alignment horizontal="center" vertical="center" wrapText="1"/>
    </xf>
    <xf numFmtId="4" fontId="3" fillId="2" borderId="11" xfId="1" applyNumberFormat="1" applyFont="1" applyFill="1" applyBorder="1" applyAlignment="1">
      <alignment horizontal="center" vertical="center" wrapText="1"/>
    </xf>
    <xf numFmtId="164" fontId="3" fillId="3" borderId="5" xfId="2" applyNumberFormat="1" applyFont="1" applyFill="1" applyBorder="1" applyAlignment="1">
      <alignment horizontal="center" vertical="center" wrapText="1"/>
    </xf>
    <xf numFmtId="164" fontId="3" fillId="3" borderId="6" xfId="2" applyNumberFormat="1" applyFont="1" applyFill="1" applyBorder="1" applyAlignment="1">
      <alignment horizontal="center" vertical="center" wrapText="1"/>
    </xf>
    <xf numFmtId="164" fontId="3" fillId="3" borderId="7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 wrapText="1"/>
    </xf>
    <xf numFmtId="164" fontId="3" fillId="3" borderId="0" xfId="2" applyNumberFormat="1" applyFont="1" applyFill="1" applyAlignment="1">
      <alignment horizontal="center" vertical="center" wrapText="1"/>
    </xf>
    <xf numFmtId="164" fontId="3" fillId="3" borderId="13" xfId="2" applyNumberFormat="1" applyFont="1" applyFill="1" applyBorder="1" applyAlignment="1">
      <alignment horizontal="center" vertical="center" wrapText="1"/>
    </xf>
    <xf numFmtId="164" fontId="3" fillId="3" borderId="17" xfId="2" applyNumberFormat="1" applyFont="1" applyFill="1" applyBorder="1" applyAlignment="1">
      <alignment horizontal="center" vertical="center" wrapText="1"/>
    </xf>
    <xf numFmtId="164" fontId="3" fillId="3" borderId="11" xfId="2" applyNumberFormat="1" applyFont="1" applyFill="1" applyBorder="1" applyAlignment="1">
      <alignment horizontal="center" vertical="center" wrapText="1"/>
    </xf>
    <xf numFmtId="164" fontId="3" fillId="3" borderId="18" xfId="2" applyNumberFormat="1" applyFont="1" applyFill="1" applyBorder="1" applyAlignment="1">
      <alignment horizontal="center" vertical="center" wrapText="1"/>
    </xf>
  </cellXfs>
  <cellStyles count="8">
    <cellStyle name="ЛокСмМТСН" xfId="6" xr:uid="{A38F5318-B1A6-410E-9A97-557012A37BDC}"/>
    <cellStyle name="Обычный" xfId="0" builtinId="0"/>
    <cellStyle name="Обычный 2 2" xfId="7" xr:uid="{A9B391ED-F89F-402A-8BD0-CEC84615A402}"/>
    <cellStyle name="Обычный 5" xfId="3" xr:uid="{F49A9FB2-1592-434D-8166-55D568B2904F}"/>
    <cellStyle name="Обычный 6" xfId="2" xr:uid="{2F7C9C6B-6E35-4805-AC43-F43700FA896A}"/>
    <cellStyle name="Обычный 9" xfId="1" xr:uid="{1A7BA2C0-04D8-4FE2-B4A2-FC9BAC64EFFE}"/>
    <cellStyle name="Финансовый 3" xfId="5" xr:uid="{9A25AF46-C73F-46F3-9F3D-A00F085BDD7E}"/>
    <cellStyle name="Финансовый 5" xfId="4" xr:uid="{1474717A-E458-4D75-9ECC-5801F6F36F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5BF9A-FB88-4B82-BF6C-F9A311FF3F80}">
  <sheetPr>
    <tabColor theme="0" tint="-0.249977111117893"/>
  </sheetPr>
  <dimension ref="A1:Y91"/>
  <sheetViews>
    <sheetView tabSelected="1" zoomScale="80" zoomScaleNormal="80" zoomScaleSheetLayoutView="40" workbookViewId="0">
      <pane xSplit="2" ySplit="5" topLeftCell="J22" activePane="bottomRight" state="frozen"/>
      <selection pane="topRight" activeCell="C1" sqref="C1"/>
      <selection pane="bottomLeft" activeCell="A6" sqref="A6"/>
      <selection pane="bottomRight" activeCell="B87" sqref="B87"/>
    </sheetView>
  </sheetViews>
  <sheetFormatPr defaultColWidth="8.85546875" defaultRowHeight="15" outlineLevelCol="1" x14ac:dyDescent="0.25"/>
  <cols>
    <col min="1" max="1" width="12" style="4" bestFit="1" customWidth="1"/>
    <col min="2" max="2" width="78.28515625" style="4" customWidth="1"/>
    <col min="3" max="3" width="9.28515625" style="120" customWidth="1"/>
    <col min="4" max="4" width="10.140625" style="121" bestFit="1" customWidth="1"/>
    <col min="5" max="5" width="15.140625" style="4" customWidth="1" outlineLevel="1"/>
    <col min="6" max="6" width="16" style="4" customWidth="1" outlineLevel="1"/>
    <col min="7" max="7" width="17.140625" style="113" customWidth="1" outlineLevel="1"/>
    <col min="8" max="8" width="16.140625" style="113" customWidth="1" outlineLevel="1"/>
    <col min="9" max="12" width="16.140625" style="4" customWidth="1" outlineLevel="1"/>
    <col min="13" max="13" width="14.28515625" style="4" customWidth="1"/>
    <col min="14" max="14" width="19.28515625" style="4" customWidth="1"/>
    <col min="15" max="15" width="16.85546875" style="4" customWidth="1"/>
    <col min="16" max="20" width="14.28515625" style="4" customWidth="1"/>
    <col min="21" max="21" width="16.42578125" style="4" customWidth="1"/>
    <col min="22" max="22" width="17" style="4" customWidth="1"/>
    <col min="23" max="23" width="19.7109375" style="4" customWidth="1"/>
    <col min="24" max="16384" width="8.85546875" style="4"/>
  </cols>
  <sheetData>
    <row r="1" spans="1:23" ht="14.45" customHeight="1" x14ac:dyDescent="0.25">
      <c r="A1" s="137" t="s">
        <v>0</v>
      </c>
      <c r="B1" s="140" t="s">
        <v>1</v>
      </c>
      <c r="C1" s="143" t="s">
        <v>2</v>
      </c>
      <c r="D1" s="144" t="s">
        <v>3</v>
      </c>
      <c r="E1" s="145" t="s">
        <v>4</v>
      </c>
      <c r="F1" s="146"/>
      <c r="G1" s="146"/>
      <c r="H1" s="146"/>
      <c r="I1" s="146"/>
      <c r="J1" s="146"/>
      <c r="K1" s="146"/>
      <c r="L1" s="146"/>
      <c r="M1" s="149" t="s">
        <v>5</v>
      </c>
      <c r="N1" s="150"/>
      <c r="O1" s="151"/>
      <c r="P1" s="1" t="s">
        <v>6</v>
      </c>
      <c r="Q1" s="2">
        <v>1.4</v>
      </c>
      <c r="R1" s="1"/>
      <c r="S1" s="1" t="s">
        <v>7</v>
      </c>
      <c r="T1" s="3">
        <v>1.26797194</v>
      </c>
      <c r="U1" s="1"/>
      <c r="V1" s="1"/>
      <c r="W1" s="1"/>
    </row>
    <row r="2" spans="1:23" ht="14.45" customHeight="1" x14ac:dyDescent="0.25">
      <c r="A2" s="138"/>
      <c r="B2" s="141"/>
      <c r="C2" s="143"/>
      <c r="D2" s="144"/>
      <c r="E2" s="147"/>
      <c r="F2" s="148"/>
      <c r="G2" s="148"/>
      <c r="H2" s="148"/>
      <c r="I2" s="148"/>
      <c r="J2" s="148"/>
      <c r="K2" s="148"/>
      <c r="L2" s="148"/>
      <c r="M2" s="152"/>
      <c r="N2" s="153"/>
      <c r="O2" s="154"/>
      <c r="P2" s="127" t="s">
        <v>8</v>
      </c>
      <c r="Q2" s="127"/>
      <c r="R2" s="127"/>
      <c r="S2" s="127"/>
      <c r="T2" s="127"/>
      <c r="U2" s="127"/>
      <c r="V2" s="127"/>
      <c r="W2" s="128"/>
    </row>
    <row r="3" spans="1:23" ht="27.75" customHeight="1" x14ac:dyDescent="0.25">
      <c r="A3" s="138"/>
      <c r="B3" s="141"/>
      <c r="C3" s="143"/>
      <c r="D3" s="144"/>
      <c r="E3" s="129" t="s">
        <v>9</v>
      </c>
      <c r="F3" s="129"/>
      <c r="G3" s="129"/>
      <c r="H3" s="129" t="s">
        <v>10</v>
      </c>
      <c r="I3" s="129"/>
      <c r="J3" s="129"/>
      <c r="K3" s="130" t="s">
        <v>11</v>
      </c>
      <c r="L3" s="131"/>
      <c r="M3" s="155"/>
      <c r="N3" s="156"/>
      <c r="O3" s="157"/>
      <c r="P3" s="132" t="s">
        <v>9</v>
      </c>
      <c r="Q3" s="132"/>
      <c r="R3" s="132"/>
      <c r="S3" s="133" t="s">
        <v>10</v>
      </c>
      <c r="T3" s="132"/>
      <c r="U3" s="134"/>
      <c r="V3" s="135" t="s">
        <v>11</v>
      </c>
      <c r="W3" s="136"/>
    </row>
    <row r="4" spans="1:23" ht="56.1" customHeight="1" x14ac:dyDescent="0.25">
      <c r="A4" s="139"/>
      <c r="B4" s="142"/>
      <c r="C4" s="143"/>
      <c r="D4" s="144"/>
      <c r="E4" s="5" t="s">
        <v>12</v>
      </c>
      <c r="F4" s="5" t="s">
        <v>13</v>
      </c>
      <c r="G4" s="6" t="s">
        <v>14</v>
      </c>
      <c r="H4" s="5" t="s">
        <v>12</v>
      </c>
      <c r="I4" s="5" t="s">
        <v>13</v>
      </c>
      <c r="J4" s="6" t="s">
        <v>14</v>
      </c>
      <c r="K4" s="5" t="s">
        <v>15</v>
      </c>
      <c r="L4" s="7" t="s">
        <v>16</v>
      </c>
      <c r="M4" s="8" t="s">
        <v>12</v>
      </c>
      <c r="N4" s="9" t="s">
        <v>13</v>
      </c>
      <c r="O4" s="10" t="s">
        <v>14</v>
      </c>
      <c r="P4" s="11" t="s">
        <v>12</v>
      </c>
      <c r="Q4" s="12" t="s">
        <v>13</v>
      </c>
      <c r="R4" s="13" t="s">
        <v>14</v>
      </c>
      <c r="S4" s="14" t="s">
        <v>12</v>
      </c>
      <c r="T4" s="12" t="s">
        <v>13</v>
      </c>
      <c r="U4" s="15" t="s">
        <v>14</v>
      </c>
      <c r="V4" s="12" t="s">
        <v>15</v>
      </c>
      <c r="W4" s="16" t="s">
        <v>16</v>
      </c>
    </row>
    <row r="5" spans="1:23" x14ac:dyDescent="0.25">
      <c r="A5" s="17">
        <v>1</v>
      </c>
      <c r="B5" s="18">
        <v>2</v>
      </c>
      <c r="C5" s="18">
        <v>3</v>
      </c>
      <c r="D5" s="19">
        <v>4</v>
      </c>
      <c r="E5" s="18">
        <v>5</v>
      </c>
      <c r="F5" s="18">
        <v>6</v>
      </c>
      <c r="G5" s="18">
        <v>7</v>
      </c>
      <c r="H5" s="20">
        <v>8</v>
      </c>
      <c r="I5" s="20">
        <v>9</v>
      </c>
      <c r="J5" s="20">
        <v>10</v>
      </c>
      <c r="K5" s="20">
        <v>11</v>
      </c>
      <c r="L5" s="21">
        <v>12</v>
      </c>
      <c r="M5" s="22">
        <v>13</v>
      </c>
      <c r="N5" s="23">
        <v>14</v>
      </c>
      <c r="O5" s="24">
        <v>15</v>
      </c>
      <c r="P5" s="25">
        <v>16</v>
      </c>
      <c r="Q5" s="25">
        <v>17</v>
      </c>
      <c r="R5" s="25">
        <v>18</v>
      </c>
      <c r="S5" s="26">
        <v>19</v>
      </c>
      <c r="T5" s="25">
        <v>20</v>
      </c>
      <c r="U5" s="27">
        <v>21</v>
      </c>
      <c r="V5" s="25">
        <v>22</v>
      </c>
      <c r="W5" s="27">
        <v>23</v>
      </c>
    </row>
    <row r="6" spans="1:23" ht="14.45" customHeight="1" x14ac:dyDescent="0.25">
      <c r="A6" s="28" t="s">
        <v>17</v>
      </c>
      <c r="B6" s="28"/>
      <c r="C6" s="29"/>
      <c r="D6" s="29"/>
      <c r="E6" s="30"/>
      <c r="F6" s="31"/>
      <c r="G6" s="32"/>
      <c r="H6" s="32"/>
      <c r="I6" s="32"/>
      <c r="J6" s="32"/>
      <c r="K6" s="32"/>
      <c r="L6" s="33"/>
      <c r="M6" s="34"/>
      <c r="N6" s="35"/>
      <c r="O6" s="36"/>
      <c r="P6" s="37"/>
      <c r="Q6" s="38"/>
      <c r="R6" s="38"/>
      <c r="S6" s="39"/>
      <c r="T6" s="38"/>
      <c r="U6" s="40"/>
      <c r="V6" s="38"/>
      <c r="W6" s="40"/>
    </row>
    <row r="7" spans="1:23" ht="20.25" customHeight="1" x14ac:dyDescent="0.25">
      <c r="A7" s="41" t="s">
        <v>18</v>
      </c>
      <c r="B7" s="42"/>
      <c r="C7" s="43"/>
      <c r="D7" s="43"/>
      <c r="E7" s="44"/>
      <c r="F7" s="45"/>
      <c r="G7" s="46"/>
      <c r="H7" s="46"/>
      <c r="I7" s="46"/>
      <c r="J7" s="46"/>
      <c r="K7" s="46"/>
      <c r="L7" s="47"/>
      <c r="M7" s="48"/>
      <c r="N7" s="46"/>
      <c r="O7" s="49"/>
      <c r="P7" s="50"/>
      <c r="Q7" s="46"/>
      <c r="R7" s="46"/>
      <c r="S7" s="46"/>
      <c r="T7" s="46"/>
      <c r="U7" s="46"/>
      <c r="V7" s="46"/>
      <c r="W7" s="46"/>
    </row>
    <row r="8" spans="1:23" ht="20.25" customHeight="1" x14ac:dyDescent="0.25">
      <c r="A8" s="51"/>
      <c r="B8" s="52" t="s">
        <v>19</v>
      </c>
      <c r="C8" s="53"/>
      <c r="D8" s="54"/>
      <c r="E8" s="55"/>
      <c r="F8" s="56"/>
      <c r="G8" s="56"/>
      <c r="H8" s="57"/>
      <c r="I8" s="58"/>
      <c r="J8" s="58"/>
      <c r="K8" s="59"/>
      <c r="L8" s="60"/>
      <c r="M8" s="61"/>
      <c r="N8" s="62"/>
      <c r="O8" s="63"/>
      <c r="P8" s="64"/>
      <c r="Q8" s="56"/>
      <c r="R8" s="56"/>
      <c r="S8" s="58"/>
      <c r="T8" s="58"/>
      <c r="U8" s="58"/>
      <c r="V8" s="59"/>
      <c r="W8" s="60"/>
    </row>
    <row r="9" spans="1:23" ht="20.25" customHeight="1" x14ac:dyDescent="0.25">
      <c r="A9" s="51" t="s">
        <v>20</v>
      </c>
      <c r="B9" s="65" t="s">
        <v>21</v>
      </c>
      <c r="C9" s="53" t="s">
        <v>22</v>
      </c>
      <c r="D9" s="66">
        <v>69.22</v>
      </c>
      <c r="E9" s="55">
        <v>3800</v>
      </c>
      <c r="F9" s="56">
        <f t="shared" ref="F9:F14" si="0">ROUND(E9*D9,2)</f>
        <v>263036</v>
      </c>
      <c r="G9" s="56">
        <f t="shared" ref="G9:G14" si="1">ROUND(F9*1.2,2)</f>
        <v>315643.2</v>
      </c>
      <c r="H9" s="57"/>
      <c r="I9" s="58"/>
      <c r="J9" s="58"/>
      <c r="K9" s="59">
        <f t="shared" ref="K9:L14" si="2">F9+I9</f>
        <v>263036</v>
      </c>
      <c r="L9" s="60">
        <f t="shared" si="2"/>
        <v>315643.2</v>
      </c>
      <c r="M9" s="61"/>
      <c r="N9" s="62"/>
      <c r="O9" s="63"/>
      <c r="P9" s="64">
        <f t="shared" ref="P9:P72" si="3">E9*$Q$1</f>
        <v>5320</v>
      </c>
      <c r="Q9" s="56">
        <f t="shared" ref="Q9:Q72" si="4">P9*D9</f>
        <v>368250.39999999997</v>
      </c>
      <c r="R9" s="56">
        <f>Q9*1.2</f>
        <v>441900.47999999992</v>
      </c>
      <c r="S9" s="58">
        <f t="shared" ref="S9:S40" si="5">H9*$T$1+M9*$T$1</f>
        <v>0</v>
      </c>
      <c r="T9" s="58">
        <f t="shared" ref="T9:T72" si="6">S9*D9</f>
        <v>0</v>
      </c>
      <c r="U9" s="58">
        <f>T9*1.2</f>
        <v>0</v>
      </c>
      <c r="V9" s="59">
        <f>Q9+T9</f>
        <v>368250.39999999997</v>
      </c>
      <c r="W9" s="60">
        <f>R9+U9</f>
        <v>441900.47999999992</v>
      </c>
    </row>
    <row r="10" spans="1:23" ht="19.5" customHeight="1" x14ac:dyDescent="0.25">
      <c r="A10" s="51">
        <f>A9+1</f>
        <v>2</v>
      </c>
      <c r="B10" s="65" t="s">
        <v>23</v>
      </c>
      <c r="C10" s="53" t="s">
        <v>24</v>
      </c>
      <c r="D10" s="66">
        <v>18</v>
      </c>
      <c r="E10" s="55">
        <v>1240</v>
      </c>
      <c r="F10" s="56">
        <f t="shared" si="0"/>
        <v>22320</v>
      </c>
      <c r="G10" s="56">
        <f t="shared" si="1"/>
        <v>26784</v>
      </c>
      <c r="H10" s="57"/>
      <c r="I10" s="58"/>
      <c r="J10" s="58"/>
      <c r="K10" s="59">
        <f t="shared" si="2"/>
        <v>22320</v>
      </c>
      <c r="L10" s="60">
        <f t="shared" si="2"/>
        <v>26784</v>
      </c>
      <c r="M10" s="61"/>
      <c r="N10" s="62"/>
      <c r="O10" s="63"/>
      <c r="P10" s="64">
        <f t="shared" si="3"/>
        <v>1736</v>
      </c>
      <c r="Q10" s="56">
        <f t="shared" si="4"/>
        <v>31248</v>
      </c>
      <c r="R10" s="56">
        <f t="shared" ref="R10:R68" si="7">Q10*1.2</f>
        <v>37497.599999999999</v>
      </c>
      <c r="S10" s="58">
        <f t="shared" si="5"/>
        <v>0</v>
      </c>
      <c r="T10" s="58">
        <f t="shared" si="6"/>
        <v>0</v>
      </c>
      <c r="U10" s="58">
        <f t="shared" ref="U10:U74" si="8">T10*1.2</f>
        <v>0</v>
      </c>
      <c r="V10" s="59">
        <f t="shared" ref="V10:W72" si="9">Q10+T10</f>
        <v>31248</v>
      </c>
      <c r="W10" s="60">
        <f t="shared" si="9"/>
        <v>37497.599999999999</v>
      </c>
    </row>
    <row r="11" spans="1:23" ht="19.5" customHeight="1" x14ac:dyDescent="0.25">
      <c r="A11" s="51">
        <f t="shared" ref="A11:A14" si="10">A10+1</f>
        <v>3</v>
      </c>
      <c r="B11" s="65" t="s">
        <v>25</v>
      </c>
      <c r="C11" s="53" t="s">
        <v>24</v>
      </c>
      <c r="D11" s="66">
        <v>45</v>
      </c>
      <c r="E11" s="55">
        <f>1324*0.7</f>
        <v>926.8</v>
      </c>
      <c r="F11" s="56">
        <f t="shared" si="0"/>
        <v>41706</v>
      </c>
      <c r="G11" s="56">
        <f t="shared" si="1"/>
        <v>50047.199999999997</v>
      </c>
      <c r="H11" s="57"/>
      <c r="I11" s="58"/>
      <c r="J11" s="58"/>
      <c r="K11" s="59">
        <f t="shared" si="2"/>
        <v>41706</v>
      </c>
      <c r="L11" s="60">
        <f t="shared" si="2"/>
        <v>50047.199999999997</v>
      </c>
      <c r="M11" s="61"/>
      <c r="N11" s="62"/>
      <c r="O11" s="63"/>
      <c r="P11" s="64">
        <f t="shared" si="3"/>
        <v>1297.5199999999998</v>
      </c>
      <c r="Q11" s="56">
        <f t="shared" si="4"/>
        <v>58388.399999999987</v>
      </c>
      <c r="R11" s="56">
        <f t="shared" si="7"/>
        <v>70066.079999999987</v>
      </c>
      <c r="S11" s="58">
        <f t="shared" si="5"/>
        <v>0</v>
      </c>
      <c r="T11" s="58">
        <f t="shared" si="6"/>
        <v>0</v>
      </c>
      <c r="U11" s="58">
        <f t="shared" si="8"/>
        <v>0</v>
      </c>
      <c r="V11" s="59">
        <f t="shared" si="9"/>
        <v>58388.399999999987</v>
      </c>
      <c r="W11" s="60">
        <f t="shared" si="9"/>
        <v>70066.079999999987</v>
      </c>
    </row>
    <row r="12" spans="1:23" ht="19.5" customHeight="1" x14ac:dyDescent="0.25">
      <c r="A12" s="51">
        <f t="shared" si="10"/>
        <v>4</v>
      </c>
      <c r="B12" s="65" t="s">
        <v>26</v>
      </c>
      <c r="C12" s="53" t="s">
        <v>27</v>
      </c>
      <c r="D12" s="66">
        <v>371</v>
      </c>
      <c r="E12" s="55">
        <v>640.96</v>
      </c>
      <c r="F12" s="56">
        <f t="shared" si="0"/>
        <v>237796.16</v>
      </c>
      <c r="G12" s="56">
        <f t="shared" si="1"/>
        <v>285355.39</v>
      </c>
      <c r="H12" s="57"/>
      <c r="I12" s="58"/>
      <c r="J12" s="58"/>
      <c r="K12" s="59">
        <f t="shared" si="2"/>
        <v>237796.16</v>
      </c>
      <c r="L12" s="60">
        <f t="shared" si="2"/>
        <v>285355.39</v>
      </c>
      <c r="M12" s="61"/>
      <c r="N12" s="62"/>
      <c r="O12" s="63"/>
      <c r="P12" s="64">
        <f t="shared" si="3"/>
        <v>897.34399999999994</v>
      </c>
      <c r="Q12" s="56">
        <f t="shared" si="4"/>
        <v>332914.62399999995</v>
      </c>
      <c r="R12" s="56">
        <f t="shared" si="7"/>
        <v>399497.54879999993</v>
      </c>
      <c r="S12" s="58">
        <f t="shared" si="5"/>
        <v>0</v>
      </c>
      <c r="T12" s="58">
        <f t="shared" si="6"/>
        <v>0</v>
      </c>
      <c r="U12" s="58">
        <f t="shared" si="8"/>
        <v>0</v>
      </c>
      <c r="V12" s="59">
        <f t="shared" si="9"/>
        <v>332914.62399999995</v>
      </c>
      <c r="W12" s="60">
        <f t="shared" si="9"/>
        <v>399497.54879999993</v>
      </c>
    </row>
    <row r="13" spans="1:23" ht="19.5" customHeight="1" x14ac:dyDescent="0.25">
      <c r="A13" s="51">
        <f t="shared" si="10"/>
        <v>5</v>
      </c>
      <c r="B13" s="65" t="s">
        <v>28</v>
      </c>
      <c r="C13" s="53" t="s">
        <v>29</v>
      </c>
      <c r="D13" s="66">
        <v>432.62</v>
      </c>
      <c r="E13" s="55">
        <v>1000</v>
      </c>
      <c r="F13" s="56">
        <f t="shared" si="0"/>
        <v>432620</v>
      </c>
      <c r="G13" s="56">
        <f t="shared" si="1"/>
        <v>519144</v>
      </c>
      <c r="H13" s="57"/>
      <c r="I13" s="58"/>
      <c r="J13" s="58"/>
      <c r="K13" s="59">
        <f t="shared" si="2"/>
        <v>432620</v>
      </c>
      <c r="L13" s="60">
        <f t="shared" si="2"/>
        <v>519144</v>
      </c>
      <c r="M13" s="61"/>
      <c r="N13" s="62"/>
      <c r="O13" s="63"/>
      <c r="P13" s="64">
        <f t="shared" si="3"/>
        <v>1400</v>
      </c>
      <c r="Q13" s="56">
        <f t="shared" si="4"/>
        <v>605668</v>
      </c>
      <c r="R13" s="56">
        <f t="shared" si="7"/>
        <v>726801.6</v>
      </c>
      <c r="S13" s="58">
        <f t="shared" si="5"/>
        <v>0</v>
      </c>
      <c r="T13" s="58">
        <f t="shared" si="6"/>
        <v>0</v>
      </c>
      <c r="U13" s="58">
        <f t="shared" si="8"/>
        <v>0</v>
      </c>
      <c r="V13" s="59">
        <f t="shared" si="9"/>
        <v>605668</v>
      </c>
      <c r="W13" s="60">
        <f t="shared" si="9"/>
        <v>726801.6</v>
      </c>
    </row>
    <row r="14" spans="1:23" ht="19.5" customHeight="1" x14ac:dyDescent="0.25">
      <c r="A14" s="51">
        <f t="shared" si="10"/>
        <v>6</v>
      </c>
      <c r="B14" s="65" t="s">
        <v>30</v>
      </c>
      <c r="C14" s="53" t="s">
        <v>24</v>
      </c>
      <c r="D14" s="66">
        <v>371</v>
      </c>
      <c r="E14" s="55">
        <v>750</v>
      </c>
      <c r="F14" s="56">
        <f t="shared" si="0"/>
        <v>278250</v>
      </c>
      <c r="G14" s="56">
        <f t="shared" si="1"/>
        <v>333900</v>
      </c>
      <c r="H14" s="57"/>
      <c r="I14" s="58"/>
      <c r="J14" s="58"/>
      <c r="K14" s="59">
        <f t="shared" si="2"/>
        <v>278250</v>
      </c>
      <c r="L14" s="60">
        <f t="shared" si="2"/>
        <v>333900</v>
      </c>
      <c r="M14" s="61"/>
      <c r="N14" s="62"/>
      <c r="O14" s="63"/>
      <c r="P14" s="64">
        <f t="shared" si="3"/>
        <v>1050</v>
      </c>
      <c r="Q14" s="56">
        <f t="shared" si="4"/>
        <v>389550</v>
      </c>
      <c r="R14" s="56">
        <f t="shared" si="7"/>
        <v>467460</v>
      </c>
      <c r="S14" s="58">
        <f t="shared" si="5"/>
        <v>0</v>
      </c>
      <c r="T14" s="58">
        <f t="shared" si="6"/>
        <v>0</v>
      </c>
      <c r="U14" s="58">
        <f t="shared" si="8"/>
        <v>0</v>
      </c>
      <c r="V14" s="59">
        <f t="shared" si="9"/>
        <v>389550</v>
      </c>
      <c r="W14" s="60">
        <f t="shared" si="9"/>
        <v>467460</v>
      </c>
    </row>
    <row r="15" spans="1:23" ht="22.5" customHeight="1" x14ac:dyDescent="0.25">
      <c r="A15" s="51"/>
      <c r="B15" s="52" t="s">
        <v>31</v>
      </c>
      <c r="C15" s="53"/>
      <c r="D15" s="66"/>
      <c r="E15" s="55"/>
      <c r="F15" s="56"/>
      <c r="G15" s="56"/>
      <c r="H15" s="57"/>
      <c r="I15" s="58"/>
      <c r="J15" s="58"/>
      <c r="K15" s="59"/>
      <c r="L15" s="60"/>
      <c r="M15" s="61"/>
      <c r="N15" s="62"/>
      <c r="O15" s="63"/>
      <c r="P15" s="64">
        <f t="shared" si="3"/>
        <v>0</v>
      </c>
      <c r="Q15" s="56">
        <f t="shared" si="4"/>
        <v>0</v>
      </c>
      <c r="R15" s="56"/>
      <c r="S15" s="58">
        <f t="shared" si="5"/>
        <v>0</v>
      </c>
      <c r="T15" s="58">
        <f t="shared" si="6"/>
        <v>0</v>
      </c>
      <c r="U15" s="58"/>
      <c r="V15" s="59"/>
      <c r="W15" s="60"/>
    </row>
    <row r="16" spans="1:23" ht="33" customHeight="1" x14ac:dyDescent="0.25">
      <c r="A16" s="51">
        <f>A14+1</f>
        <v>7</v>
      </c>
      <c r="B16" s="65" t="s">
        <v>32</v>
      </c>
      <c r="C16" s="53" t="s">
        <v>22</v>
      </c>
      <c r="D16" s="66">
        <v>103.83</v>
      </c>
      <c r="E16" s="55">
        <v>3800</v>
      </c>
      <c r="F16" s="56">
        <f>ROUND(E16*D16,2)</f>
        <v>394554</v>
      </c>
      <c r="G16" s="56">
        <f t="shared" ref="G16:G17" si="11">ROUND(F16*1.2,2)</f>
        <v>473464.8</v>
      </c>
      <c r="H16" s="57"/>
      <c r="I16" s="58"/>
      <c r="J16" s="58"/>
      <c r="K16" s="59">
        <f t="shared" ref="K16:L17" si="12">F16+I16</f>
        <v>394554</v>
      </c>
      <c r="L16" s="60">
        <f t="shared" si="12"/>
        <v>473464.8</v>
      </c>
      <c r="M16" s="61"/>
      <c r="N16" s="62"/>
      <c r="O16" s="63"/>
      <c r="P16" s="64">
        <f t="shared" si="3"/>
        <v>5320</v>
      </c>
      <c r="Q16" s="56">
        <f t="shared" si="4"/>
        <v>552375.6</v>
      </c>
      <c r="R16" s="56">
        <f t="shared" si="7"/>
        <v>662850.72</v>
      </c>
      <c r="S16" s="58">
        <f t="shared" si="5"/>
        <v>0</v>
      </c>
      <c r="T16" s="58">
        <f t="shared" si="6"/>
        <v>0</v>
      </c>
      <c r="U16" s="58">
        <f t="shared" si="8"/>
        <v>0</v>
      </c>
      <c r="V16" s="59">
        <f t="shared" si="9"/>
        <v>552375.6</v>
      </c>
      <c r="W16" s="60">
        <f t="shared" si="9"/>
        <v>662850.72</v>
      </c>
    </row>
    <row r="17" spans="1:23" ht="22.5" customHeight="1" x14ac:dyDescent="0.25">
      <c r="A17" s="51">
        <f>A16+1</f>
        <v>8</v>
      </c>
      <c r="B17" s="65" t="s">
        <v>33</v>
      </c>
      <c r="C17" s="53" t="s">
        <v>22</v>
      </c>
      <c r="D17" s="66">
        <v>69.22</v>
      </c>
      <c r="E17" s="67">
        <v>2573.7399999999998</v>
      </c>
      <c r="F17" s="56">
        <f>ROUND(E17*D17,2)</f>
        <v>178154.28</v>
      </c>
      <c r="G17" s="56">
        <f t="shared" si="11"/>
        <v>213785.14</v>
      </c>
      <c r="H17" s="57"/>
      <c r="I17" s="58"/>
      <c r="J17" s="58"/>
      <c r="K17" s="59">
        <f t="shared" si="12"/>
        <v>178154.28</v>
      </c>
      <c r="L17" s="60">
        <f t="shared" si="12"/>
        <v>213785.14</v>
      </c>
      <c r="M17" s="61"/>
      <c r="N17" s="62"/>
      <c r="O17" s="63"/>
      <c r="P17" s="64">
        <f t="shared" si="3"/>
        <v>3603.2359999999994</v>
      </c>
      <c r="Q17" s="56">
        <f t="shared" si="4"/>
        <v>249415.99591999996</v>
      </c>
      <c r="R17" s="56">
        <f t="shared" si="7"/>
        <v>299299.19510399993</v>
      </c>
      <c r="S17" s="58">
        <f t="shared" si="5"/>
        <v>0</v>
      </c>
      <c r="T17" s="58">
        <f t="shared" si="6"/>
        <v>0</v>
      </c>
      <c r="U17" s="58">
        <f t="shared" si="8"/>
        <v>0</v>
      </c>
      <c r="V17" s="59">
        <f t="shared" si="9"/>
        <v>249415.99591999996</v>
      </c>
      <c r="W17" s="60">
        <f t="shared" si="9"/>
        <v>299299.19510399993</v>
      </c>
    </row>
    <row r="18" spans="1:23" ht="18" customHeight="1" x14ac:dyDescent="0.25">
      <c r="A18" s="68" t="s">
        <v>34</v>
      </c>
      <c r="B18" s="69" t="s">
        <v>35</v>
      </c>
      <c r="C18" s="70" t="s">
        <v>22</v>
      </c>
      <c r="D18" s="71">
        <f>D17*1.26</f>
        <v>87.217200000000005</v>
      </c>
      <c r="E18" s="72"/>
      <c r="F18" s="73"/>
      <c r="G18" s="73"/>
      <c r="H18" s="73">
        <v>3720</v>
      </c>
      <c r="I18" s="73">
        <f>ROUND(H18*D18,2)</f>
        <v>324447.98</v>
      </c>
      <c r="J18" s="73">
        <f>ROUND(I18*1.2,2)</f>
        <v>389337.58</v>
      </c>
      <c r="K18" s="72">
        <f>F18+I18</f>
        <v>324447.98</v>
      </c>
      <c r="L18" s="74">
        <f>G18+J18</f>
        <v>389337.58</v>
      </c>
      <c r="M18" s="75"/>
      <c r="N18" s="76"/>
      <c r="O18" s="77"/>
      <c r="P18" s="78">
        <f t="shared" si="3"/>
        <v>0</v>
      </c>
      <c r="Q18" s="73">
        <f t="shared" si="4"/>
        <v>0</v>
      </c>
      <c r="R18" s="73">
        <f t="shared" si="7"/>
        <v>0</v>
      </c>
      <c r="S18" s="73">
        <f t="shared" si="5"/>
        <v>4716.8556168000005</v>
      </c>
      <c r="T18" s="73">
        <f t="shared" si="6"/>
        <v>411390.93970156903</v>
      </c>
      <c r="U18" s="73">
        <f t="shared" si="8"/>
        <v>493669.12764188281</v>
      </c>
      <c r="V18" s="72">
        <f t="shared" si="9"/>
        <v>411390.93970156903</v>
      </c>
      <c r="W18" s="74">
        <f t="shared" si="9"/>
        <v>493669.12764188281</v>
      </c>
    </row>
    <row r="19" spans="1:23" ht="21" customHeight="1" x14ac:dyDescent="0.25">
      <c r="A19" s="51">
        <f>A17+1</f>
        <v>9</v>
      </c>
      <c r="B19" s="65" t="s">
        <v>36</v>
      </c>
      <c r="C19" s="53" t="s">
        <v>37</v>
      </c>
      <c r="D19" s="66">
        <v>692.19</v>
      </c>
      <c r="E19" s="55">
        <v>203</v>
      </c>
      <c r="F19" s="56">
        <f>ROUND(E19*D19,2)</f>
        <v>140514.57</v>
      </c>
      <c r="G19" s="56">
        <f t="shared" ref="G19" si="13">ROUND(F19*1.2,2)</f>
        <v>168617.48</v>
      </c>
      <c r="H19" s="57"/>
      <c r="I19" s="58"/>
      <c r="J19" s="58"/>
      <c r="K19" s="59">
        <f t="shared" ref="K19:L19" si="14">F19+I19</f>
        <v>140514.57</v>
      </c>
      <c r="L19" s="60">
        <f t="shared" si="14"/>
        <v>168617.48</v>
      </c>
      <c r="M19" s="61"/>
      <c r="N19" s="62"/>
      <c r="O19" s="63"/>
      <c r="P19" s="64">
        <f t="shared" si="3"/>
        <v>284.2</v>
      </c>
      <c r="Q19" s="56">
        <f t="shared" si="4"/>
        <v>196720.39800000002</v>
      </c>
      <c r="R19" s="56">
        <f t="shared" si="7"/>
        <v>236064.47760000001</v>
      </c>
      <c r="S19" s="58">
        <f t="shared" si="5"/>
        <v>0</v>
      </c>
      <c r="T19" s="58">
        <f t="shared" si="6"/>
        <v>0</v>
      </c>
      <c r="U19" s="58">
        <f t="shared" si="8"/>
        <v>0</v>
      </c>
      <c r="V19" s="59">
        <f t="shared" si="9"/>
        <v>196720.39800000002</v>
      </c>
      <c r="W19" s="60">
        <f t="shared" si="9"/>
        <v>236064.47760000001</v>
      </c>
    </row>
    <row r="20" spans="1:23" ht="19.5" customHeight="1" x14ac:dyDescent="0.25">
      <c r="A20" s="51"/>
      <c r="B20" s="52" t="s">
        <v>38</v>
      </c>
      <c r="C20" s="53"/>
      <c r="D20" s="66"/>
      <c r="E20" s="55"/>
      <c r="F20" s="56"/>
      <c r="G20" s="56"/>
      <c r="H20" s="57"/>
      <c r="I20" s="58"/>
      <c r="J20" s="58"/>
      <c r="K20" s="59"/>
      <c r="L20" s="60"/>
      <c r="M20" s="61"/>
      <c r="N20" s="62"/>
      <c r="O20" s="63"/>
      <c r="P20" s="64">
        <f t="shared" si="3"/>
        <v>0</v>
      </c>
      <c r="Q20" s="56">
        <f t="shared" si="4"/>
        <v>0</v>
      </c>
      <c r="R20" s="56"/>
      <c r="S20" s="58">
        <f t="shared" si="5"/>
        <v>0</v>
      </c>
      <c r="T20" s="58">
        <f t="shared" si="6"/>
        <v>0</v>
      </c>
      <c r="U20" s="58"/>
      <c r="V20" s="59"/>
      <c r="W20" s="60"/>
    </row>
    <row r="21" spans="1:23" ht="22.5" customHeight="1" x14ac:dyDescent="0.25">
      <c r="A21" s="51">
        <f>A19+1</f>
        <v>10</v>
      </c>
      <c r="B21" s="65" t="s">
        <v>39</v>
      </c>
      <c r="C21" s="53" t="s">
        <v>24</v>
      </c>
      <c r="D21" s="66">
        <v>398</v>
      </c>
      <c r="E21" s="67">
        <v>2160</v>
      </c>
      <c r="F21" s="56">
        <f>ROUND(E21*D21,2)</f>
        <v>859680</v>
      </c>
      <c r="G21" s="56">
        <f t="shared" ref="G21" si="15">ROUND(F21*1.2,2)</f>
        <v>1031616</v>
      </c>
      <c r="H21" s="57"/>
      <c r="I21" s="58"/>
      <c r="J21" s="58"/>
      <c r="K21" s="59">
        <f t="shared" ref="K21:L35" si="16">F21+I21</f>
        <v>859680</v>
      </c>
      <c r="L21" s="60">
        <f t="shared" si="16"/>
        <v>1031616</v>
      </c>
      <c r="M21" s="61"/>
      <c r="N21" s="62"/>
      <c r="O21" s="63"/>
      <c r="P21" s="64">
        <f t="shared" si="3"/>
        <v>3024</v>
      </c>
      <c r="Q21" s="56">
        <f t="shared" si="4"/>
        <v>1203552</v>
      </c>
      <c r="R21" s="56">
        <f t="shared" si="7"/>
        <v>1444262.4</v>
      </c>
      <c r="S21" s="58">
        <f t="shared" si="5"/>
        <v>0</v>
      </c>
      <c r="T21" s="58">
        <f t="shared" si="6"/>
        <v>0</v>
      </c>
      <c r="U21" s="58">
        <f t="shared" si="8"/>
        <v>0</v>
      </c>
      <c r="V21" s="59">
        <f t="shared" si="9"/>
        <v>1203552</v>
      </c>
      <c r="W21" s="60">
        <f t="shared" si="9"/>
        <v>1444262.4</v>
      </c>
    </row>
    <row r="22" spans="1:23" ht="18" customHeight="1" x14ac:dyDescent="0.25">
      <c r="A22" s="79" t="s">
        <v>40</v>
      </c>
      <c r="B22" s="80" t="s">
        <v>41</v>
      </c>
      <c r="C22" s="81" t="s">
        <v>24</v>
      </c>
      <c r="D22" s="82">
        <v>398</v>
      </c>
      <c r="E22" s="83"/>
      <c r="F22" s="84"/>
      <c r="G22" s="84"/>
      <c r="H22" s="84"/>
      <c r="I22" s="84"/>
      <c r="J22" s="84"/>
      <c r="K22" s="83"/>
      <c r="L22" s="85"/>
      <c r="M22" s="86">
        <f>ROUND(5950/1.2,2)</f>
        <v>4958.33</v>
      </c>
      <c r="N22" s="87">
        <f>ROUND(M22*D22,2)</f>
        <v>1973415.34</v>
      </c>
      <c r="O22" s="88">
        <f>ROUND(N22*1.2,2)</f>
        <v>2368098.41</v>
      </c>
      <c r="P22" s="89">
        <f t="shared" si="3"/>
        <v>0</v>
      </c>
      <c r="Q22" s="84">
        <f t="shared" si="4"/>
        <v>0</v>
      </c>
      <c r="R22" s="84"/>
      <c r="S22" s="84">
        <f t="shared" si="5"/>
        <v>6287.0233092602002</v>
      </c>
      <c r="T22" s="84">
        <f t="shared" si="6"/>
        <v>2502235.2770855599</v>
      </c>
      <c r="U22" s="84">
        <f t="shared" si="8"/>
        <v>3002682.332502672</v>
      </c>
      <c r="V22" s="83">
        <f t="shared" si="9"/>
        <v>2502235.2770855599</v>
      </c>
      <c r="W22" s="85">
        <f t="shared" si="9"/>
        <v>3002682.332502672</v>
      </c>
    </row>
    <row r="23" spans="1:23" ht="22.5" customHeight="1" x14ac:dyDescent="0.25">
      <c r="A23" s="51">
        <f>A21+1</f>
        <v>11</v>
      </c>
      <c r="B23" s="65" t="s">
        <v>42</v>
      </c>
      <c r="C23" s="53" t="s">
        <v>27</v>
      </c>
      <c r="D23" s="66">
        <v>398</v>
      </c>
      <c r="E23" s="55">
        <v>833.25</v>
      </c>
      <c r="F23" s="56">
        <f>ROUND(E23*D23,2)</f>
        <v>331633.5</v>
      </c>
      <c r="G23" s="56">
        <f t="shared" ref="G23" si="17">ROUND(F23*1.2,2)</f>
        <v>397960.2</v>
      </c>
      <c r="H23" s="57"/>
      <c r="I23" s="58"/>
      <c r="J23" s="58"/>
      <c r="K23" s="59">
        <f t="shared" si="16"/>
        <v>331633.5</v>
      </c>
      <c r="L23" s="60">
        <f t="shared" si="16"/>
        <v>397960.2</v>
      </c>
      <c r="M23" s="61"/>
      <c r="N23" s="90">
        <f t="shared" ref="N23:N80" si="18">ROUND(M23*D23,2)</f>
        <v>0</v>
      </c>
      <c r="O23" s="63">
        <f t="shared" ref="O23:O80" si="19">ROUND(N23*1.2,2)</f>
        <v>0</v>
      </c>
      <c r="P23" s="64">
        <f t="shared" si="3"/>
        <v>1166.55</v>
      </c>
      <c r="Q23" s="56">
        <f t="shared" si="4"/>
        <v>464286.89999999997</v>
      </c>
      <c r="R23" s="56">
        <f t="shared" si="7"/>
        <v>557144.27999999991</v>
      </c>
      <c r="S23" s="58">
        <f t="shared" si="5"/>
        <v>0</v>
      </c>
      <c r="T23" s="58">
        <f t="shared" si="6"/>
        <v>0</v>
      </c>
      <c r="U23" s="58">
        <f t="shared" si="8"/>
        <v>0</v>
      </c>
      <c r="V23" s="59">
        <f t="shared" si="9"/>
        <v>464286.89999999997</v>
      </c>
      <c r="W23" s="60">
        <f t="shared" si="9"/>
        <v>557144.27999999991</v>
      </c>
    </row>
    <row r="24" spans="1:23" ht="18" customHeight="1" x14ac:dyDescent="0.25">
      <c r="A24" s="79" t="s">
        <v>43</v>
      </c>
      <c r="B24" s="80" t="s">
        <v>44</v>
      </c>
      <c r="C24" s="81" t="s">
        <v>27</v>
      </c>
      <c r="D24" s="82">
        <v>398</v>
      </c>
      <c r="E24" s="83"/>
      <c r="F24" s="84"/>
      <c r="G24" s="84"/>
      <c r="H24" s="84"/>
      <c r="I24" s="84">
        <f>ROUND(H24*D24,2)</f>
        <v>0</v>
      </c>
      <c r="J24" s="84">
        <f t="shared" ref="J24" si="20">ROUND(I24*1.2,2)</f>
        <v>0</v>
      </c>
      <c r="K24" s="83">
        <f t="shared" si="16"/>
        <v>0</v>
      </c>
      <c r="L24" s="85">
        <f t="shared" si="16"/>
        <v>0</v>
      </c>
      <c r="M24" s="86"/>
      <c r="N24" s="87">
        <f t="shared" si="18"/>
        <v>0</v>
      </c>
      <c r="O24" s="88">
        <f t="shared" si="19"/>
        <v>0</v>
      </c>
      <c r="P24" s="89">
        <f t="shared" si="3"/>
        <v>0</v>
      </c>
      <c r="Q24" s="84">
        <f t="shared" si="4"/>
        <v>0</v>
      </c>
      <c r="R24" s="84"/>
      <c r="S24" s="84">
        <f t="shared" si="5"/>
        <v>0</v>
      </c>
      <c r="T24" s="84">
        <f t="shared" si="6"/>
        <v>0</v>
      </c>
      <c r="U24" s="84"/>
      <c r="V24" s="83"/>
      <c r="W24" s="85"/>
    </row>
    <row r="25" spans="1:23" ht="18" customHeight="1" x14ac:dyDescent="0.25">
      <c r="A25" s="79" t="s">
        <v>45</v>
      </c>
      <c r="B25" s="91" t="s">
        <v>46</v>
      </c>
      <c r="C25" s="81" t="s">
        <v>24</v>
      </c>
      <c r="D25" s="92">
        <v>796</v>
      </c>
      <c r="E25" s="93"/>
      <c r="F25" s="84"/>
      <c r="G25" s="84"/>
      <c r="H25" s="84"/>
      <c r="I25" s="84"/>
      <c r="J25" s="84"/>
      <c r="K25" s="83"/>
      <c r="L25" s="85"/>
      <c r="M25" s="86">
        <f>ROUND(1727320/1.2/796,2)</f>
        <v>1808.33</v>
      </c>
      <c r="N25" s="87">
        <f t="shared" si="18"/>
        <v>1439430.68</v>
      </c>
      <c r="O25" s="88">
        <f t="shared" si="19"/>
        <v>1727316.82</v>
      </c>
      <c r="P25" s="89">
        <f t="shared" si="3"/>
        <v>0</v>
      </c>
      <c r="Q25" s="84">
        <f t="shared" si="4"/>
        <v>0</v>
      </c>
      <c r="R25" s="84">
        <f t="shared" si="7"/>
        <v>0</v>
      </c>
      <c r="S25" s="84">
        <f t="shared" si="5"/>
        <v>2292.9116982602</v>
      </c>
      <c r="T25" s="84">
        <f t="shared" si="6"/>
        <v>1825157.7118151193</v>
      </c>
      <c r="U25" s="84">
        <f t="shared" si="8"/>
        <v>2190189.2541781431</v>
      </c>
      <c r="V25" s="83">
        <f t="shared" si="9"/>
        <v>1825157.7118151193</v>
      </c>
      <c r="W25" s="85">
        <f t="shared" si="9"/>
        <v>2190189.2541781431</v>
      </c>
    </row>
    <row r="26" spans="1:23" ht="18" customHeight="1" x14ac:dyDescent="0.25">
      <c r="A26" s="79" t="s">
        <v>47</v>
      </c>
      <c r="B26" s="91" t="s">
        <v>48</v>
      </c>
      <c r="C26" s="81" t="s">
        <v>24</v>
      </c>
      <c r="D26" s="92">
        <v>1592</v>
      </c>
      <c r="E26" s="93"/>
      <c r="F26" s="84"/>
      <c r="G26" s="84"/>
      <c r="H26" s="84"/>
      <c r="I26" s="84"/>
      <c r="J26" s="84"/>
      <c r="K26" s="83"/>
      <c r="L26" s="85"/>
      <c r="M26" s="86">
        <f>ROUND(317803/1.2/1592,2)</f>
        <v>166.35</v>
      </c>
      <c r="N26" s="87">
        <f t="shared" si="18"/>
        <v>264829.2</v>
      </c>
      <c r="O26" s="88">
        <f t="shared" si="19"/>
        <v>317795.03999999998</v>
      </c>
      <c r="P26" s="89">
        <f t="shared" si="3"/>
        <v>0</v>
      </c>
      <c r="Q26" s="84">
        <f t="shared" si="4"/>
        <v>0</v>
      </c>
      <c r="R26" s="84">
        <f t="shared" si="7"/>
        <v>0</v>
      </c>
      <c r="S26" s="84">
        <f t="shared" si="5"/>
        <v>210.92713221899999</v>
      </c>
      <c r="T26" s="84">
        <f t="shared" si="6"/>
        <v>335795.99449264799</v>
      </c>
      <c r="U26" s="84">
        <f t="shared" si="8"/>
        <v>402955.19339117757</v>
      </c>
      <c r="V26" s="83">
        <f t="shared" si="9"/>
        <v>335795.99449264799</v>
      </c>
      <c r="W26" s="85">
        <f t="shared" si="9"/>
        <v>402955.19339117757</v>
      </c>
    </row>
    <row r="27" spans="1:23" ht="18" customHeight="1" x14ac:dyDescent="0.25">
      <c r="A27" s="79" t="s">
        <v>49</v>
      </c>
      <c r="B27" s="91" t="s">
        <v>50</v>
      </c>
      <c r="C27" s="81" t="s">
        <v>24</v>
      </c>
      <c r="D27" s="92">
        <v>1592</v>
      </c>
      <c r="E27" s="93"/>
      <c r="F27" s="84"/>
      <c r="G27" s="84"/>
      <c r="H27" s="84"/>
      <c r="I27" s="84"/>
      <c r="J27" s="84"/>
      <c r="K27" s="83"/>
      <c r="L27" s="85"/>
      <c r="M27" s="86">
        <f>ROUND(510000/1.2/1592,2)</f>
        <v>266.95999999999998</v>
      </c>
      <c r="N27" s="87">
        <f t="shared" si="18"/>
        <v>425000.32</v>
      </c>
      <c r="O27" s="88">
        <f t="shared" si="19"/>
        <v>510000.38</v>
      </c>
      <c r="P27" s="89">
        <f t="shared" si="3"/>
        <v>0</v>
      </c>
      <c r="Q27" s="84">
        <f t="shared" si="4"/>
        <v>0</v>
      </c>
      <c r="R27" s="84">
        <f t="shared" si="7"/>
        <v>0</v>
      </c>
      <c r="S27" s="84">
        <f t="shared" si="5"/>
        <v>338.49778910239996</v>
      </c>
      <c r="T27" s="84">
        <f t="shared" si="6"/>
        <v>538888.48025102075</v>
      </c>
      <c r="U27" s="84">
        <f t="shared" si="8"/>
        <v>646666.17630122486</v>
      </c>
      <c r="V27" s="83">
        <f t="shared" si="9"/>
        <v>538888.48025102075</v>
      </c>
      <c r="W27" s="85">
        <f t="shared" si="9"/>
        <v>646666.17630122486</v>
      </c>
    </row>
    <row r="28" spans="1:23" ht="18" customHeight="1" x14ac:dyDescent="0.25">
      <c r="A28" s="79" t="s">
        <v>51</v>
      </c>
      <c r="B28" s="91" t="s">
        <v>52</v>
      </c>
      <c r="C28" s="81" t="s">
        <v>24</v>
      </c>
      <c r="D28" s="92">
        <v>796</v>
      </c>
      <c r="E28" s="93"/>
      <c r="F28" s="84"/>
      <c r="G28" s="84"/>
      <c r="H28" s="84"/>
      <c r="I28" s="84"/>
      <c r="J28" s="84"/>
      <c r="K28" s="83"/>
      <c r="L28" s="85"/>
      <c r="M28" s="86">
        <f>ROUND(85/1.2,2)</f>
        <v>70.83</v>
      </c>
      <c r="N28" s="87">
        <f t="shared" si="18"/>
        <v>56380.68</v>
      </c>
      <c r="O28" s="88">
        <f t="shared" si="19"/>
        <v>67656.820000000007</v>
      </c>
      <c r="P28" s="89">
        <f t="shared" si="3"/>
        <v>0</v>
      </c>
      <c r="Q28" s="84">
        <f t="shared" si="4"/>
        <v>0</v>
      </c>
      <c r="R28" s="84">
        <f t="shared" si="7"/>
        <v>0</v>
      </c>
      <c r="S28" s="84">
        <f t="shared" si="5"/>
        <v>89.810452510199994</v>
      </c>
      <c r="T28" s="84">
        <f t="shared" si="6"/>
        <v>71489.120198119199</v>
      </c>
      <c r="U28" s="84">
        <f t="shared" si="8"/>
        <v>85786.944237743039</v>
      </c>
      <c r="V28" s="83">
        <f t="shared" si="9"/>
        <v>71489.120198119199</v>
      </c>
      <c r="W28" s="85">
        <f t="shared" si="9"/>
        <v>85786.944237743039</v>
      </c>
    </row>
    <row r="29" spans="1:23" ht="18" customHeight="1" x14ac:dyDescent="0.25">
      <c r="A29" s="79" t="s">
        <v>53</v>
      </c>
      <c r="B29" s="91" t="s">
        <v>54</v>
      </c>
      <c r="C29" s="81" t="s">
        <v>24</v>
      </c>
      <c r="D29" s="92">
        <v>796</v>
      </c>
      <c r="E29" s="93"/>
      <c r="F29" s="84"/>
      <c r="G29" s="84"/>
      <c r="H29" s="84"/>
      <c r="I29" s="84"/>
      <c r="J29" s="84"/>
      <c r="K29" s="83"/>
      <c r="L29" s="85"/>
      <c r="M29" s="86">
        <f>ROUND(96/1.2,2)</f>
        <v>80</v>
      </c>
      <c r="N29" s="87">
        <f t="shared" si="18"/>
        <v>63680</v>
      </c>
      <c r="O29" s="88">
        <f t="shared" si="19"/>
        <v>76416</v>
      </c>
      <c r="P29" s="89">
        <f t="shared" si="3"/>
        <v>0</v>
      </c>
      <c r="Q29" s="84">
        <f t="shared" si="4"/>
        <v>0</v>
      </c>
      <c r="R29" s="84">
        <f t="shared" si="7"/>
        <v>0</v>
      </c>
      <c r="S29" s="84">
        <f t="shared" si="5"/>
        <v>101.4377552</v>
      </c>
      <c r="T29" s="84">
        <f t="shared" si="6"/>
        <v>80744.453139199992</v>
      </c>
      <c r="U29" s="84">
        <f t="shared" si="8"/>
        <v>96893.343767039987</v>
      </c>
      <c r="V29" s="83">
        <f t="shared" si="9"/>
        <v>80744.453139199992</v>
      </c>
      <c r="W29" s="85">
        <f t="shared" si="9"/>
        <v>96893.343767039987</v>
      </c>
    </row>
    <row r="30" spans="1:23" ht="22.5" customHeight="1" x14ac:dyDescent="0.25">
      <c r="A30" s="51">
        <f>A23+1</f>
        <v>12</v>
      </c>
      <c r="B30" s="65" t="s">
        <v>55</v>
      </c>
      <c r="C30" s="53" t="s">
        <v>29</v>
      </c>
      <c r="D30" s="66">
        <v>432.62</v>
      </c>
      <c r="E30" s="67">
        <v>1920</v>
      </c>
      <c r="F30" s="56">
        <f>ROUND(E30*D30,2)</f>
        <v>830630.40000000002</v>
      </c>
      <c r="G30" s="56">
        <f t="shared" ref="G30" si="21">ROUND(F30*1.2,2)</f>
        <v>996756.47999999998</v>
      </c>
      <c r="H30" s="57"/>
      <c r="I30" s="58"/>
      <c r="J30" s="58"/>
      <c r="K30" s="59">
        <f t="shared" si="16"/>
        <v>830630.40000000002</v>
      </c>
      <c r="L30" s="60">
        <f t="shared" si="16"/>
        <v>996756.47999999998</v>
      </c>
      <c r="M30" s="61"/>
      <c r="N30" s="90">
        <f t="shared" si="18"/>
        <v>0</v>
      </c>
      <c r="O30" s="63">
        <f t="shared" si="19"/>
        <v>0</v>
      </c>
      <c r="P30" s="64">
        <f t="shared" si="3"/>
        <v>2688</v>
      </c>
      <c r="Q30" s="56">
        <f t="shared" si="4"/>
        <v>1162882.5600000001</v>
      </c>
      <c r="R30" s="56">
        <f t="shared" si="7"/>
        <v>1395459.0719999999</v>
      </c>
      <c r="S30" s="58">
        <f t="shared" si="5"/>
        <v>0</v>
      </c>
      <c r="T30" s="58">
        <f t="shared" si="6"/>
        <v>0</v>
      </c>
      <c r="U30" s="58">
        <f t="shared" si="8"/>
        <v>0</v>
      </c>
      <c r="V30" s="59">
        <f t="shared" si="9"/>
        <v>1162882.5600000001</v>
      </c>
      <c r="W30" s="60">
        <f t="shared" si="9"/>
        <v>1395459.0719999999</v>
      </c>
    </row>
    <row r="31" spans="1:23" ht="18" customHeight="1" x14ac:dyDescent="0.25">
      <c r="A31" s="79" t="s">
        <v>56</v>
      </c>
      <c r="B31" s="80" t="s">
        <v>57</v>
      </c>
      <c r="C31" s="81" t="s">
        <v>24</v>
      </c>
      <c r="D31" s="82">
        <v>35</v>
      </c>
      <c r="E31" s="83"/>
      <c r="F31" s="84"/>
      <c r="G31" s="84"/>
      <c r="H31" s="84"/>
      <c r="I31" s="84"/>
      <c r="J31" s="84"/>
      <c r="K31" s="83"/>
      <c r="L31" s="85"/>
      <c r="M31" s="86">
        <f>ROUND(5080915/1.2/35,2)</f>
        <v>120974.17</v>
      </c>
      <c r="N31" s="87">
        <f t="shared" si="18"/>
        <v>4234095.95</v>
      </c>
      <c r="O31" s="88">
        <f t="shared" si="19"/>
        <v>5080915.1399999997</v>
      </c>
      <c r="P31" s="89">
        <f t="shared" si="3"/>
        <v>0</v>
      </c>
      <c r="Q31" s="84">
        <f t="shared" si="4"/>
        <v>0</v>
      </c>
      <c r="R31" s="84"/>
      <c r="S31" s="84">
        <f t="shared" si="5"/>
        <v>153391.8530247898</v>
      </c>
      <c r="T31" s="84">
        <f t="shared" si="6"/>
        <v>5368714.8558676429</v>
      </c>
      <c r="U31" s="84">
        <f t="shared" si="8"/>
        <v>6442457.8270411715</v>
      </c>
      <c r="V31" s="83">
        <f t="shared" si="9"/>
        <v>5368714.8558676429</v>
      </c>
      <c r="W31" s="85">
        <f t="shared" si="9"/>
        <v>6442457.8270411715</v>
      </c>
    </row>
    <row r="32" spans="1:23" ht="22.5" customHeight="1" x14ac:dyDescent="0.25">
      <c r="A32" s="51">
        <f>A30+1</f>
        <v>13</v>
      </c>
      <c r="B32" s="65" t="s">
        <v>58</v>
      </c>
      <c r="C32" s="53" t="s">
        <v>27</v>
      </c>
      <c r="D32" s="66">
        <v>36</v>
      </c>
      <c r="E32" s="55">
        <v>1924</v>
      </c>
      <c r="F32" s="56">
        <f>ROUND(E32*D32,2)</f>
        <v>69264</v>
      </c>
      <c r="G32" s="56">
        <f t="shared" ref="G32" si="22">ROUND(F32*1.2,2)</f>
        <v>83116.800000000003</v>
      </c>
      <c r="H32" s="57"/>
      <c r="I32" s="58"/>
      <c r="J32" s="58"/>
      <c r="K32" s="59">
        <f t="shared" si="16"/>
        <v>69264</v>
      </c>
      <c r="L32" s="60">
        <f t="shared" si="16"/>
        <v>83116.800000000003</v>
      </c>
      <c r="M32" s="61"/>
      <c r="N32" s="90">
        <f t="shared" si="18"/>
        <v>0</v>
      </c>
      <c r="O32" s="63">
        <f t="shared" si="19"/>
        <v>0</v>
      </c>
      <c r="P32" s="64">
        <f t="shared" si="3"/>
        <v>2693.6</v>
      </c>
      <c r="Q32" s="56">
        <f t="shared" si="4"/>
        <v>96969.599999999991</v>
      </c>
      <c r="R32" s="56">
        <f t="shared" si="7"/>
        <v>116363.51999999999</v>
      </c>
      <c r="S32" s="58">
        <f t="shared" si="5"/>
        <v>0</v>
      </c>
      <c r="T32" s="58">
        <f t="shared" si="6"/>
        <v>0</v>
      </c>
      <c r="U32" s="58">
        <f t="shared" si="8"/>
        <v>0</v>
      </c>
      <c r="V32" s="59">
        <f t="shared" si="9"/>
        <v>96969.599999999991</v>
      </c>
      <c r="W32" s="60">
        <f t="shared" si="9"/>
        <v>116363.51999999999</v>
      </c>
    </row>
    <row r="33" spans="1:23" ht="18" customHeight="1" x14ac:dyDescent="0.25">
      <c r="A33" s="79" t="s">
        <v>59</v>
      </c>
      <c r="B33" s="91" t="s">
        <v>60</v>
      </c>
      <c r="C33" s="94" t="s">
        <v>61</v>
      </c>
      <c r="D33" s="92">
        <v>36</v>
      </c>
      <c r="E33" s="95"/>
      <c r="F33" s="84"/>
      <c r="G33" s="84"/>
      <c r="H33" s="83"/>
      <c r="I33" s="84"/>
      <c r="J33" s="84"/>
      <c r="K33" s="83"/>
      <c r="L33" s="85"/>
      <c r="M33" s="96">
        <f>ROUND(19824/1.2,2)</f>
        <v>16520</v>
      </c>
      <c r="N33" s="87">
        <f t="shared" si="18"/>
        <v>594720</v>
      </c>
      <c r="O33" s="88">
        <f t="shared" si="19"/>
        <v>713664</v>
      </c>
      <c r="P33" s="97">
        <f t="shared" si="3"/>
        <v>0</v>
      </c>
      <c r="Q33" s="84">
        <f t="shared" si="4"/>
        <v>0</v>
      </c>
      <c r="R33" s="84"/>
      <c r="S33" s="84">
        <f t="shared" si="5"/>
        <v>20946.896448800002</v>
      </c>
      <c r="T33" s="84">
        <f t="shared" si="6"/>
        <v>754088.27215680003</v>
      </c>
      <c r="U33" s="84">
        <f t="shared" si="8"/>
        <v>904905.92658815999</v>
      </c>
      <c r="V33" s="83">
        <f t="shared" si="9"/>
        <v>754088.27215680003</v>
      </c>
      <c r="W33" s="85">
        <f t="shared" si="9"/>
        <v>904905.92658815999</v>
      </c>
    </row>
    <row r="34" spans="1:23" ht="18" customHeight="1" x14ac:dyDescent="0.25">
      <c r="A34" s="79" t="s">
        <v>62</v>
      </c>
      <c r="B34" s="80" t="s">
        <v>63</v>
      </c>
      <c r="C34" s="81" t="s">
        <v>24</v>
      </c>
      <c r="D34" s="82">
        <f>D33*6</f>
        <v>216</v>
      </c>
      <c r="E34" s="83"/>
      <c r="F34" s="84"/>
      <c r="G34" s="84"/>
      <c r="H34" s="84"/>
      <c r="I34" s="84"/>
      <c r="J34" s="84"/>
      <c r="K34" s="83"/>
      <c r="L34" s="85"/>
      <c r="M34" s="86">
        <f>ROUND(48556/1.2/216,2)</f>
        <v>187.33</v>
      </c>
      <c r="N34" s="87">
        <f t="shared" si="18"/>
        <v>40463.279999999999</v>
      </c>
      <c r="O34" s="88">
        <f t="shared" si="19"/>
        <v>48555.94</v>
      </c>
      <c r="P34" s="89">
        <f t="shared" si="3"/>
        <v>0</v>
      </c>
      <c r="Q34" s="84">
        <f t="shared" si="4"/>
        <v>0</v>
      </c>
      <c r="R34" s="84"/>
      <c r="S34" s="84">
        <f t="shared" si="5"/>
        <v>237.52918352020001</v>
      </c>
      <c r="T34" s="84">
        <f t="shared" si="6"/>
        <v>51306.3036403632</v>
      </c>
      <c r="U34" s="84">
        <f t="shared" si="8"/>
        <v>61567.564368435837</v>
      </c>
      <c r="V34" s="83">
        <f t="shared" si="9"/>
        <v>51306.3036403632</v>
      </c>
      <c r="W34" s="85">
        <f t="shared" si="9"/>
        <v>61567.564368435837</v>
      </c>
    </row>
    <row r="35" spans="1:23" ht="18" customHeight="1" x14ac:dyDescent="0.25">
      <c r="A35" s="51">
        <f>A32+1</f>
        <v>14</v>
      </c>
      <c r="B35" s="65" t="s">
        <v>64</v>
      </c>
      <c r="C35" s="53" t="s">
        <v>22</v>
      </c>
      <c r="D35" s="66">
        <v>93</v>
      </c>
      <c r="E35" s="55">
        <v>1933.2</v>
      </c>
      <c r="F35" s="56">
        <f>ROUND(E35*D35,2)</f>
        <v>179787.6</v>
      </c>
      <c r="G35" s="56">
        <f t="shared" ref="G35" si="23">ROUND(F35*1.2,2)</f>
        <v>215745.12</v>
      </c>
      <c r="H35" s="57"/>
      <c r="I35" s="58"/>
      <c r="J35" s="58"/>
      <c r="K35" s="59">
        <f t="shared" si="16"/>
        <v>179787.6</v>
      </c>
      <c r="L35" s="60">
        <f t="shared" si="16"/>
        <v>215745.12</v>
      </c>
      <c r="M35" s="61"/>
      <c r="N35" s="90">
        <f t="shared" si="18"/>
        <v>0</v>
      </c>
      <c r="O35" s="63">
        <f t="shared" si="19"/>
        <v>0</v>
      </c>
      <c r="P35" s="64">
        <f t="shared" si="3"/>
        <v>2706.48</v>
      </c>
      <c r="Q35" s="56">
        <f t="shared" si="4"/>
        <v>251702.64</v>
      </c>
      <c r="R35" s="56">
        <f t="shared" si="7"/>
        <v>302043.16800000001</v>
      </c>
      <c r="S35" s="58">
        <f t="shared" si="5"/>
        <v>0</v>
      </c>
      <c r="T35" s="58">
        <f t="shared" si="6"/>
        <v>0</v>
      </c>
      <c r="U35" s="58">
        <f t="shared" si="8"/>
        <v>0</v>
      </c>
      <c r="V35" s="59">
        <f t="shared" si="9"/>
        <v>251702.64</v>
      </c>
      <c r="W35" s="60">
        <f t="shared" si="9"/>
        <v>302043.16800000001</v>
      </c>
    </row>
    <row r="36" spans="1:23" ht="18" customHeight="1" x14ac:dyDescent="0.25">
      <c r="A36" s="68" t="s">
        <v>65</v>
      </c>
      <c r="B36" s="69" t="s">
        <v>35</v>
      </c>
      <c r="C36" s="70" t="s">
        <v>22</v>
      </c>
      <c r="D36" s="71">
        <f>D35*1.26</f>
        <v>117.18</v>
      </c>
      <c r="E36" s="72"/>
      <c r="F36" s="73"/>
      <c r="G36" s="73"/>
      <c r="H36" s="73">
        <v>3720</v>
      </c>
      <c r="I36" s="73">
        <f>ROUND(H36*D36,2)</f>
        <v>435909.6</v>
      </c>
      <c r="J36" s="73">
        <f>ROUND(I36*1.2,2)</f>
        <v>523091.52</v>
      </c>
      <c r="K36" s="72">
        <f>F36+I36</f>
        <v>435909.6</v>
      </c>
      <c r="L36" s="74">
        <f>G36+J36</f>
        <v>523091.52</v>
      </c>
      <c r="M36" s="75"/>
      <c r="N36" s="98">
        <f t="shared" si="18"/>
        <v>0</v>
      </c>
      <c r="O36" s="77">
        <f t="shared" si="19"/>
        <v>0</v>
      </c>
      <c r="P36" s="78">
        <f t="shared" si="3"/>
        <v>0</v>
      </c>
      <c r="Q36" s="73">
        <f t="shared" si="4"/>
        <v>0</v>
      </c>
      <c r="R36" s="73">
        <f t="shared" si="7"/>
        <v>0</v>
      </c>
      <c r="S36" s="73">
        <f t="shared" si="5"/>
        <v>4716.8556168000005</v>
      </c>
      <c r="T36" s="73">
        <f t="shared" si="6"/>
        <v>552721.14117662411</v>
      </c>
      <c r="U36" s="73">
        <f t="shared" si="8"/>
        <v>663265.36941194895</v>
      </c>
      <c r="V36" s="72">
        <f t="shared" si="9"/>
        <v>552721.14117662411</v>
      </c>
      <c r="W36" s="74">
        <f t="shared" si="9"/>
        <v>663265.36941194895</v>
      </c>
    </row>
    <row r="37" spans="1:23" ht="18" customHeight="1" x14ac:dyDescent="0.25">
      <c r="A37" s="51">
        <f>A35+1</f>
        <v>15</v>
      </c>
      <c r="B37" s="65" t="s">
        <v>66</v>
      </c>
      <c r="C37" s="53" t="s">
        <v>22</v>
      </c>
      <c r="D37" s="66">
        <v>18.600000000000001</v>
      </c>
      <c r="E37" s="67">
        <v>1449.9</v>
      </c>
      <c r="F37" s="56">
        <f>ROUND(E37*D37,2)</f>
        <v>26968.14</v>
      </c>
      <c r="G37" s="56">
        <f t="shared" ref="G37" si="24">ROUND(F37*1.2,2)</f>
        <v>32361.77</v>
      </c>
      <c r="H37" s="57"/>
      <c r="I37" s="58"/>
      <c r="J37" s="58"/>
      <c r="K37" s="59">
        <f t="shared" ref="K37:L37" si="25">F37+I37</f>
        <v>26968.14</v>
      </c>
      <c r="L37" s="60">
        <f t="shared" si="25"/>
        <v>32361.77</v>
      </c>
      <c r="M37" s="61"/>
      <c r="N37" s="90">
        <f t="shared" si="18"/>
        <v>0</v>
      </c>
      <c r="O37" s="63">
        <f t="shared" si="19"/>
        <v>0</v>
      </c>
      <c r="P37" s="64">
        <f t="shared" si="3"/>
        <v>2029.86</v>
      </c>
      <c r="Q37" s="56">
        <f t="shared" si="4"/>
        <v>37755.396000000001</v>
      </c>
      <c r="R37" s="56">
        <f t="shared" si="7"/>
        <v>45306.475200000001</v>
      </c>
      <c r="S37" s="58">
        <f t="shared" si="5"/>
        <v>0</v>
      </c>
      <c r="T37" s="58">
        <f t="shared" si="6"/>
        <v>0</v>
      </c>
      <c r="U37" s="58">
        <f t="shared" si="8"/>
        <v>0</v>
      </c>
      <c r="V37" s="59">
        <f t="shared" si="9"/>
        <v>37755.396000000001</v>
      </c>
      <c r="W37" s="60">
        <f t="shared" si="9"/>
        <v>45306.475200000001</v>
      </c>
    </row>
    <row r="38" spans="1:23" ht="18" customHeight="1" x14ac:dyDescent="0.25">
      <c r="A38" s="68" t="s">
        <v>67</v>
      </c>
      <c r="B38" s="69" t="s">
        <v>35</v>
      </c>
      <c r="C38" s="70" t="s">
        <v>22</v>
      </c>
      <c r="D38" s="71">
        <f>D37*1.26</f>
        <v>23.436000000000003</v>
      </c>
      <c r="E38" s="72"/>
      <c r="F38" s="73"/>
      <c r="G38" s="73"/>
      <c r="H38" s="73">
        <v>3720</v>
      </c>
      <c r="I38" s="73">
        <f>ROUND(H38*D38,2)</f>
        <v>87181.92</v>
      </c>
      <c r="J38" s="73">
        <f>ROUND(I38*1.2,2)</f>
        <v>104618.3</v>
      </c>
      <c r="K38" s="72">
        <f>F38+I38</f>
        <v>87181.92</v>
      </c>
      <c r="L38" s="74">
        <f>G38+J38</f>
        <v>104618.3</v>
      </c>
      <c r="M38" s="75"/>
      <c r="N38" s="98">
        <f t="shared" si="18"/>
        <v>0</v>
      </c>
      <c r="O38" s="77">
        <f t="shared" si="19"/>
        <v>0</v>
      </c>
      <c r="P38" s="78">
        <f t="shared" si="3"/>
        <v>0</v>
      </c>
      <c r="Q38" s="73">
        <f t="shared" si="4"/>
        <v>0</v>
      </c>
      <c r="R38" s="73">
        <f t="shared" si="7"/>
        <v>0</v>
      </c>
      <c r="S38" s="73">
        <f t="shared" si="5"/>
        <v>4716.8556168000005</v>
      </c>
      <c r="T38" s="73">
        <f t="shared" si="6"/>
        <v>110544.22823532483</v>
      </c>
      <c r="U38" s="73">
        <f t="shared" si="8"/>
        <v>132653.07388238978</v>
      </c>
      <c r="V38" s="72">
        <f t="shared" si="9"/>
        <v>110544.22823532483</v>
      </c>
      <c r="W38" s="74">
        <f t="shared" si="9"/>
        <v>132653.07388238978</v>
      </c>
    </row>
    <row r="39" spans="1:23" ht="21" customHeight="1" x14ac:dyDescent="0.25">
      <c r="A39" s="51">
        <f>A37+1</f>
        <v>16</v>
      </c>
      <c r="B39" s="65" t="s">
        <v>68</v>
      </c>
      <c r="C39" s="53" t="s">
        <v>29</v>
      </c>
      <c r="D39" s="66">
        <v>216.31</v>
      </c>
      <c r="E39" s="55">
        <v>945.3</v>
      </c>
      <c r="F39" s="56">
        <f>ROUND(E39*D39,2)</f>
        <v>204477.84</v>
      </c>
      <c r="G39" s="56">
        <f t="shared" ref="G39:G40" si="26">ROUND(F39*1.2,2)</f>
        <v>245373.41</v>
      </c>
      <c r="H39" s="57"/>
      <c r="I39" s="58"/>
      <c r="J39" s="58"/>
      <c r="K39" s="59">
        <f t="shared" ref="K39:L40" si="27">F39+I39</f>
        <v>204477.84</v>
      </c>
      <c r="L39" s="60">
        <f t="shared" si="27"/>
        <v>245373.41</v>
      </c>
      <c r="M39" s="61"/>
      <c r="N39" s="90">
        <f t="shared" si="18"/>
        <v>0</v>
      </c>
      <c r="O39" s="63">
        <f t="shared" si="19"/>
        <v>0</v>
      </c>
      <c r="P39" s="64">
        <f t="shared" si="3"/>
        <v>1323.4199999999998</v>
      </c>
      <c r="Q39" s="56">
        <f t="shared" si="4"/>
        <v>286268.98019999999</v>
      </c>
      <c r="R39" s="56">
        <f t="shared" si="7"/>
        <v>343522.77623999998</v>
      </c>
      <c r="S39" s="58">
        <f t="shared" si="5"/>
        <v>0</v>
      </c>
      <c r="T39" s="58">
        <f t="shared" si="6"/>
        <v>0</v>
      </c>
      <c r="U39" s="58">
        <f t="shared" si="8"/>
        <v>0</v>
      </c>
      <c r="V39" s="59">
        <f t="shared" si="9"/>
        <v>286268.98019999999</v>
      </c>
      <c r="W39" s="60">
        <f t="shared" si="9"/>
        <v>343522.77623999998</v>
      </c>
    </row>
    <row r="40" spans="1:23" ht="32.25" customHeight="1" x14ac:dyDescent="0.25">
      <c r="A40" s="51">
        <f>A39+1</f>
        <v>17</v>
      </c>
      <c r="B40" s="65" t="s">
        <v>69</v>
      </c>
      <c r="C40" s="53" t="s">
        <v>70</v>
      </c>
      <c r="D40" s="66">
        <v>60</v>
      </c>
      <c r="E40" s="55">
        <v>700</v>
      </c>
      <c r="F40" s="56">
        <f>ROUND(E40*D40,2)</f>
        <v>42000</v>
      </c>
      <c r="G40" s="56">
        <f t="shared" si="26"/>
        <v>50400</v>
      </c>
      <c r="H40" s="57"/>
      <c r="I40" s="58"/>
      <c r="J40" s="58"/>
      <c r="K40" s="59">
        <f t="shared" si="27"/>
        <v>42000</v>
      </c>
      <c r="L40" s="60">
        <f t="shared" si="27"/>
        <v>50400</v>
      </c>
      <c r="M40" s="61"/>
      <c r="N40" s="90">
        <f t="shared" si="18"/>
        <v>0</v>
      </c>
      <c r="O40" s="63">
        <f t="shared" si="19"/>
        <v>0</v>
      </c>
      <c r="P40" s="64">
        <f t="shared" si="3"/>
        <v>979.99999999999989</v>
      </c>
      <c r="Q40" s="56">
        <f t="shared" si="4"/>
        <v>58799.999999999993</v>
      </c>
      <c r="R40" s="56">
        <f t="shared" si="7"/>
        <v>70559.999999999985</v>
      </c>
      <c r="S40" s="58">
        <f t="shared" si="5"/>
        <v>0</v>
      </c>
      <c r="T40" s="58">
        <f t="shared" si="6"/>
        <v>0</v>
      </c>
      <c r="U40" s="58">
        <f t="shared" si="8"/>
        <v>0</v>
      </c>
      <c r="V40" s="59">
        <f t="shared" si="9"/>
        <v>58799.999999999993</v>
      </c>
      <c r="W40" s="60">
        <f t="shared" si="9"/>
        <v>70559.999999999985</v>
      </c>
    </row>
    <row r="41" spans="1:23" ht="20.25" customHeight="1" x14ac:dyDescent="0.25">
      <c r="A41" s="99" t="s">
        <v>71</v>
      </c>
      <c r="B41" s="42"/>
      <c r="C41" s="43"/>
      <c r="D41" s="100"/>
      <c r="E41" s="44"/>
      <c r="F41" s="45"/>
      <c r="G41" s="46"/>
      <c r="H41" s="101"/>
      <c r="I41" s="101"/>
      <c r="J41" s="101"/>
      <c r="K41" s="46"/>
      <c r="L41" s="47"/>
      <c r="M41" s="102"/>
      <c r="N41" s="103">
        <f t="shared" si="18"/>
        <v>0</v>
      </c>
      <c r="O41" s="104">
        <f t="shared" si="19"/>
        <v>0</v>
      </c>
      <c r="P41" s="50">
        <f t="shared" si="3"/>
        <v>0</v>
      </c>
      <c r="Q41" s="46">
        <f t="shared" si="4"/>
        <v>0</v>
      </c>
      <c r="R41" s="46"/>
      <c r="S41" s="46"/>
      <c r="T41" s="46">
        <f t="shared" si="6"/>
        <v>0</v>
      </c>
      <c r="U41" s="46"/>
      <c r="V41" s="46"/>
      <c r="W41" s="47"/>
    </row>
    <row r="42" spans="1:23" ht="22.5" customHeight="1" x14ac:dyDescent="0.25">
      <c r="A42" s="51" t="s">
        <v>72</v>
      </c>
      <c r="B42" s="65" t="s">
        <v>73</v>
      </c>
      <c r="C42" s="53" t="s">
        <v>22</v>
      </c>
      <c r="D42" s="66">
        <v>17.079999999999998</v>
      </c>
      <c r="E42" s="55">
        <v>3800</v>
      </c>
      <c r="F42" s="56">
        <f>ROUND(E42*D42,2)</f>
        <v>64904</v>
      </c>
      <c r="G42" s="56">
        <f t="shared" ref="G42:G56" si="28">ROUND(F42*1.2,2)</f>
        <v>77884.800000000003</v>
      </c>
      <c r="H42" s="57"/>
      <c r="I42" s="58"/>
      <c r="J42" s="58"/>
      <c r="K42" s="59">
        <f t="shared" ref="K42:L56" si="29">F42+I42</f>
        <v>64904</v>
      </c>
      <c r="L42" s="60">
        <f t="shared" si="29"/>
        <v>77884.800000000003</v>
      </c>
      <c r="M42" s="61"/>
      <c r="N42" s="90">
        <f t="shared" si="18"/>
        <v>0</v>
      </c>
      <c r="O42" s="63">
        <f t="shared" si="19"/>
        <v>0</v>
      </c>
      <c r="P42" s="64">
        <f t="shared" si="3"/>
        <v>5320</v>
      </c>
      <c r="Q42" s="56">
        <f t="shared" si="4"/>
        <v>90865.599999999991</v>
      </c>
      <c r="R42" s="56">
        <f t="shared" si="7"/>
        <v>109038.71999999999</v>
      </c>
      <c r="S42" s="58">
        <f t="shared" ref="S42:S60" si="30">H42*$T$1+M42*$T$1</f>
        <v>0</v>
      </c>
      <c r="T42" s="58">
        <f t="shared" si="6"/>
        <v>0</v>
      </c>
      <c r="U42" s="58">
        <f t="shared" si="8"/>
        <v>0</v>
      </c>
      <c r="V42" s="59">
        <f t="shared" si="9"/>
        <v>90865.599999999991</v>
      </c>
      <c r="W42" s="60">
        <f t="shared" si="9"/>
        <v>109038.71999999999</v>
      </c>
    </row>
    <row r="43" spans="1:23" ht="18" customHeight="1" x14ac:dyDescent="0.25">
      <c r="A43" s="105">
        <f>A42+1</f>
        <v>20</v>
      </c>
      <c r="B43" s="65" t="s">
        <v>74</v>
      </c>
      <c r="C43" s="53" t="s">
        <v>24</v>
      </c>
      <c r="D43" s="66">
        <v>1</v>
      </c>
      <c r="E43" s="55">
        <v>8320</v>
      </c>
      <c r="F43" s="56">
        <f>ROUND(E43*D43,2)</f>
        <v>8320</v>
      </c>
      <c r="G43" s="56">
        <f t="shared" si="28"/>
        <v>9984</v>
      </c>
      <c r="H43" s="57"/>
      <c r="I43" s="58"/>
      <c r="J43" s="58"/>
      <c r="K43" s="59">
        <f t="shared" si="29"/>
        <v>8320</v>
      </c>
      <c r="L43" s="60">
        <f t="shared" si="29"/>
        <v>9984</v>
      </c>
      <c r="M43" s="61"/>
      <c r="N43" s="90">
        <f t="shared" si="18"/>
        <v>0</v>
      </c>
      <c r="O43" s="63">
        <f t="shared" si="19"/>
        <v>0</v>
      </c>
      <c r="P43" s="64">
        <f t="shared" si="3"/>
        <v>11648</v>
      </c>
      <c r="Q43" s="56">
        <f t="shared" si="4"/>
        <v>11648</v>
      </c>
      <c r="R43" s="56">
        <f t="shared" si="7"/>
        <v>13977.6</v>
      </c>
      <c r="S43" s="58">
        <f t="shared" si="30"/>
        <v>0</v>
      </c>
      <c r="T43" s="58">
        <f t="shared" si="6"/>
        <v>0</v>
      </c>
      <c r="U43" s="58">
        <f t="shared" si="8"/>
        <v>0</v>
      </c>
      <c r="V43" s="59">
        <f t="shared" si="9"/>
        <v>11648</v>
      </c>
      <c r="W43" s="60">
        <f t="shared" si="9"/>
        <v>13977.6</v>
      </c>
    </row>
    <row r="44" spans="1:23" ht="18" customHeight="1" x14ac:dyDescent="0.25">
      <c r="A44" s="105">
        <f t="shared" ref="A44:A46" si="31">A43+1</f>
        <v>21</v>
      </c>
      <c r="B44" s="65" t="s">
        <v>75</v>
      </c>
      <c r="C44" s="53" t="s">
        <v>24</v>
      </c>
      <c r="D44" s="66">
        <v>126</v>
      </c>
      <c r="E44" s="55">
        <v>340.96</v>
      </c>
      <c r="F44" s="56">
        <f>ROUND(E44*D44,2)</f>
        <v>42960.959999999999</v>
      </c>
      <c r="G44" s="56">
        <f t="shared" si="28"/>
        <v>51553.15</v>
      </c>
      <c r="H44" s="57"/>
      <c r="I44" s="58"/>
      <c r="J44" s="58"/>
      <c r="K44" s="59">
        <f t="shared" si="29"/>
        <v>42960.959999999999</v>
      </c>
      <c r="L44" s="60">
        <f t="shared" si="29"/>
        <v>51553.15</v>
      </c>
      <c r="M44" s="61"/>
      <c r="N44" s="90">
        <f t="shared" si="18"/>
        <v>0</v>
      </c>
      <c r="O44" s="63">
        <f t="shared" si="19"/>
        <v>0</v>
      </c>
      <c r="P44" s="64">
        <f t="shared" si="3"/>
        <v>477.34399999999994</v>
      </c>
      <c r="Q44" s="56">
        <f t="shared" si="4"/>
        <v>60145.34399999999</v>
      </c>
      <c r="R44" s="56">
        <f t="shared" si="7"/>
        <v>72174.412799999991</v>
      </c>
      <c r="S44" s="58">
        <f t="shared" si="30"/>
        <v>0</v>
      </c>
      <c r="T44" s="58">
        <f t="shared" si="6"/>
        <v>0</v>
      </c>
      <c r="U44" s="58">
        <f t="shared" si="8"/>
        <v>0</v>
      </c>
      <c r="V44" s="59">
        <f t="shared" si="9"/>
        <v>60145.34399999999</v>
      </c>
      <c r="W44" s="60">
        <f t="shared" si="9"/>
        <v>72174.412799999991</v>
      </c>
    </row>
    <row r="45" spans="1:23" ht="18" customHeight="1" x14ac:dyDescent="0.25">
      <c r="A45" s="105">
        <f t="shared" si="31"/>
        <v>22</v>
      </c>
      <c r="B45" s="65" t="s">
        <v>76</v>
      </c>
      <c r="C45" s="53" t="s">
        <v>24</v>
      </c>
      <c r="D45" s="66">
        <v>63</v>
      </c>
      <c r="E45" s="67">
        <v>1968.64</v>
      </c>
      <c r="F45" s="56">
        <f>ROUND(E45*D45,2)</f>
        <v>124024.32000000001</v>
      </c>
      <c r="G45" s="56">
        <f t="shared" si="28"/>
        <v>148829.18</v>
      </c>
      <c r="H45" s="57"/>
      <c r="I45" s="58"/>
      <c r="J45" s="58"/>
      <c r="K45" s="59">
        <f t="shared" si="29"/>
        <v>124024.32000000001</v>
      </c>
      <c r="L45" s="60">
        <f t="shared" si="29"/>
        <v>148829.18</v>
      </c>
      <c r="M45" s="61"/>
      <c r="N45" s="90">
        <f t="shared" si="18"/>
        <v>0</v>
      </c>
      <c r="O45" s="63">
        <f t="shared" si="19"/>
        <v>0</v>
      </c>
      <c r="P45" s="64">
        <f t="shared" si="3"/>
        <v>2756.096</v>
      </c>
      <c r="Q45" s="56">
        <f t="shared" si="4"/>
        <v>173634.04800000001</v>
      </c>
      <c r="R45" s="56">
        <f t="shared" si="7"/>
        <v>208360.85760000002</v>
      </c>
      <c r="S45" s="58">
        <f t="shared" si="30"/>
        <v>0</v>
      </c>
      <c r="T45" s="58">
        <f t="shared" si="6"/>
        <v>0</v>
      </c>
      <c r="U45" s="58">
        <f t="shared" si="8"/>
        <v>0</v>
      </c>
      <c r="V45" s="59">
        <f t="shared" si="9"/>
        <v>173634.04800000001</v>
      </c>
      <c r="W45" s="60">
        <f t="shared" si="9"/>
        <v>208360.85760000002</v>
      </c>
    </row>
    <row r="46" spans="1:23" ht="18" customHeight="1" x14ac:dyDescent="0.25">
      <c r="A46" s="105">
        <f t="shared" si="31"/>
        <v>23</v>
      </c>
      <c r="B46" s="65" t="s">
        <v>77</v>
      </c>
      <c r="C46" s="53" t="s">
        <v>24</v>
      </c>
      <c r="D46" s="66">
        <v>63</v>
      </c>
      <c r="E46" s="67">
        <v>2952.96</v>
      </c>
      <c r="F46" s="56">
        <f>ROUND(E46*D46,2)</f>
        <v>186036.48000000001</v>
      </c>
      <c r="G46" s="56">
        <f t="shared" si="28"/>
        <v>223243.78</v>
      </c>
      <c r="H46" s="57"/>
      <c r="I46" s="58"/>
      <c r="J46" s="58"/>
      <c r="K46" s="59">
        <f t="shared" si="29"/>
        <v>186036.48000000001</v>
      </c>
      <c r="L46" s="60">
        <f t="shared" si="29"/>
        <v>223243.78</v>
      </c>
      <c r="M46" s="61"/>
      <c r="N46" s="90">
        <f t="shared" si="18"/>
        <v>0</v>
      </c>
      <c r="O46" s="63">
        <f t="shared" si="19"/>
        <v>0</v>
      </c>
      <c r="P46" s="64">
        <f t="shared" si="3"/>
        <v>4134.1440000000002</v>
      </c>
      <c r="Q46" s="56">
        <f t="shared" si="4"/>
        <v>260451.07200000001</v>
      </c>
      <c r="R46" s="56">
        <f t="shared" si="7"/>
        <v>312541.28639999998</v>
      </c>
      <c r="S46" s="58">
        <f t="shared" si="30"/>
        <v>0</v>
      </c>
      <c r="T46" s="58">
        <f t="shared" si="6"/>
        <v>0</v>
      </c>
      <c r="U46" s="58">
        <f t="shared" si="8"/>
        <v>0</v>
      </c>
      <c r="V46" s="59">
        <f t="shared" si="9"/>
        <v>260451.07200000001</v>
      </c>
      <c r="W46" s="60">
        <f t="shared" si="9"/>
        <v>312541.28639999998</v>
      </c>
    </row>
    <row r="47" spans="1:23" ht="18" customHeight="1" x14ac:dyDescent="0.25">
      <c r="A47" s="79" t="s">
        <v>78</v>
      </c>
      <c r="B47" s="80" t="s">
        <v>79</v>
      </c>
      <c r="C47" s="81" t="s">
        <v>24</v>
      </c>
      <c r="D47" s="82">
        <v>63</v>
      </c>
      <c r="E47" s="83"/>
      <c r="F47" s="84"/>
      <c r="G47" s="84"/>
      <c r="H47" s="84"/>
      <c r="I47" s="84"/>
      <c r="J47" s="84"/>
      <c r="K47" s="83"/>
      <c r="L47" s="85"/>
      <c r="M47" s="86">
        <f>ROUND(460000/1.2/D47,2)</f>
        <v>6084.66</v>
      </c>
      <c r="N47" s="87">
        <f t="shared" si="18"/>
        <v>383333.58</v>
      </c>
      <c r="O47" s="88">
        <f t="shared" si="19"/>
        <v>460000.3</v>
      </c>
      <c r="P47" s="89">
        <f t="shared" si="3"/>
        <v>0</v>
      </c>
      <c r="Q47" s="84">
        <f t="shared" si="4"/>
        <v>0</v>
      </c>
      <c r="R47" s="84"/>
      <c r="S47" s="84">
        <f t="shared" si="30"/>
        <v>7715.1781444403996</v>
      </c>
      <c r="T47" s="84">
        <f t="shared" si="6"/>
        <v>486056.22309974517</v>
      </c>
      <c r="U47" s="84">
        <f t="shared" si="8"/>
        <v>583267.46771969413</v>
      </c>
      <c r="V47" s="83">
        <f t="shared" si="9"/>
        <v>486056.22309974517</v>
      </c>
      <c r="W47" s="85">
        <f t="shared" si="9"/>
        <v>583267.46771969413</v>
      </c>
    </row>
    <row r="48" spans="1:23" ht="18" customHeight="1" x14ac:dyDescent="0.25">
      <c r="A48" s="105">
        <f>A46+1</f>
        <v>24</v>
      </c>
      <c r="B48" s="65" t="s">
        <v>80</v>
      </c>
      <c r="C48" s="53" t="s">
        <v>24</v>
      </c>
      <c r="D48" s="66">
        <v>63</v>
      </c>
      <c r="E48" s="55">
        <v>833.25</v>
      </c>
      <c r="F48" s="56">
        <f>ROUND(E48*D48,2)</f>
        <v>52494.75</v>
      </c>
      <c r="G48" s="56">
        <f t="shared" ref="G48:G53" si="32">ROUND(F48*1.2,2)</f>
        <v>62993.7</v>
      </c>
      <c r="H48" s="57"/>
      <c r="I48" s="58"/>
      <c r="J48" s="58"/>
      <c r="K48" s="59">
        <f t="shared" ref="K48:L53" si="33">F48+I48</f>
        <v>52494.75</v>
      </c>
      <c r="L48" s="60">
        <f t="shared" si="33"/>
        <v>62993.7</v>
      </c>
      <c r="M48" s="61"/>
      <c r="N48" s="90">
        <f t="shared" si="18"/>
        <v>0</v>
      </c>
      <c r="O48" s="63">
        <f t="shared" si="19"/>
        <v>0</v>
      </c>
      <c r="P48" s="64">
        <f t="shared" si="3"/>
        <v>1166.55</v>
      </c>
      <c r="Q48" s="56">
        <f t="shared" si="4"/>
        <v>73492.649999999994</v>
      </c>
      <c r="R48" s="56">
        <f t="shared" si="7"/>
        <v>88191.18</v>
      </c>
      <c r="S48" s="58">
        <f t="shared" si="30"/>
        <v>0</v>
      </c>
      <c r="T48" s="58">
        <f t="shared" si="6"/>
        <v>0</v>
      </c>
      <c r="U48" s="58">
        <f t="shared" si="8"/>
        <v>0</v>
      </c>
      <c r="V48" s="59">
        <f t="shared" si="9"/>
        <v>73492.649999999994</v>
      </c>
      <c r="W48" s="60">
        <f t="shared" si="9"/>
        <v>88191.18</v>
      </c>
    </row>
    <row r="49" spans="1:23" ht="18" customHeight="1" x14ac:dyDescent="0.25">
      <c r="A49" s="79" t="s">
        <v>81</v>
      </c>
      <c r="B49" s="80" t="s">
        <v>82</v>
      </c>
      <c r="C49" s="81" t="s">
        <v>83</v>
      </c>
      <c r="D49" s="82">
        <v>104</v>
      </c>
      <c r="E49" s="83"/>
      <c r="F49" s="84"/>
      <c r="G49" s="84"/>
      <c r="H49" s="84"/>
      <c r="I49" s="84"/>
      <c r="J49" s="84"/>
      <c r="K49" s="83"/>
      <c r="L49" s="85"/>
      <c r="M49" s="86">
        <f>ROUND(211700/1.2/104,2)</f>
        <v>1696.31</v>
      </c>
      <c r="N49" s="87">
        <f t="shared" si="18"/>
        <v>176416.24</v>
      </c>
      <c r="O49" s="88">
        <f t="shared" si="19"/>
        <v>211699.49</v>
      </c>
      <c r="P49" s="89">
        <f t="shared" si="3"/>
        <v>0</v>
      </c>
      <c r="Q49" s="84">
        <f t="shared" si="4"/>
        <v>0</v>
      </c>
      <c r="R49" s="84"/>
      <c r="S49" s="84">
        <f t="shared" si="30"/>
        <v>2150.8734815414</v>
      </c>
      <c r="T49" s="84">
        <f t="shared" si="6"/>
        <v>223690.84208030559</v>
      </c>
      <c r="U49" s="84">
        <f t="shared" si="8"/>
        <v>268429.01049636671</v>
      </c>
      <c r="V49" s="83">
        <f t="shared" si="9"/>
        <v>223690.84208030559</v>
      </c>
      <c r="W49" s="85">
        <f t="shared" si="9"/>
        <v>268429.01049636671</v>
      </c>
    </row>
    <row r="50" spans="1:23" ht="18" customHeight="1" x14ac:dyDescent="0.25">
      <c r="A50" s="79" t="s">
        <v>84</v>
      </c>
      <c r="B50" s="80" t="s">
        <v>85</v>
      </c>
      <c r="C50" s="81" t="s">
        <v>83</v>
      </c>
      <c r="D50" s="82">
        <v>104</v>
      </c>
      <c r="E50" s="83"/>
      <c r="F50" s="84"/>
      <c r="G50" s="84"/>
      <c r="H50" s="84"/>
      <c r="I50" s="84"/>
      <c r="J50" s="84"/>
      <c r="K50" s="83"/>
      <c r="L50" s="85"/>
      <c r="M50" s="86">
        <f>ROUND(135/1.2,2)</f>
        <v>112.5</v>
      </c>
      <c r="N50" s="87">
        <f t="shared" si="18"/>
        <v>11700</v>
      </c>
      <c r="O50" s="88">
        <f t="shared" si="19"/>
        <v>14040</v>
      </c>
      <c r="P50" s="89">
        <f t="shared" si="3"/>
        <v>0</v>
      </c>
      <c r="Q50" s="84">
        <f t="shared" si="4"/>
        <v>0</v>
      </c>
      <c r="R50" s="84"/>
      <c r="S50" s="84">
        <f t="shared" si="30"/>
        <v>142.64684324999999</v>
      </c>
      <c r="T50" s="84">
        <f t="shared" si="6"/>
        <v>14835.271697999999</v>
      </c>
      <c r="U50" s="84">
        <f t="shared" si="8"/>
        <v>17802.326037599996</v>
      </c>
      <c r="V50" s="83">
        <f t="shared" si="9"/>
        <v>14835.271697999999</v>
      </c>
      <c r="W50" s="85">
        <f t="shared" si="9"/>
        <v>17802.326037599996</v>
      </c>
    </row>
    <row r="51" spans="1:23" ht="18" customHeight="1" x14ac:dyDescent="0.25">
      <c r="A51" s="79" t="s">
        <v>86</v>
      </c>
      <c r="B51" s="80" t="s">
        <v>87</v>
      </c>
      <c r="C51" s="81" t="s">
        <v>83</v>
      </c>
      <c r="D51" s="82">
        <v>520</v>
      </c>
      <c r="E51" s="83"/>
      <c r="F51" s="84"/>
      <c r="G51" s="84"/>
      <c r="H51" s="84"/>
      <c r="I51" s="84"/>
      <c r="J51" s="84"/>
      <c r="K51" s="83"/>
      <c r="L51" s="85"/>
      <c r="M51" s="86">
        <f>ROUND(74576/1.2/1248,2)</f>
        <v>49.8</v>
      </c>
      <c r="N51" s="87">
        <f t="shared" si="18"/>
        <v>25896</v>
      </c>
      <c r="O51" s="88">
        <f t="shared" si="19"/>
        <v>31075.200000000001</v>
      </c>
      <c r="P51" s="89">
        <f t="shared" si="3"/>
        <v>0</v>
      </c>
      <c r="Q51" s="84">
        <f t="shared" si="4"/>
        <v>0</v>
      </c>
      <c r="R51" s="84"/>
      <c r="S51" s="84">
        <f t="shared" si="30"/>
        <v>63.145002611999999</v>
      </c>
      <c r="T51" s="84">
        <f t="shared" si="6"/>
        <v>32835.40135824</v>
      </c>
      <c r="U51" s="84">
        <f t="shared" si="8"/>
        <v>39402.481629887996</v>
      </c>
      <c r="V51" s="83">
        <f t="shared" si="9"/>
        <v>32835.40135824</v>
      </c>
      <c r="W51" s="85">
        <f t="shared" si="9"/>
        <v>39402.481629887996</v>
      </c>
    </row>
    <row r="52" spans="1:23" ht="18" customHeight="1" x14ac:dyDescent="0.25">
      <c r="A52" s="79" t="s">
        <v>88</v>
      </c>
      <c r="B52" s="80" t="s">
        <v>89</v>
      </c>
      <c r="C52" s="81" t="s">
        <v>83</v>
      </c>
      <c r="D52" s="82">
        <v>486</v>
      </c>
      <c r="E52" s="83"/>
      <c r="F52" s="84"/>
      <c r="G52" s="84"/>
      <c r="H52" s="84"/>
      <c r="I52" s="84"/>
      <c r="J52" s="84"/>
      <c r="K52" s="83"/>
      <c r="L52" s="85"/>
      <c r="M52" s="86">
        <f>ROUND(74253/1.2/834,2)</f>
        <v>74.19</v>
      </c>
      <c r="N52" s="87">
        <f t="shared" si="18"/>
        <v>36056.339999999997</v>
      </c>
      <c r="O52" s="88">
        <f t="shared" si="19"/>
        <v>43267.61</v>
      </c>
      <c r="P52" s="89">
        <f t="shared" si="3"/>
        <v>0</v>
      </c>
      <c r="Q52" s="84">
        <f t="shared" si="4"/>
        <v>0</v>
      </c>
      <c r="R52" s="84"/>
      <c r="S52" s="84">
        <f t="shared" si="30"/>
        <v>94.070838228599996</v>
      </c>
      <c r="T52" s="84">
        <f t="shared" si="6"/>
        <v>45718.427379099601</v>
      </c>
      <c r="U52" s="84">
        <f t="shared" si="8"/>
        <v>54862.11285491952</v>
      </c>
      <c r="V52" s="83">
        <f t="shared" si="9"/>
        <v>45718.427379099601</v>
      </c>
      <c r="W52" s="85">
        <f t="shared" si="9"/>
        <v>54862.11285491952</v>
      </c>
    </row>
    <row r="53" spans="1:23" ht="18" customHeight="1" x14ac:dyDescent="0.25">
      <c r="A53" s="105">
        <f>A48+1</f>
        <v>25</v>
      </c>
      <c r="B53" s="65" t="s">
        <v>90</v>
      </c>
      <c r="C53" s="53" t="s">
        <v>24</v>
      </c>
      <c r="D53" s="66">
        <v>2</v>
      </c>
      <c r="E53" s="106">
        <v>3691.2</v>
      </c>
      <c r="F53" s="56">
        <f>ROUND(E53*D53,2)</f>
        <v>7382.4</v>
      </c>
      <c r="G53" s="56">
        <f t="shared" si="32"/>
        <v>8858.8799999999992</v>
      </c>
      <c r="H53" s="57"/>
      <c r="I53" s="58"/>
      <c r="J53" s="58"/>
      <c r="K53" s="59">
        <f t="shared" si="33"/>
        <v>7382.4</v>
      </c>
      <c r="L53" s="60">
        <f t="shared" si="33"/>
        <v>8858.8799999999992</v>
      </c>
      <c r="M53" s="61"/>
      <c r="N53" s="90">
        <f t="shared" si="18"/>
        <v>0</v>
      </c>
      <c r="O53" s="63">
        <f t="shared" si="19"/>
        <v>0</v>
      </c>
      <c r="P53" s="64">
        <f t="shared" si="3"/>
        <v>5167.6799999999994</v>
      </c>
      <c r="Q53" s="56">
        <f t="shared" si="4"/>
        <v>10335.359999999999</v>
      </c>
      <c r="R53" s="56">
        <f t="shared" si="7"/>
        <v>12402.431999999999</v>
      </c>
      <c r="S53" s="58">
        <f t="shared" si="30"/>
        <v>0</v>
      </c>
      <c r="T53" s="58">
        <f t="shared" si="6"/>
        <v>0</v>
      </c>
      <c r="U53" s="58">
        <f t="shared" si="8"/>
        <v>0</v>
      </c>
      <c r="V53" s="59">
        <f t="shared" si="9"/>
        <v>10335.359999999999</v>
      </c>
      <c r="W53" s="60">
        <f t="shared" si="9"/>
        <v>12402.431999999999</v>
      </c>
    </row>
    <row r="54" spans="1:23" ht="18" customHeight="1" x14ac:dyDescent="0.25">
      <c r="A54" s="68" t="s">
        <v>91</v>
      </c>
      <c r="B54" s="107" t="s">
        <v>92</v>
      </c>
      <c r="C54" s="70" t="s">
        <v>24</v>
      </c>
      <c r="D54" s="108">
        <v>2</v>
      </c>
      <c r="E54" s="72"/>
      <c r="F54" s="73"/>
      <c r="G54" s="73"/>
      <c r="H54" s="73">
        <v>5833.33</v>
      </c>
      <c r="I54" s="73">
        <f>ROUND(H54*D54,2)</f>
        <v>11666.66</v>
      </c>
      <c r="J54" s="73">
        <f>ROUND(I54*1.2,2)</f>
        <v>13999.99</v>
      </c>
      <c r="K54" s="72">
        <f>F54+I54</f>
        <v>11666.66</v>
      </c>
      <c r="L54" s="74">
        <f>G54+J54</f>
        <v>13999.99</v>
      </c>
      <c r="M54" s="75"/>
      <c r="N54" s="98">
        <f t="shared" si="18"/>
        <v>0</v>
      </c>
      <c r="O54" s="77">
        <f t="shared" si="19"/>
        <v>0</v>
      </c>
      <c r="P54" s="78">
        <f t="shared" si="3"/>
        <v>0</v>
      </c>
      <c r="Q54" s="73">
        <f t="shared" si="4"/>
        <v>0</v>
      </c>
      <c r="R54" s="73"/>
      <c r="S54" s="73">
        <f t="shared" si="30"/>
        <v>7396.4987567602002</v>
      </c>
      <c r="T54" s="73">
        <f t="shared" si="6"/>
        <v>14792.9975135204</v>
      </c>
      <c r="U54" s="73">
        <f t="shared" si="8"/>
        <v>17751.597016224481</v>
      </c>
      <c r="V54" s="72">
        <f t="shared" si="9"/>
        <v>14792.9975135204</v>
      </c>
      <c r="W54" s="74">
        <f t="shared" si="9"/>
        <v>17751.597016224481</v>
      </c>
    </row>
    <row r="55" spans="1:23" ht="18" customHeight="1" x14ac:dyDescent="0.25">
      <c r="A55" s="105">
        <f>A53+1</f>
        <v>26</v>
      </c>
      <c r="B55" s="65" t="s">
        <v>93</v>
      </c>
      <c r="C55" s="53" t="s">
        <v>24</v>
      </c>
      <c r="D55" s="66">
        <v>1</v>
      </c>
      <c r="E55" s="55">
        <f>E43*1.5</f>
        <v>12480</v>
      </c>
      <c r="F55" s="56">
        <f>ROUND(E55*D55,2)</f>
        <v>12480</v>
      </c>
      <c r="G55" s="56">
        <f t="shared" si="28"/>
        <v>14976</v>
      </c>
      <c r="H55" s="57"/>
      <c r="I55" s="58"/>
      <c r="J55" s="58"/>
      <c r="K55" s="59">
        <f t="shared" si="29"/>
        <v>12480</v>
      </c>
      <c r="L55" s="60">
        <f t="shared" si="29"/>
        <v>14976</v>
      </c>
      <c r="M55" s="61"/>
      <c r="N55" s="90">
        <f t="shared" si="18"/>
        <v>0</v>
      </c>
      <c r="O55" s="63">
        <f t="shared" si="19"/>
        <v>0</v>
      </c>
      <c r="P55" s="64">
        <f t="shared" si="3"/>
        <v>17472</v>
      </c>
      <c r="Q55" s="56">
        <f t="shared" si="4"/>
        <v>17472</v>
      </c>
      <c r="R55" s="56">
        <f t="shared" si="7"/>
        <v>20966.399999999998</v>
      </c>
      <c r="S55" s="58">
        <f t="shared" si="30"/>
        <v>0</v>
      </c>
      <c r="T55" s="58">
        <f t="shared" si="6"/>
        <v>0</v>
      </c>
      <c r="U55" s="58">
        <f t="shared" si="8"/>
        <v>0</v>
      </c>
      <c r="V55" s="59">
        <f t="shared" si="9"/>
        <v>17472</v>
      </c>
      <c r="W55" s="60">
        <f t="shared" si="9"/>
        <v>20966.399999999998</v>
      </c>
    </row>
    <row r="56" spans="1:23" ht="18" customHeight="1" x14ac:dyDescent="0.25">
      <c r="A56" s="105">
        <f>A55+1</f>
        <v>27</v>
      </c>
      <c r="B56" s="65" t="s">
        <v>94</v>
      </c>
      <c r="C56" s="53" t="s">
        <v>22</v>
      </c>
      <c r="D56" s="66">
        <v>16.43</v>
      </c>
      <c r="E56" s="55">
        <v>1933.2</v>
      </c>
      <c r="F56" s="56">
        <f>ROUND(E56*D56,2)</f>
        <v>31762.48</v>
      </c>
      <c r="G56" s="56">
        <f t="shared" si="28"/>
        <v>38114.980000000003</v>
      </c>
      <c r="H56" s="57"/>
      <c r="I56" s="58"/>
      <c r="J56" s="58"/>
      <c r="K56" s="59">
        <f t="shared" si="29"/>
        <v>31762.48</v>
      </c>
      <c r="L56" s="60">
        <f t="shared" si="29"/>
        <v>38114.980000000003</v>
      </c>
      <c r="M56" s="61"/>
      <c r="N56" s="90">
        <f t="shared" si="18"/>
        <v>0</v>
      </c>
      <c r="O56" s="63">
        <f t="shared" si="19"/>
        <v>0</v>
      </c>
      <c r="P56" s="64">
        <f t="shared" si="3"/>
        <v>2706.48</v>
      </c>
      <c r="Q56" s="56">
        <f t="shared" si="4"/>
        <v>44467.466399999998</v>
      </c>
      <c r="R56" s="56">
        <f t="shared" si="7"/>
        <v>53360.959679999993</v>
      </c>
      <c r="S56" s="58">
        <f t="shared" si="30"/>
        <v>0</v>
      </c>
      <c r="T56" s="58">
        <f t="shared" si="6"/>
        <v>0</v>
      </c>
      <c r="U56" s="58">
        <f t="shared" si="8"/>
        <v>0</v>
      </c>
      <c r="V56" s="59">
        <f t="shared" si="9"/>
        <v>44467.466399999998</v>
      </c>
      <c r="W56" s="60">
        <f t="shared" si="9"/>
        <v>53360.959679999993</v>
      </c>
    </row>
    <row r="57" spans="1:23" ht="18" customHeight="1" x14ac:dyDescent="0.25">
      <c r="A57" s="68" t="s">
        <v>95</v>
      </c>
      <c r="B57" s="69" t="s">
        <v>35</v>
      </c>
      <c r="C57" s="70" t="s">
        <v>22</v>
      </c>
      <c r="D57" s="108">
        <f>ROUND(D56*1.26,2)</f>
        <v>20.7</v>
      </c>
      <c r="E57" s="72"/>
      <c r="F57" s="73"/>
      <c r="G57" s="73"/>
      <c r="H57" s="73">
        <v>3720</v>
      </c>
      <c r="I57" s="73">
        <f>ROUND(H57*D57,2)</f>
        <v>77004</v>
      </c>
      <c r="J57" s="73">
        <f>ROUND(I57*1.2,2)</f>
        <v>92404.800000000003</v>
      </c>
      <c r="K57" s="72">
        <f>F57+I57</f>
        <v>77004</v>
      </c>
      <c r="L57" s="74">
        <f>G57+J57</f>
        <v>92404.800000000003</v>
      </c>
      <c r="M57" s="75"/>
      <c r="N57" s="98">
        <f t="shared" si="18"/>
        <v>0</v>
      </c>
      <c r="O57" s="77">
        <f t="shared" si="19"/>
        <v>0</v>
      </c>
      <c r="P57" s="78">
        <f t="shared" si="3"/>
        <v>0</v>
      </c>
      <c r="Q57" s="73">
        <f t="shared" si="4"/>
        <v>0</v>
      </c>
      <c r="R57" s="73">
        <f t="shared" si="7"/>
        <v>0</v>
      </c>
      <c r="S57" s="73">
        <f t="shared" si="30"/>
        <v>4716.8556168000005</v>
      </c>
      <c r="T57" s="73">
        <f t="shared" si="6"/>
        <v>97638.911267760006</v>
      </c>
      <c r="U57" s="73">
        <f t="shared" si="8"/>
        <v>117166.693521312</v>
      </c>
      <c r="V57" s="72">
        <f t="shared" si="9"/>
        <v>97638.911267760006</v>
      </c>
      <c r="W57" s="74">
        <f t="shared" si="9"/>
        <v>117166.693521312</v>
      </c>
    </row>
    <row r="58" spans="1:23" ht="18" customHeight="1" x14ac:dyDescent="0.25">
      <c r="A58" s="105">
        <f>A56+1</f>
        <v>28</v>
      </c>
      <c r="B58" s="65" t="s">
        <v>96</v>
      </c>
      <c r="C58" s="53" t="s">
        <v>22</v>
      </c>
      <c r="D58" s="66">
        <v>3.3</v>
      </c>
      <c r="E58" s="55">
        <v>2395.1999999999998</v>
      </c>
      <c r="F58" s="56">
        <f>ROUND(E58*D58,2)</f>
        <v>7904.16</v>
      </c>
      <c r="G58" s="56">
        <f t="shared" ref="G58" si="34">ROUND(F58*1.2,2)</f>
        <v>9484.99</v>
      </c>
      <c r="H58" s="57"/>
      <c r="I58" s="58"/>
      <c r="J58" s="58"/>
      <c r="K58" s="59">
        <f t="shared" ref="K58:L58" si="35">F58+I58</f>
        <v>7904.16</v>
      </c>
      <c r="L58" s="60">
        <f t="shared" si="35"/>
        <v>9484.99</v>
      </c>
      <c r="M58" s="61"/>
      <c r="N58" s="90">
        <f t="shared" si="18"/>
        <v>0</v>
      </c>
      <c r="O58" s="63">
        <f t="shared" si="19"/>
        <v>0</v>
      </c>
      <c r="P58" s="64">
        <f t="shared" si="3"/>
        <v>3353.2799999999997</v>
      </c>
      <c r="Q58" s="56">
        <f t="shared" si="4"/>
        <v>11065.823999999999</v>
      </c>
      <c r="R58" s="56">
        <f t="shared" si="7"/>
        <v>13278.988799999997</v>
      </c>
      <c r="S58" s="58">
        <f t="shared" si="30"/>
        <v>0</v>
      </c>
      <c r="T58" s="58">
        <f t="shared" si="6"/>
        <v>0</v>
      </c>
      <c r="U58" s="58">
        <f t="shared" si="8"/>
        <v>0</v>
      </c>
      <c r="V58" s="59">
        <f t="shared" si="9"/>
        <v>11065.823999999999</v>
      </c>
      <c r="W58" s="60">
        <f t="shared" si="9"/>
        <v>13278.988799999997</v>
      </c>
    </row>
    <row r="59" spans="1:23" ht="18" customHeight="1" x14ac:dyDescent="0.25">
      <c r="A59" s="68" t="s">
        <v>97</v>
      </c>
      <c r="B59" s="69" t="s">
        <v>35</v>
      </c>
      <c r="C59" s="70" t="s">
        <v>22</v>
      </c>
      <c r="D59" s="108">
        <f>ROUND(D58*1.26,2)</f>
        <v>4.16</v>
      </c>
      <c r="E59" s="72"/>
      <c r="F59" s="73"/>
      <c r="G59" s="73"/>
      <c r="H59" s="73">
        <v>3720</v>
      </c>
      <c r="I59" s="73">
        <f>ROUND(H59*D59,2)</f>
        <v>15475.2</v>
      </c>
      <c r="J59" s="73">
        <f>ROUND(I59*1.2,2)</f>
        <v>18570.240000000002</v>
      </c>
      <c r="K59" s="72">
        <f>F59+I59</f>
        <v>15475.2</v>
      </c>
      <c r="L59" s="74">
        <f>G59+J59</f>
        <v>18570.240000000002</v>
      </c>
      <c r="M59" s="75"/>
      <c r="N59" s="98">
        <f t="shared" si="18"/>
        <v>0</v>
      </c>
      <c r="O59" s="77">
        <f t="shared" si="19"/>
        <v>0</v>
      </c>
      <c r="P59" s="78">
        <f t="shared" si="3"/>
        <v>0</v>
      </c>
      <c r="Q59" s="73">
        <f t="shared" si="4"/>
        <v>0</v>
      </c>
      <c r="R59" s="73">
        <f t="shared" si="7"/>
        <v>0</v>
      </c>
      <c r="S59" s="73">
        <f t="shared" si="30"/>
        <v>4716.8556168000005</v>
      </c>
      <c r="T59" s="73">
        <f t="shared" si="6"/>
        <v>19622.119365888004</v>
      </c>
      <c r="U59" s="73">
        <f t="shared" si="8"/>
        <v>23546.543239065602</v>
      </c>
      <c r="V59" s="72">
        <f t="shared" si="9"/>
        <v>19622.119365888004</v>
      </c>
      <c r="W59" s="74">
        <f t="shared" si="9"/>
        <v>23546.543239065602</v>
      </c>
    </row>
    <row r="60" spans="1:23" ht="18" customHeight="1" x14ac:dyDescent="0.25">
      <c r="A60" s="105">
        <f>A58+1</f>
        <v>29</v>
      </c>
      <c r="B60" s="65" t="s">
        <v>98</v>
      </c>
      <c r="C60" s="53" t="s">
        <v>70</v>
      </c>
      <c r="D60" s="66">
        <v>6.5860000000000003</v>
      </c>
      <c r="E60" s="55">
        <v>450</v>
      </c>
      <c r="F60" s="56">
        <f>ROUND(E60*D60,2)</f>
        <v>2963.7</v>
      </c>
      <c r="G60" s="56">
        <f t="shared" ref="G60" si="36">ROUND(F60*1.2,2)</f>
        <v>3556.44</v>
      </c>
      <c r="H60" s="57"/>
      <c r="I60" s="58"/>
      <c r="J60" s="58"/>
      <c r="K60" s="59">
        <f t="shared" ref="K60:L60" si="37">F60+I60</f>
        <v>2963.7</v>
      </c>
      <c r="L60" s="60">
        <f t="shared" si="37"/>
        <v>3556.44</v>
      </c>
      <c r="M60" s="61"/>
      <c r="N60" s="90">
        <f t="shared" si="18"/>
        <v>0</v>
      </c>
      <c r="O60" s="63">
        <f t="shared" si="19"/>
        <v>0</v>
      </c>
      <c r="P60" s="64">
        <f t="shared" si="3"/>
        <v>630</v>
      </c>
      <c r="Q60" s="56">
        <f t="shared" si="4"/>
        <v>4149.18</v>
      </c>
      <c r="R60" s="56">
        <f t="shared" si="7"/>
        <v>4979.0160000000005</v>
      </c>
      <c r="S60" s="58">
        <f t="shared" si="30"/>
        <v>0</v>
      </c>
      <c r="T60" s="58">
        <f t="shared" si="6"/>
        <v>0</v>
      </c>
      <c r="U60" s="58">
        <f t="shared" si="8"/>
        <v>0</v>
      </c>
      <c r="V60" s="59">
        <f t="shared" si="9"/>
        <v>4149.18</v>
      </c>
      <c r="W60" s="60">
        <f t="shared" si="9"/>
        <v>4979.0160000000005</v>
      </c>
    </row>
    <row r="61" spans="1:23" ht="20.25" customHeight="1" x14ac:dyDescent="0.25">
      <c r="A61" s="99" t="s">
        <v>99</v>
      </c>
      <c r="B61" s="99"/>
      <c r="C61" s="109"/>
      <c r="D61" s="110"/>
      <c r="E61" s="44"/>
      <c r="F61" s="45"/>
      <c r="G61" s="46"/>
      <c r="H61" s="101"/>
      <c r="I61" s="101"/>
      <c r="J61" s="101"/>
      <c r="K61" s="46"/>
      <c r="L61" s="47"/>
      <c r="M61" s="102"/>
      <c r="N61" s="103"/>
      <c r="O61" s="104"/>
      <c r="P61" s="50">
        <f t="shared" si="3"/>
        <v>0</v>
      </c>
      <c r="Q61" s="46">
        <f t="shared" si="4"/>
        <v>0</v>
      </c>
      <c r="R61" s="46"/>
      <c r="S61" s="46"/>
      <c r="T61" s="46">
        <f t="shared" si="6"/>
        <v>0</v>
      </c>
      <c r="U61" s="46"/>
      <c r="V61" s="46"/>
      <c r="W61" s="47"/>
    </row>
    <row r="62" spans="1:23" ht="22.5" customHeight="1" x14ac:dyDescent="0.25">
      <c r="A62" s="105">
        <f>A60+1</f>
        <v>30</v>
      </c>
      <c r="B62" s="65" t="s">
        <v>73</v>
      </c>
      <c r="C62" s="53" t="s">
        <v>22</v>
      </c>
      <c r="D62" s="66">
        <v>16.62</v>
      </c>
      <c r="E62" s="55">
        <v>3800</v>
      </c>
      <c r="F62" s="56">
        <f>ROUND(E62*D62,2)</f>
        <v>63156</v>
      </c>
      <c r="G62" s="56">
        <f t="shared" ref="G62:G66" si="38">ROUND(F62*1.2,2)</f>
        <v>75787.199999999997</v>
      </c>
      <c r="H62" s="57"/>
      <c r="I62" s="58"/>
      <c r="J62" s="58"/>
      <c r="K62" s="59">
        <f t="shared" ref="K62:L76" si="39">F62+I62</f>
        <v>63156</v>
      </c>
      <c r="L62" s="60">
        <f t="shared" si="39"/>
        <v>75787.199999999997</v>
      </c>
      <c r="M62" s="61"/>
      <c r="N62" s="90">
        <f t="shared" si="18"/>
        <v>0</v>
      </c>
      <c r="O62" s="63">
        <f t="shared" si="19"/>
        <v>0</v>
      </c>
      <c r="P62" s="64">
        <f t="shared" si="3"/>
        <v>5320</v>
      </c>
      <c r="Q62" s="56">
        <f t="shared" si="4"/>
        <v>88418.400000000009</v>
      </c>
      <c r="R62" s="56">
        <f t="shared" si="7"/>
        <v>106102.08</v>
      </c>
      <c r="S62" s="58">
        <f t="shared" ref="S62:S80" si="40">H62*$T$1+M62*$T$1</f>
        <v>0</v>
      </c>
      <c r="T62" s="58">
        <f t="shared" si="6"/>
        <v>0</v>
      </c>
      <c r="U62" s="58">
        <f t="shared" si="8"/>
        <v>0</v>
      </c>
      <c r="V62" s="59">
        <f t="shared" si="9"/>
        <v>88418.400000000009</v>
      </c>
      <c r="W62" s="60">
        <f t="shared" si="9"/>
        <v>106102.08</v>
      </c>
    </row>
    <row r="63" spans="1:23" ht="18" customHeight="1" x14ac:dyDescent="0.25">
      <c r="A63" s="105">
        <f>A62+1</f>
        <v>31</v>
      </c>
      <c r="B63" s="65" t="s">
        <v>74</v>
      </c>
      <c r="C63" s="53" t="s">
        <v>24</v>
      </c>
      <c r="D63" s="66">
        <v>1</v>
      </c>
      <c r="E63" s="55">
        <v>8320</v>
      </c>
      <c r="F63" s="56">
        <f>ROUND(E63*D63,2)</f>
        <v>8320</v>
      </c>
      <c r="G63" s="56">
        <f t="shared" si="38"/>
        <v>9984</v>
      </c>
      <c r="H63" s="57"/>
      <c r="I63" s="58"/>
      <c r="J63" s="58"/>
      <c r="K63" s="59">
        <f t="shared" si="39"/>
        <v>8320</v>
      </c>
      <c r="L63" s="60">
        <f t="shared" si="39"/>
        <v>9984</v>
      </c>
      <c r="M63" s="61"/>
      <c r="N63" s="90">
        <f t="shared" si="18"/>
        <v>0</v>
      </c>
      <c r="O63" s="63">
        <f t="shared" si="19"/>
        <v>0</v>
      </c>
      <c r="P63" s="64">
        <f t="shared" si="3"/>
        <v>11648</v>
      </c>
      <c r="Q63" s="56">
        <f t="shared" si="4"/>
        <v>11648</v>
      </c>
      <c r="R63" s="56">
        <f t="shared" si="7"/>
        <v>13977.6</v>
      </c>
      <c r="S63" s="58">
        <f t="shared" si="40"/>
        <v>0</v>
      </c>
      <c r="T63" s="58">
        <f t="shared" si="6"/>
        <v>0</v>
      </c>
      <c r="U63" s="58">
        <f t="shared" si="8"/>
        <v>0</v>
      </c>
      <c r="V63" s="59">
        <f t="shared" si="9"/>
        <v>11648</v>
      </c>
      <c r="W63" s="60">
        <f t="shared" si="9"/>
        <v>13977.6</v>
      </c>
    </row>
    <row r="64" spans="1:23" ht="18" customHeight="1" x14ac:dyDescent="0.25">
      <c r="A64" s="105">
        <f t="shared" ref="A64:A65" si="41">A63+1</f>
        <v>32</v>
      </c>
      <c r="B64" s="65" t="s">
        <v>30</v>
      </c>
      <c r="C64" s="53" t="s">
        <v>24</v>
      </c>
      <c r="D64" s="66">
        <v>96</v>
      </c>
      <c r="E64" s="55">
        <v>750</v>
      </c>
      <c r="F64" s="56">
        <f>ROUND(E64*D64,2)</f>
        <v>72000</v>
      </c>
      <c r="G64" s="56">
        <f t="shared" si="38"/>
        <v>86400</v>
      </c>
      <c r="H64" s="57"/>
      <c r="I64" s="58"/>
      <c r="J64" s="58"/>
      <c r="K64" s="59">
        <f t="shared" si="39"/>
        <v>72000</v>
      </c>
      <c r="L64" s="60">
        <f t="shared" si="39"/>
        <v>86400</v>
      </c>
      <c r="M64" s="61"/>
      <c r="N64" s="90">
        <f t="shared" si="18"/>
        <v>0</v>
      </c>
      <c r="O64" s="63">
        <f t="shared" si="19"/>
        <v>0</v>
      </c>
      <c r="P64" s="64">
        <f t="shared" si="3"/>
        <v>1050</v>
      </c>
      <c r="Q64" s="56">
        <f t="shared" si="4"/>
        <v>100800</v>
      </c>
      <c r="R64" s="56">
        <f t="shared" si="7"/>
        <v>120960</v>
      </c>
      <c r="S64" s="58">
        <f t="shared" si="40"/>
        <v>0</v>
      </c>
      <c r="T64" s="58">
        <f t="shared" si="6"/>
        <v>0</v>
      </c>
      <c r="U64" s="58">
        <f t="shared" si="8"/>
        <v>0</v>
      </c>
      <c r="V64" s="59">
        <f t="shared" si="9"/>
        <v>100800</v>
      </c>
      <c r="W64" s="60">
        <f t="shared" si="9"/>
        <v>120960</v>
      </c>
    </row>
    <row r="65" spans="1:23" ht="18" customHeight="1" x14ac:dyDescent="0.25">
      <c r="A65" s="105">
        <f t="shared" si="41"/>
        <v>33</v>
      </c>
      <c r="B65" s="65" t="s">
        <v>76</v>
      </c>
      <c r="C65" s="53" t="s">
        <v>24</v>
      </c>
      <c r="D65" s="66">
        <v>18</v>
      </c>
      <c r="E65" s="67">
        <v>1968.64</v>
      </c>
      <c r="F65" s="56">
        <f>ROUND(E65*D65,2)</f>
        <v>35435.519999999997</v>
      </c>
      <c r="G65" s="56">
        <f t="shared" si="38"/>
        <v>42522.62</v>
      </c>
      <c r="H65" s="57"/>
      <c r="I65" s="58"/>
      <c r="J65" s="58"/>
      <c r="K65" s="59">
        <f t="shared" si="39"/>
        <v>35435.519999999997</v>
      </c>
      <c r="L65" s="60">
        <f t="shared" si="39"/>
        <v>42522.62</v>
      </c>
      <c r="M65" s="61"/>
      <c r="N65" s="90">
        <f t="shared" si="18"/>
        <v>0</v>
      </c>
      <c r="O65" s="63">
        <f t="shared" si="19"/>
        <v>0</v>
      </c>
      <c r="P65" s="64">
        <f t="shared" si="3"/>
        <v>2756.096</v>
      </c>
      <c r="Q65" s="56">
        <f t="shared" si="4"/>
        <v>49609.728000000003</v>
      </c>
      <c r="R65" s="56">
        <f t="shared" si="7"/>
        <v>59531.673600000002</v>
      </c>
      <c r="S65" s="58">
        <f t="shared" si="40"/>
        <v>0</v>
      </c>
      <c r="T65" s="58">
        <f t="shared" si="6"/>
        <v>0</v>
      </c>
      <c r="U65" s="58">
        <f t="shared" si="8"/>
        <v>0</v>
      </c>
      <c r="V65" s="59">
        <f t="shared" si="9"/>
        <v>49609.728000000003</v>
      </c>
      <c r="W65" s="60">
        <f t="shared" si="9"/>
        <v>59531.673600000002</v>
      </c>
    </row>
    <row r="66" spans="1:23" ht="18" customHeight="1" x14ac:dyDescent="0.25">
      <c r="A66" s="105">
        <v>34</v>
      </c>
      <c r="B66" s="65" t="s">
        <v>77</v>
      </c>
      <c r="C66" s="53" t="s">
        <v>24</v>
      </c>
      <c r="D66" s="66">
        <v>63</v>
      </c>
      <c r="E66" s="67">
        <v>2952.96</v>
      </c>
      <c r="F66" s="56">
        <f>ROUND(E66*D66,2)</f>
        <v>186036.48000000001</v>
      </c>
      <c r="G66" s="56">
        <f t="shared" si="38"/>
        <v>223243.78</v>
      </c>
      <c r="H66" s="57"/>
      <c r="I66" s="58"/>
      <c r="J66" s="58"/>
      <c r="K66" s="59">
        <f t="shared" si="39"/>
        <v>186036.48000000001</v>
      </c>
      <c r="L66" s="60">
        <f t="shared" si="39"/>
        <v>223243.78</v>
      </c>
      <c r="M66" s="61"/>
      <c r="N66" s="90">
        <f t="shared" si="18"/>
        <v>0</v>
      </c>
      <c r="O66" s="63">
        <f t="shared" si="19"/>
        <v>0</v>
      </c>
      <c r="P66" s="64">
        <f t="shared" si="3"/>
        <v>4134.1440000000002</v>
      </c>
      <c r="Q66" s="56">
        <f t="shared" si="4"/>
        <v>260451.07200000001</v>
      </c>
      <c r="R66" s="56">
        <f t="shared" si="7"/>
        <v>312541.28639999998</v>
      </c>
      <c r="S66" s="58">
        <f t="shared" si="40"/>
        <v>0</v>
      </c>
      <c r="T66" s="58">
        <f t="shared" si="6"/>
        <v>0</v>
      </c>
      <c r="U66" s="58">
        <f t="shared" si="8"/>
        <v>0</v>
      </c>
      <c r="V66" s="59">
        <f t="shared" si="9"/>
        <v>260451.07200000001</v>
      </c>
      <c r="W66" s="60">
        <f t="shared" si="9"/>
        <v>312541.28639999998</v>
      </c>
    </row>
    <row r="67" spans="1:23" ht="18" customHeight="1" x14ac:dyDescent="0.25">
      <c r="A67" s="79" t="s">
        <v>100</v>
      </c>
      <c r="B67" s="80" t="s">
        <v>101</v>
      </c>
      <c r="C67" s="81" t="s">
        <v>24</v>
      </c>
      <c r="D67" s="82">
        <v>63</v>
      </c>
      <c r="E67" s="83"/>
      <c r="F67" s="84"/>
      <c r="G67" s="84"/>
      <c r="H67" s="84"/>
      <c r="I67" s="84"/>
      <c r="J67" s="84"/>
      <c r="K67" s="83"/>
      <c r="L67" s="85"/>
      <c r="M67" s="86">
        <f>ROUND(460000/1.2/D67,2)</f>
        <v>6084.66</v>
      </c>
      <c r="N67" s="87">
        <f t="shared" si="18"/>
        <v>383333.58</v>
      </c>
      <c r="O67" s="88">
        <f t="shared" si="19"/>
        <v>460000.3</v>
      </c>
      <c r="P67" s="89">
        <f t="shared" si="3"/>
        <v>0</v>
      </c>
      <c r="Q67" s="84">
        <f t="shared" si="4"/>
        <v>0</v>
      </c>
      <c r="R67" s="84"/>
      <c r="S67" s="84">
        <f t="shared" si="40"/>
        <v>7715.1781444403996</v>
      </c>
      <c r="T67" s="84">
        <f t="shared" si="6"/>
        <v>486056.22309974517</v>
      </c>
      <c r="U67" s="84">
        <f t="shared" si="8"/>
        <v>583267.46771969413</v>
      </c>
      <c r="V67" s="83">
        <f t="shared" si="9"/>
        <v>486056.22309974517</v>
      </c>
      <c r="W67" s="85">
        <f t="shared" si="9"/>
        <v>583267.46771969413</v>
      </c>
    </row>
    <row r="68" spans="1:23" ht="18" customHeight="1" x14ac:dyDescent="0.25">
      <c r="A68" s="105">
        <f>A66+1</f>
        <v>35</v>
      </c>
      <c r="B68" s="65" t="s">
        <v>80</v>
      </c>
      <c r="C68" s="53" t="s">
        <v>24</v>
      </c>
      <c r="D68" s="66">
        <v>63</v>
      </c>
      <c r="E68" s="55">
        <v>833.25</v>
      </c>
      <c r="F68" s="56">
        <f>ROUND(E68*D68,2)</f>
        <v>52494.75</v>
      </c>
      <c r="G68" s="56">
        <f t="shared" ref="G68:G73" si="42">ROUND(F68*1.2,2)</f>
        <v>62993.7</v>
      </c>
      <c r="H68" s="57"/>
      <c r="I68" s="58"/>
      <c r="J68" s="58"/>
      <c r="K68" s="59">
        <f t="shared" si="39"/>
        <v>52494.75</v>
      </c>
      <c r="L68" s="60">
        <f t="shared" si="39"/>
        <v>62993.7</v>
      </c>
      <c r="M68" s="61"/>
      <c r="N68" s="90">
        <f t="shared" si="18"/>
        <v>0</v>
      </c>
      <c r="O68" s="63">
        <f t="shared" si="19"/>
        <v>0</v>
      </c>
      <c r="P68" s="64">
        <f t="shared" si="3"/>
        <v>1166.55</v>
      </c>
      <c r="Q68" s="56">
        <f t="shared" si="4"/>
        <v>73492.649999999994</v>
      </c>
      <c r="R68" s="56">
        <f t="shared" si="7"/>
        <v>88191.18</v>
      </c>
      <c r="S68" s="58">
        <f t="shared" si="40"/>
        <v>0</v>
      </c>
      <c r="T68" s="58">
        <f t="shared" si="6"/>
        <v>0</v>
      </c>
      <c r="U68" s="58">
        <f t="shared" si="8"/>
        <v>0</v>
      </c>
      <c r="V68" s="59">
        <f t="shared" si="9"/>
        <v>73492.649999999994</v>
      </c>
      <c r="W68" s="60">
        <f t="shared" si="9"/>
        <v>88191.18</v>
      </c>
    </row>
    <row r="69" spans="1:23" ht="18" customHeight="1" x14ac:dyDescent="0.25">
      <c r="A69" s="79" t="s">
        <v>102</v>
      </c>
      <c r="B69" s="80" t="s">
        <v>103</v>
      </c>
      <c r="C69" s="81" t="s">
        <v>83</v>
      </c>
      <c r="D69" s="82">
        <v>116</v>
      </c>
      <c r="E69" s="83"/>
      <c r="F69" s="84"/>
      <c r="G69" s="84"/>
      <c r="H69" s="84"/>
      <c r="I69" s="84"/>
      <c r="J69" s="84"/>
      <c r="K69" s="83"/>
      <c r="L69" s="85"/>
      <c r="M69" s="86">
        <f>ROUND(224785/116/1.2,2)</f>
        <v>1614.83</v>
      </c>
      <c r="N69" s="87">
        <f t="shared" si="18"/>
        <v>187320.28</v>
      </c>
      <c r="O69" s="88">
        <f t="shared" si="19"/>
        <v>224784.34</v>
      </c>
      <c r="P69" s="89">
        <f t="shared" si="3"/>
        <v>0</v>
      </c>
      <c r="Q69" s="84">
        <f t="shared" si="4"/>
        <v>0</v>
      </c>
      <c r="R69" s="84"/>
      <c r="S69" s="84">
        <f t="shared" si="40"/>
        <v>2047.5591278702</v>
      </c>
      <c r="T69" s="84">
        <f t="shared" si="6"/>
        <v>237516.8588329432</v>
      </c>
      <c r="U69" s="84">
        <f t="shared" si="8"/>
        <v>285020.23059953185</v>
      </c>
      <c r="V69" s="83">
        <f t="shared" si="9"/>
        <v>237516.8588329432</v>
      </c>
      <c r="W69" s="85">
        <f t="shared" si="9"/>
        <v>285020.23059953185</v>
      </c>
    </row>
    <row r="70" spans="1:23" ht="18" customHeight="1" x14ac:dyDescent="0.25">
      <c r="A70" s="79"/>
      <c r="B70" s="80" t="s">
        <v>104</v>
      </c>
      <c r="C70" s="81" t="s">
        <v>83</v>
      </c>
      <c r="D70" s="82">
        <v>116</v>
      </c>
      <c r="E70" s="83"/>
      <c r="F70" s="84"/>
      <c r="G70" s="84"/>
      <c r="H70" s="84"/>
      <c r="I70" s="84"/>
      <c r="J70" s="84"/>
      <c r="K70" s="83"/>
      <c r="L70" s="85"/>
      <c r="M70" s="86">
        <f>ROUND(140/1.2,2)</f>
        <v>116.67</v>
      </c>
      <c r="N70" s="87">
        <f t="shared" si="18"/>
        <v>13533.72</v>
      </c>
      <c r="O70" s="88">
        <f t="shared" si="19"/>
        <v>16240.46</v>
      </c>
      <c r="P70" s="89">
        <f t="shared" si="3"/>
        <v>0</v>
      </c>
      <c r="Q70" s="84">
        <f t="shared" si="4"/>
        <v>0</v>
      </c>
      <c r="R70" s="84"/>
      <c r="S70" s="84">
        <f t="shared" si="40"/>
        <v>147.9342862398</v>
      </c>
      <c r="T70" s="84">
        <f t="shared" si="6"/>
        <v>17160.377203816799</v>
      </c>
      <c r="U70" s="84">
        <f t="shared" si="8"/>
        <v>20592.452644580157</v>
      </c>
      <c r="V70" s="83">
        <f t="shared" si="9"/>
        <v>17160.377203816799</v>
      </c>
      <c r="W70" s="85">
        <f t="shared" si="9"/>
        <v>20592.452644580157</v>
      </c>
    </row>
    <row r="71" spans="1:23" ht="18" customHeight="1" x14ac:dyDescent="0.25">
      <c r="A71" s="79" t="s">
        <v>105</v>
      </c>
      <c r="B71" s="80" t="s">
        <v>87</v>
      </c>
      <c r="C71" s="81" t="s">
        <v>83</v>
      </c>
      <c r="D71" s="82">
        <v>728</v>
      </c>
      <c r="E71" s="83"/>
      <c r="F71" s="84"/>
      <c r="G71" s="84"/>
      <c r="H71" s="84"/>
      <c r="I71" s="84"/>
      <c r="J71" s="84"/>
      <c r="K71" s="83"/>
      <c r="L71" s="85"/>
      <c r="M71" s="86">
        <f>74576/1.2/1248</f>
        <v>49.797008547008552</v>
      </c>
      <c r="N71" s="87">
        <f t="shared" si="18"/>
        <v>36252.22</v>
      </c>
      <c r="O71" s="88">
        <f t="shared" si="19"/>
        <v>43502.66</v>
      </c>
      <c r="P71" s="89">
        <f t="shared" si="3"/>
        <v>0</v>
      </c>
      <c r="Q71" s="84">
        <f t="shared" si="4"/>
        <v>0</v>
      </c>
      <c r="R71" s="84"/>
      <c r="S71" s="84">
        <f t="shared" si="40"/>
        <v>63.141209533547013</v>
      </c>
      <c r="T71" s="84">
        <f t="shared" si="6"/>
        <v>45966.800540422228</v>
      </c>
      <c r="U71" s="84">
        <f t="shared" si="8"/>
        <v>55160.160648506673</v>
      </c>
      <c r="V71" s="83">
        <f t="shared" si="9"/>
        <v>45966.800540422228</v>
      </c>
      <c r="W71" s="85">
        <f t="shared" si="9"/>
        <v>55160.160648506673</v>
      </c>
    </row>
    <row r="72" spans="1:23" ht="18" customHeight="1" x14ac:dyDescent="0.25">
      <c r="A72" s="79" t="s">
        <v>106</v>
      </c>
      <c r="B72" s="80" t="s">
        <v>89</v>
      </c>
      <c r="C72" s="81" t="s">
        <v>83</v>
      </c>
      <c r="D72" s="82">
        <v>348</v>
      </c>
      <c r="E72" s="83"/>
      <c r="F72" s="84"/>
      <c r="G72" s="84"/>
      <c r="H72" s="84"/>
      <c r="I72" s="84"/>
      <c r="J72" s="84"/>
      <c r="K72" s="83"/>
      <c r="L72" s="85"/>
      <c r="M72" s="86">
        <f>ROUND(74253/1.2/834,2)</f>
        <v>74.19</v>
      </c>
      <c r="N72" s="87">
        <f t="shared" si="18"/>
        <v>25818.12</v>
      </c>
      <c r="O72" s="88">
        <f t="shared" si="19"/>
        <v>30981.74</v>
      </c>
      <c r="P72" s="89">
        <f t="shared" si="3"/>
        <v>0</v>
      </c>
      <c r="Q72" s="84">
        <f t="shared" si="4"/>
        <v>0</v>
      </c>
      <c r="R72" s="84"/>
      <c r="S72" s="84">
        <f t="shared" si="40"/>
        <v>94.070838228599996</v>
      </c>
      <c r="T72" s="84">
        <f t="shared" si="6"/>
        <v>32736.651703552798</v>
      </c>
      <c r="U72" s="84">
        <f t="shared" si="8"/>
        <v>39283.982044263357</v>
      </c>
      <c r="V72" s="83">
        <f t="shared" si="9"/>
        <v>32736.651703552798</v>
      </c>
      <c r="W72" s="85">
        <f t="shared" si="9"/>
        <v>39283.982044263357</v>
      </c>
    </row>
    <row r="73" spans="1:23" ht="18" customHeight="1" x14ac:dyDescent="0.25">
      <c r="A73" s="105">
        <f>A68+1</f>
        <v>36</v>
      </c>
      <c r="B73" s="65" t="s">
        <v>90</v>
      </c>
      <c r="C73" s="53" t="s">
        <v>24</v>
      </c>
      <c r="D73" s="66">
        <v>2</v>
      </c>
      <c r="E73" s="106">
        <v>3691.2</v>
      </c>
      <c r="F73" s="56">
        <f>ROUND(E73*D73,2)</f>
        <v>7382.4</v>
      </c>
      <c r="G73" s="56">
        <f t="shared" si="42"/>
        <v>8858.8799999999992</v>
      </c>
      <c r="H73" s="57"/>
      <c r="I73" s="58"/>
      <c r="J73" s="58"/>
      <c r="K73" s="59">
        <f t="shared" si="39"/>
        <v>7382.4</v>
      </c>
      <c r="L73" s="60">
        <f t="shared" si="39"/>
        <v>8858.8799999999992</v>
      </c>
      <c r="M73" s="61"/>
      <c r="N73" s="90">
        <f t="shared" si="18"/>
        <v>0</v>
      </c>
      <c r="O73" s="63">
        <f t="shared" si="19"/>
        <v>0</v>
      </c>
      <c r="P73" s="64">
        <f t="shared" ref="P73:P80" si="43">E73*$Q$1</f>
        <v>5167.6799999999994</v>
      </c>
      <c r="Q73" s="56">
        <f t="shared" ref="Q73:Q80" si="44">P73*D73</f>
        <v>10335.359999999999</v>
      </c>
      <c r="R73" s="56">
        <f t="shared" ref="R73:R80" si="45">Q73*1.2</f>
        <v>12402.431999999999</v>
      </c>
      <c r="S73" s="58">
        <f t="shared" si="40"/>
        <v>0</v>
      </c>
      <c r="T73" s="58">
        <f t="shared" ref="T73:T80" si="46">S73*D73</f>
        <v>0</v>
      </c>
      <c r="U73" s="58">
        <f t="shared" si="8"/>
        <v>0</v>
      </c>
      <c r="V73" s="59">
        <f t="shared" ref="V73:W80" si="47">Q73+T73</f>
        <v>10335.359999999999</v>
      </c>
      <c r="W73" s="60">
        <f t="shared" si="47"/>
        <v>12402.431999999999</v>
      </c>
    </row>
    <row r="74" spans="1:23" ht="18" customHeight="1" x14ac:dyDescent="0.25">
      <c r="A74" s="68" t="s">
        <v>107</v>
      </c>
      <c r="B74" s="107" t="s">
        <v>92</v>
      </c>
      <c r="C74" s="70" t="s">
        <v>24</v>
      </c>
      <c r="D74" s="108">
        <v>2</v>
      </c>
      <c r="E74" s="72"/>
      <c r="F74" s="73"/>
      <c r="G74" s="73"/>
      <c r="H74" s="73">
        <v>5833.33</v>
      </c>
      <c r="I74" s="73">
        <f>ROUND(H74*D74,2)</f>
        <v>11666.66</v>
      </c>
      <c r="J74" s="73">
        <f>ROUND(I74*1.2,2)</f>
        <v>13999.99</v>
      </c>
      <c r="K74" s="72">
        <f>F74+I74</f>
        <v>11666.66</v>
      </c>
      <c r="L74" s="74">
        <f>G74+J74</f>
        <v>13999.99</v>
      </c>
      <c r="M74" s="75"/>
      <c r="N74" s="98">
        <f t="shared" si="18"/>
        <v>0</v>
      </c>
      <c r="O74" s="77">
        <f t="shared" si="19"/>
        <v>0</v>
      </c>
      <c r="P74" s="78">
        <f t="shared" si="43"/>
        <v>0</v>
      </c>
      <c r="Q74" s="73">
        <f t="shared" si="44"/>
        <v>0</v>
      </c>
      <c r="R74" s="73"/>
      <c r="S74" s="73">
        <f t="shared" si="40"/>
        <v>7396.4987567602002</v>
      </c>
      <c r="T74" s="73">
        <f t="shared" si="46"/>
        <v>14792.9975135204</v>
      </c>
      <c r="U74" s="73">
        <f t="shared" si="8"/>
        <v>17751.597016224481</v>
      </c>
      <c r="V74" s="72">
        <f t="shared" si="47"/>
        <v>14792.9975135204</v>
      </c>
      <c r="W74" s="74">
        <f t="shared" si="47"/>
        <v>17751.597016224481</v>
      </c>
    </row>
    <row r="75" spans="1:23" ht="18" customHeight="1" x14ac:dyDescent="0.25">
      <c r="A75" s="105">
        <f>A73+1</f>
        <v>37</v>
      </c>
      <c r="B75" s="65" t="s">
        <v>93</v>
      </c>
      <c r="C75" s="53" t="s">
        <v>24</v>
      </c>
      <c r="D75" s="66">
        <v>1</v>
      </c>
      <c r="E75" s="55">
        <f>E63*1.5</f>
        <v>12480</v>
      </c>
      <c r="F75" s="56">
        <f>ROUND(E75*D75,2)</f>
        <v>12480</v>
      </c>
      <c r="G75" s="56">
        <f t="shared" ref="G75:G76" si="48">ROUND(F75*1.2,2)</f>
        <v>14976</v>
      </c>
      <c r="H75" s="57"/>
      <c r="I75" s="58"/>
      <c r="J75" s="58"/>
      <c r="K75" s="59">
        <f t="shared" si="39"/>
        <v>12480</v>
      </c>
      <c r="L75" s="60">
        <f t="shared" si="39"/>
        <v>14976</v>
      </c>
      <c r="M75" s="61"/>
      <c r="N75" s="90">
        <f t="shared" si="18"/>
        <v>0</v>
      </c>
      <c r="O75" s="63">
        <f t="shared" si="19"/>
        <v>0</v>
      </c>
      <c r="P75" s="64">
        <f t="shared" si="43"/>
        <v>17472</v>
      </c>
      <c r="Q75" s="56">
        <f t="shared" si="44"/>
        <v>17472</v>
      </c>
      <c r="R75" s="56">
        <f t="shared" si="45"/>
        <v>20966.399999999998</v>
      </c>
      <c r="S75" s="58">
        <f t="shared" si="40"/>
        <v>0</v>
      </c>
      <c r="T75" s="58">
        <f t="shared" si="46"/>
        <v>0</v>
      </c>
      <c r="U75" s="58">
        <f t="shared" ref="U75:U80" si="49">T75*1.2</f>
        <v>0</v>
      </c>
      <c r="V75" s="59">
        <f t="shared" si="47"/>
        <v>17472</v>
      </c>
      <c r="W75" s="60">
        <f t="shared" si="47"/>
        <v>20966.399999999998</v>
      </c>
    </row>
    <row r="76" spans="1:23" ht="18" customHeight="1" x14ac:dyDescent="0.25">
      <c r="A76" s="105">
        <f>A75+1</f>
        <v>38</v>
      </c>
      <c r="B76" s="65" t="s">
        <v>94</v>
      </c>
      <c r="C76" s="53" t="s">
        <v>22</v>
      </c>
      <c r="D76" s="66">
        <v>16.43</v>
      </c>
      <c r="E76" s="55">
        <v>1933.2</v>
      </c>
      <c r="F76" s="56">
        <f>ROUND(E76*D76,2)</f>
        <v>31762.48</v>
      </c>
      <c r="G76" s="56">
        <f t="shared" si="48"/>
        <v>38114.980000000003</v>
      </c>
      <c r="H76" s="57"/>
      <c r="I76" s="58"/>
      <c r="J76" s="58"/>
      <c r="K76" s="59">
        <f t="shared" si="39"/>
        <v>31762.48</v>
      </c>
      <c r="L76" s="60">
        <f t="shared" si="39"/>
        <v>38114.980000000003</v>
      </c>
      <c r="M76" s="61"/>
      <c r="N76" s="90">
        <f t="shared" si="18"/>
        <v>0</v>
      </c>
      <c r="O76" s="63">
        <f t="shared" si="19"/>
        <v>0</v>
      </c>
      <c r="P76" s="64">
        <f t="shared" si="43"/>
        <v>2706.48</v>
      </c>
      <c r="Q76" s="56">
        <f t="shared" si="44"/>
        <v>44467.466399999998</v>
      </c>
      <c r="R76" s="56">
        <f t="shared" si="45"/>
        <v>53360.959679999993</v>
      </c>
      <c r="S76" s="58">
        <f t="shared" si="40"/>
        <v>0</v>
      </c>
      <c r="T76" s="58">
        <f t="shared" si="46"/>
        <v>0</v>
      </c>
      <c r="U76" s="58">
        <f t="shared" si="49"/>
        <v>0</v>
      </c>
      <c r="V76" s="59">
        <f t="shared" si="47"/>
        <v>44467.466399999998</v>
      </c>
      <c r="W76" s="60">
        <f t="shared" si="47"/>
        <v>53360.959679999993</v>
      </c>
    </row>
    <row r="77" spans="1:23" ht="18" customHeight="1" x14ac:dyDescent="0.25">
      <c r="A77" s="68" t="s">
        <v>108</v>
      </c>
      <c r="B77" s="69" t="s">
        <v>35</v>
      </c>
      <c r="C77" s="70" t="s">
        <v>22</v>
      </c>
      <c r="D77" s="108">
        <f>ROUND(D76*1.26,2)</f>
        <v>20.7</v>
      </c>
      <c r="E77" s="72"/>
      <c r="F77" s="73"/>
      <c r="G77" s="73"/>
      <c r="H77" s="73">
        <v>3720</v>
      </c>
      <c r="I77" s="73">
        <f>ROUND(H77*D77,2)</f>
        <v>77004</v>
      </c>
      <c r="J77" s="73">
        <f>ROUND(I77*1.2,2)</f>
        <v>92404.800000000003</v>
      </c>
      <c r="K77" s="72">
        <f>F77+I77</f>
        <v>77004</v>
      </c>
      <c r="L77" s="74">
        <f>G77+J77</f>
        <v>92404.800000000003</v>
      </c>
      <c r="M77" s="75"/>
      <c r="N77" s="98">
        <f t="shared" si="18"/>
        <v>0</v>
      </c>
      <c r="O77" s="77">
        <f t="shared" si="19"/>
        <v>0</v>
      </c>
      <c r="P77" s="78">
        <f t="shared" si="43"/>
        <v>0</v>
      </c>
      <c r="Q77" s="73">
        <f t="shared" si="44"/>
        <v>0</v>
      </c>
      <c r="R77" s="73">
        <f t="shared" si="45"/>
        <v>0</v>
      </c>
      <c r="S77" s="73">
        <f t="shared" si="40"/>
        <v>4716.8556168000005</v>
      </c>
      <c r="T77" s="73">
        <f t="shared" si="46"/>
        <v>97638.911267760006</v>
      </c>
      <c r="U77" s="73">
        <f t="shared" si="49"/>
        <v>117166.693521312</v>
      </c>
      <c r="V77" s="72">
        <f t="shared" si="47"/>
        <v>97638.911267760006</v>
      </c>
      <c r="W77" s="74">
        <f t="shared" si="47"/>
        <v>117166.693521312</v>
      </c>
    </row>
    <row r="78" spans="1:23" ht="18" customHeight="1" x14ac:dyDescent="0.25">
      <c r="A78" s="105">
        <f>A76+1</f>
        <v>39</v>
      </c>
      <c r="B78" s="65" t="s">
        <v>96</v>
      </c>
      <c r="C78" s="53" t="s">
        <v>22</v>
      </c>
      <c r="D78" s="66">
        <v>3.3</v>
      </c>
      <c r="E78" s="55">
        <v>2395.1999999999998</v>
      </c>
      <c r="F78" s="56">
        <f>ROUND(E78*D78,2)</f>
        <v>7904.16</v>
      </c>
      <c r="G78" s="56">
        <f t="shared" ref="G78" si="50">ROUND(F78*1.2,2)</f>
        <v>9484.99</v>
      </c>
      <c r="H78" s="57"/>
      <c r="I78" s="58"/>
      <c r="J78" s="58"/>
      <c r="K78" s="59">
        <f t="shared" ref="K78:L78" si="51">F78+I78</f>
        <v>7904.16</v>
      </c>
      <c r="L78" s="60">
        <f t="shared" si="51"/>
        <v>9484.99</v>
      </c>
      <c r="M78" s="61"/>
      <c r="N78" s="90">
        <f t="shared" si="18"/>
        <v>0</v>
      </c>
      <c r="O78" s="63">
        <f t="shared" si="19"/>
        <v>0</v>
      </c>
      <c r="P78" s="64">
        <f t="shared" si="43"/>
        <v>3353.2799999999997</v>
      </c>
      <c r="Q78" s="56">
        <f t="shared" si="44"/>
        <v>11065.823999999999</v>
      </c>
      <c r="R78" s="56">
        <f t="shared" si="45"/>
        <v>13278.988799999997</v>
      </c>
      <c r="S78" s="58">
        <f t="shared" si="40"/>
        <v>0</v>
      </c>
      <c r="T78" s="58">
        <f t="shared" si="46"/>
        <v>0</v>
      </c>
      <c r="U78" s="58">
        <f t="shared" si="49"/>
        <v>0</v>
      </c>
      <c r="V78" s="59">
        <f t="shared" si="47"/>
        <v>11065.823999999999</v>
      </c>
      <c r="W78" s="60">
        <f t="shared" si="47"/>
        <v>13278.988799999997</v>
      </c>
    </row>
    <row r="79" spans="1:23" ht="18" customHeight="1" x14ac:dyDescent="0.25">
      <c r="A79" s="68" t="s">
        <v>109</v>
      </c>
      <c r="B79" s="69" t="s">
        <v>35</v>
      </c>
      <c r="C79" s="70" t="s">
        <v>22</v>
      </c>
      <c r="D79" s="108">
        <f>ROUND(D78*1.26,2)</f>
        <v>4.16</v>
      </c>
      <c r="E79" s="72"/>
      <c r="F79" s="73"/>
      <c r="G79" s="73"/>
      <c r="H79" s="73">
        <v>3720</v>
      </c>
      <c r="I79" s="73">
        <f>ROUND(H79*D79,2)</f>
        <v>15475.2</v>
      </c>
      <c r="J79" s="73">
        <f>ROUND(I79*1.2,2)</f>
        <v>18570.240000000002</v>
      </c>
      <c r="K79" s="72">
        <f>F79+I79</f>
        <v>15475.2</v>
      </c>
      <c r="L79" s="74">
        <f>G79+J79</f>
        <v>18570.240000000002</v>
      </c>
      <c r="M79" s="75"/>
      <c r="N79" s="98">
        <f t="shared" si="18"/>
        <v>0</v>
      </c>
      <c r="O79" s="77">
        <f t="shared" si="19"/>
        <v>0</v>
      </c>
      <c r="P79" s="78">
        <f t="shared" si="43"/>
        <v>0</v>
      </c>
      <c r="Q79" s="73">
        <f t="shared" si="44"/>
        <v>0</v>
      </c>
      <c r="R79" s="73">
        <f t="shared" si="45"/>
        <v>0</v>
      </c>
      <c r="S79" s="73">
        <f t="shared" si="40"/>
        <v>4716.8556168000005</v>
      </c>
      <c r="T79" s="73">
        <f t="shared" si="46"/>
        <v>19622.119365888004</v>
      </c>
      <c r="U79" s="73">
        <f t="shared" si="49"/>
        <v>23546.543239065602</v>
      </c>
      <c r="V79" s="72">
        <f t="shared" si="47"/>
        <v>19622.119365888004</v>
      </c>
      <c r="W79" s="74">
        <f t="shared" si="47"/>
        <v>23546.543239065602</v>
      </c>
    </row>
    <row r="80" spans="1:23" ht="18" customHeight="1" x14ac:dyDescent="0.25">
      <c r="A80" s="105">
        <f>A78+1</f>
        <v>40</v>
      </c>
      <c r="B80" s="65" t="s">
        <v>98</v>
      </c>
      <c r="C80" s="53" t="s">
        <v>70</v>
      </c>
      <c r="D80" s="66">
        <v>9.61</v>
      </c>
      <c r="E80" s="55">
        <v>450</v>
      </c>
      <c r="F80" s="56">
        <f>ROUND(E80*D80,2)</f>
        <v>4324.5</v>
      </c>
      <c r="G80" s="56">
        <f t="shared" ref="G80" si="52">ROUND(F80*1.2,2)</f>
        <v>5189.3999999999996</v>
      </c>
      <c r="H80" s="57"/>
      <c r="I80" s="58"/>
      <c r="J80" s="58"/>
      <c r="K80" s="59">
        <f t="shared" ref="K80:L80" si="53">F80+I80</f>
        <v>4324.5</v>
      </c>
      <c r="L80" s="60">
        <f t="shared" si="53"/>
        <v>5189.3999999999996</v>
      </c>
      <c r="M80" s="61"/>
      <c r="N80" s="90">
        <f t="shared" si="18"/>
        <v>0</v>
      </c>
      <c r="O80" s="63">
        <f t="shared" si="19"/>
        <v>0</v>
      </c>
      <c r="P80" s="64">
        <f t="shared" si="43"/>
        <v>630</v>
      </c>
      <c r="Q80" s="56">
        <f t="shared" si="44"/>
        <v>6054.2999999999993</v>
      </c>
      <c r="R80" s="56">
        <f t="shared" si="45"/>
        <v>7265.1599999999989</v>
      </c>
      <c r="S80" s="58">
        <f t="shared" si="40"/>
        <v>0</v>
      </c>
      <c r="T80" s="58">
        <f t="shared" si="46"/>
        <v>0</v>
      </c>
      <c r="U80" s="58">
        <f t="shared" si="49"/>
        <v>0</v>
      </c>
      <c r="V80" s="59">
        <f t="shared" si="47"/>
        <v>6054.2999999999993</v>
      </c>
      <c r="W80" s="60">
        <f t="shared" si="47"/>
        <v>7265.1599999999989</v>
      </c>
    </row>
    <row r="81" spans="1:25" x14ac:dyDescent="0.25">
      <c r="A81" s="124" t="s">
        <v>110</v>
      </c>
      <c r="B81" s="125"/>
      <c r="C81" s="125"/>
      <c r="D81" s="125"/>
      <c r="E81" s="126"/>
      <c r="F81" s="111"/>
      <c r="G81" s="112">
        <f>SUM(G9:G80)</f>
        <v>6667106.4400000032</v>
      </c>
      <c r="I81" s="111"/>
      <c r="J81" s="112">
        <f>SUM(J9:J80)</f>
        <v>1266997.4600000002</v>
      </c>
      <c r="K81" s="111"/>
      <c r="L81" s="114">
        <f>SUM(L9:L80)</f>
        <v>7934103.9000000032</v>
      </c>
      <c r="M81" s="115"/>
      <c r="N81" s="116"/>
      <c r="O81" s="114">
        <f>SUM(O9:O80)</f>
        <v>12446010.65</v>
      </c>
      <c r="P81" s="117"/>
      <c r="Q81" s="116"/>
      <c r="R81" s="118">
        <f>SUM(R9:R80)</f>
        <v>9333949.0067039989</v>
      </c>
      <c r="S81" s="116"/>
      <c r="T81" s="116"/>
      <c r="U81" s="118">
        <f>SUM(U9:U80)</f>
        <v>17387709.493260235</v>
      </c>
      <c r="V81" s="116">
        <f>SUM(V9:V80)</f>
        <v>22268048.749970209</v>
      </c>
      <c r="W81" s="119">
        <f>SUM(W9:W80)</f>
        <v>26721658.499964226</v>
      </c>
    </row>
    <row r="84" spans="1:25" x14ac:dyDescent="0.25">
      <c r="L84" s="122"/>
    </row>
    <row r="86" spans="1:25" x14ac:dyDescent="0.25">
      <c r="M86" s="122"/>
      <c r="N86" s="122"/>
      <c r="O86" s="122"/>
      <c r="P86" s="122"/>
      <c r="Q86" s="122"/>
      <c r="R86" s="122"/>
      <c r="S86" s="122"/>
      <c r="T86" s="122"/>
      <c r="U86" s="122"/>
      <c r="V86" s="122"/>
      <c r="W86" s="122"/>
      <c r="X86" s="122"/>
      <c r="Y86" s="122"/>
    </row>
    <row r="87" spans="1:25" x14ac:dyDescent="0.25">
      <c r="L87" s="122"/>
      <c r="M87" s="122"/>
      <c r="N87" s="122"/>
      <c r="O87" s="122"/>
      <c r="P87" s="122"/>
      <c r="Q87" s="122"/>
      <c r="R87" s="122"/>
      <c r="S87" s="122"/>
      <c r="T87" s="122"/>
      <c r="U87" s="122"/>
      <c r="V87" s="122"/>
      <c r="W87" s="122"/>
      <c r="X87" s="122"/>
      <c r="Y87" s="122"/>
    </row>
    <row r="88" spans="1:25" x14ac:dyDescent="0.25">
      <c r="L88" s="122"/>
      <c r="M88" s="122"/>
      <c r="N88" s="122"/>
      <c r="O88" s="122"/>
      <c r="P88" s="122"/>
      <c r="Q88" s="122"/>
      <c r="R88" s="122"/>
      <c r="S88" s="122"/>
      <c r="T88" s="122"/>
      <c r="U88" s="122"/>
      <c r="V88" s="122"/>
      <c r="W88" s="122"/>
      <c r="X88" s="122"/>
      <c r="Y88" s="122"/>
    </row>
    <row r="89" spans="1:25" x14ac:dyDescent="0.25">
      <c r="L89" s="122"/>
      <c r="M89" s="122"/>
      <c r="N89" s="122"/>
      <c r="O89" s="122"/>
      <c r="P89" s="122"/>
      <c r="Q89" s="122"/>
      <c r="R89" s="122"/>
      <c r="S89" s="122"/>
      <c r="T89" s="122"/>
      <c r="U89" s="122"/>
      <c r="V89" s="122"/>
      <c r="W89" s="122"/>
      <c r="X89" s="122"/>
      <c r="Y89" s="122"/>
    </row>
    <row r="90" spans="1:25" x14ac:dyDescent="0.25">
      <c r="L90" s="122"/>
      <c r="M90" s="122"/>
      <c r="N90" s="122"/>
      <c r="O90" s="122"/>
      <c r="P90" s="122"/>
      <c r="Q90" s="122"/>
      <c r="R90" s="122"/>
      <c r="S90" s="122"/>
      <c r="T90" s="122"/>
      <c r="U90" s="122"/>
      <c r="V90" s="122"/>
      <c r="W90" s="122"/>
      <c r="X90" s="122"/>
      <c r="Y90" s="122"/>
    </row>
    <row r="91" spans="1:25" x14ac:dyDescent="0.25">
      <c r="F91" s="4" t="s">
        <v>111</v>
      </c>
      <c r="G91" s="112">
        <v>6667106.4400000004</v>
      </c>
      <c r="I91" s="111"/>
      <c r="J91" s="112">
        <v>1267027.82</v>
      </c>
      <c r="K91" s="111"/>
      <c r="L91" s="114">
        <v>7934134.2599999998</v>
      </c>
      <c r="M91" s="115"/>
      <c r="N91" s="116"/>
      <c r="O91" s="123">
        <v>12446013.27</v>
      </c>
      <c r="P91" s="117"/>
      <c r="Q91" s="116"/>
      <c r="R91" s="118">
        <v>9333946.7200000007</v>
      </c>
      <c r="S91" s="116"/>
      <c r="T91" s="116"/>
      <c r="U91" s="118">
        <v>17387767.629999999</v>
      </c>
      <c r="V91" s="116">
        <v>22268095.300000001</v>
      </c>
      <c r="W91" s="119">
        <v>26721714.350000001</v>
      </c>
    </row>
  </sheetData>
  <autoFilter ref="A5:W81" xr:uid="{4F385F8A-8603-4F4C-AD19-1812F89F5006}"/>
  <mergeCells count="14">
    <mergeCell ref="A81:E81"/>
    <mergeCell ref="P2:W2"/>
    <mergeCell ref="E3:G3"/>
    <mergeCell ref="H3:J3"/>
    <mergeCell ref="K3:L3"/>
    <mergeCell ref="P3:R3"/>
    <mergeCell ref="S3:U3"/>
    <mergeCell ref="V3:W3"/>
    <mergeCell ref="A1:A4"/>
    <mergeCell ref="B1:B4"/>
    <mergeCell ref="C1:C4"/>
    <mergeCell ref="D1:D4"/>
    <mergeCell ref="E1:L2"/>
    <mergeCell ref="M1:O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Вход-выход 11 путь</vt:lpstr>
      <vt:lpstr>'Вход-выход 11 путь'!Область_печати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Анастасия</cp:lastModifiedBy>
  <dcterms:created xsi:type="dcterms:W3CDTF">2024-07-17T18:15:35Z</dcterms:created>
  <dcterms:modified xsi:type="dcterms:W3CDTF">2024-09-13T10:59:05Z</dcterms:modified>
</cp:coreProperties>
</file>