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\!замечания_11.09 для Заказчика\"/>
    </mc:Choice>
  </mc:AlternateContent>
  <xr:revisionPtr revIDLastSave="0" documentId="13_ncr:1_{4C425695-C39F-4769-9763-29EE24414557}" xr6:coauthVersionLast="47" xr6:coauthVersionMax="47" xr10:uidLastSave="{00000000-0000-0000-0000-000000000000}"/>
  <bookViews>
    <workbookView xWindow="28680" yWindow="1290" windowWidth="29040" windowHeight="15720" xr2:uid="{2FBD42AA-9A7E-4279-B5EA-C651E2C4D97A}"/>
  </bookViews>
  <sheets>
    <sheet name="Вход выход 3 путь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'Вход выход 3 путь'!$A$5:$W$72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'Вход выход 3 путь'!$A$1:$L$71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9" i="1" l="1"/>
  <c r="D110" i="1" s="1"/>
  <c r="D108" i="1"/>
  <c r="D94" i="1"/>
  <c r="D92" i="1"/>
  <c r="A90" i="1"/>
  <c r="A91" i="1" s="1"/>
  <c r="A93" i="1" s="1"/>
  <c r="A95" i="1" s="1"/>
  <c r="A96" i="1" s="1"/>
  <c r="A99" i="1" s="1"/>
  <c r="A100" i="1" s="1"/>
  <c r="A107" i="1" s="1"/>
  <c r="A109" i="1" s="1"/>
  <c r="S70" i="1"/>
  <c r="T70" i="1" s="1"/>
  <c r="U70" i="1" s="1"/>
  <c r="P70" i="1"/>
  <c r="Q70" i="1" s="1"/>
  <c r="V70" i="1" s="1"/>
  <c r="N70" i="1"/>
  <c r="O70" i="1" s="1"/>
  <c r="J70" i="1"/>
  <c r="L70" i="1" s="1"/>
  <c r="I70" i="1"/>
  <c r="K70" i="1" s="1"/>
  <c r="S69" i="1"/>
  <c r="T69" i="1" s="1"/>
  <c r="U69" i="1" s="1"/>
  <c r="P69" i="1"/>
  <c r="Q69" i="1" s="1"/>
  <c r="V69" i="1" s="1"/>
  <c r="N69" i="1"/>
  <c r="O69" i="1" s="1"/>
  <c r="F69" i="1"/>
  <c r="K69" i="1" s="1"/>
  <c r="S68" i="1"/>
  <c r="T68" i="1" s="1"/>
  <c r="U68" i="1" s="1"/>
  <c r="P68" i="1"/>
  <c r="Q68" i="1" s="1"/>
  <c r="N68" i="1"/>
  <c r="O68" i="1" s="1"/>
  <c r="I68" i="1"/>
  <c r="J68" i="1" s="1"/>
  <c r="L68" i="1" s="1"/>
  <c r="S67" i="1"/>
  <c r="T67" i="1" s="1"/>
  <c r="U67" i="1" s="1"/>
  <c r="P67" i="1"/>
  <c r="Q67" i="1" s="1"/>
  <c r="N67" i="1"/>
  <c r="O67" i="1" s="1"/>
  <c r="F67" i="1"/>
  <c r="K67" i="1" s="1"/>
  <c r="P66" i="1"/>
  <c r="Q66" i="1" s="1"/>
  <c r="N66" i="1"/>
  <c r="O66" i="1" s="1"/>
  <c r="H66" i="1"/>
  <c r="S66" i="1" s="1"/>
  <c r="T66" i="1" s="1"/>
  <c r="U66" i="1" s="1"/>
  <c r="P65" i="1"/>
  <c r="Q65" i="1" s="1"/>
  <c r="N65" i="1"/>
  <c r="O65" i="1" s="1"/>
  <c r="H65" i="1"/>
  <c r="S65" i="1" s="1"/>
  <c r="T65" i="1" s="1"/>
  <c r="U65" i="1" s="1"/>
  <c r="P64" i="1"/>
  <c r="Q64" i="1" s="1"/>
  <c r="N64" i="1"/>
  <c r="O64" i="1" s="1"/>
  <c r="H64" i="1"/>
  <c r="I64" i="1" s="1"/>
  <c r="S63" i="1"/>
  <c r="T63" i="1" s="1"/>
  <c r="U63" i="1" s="1"/>
  <c r="P63" i="1"/>
  <c r="Q63" i="1" s="1"/>
  <c r="N63" i="1"/>
  <c r="O63" i="1" s="1"/>
  <c r="I63" i="1"/>
  <c r="K63" i="1" s="1"/>
  <c r="S62" i="1"/>
  <c r="T62" i="1" s="1"/>
  <c r="U62" i="1" s="1"/>
  <c r="P62" i="1"/>
  <c r="Q62" i="1" s="1"/>
  <c r="N62" i="1"/>
  <c r="O62" i="1" s="1"/>
  <c r="I62" i="1"/>
  <c r="T61" i="1"/>
  <c r="U61" i="1" s="1"/>
  <c r="S61" i="1"/>
  <c r="P61" i="1"/>
  <c r="Q61" i="1" s="1"/>
  <c r="N61" i="1"/>
  <c r="O61" i="1" s="1"/>
  <c r="I61" i="1"/>
  <c r="K61" i="1" s="1"/>
  <c r="S60" i="1"/>
  <c r="T60" i="1" s="1"/>
  <c r="U60" i="1" s="1"/>
  <c r="P60" i="1"/>
  <c r="Q60" i="1" s="1"/>
  <c r="N60" i="1"/>
  <c r="O60" i="1" s="1"/>
  <c r="F60" i="1"/>
  <c r="G60" i="1" s="1"/>
  <c r="L60" i="1" s="1"/>
  <c r="S59" i="1"/>
  <c r="T59" i="1" s="1"/>
  <c r="U59" i="1" s="1"/>
  <c r="Q59" i="1"/>
  <c r="P59" i="1"/>
  <c r="O59" i="1"/>
  <c r="N59" i="1"/>
  <c r="F59" i="1"/>
  <c r="K59" i="1" s="1"/>
  <c r="P58" i="1"/>
  <c r="Q58" i="1" s="1"/>
  <c r="M58" i="1"/>
  <c r="S58" i="1" s="1"/>
  <c r="T58" i="1" s="1"/>
  <c r="U58" i="1" s="1"/>
  <c r="I58" i="1"/>
  <c r="K58" i="1" s="1"/>
  <c r="S57" i="1"/>
  <c r="T57" i="1" s="1"/>
  <c r="U57" i="1" s="1"/>
  <c r="Q57" i="1"/>
  <c r="P57" i="1"/>
  <c r="O57" i="1"/>
  <c r="N57" i="1"/>
  <c r="I57" i="1"/>
  <c r="J57" i="1" s="1"/>
  <c r="L57" i="1" s="1"/>
  <c r="S56" i="1"/>
  <c r="T56" i="1" s="1"/>
  <c r="U56" i="1" s="1"/>
  <c r="P56" i="1"/>
  <c r="Q56" i="1" s="1"/>
  <c r="V56" i="1" s="1"/>
  <c r="N56" i="1"/>
  <c r="O56" i="1" s="1"/>
  <c r="F56" i="1"/>
  <c r="K56" i="1" s="1"/>
  <c r="S55" i="1"/>
  <c r="T55" i="1" s="1"/>
  <c r="U55" i="1" s="1"/>
  <c r="P55" i="1"/>
  <c r="Q55" i="1" s="1"/>
  <c r="N55" i="1"/>
  <c r="O55" i="1" s="1"/>
  <c r="F55" i="1"/>
  <c r="K55" i="1" s="1"/>
  <c r="S54" i="1"/>
  <c r="T54" i="1" s="1"/>
  <c r="U54" i="1" s="1"/>
  <c r="P54" i="1"/>
  <c r="Q54" i="1" s="1"/>
  <c r="V54" i="1" s="1"/>
  <c r="N54" i="1"/>
  <c r="O54" i="1" s="1"/>
  <c r="I54" i="1"/>
  <c r="J54" i="1" s="1"/>
  <c r="F54" i="1"/>
  <c r="S53" i="1"/>
  <c r="T53" i="1" s="1"/>
  <c r="U53" i="1" s="1"/>
  <c r="P53" i="1"/>
  <c r="Q53" i="1" s="1"/>
  <c r="N53" i="1"/>
  <c r="O53" i="1" s="1"/>
  <c r="G53" i="1"/>
  <c r="L53" i="1" s="1"/>
  <c r="F53" i="1"/>
  <c r="K53" i="1" s="1"/>
  <c r="T52" i="1"/>
  <c r="U52" i="1" s="1"/>
  <c r="S52" i="1"/>
  <c r="P52" i="1"/>
  <c r="Q52" i="1" s="1"/>
  <c r="N52" i="1"/>
  <c r="O52" i="1" s="1"/>
  <c r="I52" i="1"/>
  <c r="J52" i="1" s="1"/>
  <c r="F52" i="1"/>
  <c r="G52" i="1" s="1"/>
  <c r="L52" i="1" s="1"/>
  <c r="S51" i="1"/>
  <c r="T51" i="1" s="1"/>
  <c r="U51" i="1" s="1"/>
  <c r="P51" i="1"/>
  <c r="Q51" i="1" s="1"/>
  <c r="N51" i="1"/>
  <c r="O51" i="1" s="1"/>
  <c r="F51" i="1"/>
  <c r="G51" i="1" s="1"/>
  <c r="L51" i="1" s="1"/>
  <c r="S50" i="1"/>
  <c r="T50" i="1" s="1"/>
  <c r="U50" i="1" s="1"/>
  <c r="P50" i="1"/>
  <c r="Q50" i="1" s="1"/>
  <c r="N50" i="1"/>
  <c r="O50" i="1" s="1"/>
  <c r="F50" i="1"/>
  <c r="K50" i="1" s="1"/>
  <c r="A50" i="1"/>
  <c r="A51" i="1" s="1"/>
  <c r="A53" i="1" s="1"/>
  <c r="A55" i="1" s="1"/>
  <c r="A56" i="1" s="1"/>
  <c r="A59" i="1" s="1"/>
  <c r="A60" i="1" s="1"/>
  <c r="A67" i="1" s="1"/>
  <c r="A69" i="1" s="1"/>
  <c r="S49" i="1"/>
  <c r="T49" i="1" s="1"/>
  <c r="U49" i="1" s="1"/>
  <c r="P49" i="1"/>
  <c r="Q49" i="1" s="1"/>
  <c r="R49" i="1" s="1"/>
  <c r="N49" i="1"/>
  <c r="O49" i="1" s="1"/>
  <c r="F49" i="1"/>
  <c r="G49" i="1" s="1"/>
  <c r="L49" i="1" s="1"/>
  <c r="S48" i="1"/>
  <c r="T48" i="1" s="1"/>
  <c r="U48" i="1" s="1"/>
  <c r="P48" i="1"/>
  <c r="Q48" i="1" s="1"/>
  <c r="R48" i="1" s="1"/>
  <c r="N48" i="1"/>
  <c r="O48" i="1" s="1"/>
  <c r="S47" i="1"/>
  <c r="T47" i="1" s="1"/>
  <c r="U47" i="1" s="1"/>
  <c r="P47" i="1"/>
  <c r="N47" i="1"/>
  <c r="O47" i="1" s="1"/>
  <c r="D47" i="1"/>
  <c r="I47" i="1" s="1"/>
  <c r="S46" i="1"/>
  <c r="P46" i="1"/>
  <c r="D46" i="1"/>
  <c r="P45" i="1"/>
  <c r="Q45" i="1" s="1"/>
  <c r="N45" i="1"/>
  <c r="O45" i="1" s="1"/>
  <c r="R44" i="1"/>
  <c r="P44" i="1"/>
  <c r="Q44" i="1" s="1"/>
  <c r="N44" i="1"/>
  <c r="O44" i="1" s="1"/>
  <c r="S44" i="1"/>
  <c r="T44" i="1" s="1"/>
  <c r="U44" i="1" s="1"/>
  <c r="P43" i="1"/>
  <c r="Q43" i="1" s="1"/>
  <c r="N43" i="1"/>
  <c r="O43" i="1" s="1"/>
  <c r="S42" i="1"/>
  <c r="T42" i="1" s="1"/>
  <c r="U42" i="1" s="1"/>
  <c r="P42" i="1"/>
  <c r="Q42" i="1" s="1"/>
  <c r="R42" i="1" s="1"/>
  <c r="W42" i="1" s="1"/>
  <c r="N42" i="1"/>
  <c r="O42" i="1" s="1"/>
  <c r="F42" i="1"/>
  <c r="G42" i="1" s="1"/>
  <c r="L42" i="1" s="1"/>
  <c r="U41" i="1"/>
  <c r="S41" i="1"/>
  <c r="T41" i="1" s="1"/>
  <c r="P41" i="1"/>
  <c r="Q41" i="1" s="1"/>
  <c r="N41" i="1"/>
  <c r="O41" i="1" s="1"/>
  <c r="F41" i="1"/>
  <c r="K41" i="1" s="1"/>
  <c r="T40" i="1"/>
  <c r="U40" i="1" s="1"/>
  <c r="S40" i="1"/>
  <c r="P40" i="1"/>
  <c r="Q40" i="1" s="1"/>
  <c r="R40" i="1" s="1"/>
  <c r="N40" i="1"/>
  <c r="O40" i="1" s="1"/>
  <c r="F40" i="1"/>
  <c r="G40" i="1" s="1"/>
  <c r="L40" i="1" s="1"/>
  <c r="S39" i="1"/>
  <c r="T39" i="1" s="1"/>
  <c r="U39" i="1" s="1"/>
  <c r="P39" i="1"/>
  <c r="Q39" i="1" s="1"/>
  <c r="N39" i="1"/>
  <c r="O39" i="1" s="1"/>
  <c r="K39" i="1"/>
  <c r="G39" i="1"/>
  <c r="L39" i="1" s="1"/>
  <c r="F39" i="1"/>
  <c r="T38" i="1"/>
  <c r="U38" i="1" s="1"/>
  <c r="S38" i="1"/>
  <c r="P38" i="1"/>
  <c r="Q38" i="1" s="1"/>
  <c r="R38" i="1" s="1"/>
  <c r="N38" i="1"/>
  <c r="O38" i="1" s="1"/>
  <c r="S37" i="1"/>
  <c r="T37" i="1" s="1"/>
  <c r="U37" i="1" s="1"/>
  <c r="P37" i="1"/>
  <c r="Q37" i="1" s="1"/>
  <c r="N37" i="1"/>
  <c r="O37" i="1" s="1"/>
  <c r="F37" i="1"/>
  <c r="S36" i="1"/>
  <c r="T36" i="1" s="1"/>
  <c r="U36" i="1" s="1"/>
  <c r="P36" i="1"/>
  <c r="Q36" i="1" s="1"/>
  <c r="N36" i="1"/>
  <c r="O36" i="1" s="1"/>
  <c r="F36" i="1"/>
  <c r="K36" i="1" s="1"/>
  <c r="S35" i="1"/>
  <c r="T35" i="1" s="1"/>
  <c r="U35" i="1" s="1"/>
  <c r="P35" i="1"/>
  <c r="Q35" i="1" s="1"/>
  <c r="N35" i="1"/>
  <c r="O35" i="1" s="1"/>
  <c r="K35" i="1"/>
  <c r="I35" i="1"/>
  <c r="J35" i="1" s="1"/>
  <c r="L35" i="1" s="1"/>
  <c r="T34" i="1"/>
  <c r="U34" i="1" s="1"/>
  <c r="S34" i="1"/>
  <c r="P34" i="1"/>
  <c r="Q34" i="1" s="1"/>
  <c r="N34" i="1"/>
  <c r="O34" i="1" s="1"/>
  <c r="F34" i="1"/>
  <c r="G34" i="1" s="1"/>
  <c r="L34" i="1" s="1"/>
  <c r="S33" i="1"/>
  <c r="T33" i="1" s="1"/>
  <c r="U33" i="1" s="1"/>
  <c r="P33" i="1"/>
  <c r="Q33" i="1" s="1"/>
  <c r="N33" i="1"/>
  <c r="O33" i="1" s="1"/>
  <c r="I33" i="1"/>
  <c r="K33" i="1" s="1"/>
  <c r="S32" i="1"/>
  <c r="T32" i="1" s="1"/>
  <c r="U32" i="1" s="1"/>
  <c r="P32" i="1"/>
  <c r="Q32" i="1" s="1"/>
  <c r="N32" i="1"/>
  <c r="O32" i="1" s="1"/>
  <c r="I32" i="1"/>
  <c r="J32" i="1" s="1"/>
  <c r="F32" i="1"/>
  <c r="P31" i="1"/>
  <c r="Q31" i="1" s="1"/>
  <c r="R31" i="1" s="1"/>
  <c r="W31" i="1" s="1"/>
  <c r="M31" i="1"/>
  <c r="S31" i="1" s="1"/>
  <c r="T31" i="1" s="1"/>
  <c r="U31" i="1" s="1"/>
  <c r="P30" i="1"/>
  <c r="Q30" i="1" s="1"/>
  <c r="M30" i="1"/>
  <c r="N30" i="1" s="1"/>
  <c r="O30" i="1" s="1"/>
  <c r="P29" i="1"/>
  <c r="Q29" i="1" s="1"/>
  <c r="R29" i="1" s="1"/>
  <c r="M29" i="1"/>
  <c r="S29" i="1" s="1"/>
  <c r="T29" i="1" s="1"/>
  <c r="P28" i="1"/>
  <c r="Q28" i="1" s="1"/>
  <c r="M28" i="1"/>
  <c r="N28" i="1" s="1"/>
  <c r="O28" i="1" s="1"/>
  <c r="P27" i="1"/>
  <c r="Q27" i="1" s="1"/>
  <c r="M27" i="1"/>
  <c r="S27" i="1" s="1"/>
  <c r="T27" i="1" s="1"/>
  <c r="U27" i="1" s="1"/>
  <c r="P26" i="1"/>
  <c r="Q26" i="1" s="1"/>
  <c r="M26" i="1"/>
  <c r="N26" i="1" s="1"/>
  <c r="O26" i="1" s="1"/>
  <c r="P25" i="1"/>
  <c r="Q25" i="1" s="1"/>
  <c r="R25" i="1" s="1"/>
  <c r="M25" i="1"/>
  <c r="S25" i="1" s="1"/>
  <c r="T25" i="1" s="1"/>
  <c r="P24" i="1"/>
  <c r="Q24" i="1" s="1"/>
  <c r="M24" i="1"/>
  <c r="N24" i="1" s="1"/>
  <c r="O24" i="1" s="1"/>
  <c r="P23" i="1"/>
  <c r="Q23" i="1" s="1"/>
  <c r="R23" i="1" s="1"/>
  <c r="M23" i="1"/>
  <c r="S23" i="1" s="1"/>
  <c r="T23" i="1" s="1"/>
  <c r="U23" i="1" s="1"/>
  <c r="S22" i="1"/>
  <c r="T22" i="1" s="1"/>
  <c r="U22" i="1" s="1"/>
  <c r="P22" i="1"/>
  <c r="Q22" i="1" s="1"/>
  <c r="N22" i="1"/>
  <c r="O22" i="1" s="1"/>
  <c r="F22" i="1"/>
  <c r="K22" i="1" s="1"/>
  <c r="S21" i="1"/>
  <c r="T21" i="1" s="1"/>
  <c r="U21" i="1" s="1"/>
  <c r="P21" i="1"/>
  <c r="Q21" i="1" s="1"/>
  <c r="R21" i="1" s="1"/>
  <c r="N21" i="1"/>
  <c r="O21" i="1" s="1"/>
  <c r="F21" i="1"/>
  <c r="G21" i="1" s="1"/>
  <c r="L21" i="1" s="1"/>
  <c r="U20" i="1"/>
  <c r="S20" i="1"/>
  <c r="T20" i="1" s="1"/>
  <c r="P20" i="1"/>
  <c r="Q20" i="1" s="1"/>
  <c r="N20" i="1"/>
  <c r="O20" i="1" s="1"/>
  <c r="I20" i="1"/>
  <c r="K20" i="1" s="1"/>
  <c r="S19" i="1"/>
  <c r="T19" i="1" s="1"/>
  <c r="U19" i="1" s="1"/>
  <c r="P19" i="1"/>
  <c r="Q19" i="1" s="1"/>
  <c r="O19" i="1"/>
  <c r="N19" i="1"/>
  <c r="F19" i="1"/>
  <c r="K19" i="1" s="1"/>
  <c r="S18" i="1"/>
  <c r="T18" i="1" s="1"/>
  <c r="U18" i="1" s="1"/>
  <c r="P18" i="1"/>
  <c r="Q18" i="1" s="1"/>
  <c r="R18" i="1" s="1"/>
  <c r="N18" i="1"/>
  <c r="O18" i="1" s="1"/>
  <c r="I18" i="1"/>
  <c r="J18" i="1" s="1"/>
  <c r="L18" i="1" s="1"/>
  <c r="S17" i="1"/>
  <c r="T17" i="1" s="1"/>
  <c r="U17" i="1" s="1"/>
  <c r="P17" i="1"/>
  <c r="Q17" i="1" s="1"/>
  <c r="R17" i="1" s="1"/>
  <c r="N17" i="1"/>
  <c r="O17" i="1" s="1"/>
  <c r="F17" i="1"/>
  <c r="G17" i="1" s="1"/>
  <c r="L17" i="1" s="1"/>
  <c r="S16" i="1"/>
  <c r="T16" i="1" s="1"/>
  <c r="U16" i="1" s="1"/>
  <c r="P16" i="1"/>
  <c r="Q16" i="1" s="1"/>
  <c r="N16" i="1"/>
  <c r="O16" i="1" s="1"/>
  <c r="I16" i="1"/>
  <c r="J16" i="1" s="1"/>
  <c r="S15" i="1"/>
  <c r="T15" i="1" s="1"/>
  <c r="U15" i="1" s="1"/>
  <c r="P15" i="1"/>
  <c r="Q15" i="1" s="1"/>
  <c r="N15" i="1"/>
  <c r="O15" i="1" s="1"/>
  <c r="F15" i="1"/>
  <c r="G15" i="1" s="1"/>
  <c r="L15" i="1" s="1"/>
  <c r="A15" i="1"/>
  <c r="A17" i="1" s="1"/>
  <c r="A19" i="1" s="1"/>
  <c r="A21" i="1" s="1"/>
  <c r="A22" i="1" s="1"/>
  <c r="A32" i="1" s="1"/>
  <c r="A34" i="1" s="1"/>
  <c r="A36" i="1" s="1"/>
  <c r="A37" i="1" s="1"/>
  <c r="A39" i="1" s="1"/>
  <c r="A40" i="1" s="1"/>
  <c r="A41" i="1" s="1"/>
  <c r="A42" i="1" s="1"/>
  <c r="A46" i="1" s="1"/>
  <c r="S14" i="1"/>
  <c r="T14" i="1" s="1"/>
  <c r="U14" i="1" s="1"/>
  <c r="P14" i="1"/>
  <c r="Q14" i="1" s="1"/>
  <c r="V14" i="1" s="1"/>
  <c r="N14" i="1"/>
  <c r="O14" i="1" s="1"/>
  <c r="F14" i="1"/>
  <c r="K14" i="1" s="1"/>
  <c r="S12" i="1"/>
  <c r="T12" i="1" s="1"/>
  <c r="U12" i="1" s="1"/>
  <c r="P12" i="1"/>
  <c r="D12" i="1"/>
  <c r="N12" i="1" s="1"/>
  <c r="O12" i="1" s="1"/>
  <c r="S11" i="1"/>
  <c r="P11" i="1"/>
  <c r="S10" i="1"/>
  <c r="T10" i="1" s="1"/>
  <c r="U10" i="1" s="1"/>
  <c r="P10" i="1"/>
  <c r="D10" i="1"/>
  <c r="N10" i="1" s="1"/>
  <c r="O10" i="1" s="1"/>
  <c r="S9" i="1"/>
  <c r="T9" i="1" s="1"/>
  <c r="U9" i="1" s="1"/>
  <c r="P9" i="1"/>
  <c r="Q9" i="1" s="1"/>
  <c r="N9" i="1"/>
  <c r="O9" i="1" s="1"/>
  <c r="F9" i="1"/>
  <c r="S8" i="1"/>
  <c r="T8" i="1" s="1"/>
  <c r="U8" i="1" s="1"/>
  <c r="P8" i="1"/>
  <c r="Q8" i="1" s="1"/>
  <c r="V8" i="1" s="1"/>
  <c r="N8" i="1"/>
  <c r="O8" i="1" s="1"/>
  <c r="F8" i="1"/>
  <c r="K8" i="1" s="1"/>
  <c r="A8" i="1"/>
  <c r="A9" i="1" s="1"/>
  <c r="A10" i="1" s="1"/>
  <c r="A11" i="1" s="1"/>
  <c r="A12" i="1" s="1"/>
  <c r="S7" i="1"/>
  <c r="T7" i="1" s="1"/>
  <c r="U7" i="1" s="1"/>
  <c r="P7" i="1"/>
  <c r="Q7" i="1" s="1"/>
  <c r="N7" i="1"/>
  <c r="O7" i="1" s="1"/>
  <c r="D7" i="1"/>
  <c r="N25" i="1" l="1"/>
  <c r="O25" i="1" s="1"/>
  <c r="G9" i="1"/>
  <c r="L9" i="1" s="1"/>
  <c r="K9" i="1"/>
  <c r="K32" i="1"/>
  <c r="G32" i="1"/>
  <c r="L32" i="1" s="1"/>
  <c r="G37" i="1"/>
  <c r="L37" i="1" s="1"/>
  <c r="K37" i="1"/>
  <c r="J62" i="1"/>
  <c r="L62" i="1" s="1"/>
  <c r="K62" i="1"/>
  <c r="W23" i="1"/>
  <c r="K18" i="1"/>
  <c r="N29" i="1"/>
  <c r="O29" i="1" s="1"/>
  <c r="G41" i="1"/>
  <c r="L41" i="1" s="1"/>
  <c r="J58" i="1"/>
  <c r="L58" i="1" s="1"/>
  <c r="N23" i="1"/>
  <c r="O23" i="1" s="1"/>
  <c r="G8" i="1"/>
  <c r="L8" i="1" s="1"/>
  <c r="J20" i="1"/>
  <c r="L20" i="1" s="1"/>
  <c r="K34" i="1"/>
  <c r="G36" i="1"/>
  <c r="L36" i="1" s="1"/>
  <c r="K15" i="1"/>
  <c r="K57" i="1"/>
  <c r="F10" i="1"/>
  <c r="V34" i="1"/>
  <c r="W38" i="1"/>
  <c r="S43" i="1"/>
  <c r="T43" i="1" s="1"/>
  <c r="U43" i="1" s="1"/>
  <c r="K54" i="1"/>
  <c r="G59" i="1"/>
  <c r="L59" i="1" s="1"/>
  <c r="K17" i="1"/>
  <c r="G19" i="1"/>
  <c r="L19" i="1" s="1"/>
  <c r="G22" i="1"/>
  <c r="L22" i="1" s="1"/>
  <c r="N27" i="1"/>
  <c r="O27" i="1" s="1"/>
  <c r="K40" i="1"/>
  <c r="G54" i="1"/>
  <c r="L54" i="1" s="1"/>
  <c r="V35" i="1"/>
  <c r="K60" i="1"/>
  <c r="V21" i="1"/>
  <c r="V37" i="1"/>
  <c r="G50" i="1"/>
  <c r="L50" i="1" s="1"/>
  <c r="G69" i="1"/>
  <c r="L69" i="1" s="1"/>
  <c r="F12" i="1"/>
  <c r="G12" i="1" s="1"/>
  <c r="L12" i="1" s="1"/>
  <c r="W18" i="1"/>
  <c r="V23" i="1"/>
  <c r="N58" i="1"/>
  <c r="O58" i="1" s="1"/>
  <c r="K52" i="1"/>
  <c r="I65" i="1"/>
  <c r="Q12" i="1"/>
  <c r="R12" i="1" s="1"/>
  <c r="W12" i="1" s="1"/>
  <c r="D11" i="1"/>
  <c r="T11" i="1" s="1"/>
  <c r="U11" i="1" s="1"/>
  <c r="F7" i="1"/>
  <c r="G7" i="1" s="1"/>
  <c r="L7" i="1" s="1"/>
  <c r="Q10" i="1"/>
  <c r="G14" i="1"/>
  <c r="L14" i="1" s="1"/>
  <c r="W17" i="1"/>
  <c r="N31" i="1"/>
  <c r="O31" i="1" s="1"/>
  <c r="J33" i="1"/>
  <c r="L33" i="1" s="1"/>
  <c r="W40" i="1"/>
  <c r="Q47" i="1"/>
  <c r="K51" i="1"/>
  <c r="G56" i="1"/>
  <c r="L56" i="1" s="1"/>
  <c r="V10" i="1"/>
  <c r="R10" i="1"/>
  <c r="W10" i="1" s="1"/>
  <c r="V9" i="1"/>
  <c r="R9" i="1"/>
  <c r="W9" i="1" s="1"/>
  <c r="U25" i="1"/>
  <c r="W25" i="1" s="1"/>
  <c r="V25" i="1"/>
  <c r="R7" i="1"/>
  <c r="V7" i="1"/>
  <c r="F11" i="1"/>
  <c r="Q11" i="1"/>
  <c r="V27" i="1"/>
  <c r="U29" i="1"/>
  <c r="V29" i="1"/>
  <c r="V20" i="1"/>
  <c r="R20" i="1"/>
  <c r="W20" i="1" s="1"/>
  <c r="W21" i="1"/>
  <c r="S28" i="1"/>
  <c r="T28" i="1" s="1"/>
  <c r="U28" i="1" s="1"/>
  <c r="R8" i="1"/>
  <c r="W8" i="1" s="1"/>
  <c r="K12" i="1"/>
  <c r="R14" i="1"/>
  <c r="W14" i="1" s="1"/>
  <c r="V15" i="1"/>
  <c r="R15" i="1"/>
  <c r="W15" i="1" s="1"/>
  <c r="K21" i="1"/>
  <c r="R24" i="1"/>
  <c r="R27" i="1"/>
  <c r="W27" i="1" s="1"/>
  <c r="S30" i="1"/>
  <c r="T30" i="1" s="1"/>
  <c r="U30" i="1" s="1"/>
  <c r="V31" i="1"/>
  <c r="V33" i="1"/>
  <c r="R33" i="1"/>
  <c r="W33" i="1" s="1"/>
  <c r="R34" i="1"/>
  <c r="W34" i="1" s="1"/>
  <c r="R35" i="1"/>
  <c r="W35" i="1" s="1"/>
  <c r="V36" i="1"/>
  <c r="R36" i="1"/>
  <c r="W36" i="1" s="1"/>
  <c r="R37" i="1"/>
  <c r="W37" i="1" s="1"/>
  <c r="V42" i="1"/>
  <c r="W44" i="1"/>
  <c r="V48" i="1"/>
  <c r="V17" i="1"/>
  <c r="V18" i="1"/>
  <c r="R26" i="1"/>
  <c r="W29" i="1"/>
  <c r="V41" i="1"/>
  <c r="R41" i="1"/>
  <c r="W41" i="1" s="1"/>
  <c r="J47" i="1"/>
  <c r="L47" i="1" s="1"/>
  <c r="K47" i="1"/>
  <c r="V53" i="1"/>
  <c r="R53" i="1"/>
  <c r="W53" i="1" s="1"/>
  <c r="V60" i="1"/>
  <c r="R60" i="1"/>
  <c r="W60" i="1" s="1"/>
  <c r="V63" i="1"/>
  <c r="R63" i="1"/>
  <c r="W63" i="1" s="1"/>
  <c r="V65" i="1"/>
  <c r="R65" i="1"/>
  <c r="W65" i="1" s="1"/>
  <c r="V19" i="1"/>
  <c r="R19" i="1"/>
  <c r="W19" i="1" s="1"/>
  <c r="S24" i="1"/>
  <c r="T24" i="1" s="1"/>
  <c r="U24" i="1" s="1"/>
  <c r="V38" i="1"/>
  <c r="V40" i="1"/>
  <c r="V44" i="1"/>
  <c r="V45" i="1"/>
  <c r="R45" i="1"/>
  <c r="L16" i="1"/>
  <c r="V16" i="1"/>
  <c r="R16" i="1"/>
  <c r="W16" i="1" s="1"/>
  <c r="V22" i="1"/>
  <c r="R22" i="1"/>
  <c r="W22" i="1" s="1"/>
  <c r="S26" i="1"/>
  <c r="T26" i="1" s="1"/>
  <c r="U26" i="1" s="1"/>
  <c r="R28" i="1"/>
  <c r="W28" i="1" s="1"/>
  <c r="V32" i="1"/>
  <c r="R32" i="1"/>
  <c r="W32" i="1" s="1"/>
  <c r="V39" i="1"/>
  <c r="R39" i="1"/>
  <c r="W39" i="1" s="1"/>
  <c r="K42" i="1"/>
  <c r="T46" i="1"/>
  <c r="U46" i="1" s="1"/>
  <c r="V49" i="1"/>
  <c r="V30" i="1"/>
  <c r="R30" i="1"/>
  <c r="W30" i="1" s="1"/>
  <c r="N46" i="1"/>
  <c r="O46" i="1" s="1"/>
  <c r="F46" i="1"/>
  <c r="Q46" i="1"/>
  <c r="S45" i="1"/>
  <c r="T45" i="1" s="1"/>
  <c r="U45" i="1" s="1"/>
  <c r="K49" i="1"/>
  <c r="V51" i="1"/>
  <c r="R51" i="1"/>
  <c r="W51" i="1" s="1"/>
  <c r="V57" i="1"/>
  <c r="V59" i="1"/>
  <c r="V62" i="1"/>
  <c r="R62" i="1"/>
  <c r="W62" i="1" s="1"/>
  <c r="K64" i="1"/>
  <c r="J64" i="1"/>
  <c r="L64" i="1" s="1"/>
  <c r="V66" i="1"/>
  <c r="V68" i="1"/>
  <c r="R68" i="1"/>
  <c r="W68" i="1" s="1"/>
  <c r="K16" i="1"/>
  <c r="V43" i="1"/>
  <c r="R43" i="1"/>
  <c r="W43" i="1" s="1"/>
  <c r="V50" i="1"/>
  <c r="V58" i="1"/>
  <c r="R58" i="1"/>
  <c r="W58" i="1" s="1"/>
  <c r="V61" i="1"/>
  <c r="R61" i="1"/>
  <c r="W61" i="1" s="1"/>
  <c r="W48" i="1"/>
  <c r="W49" i="1"/>
  <c r="V52" i="1"/>
  <c r="R52" i="1"/>
  <c r="W52" i="1" s="1"/>
  <c r="V55" i="1"/>
  <c r="R55" i="1"/>
  <c r="W55" i="1" s="1"/>
  <c r="V67" i="1"/>
  <c r="R67" i="1"/>
  <c r="W67" i="1" s="1"/>
  <c r="S64" i="1"/>
  <c r="T64" i="1" s="1"/>
  <c r="U64" i="1" s="1"/>
  <c r="K68" i="1"/>
  <c r="R54" i="1"/>
  <c r="W54" i="1" s="1"/>
  <c r="G55" i="1"/>
  <c r="L55" i="1" s="1"/>
  <c r="R57" i="1"/>
  <c r="W57" i="1" s="1"/>
  <c r="J61" i="1"/>
  <c r="L61" i="1" s="1"/>
  <c r="J63" i="1"/>
  <c r="L63" i="1" s="1"/>
  <c r="I66" i="1"/>
  <c r="R66" i="1"/>
  <c r="W66" i="1" s="1"/>
  <c r="G67" i="1"/>
  <c r="L67" i="1" s="1"/>
  <c r="R69" i="1"/>
  <c r="W69" i="1" s="1"/>
  <c r="R50" i="1"/>
  <c r="W50" i="1" s="1"/>
  <c r="R56" i="1"/>
  <c r="W56" i="1" s="1"/>
  <c r="R59" i="1"/>
  <c r="W59" i="1" s="1"/>
  <c r="R64" i="1"/>
  <c r="W64" i="1" s="1"/>
  <c r="R70" i="1"/>
  <c r="W70" i="1" s="1"/>
  <c r="N11" i="1" l="1"/>
  <c r="O11" i="1" s="1"/>
  <c r="O71" i="1" s="1"/>
  <c r="G10" i="1"/>
  <c r="L10" i="1" s="1"/>
  <c r="K10" i="1"/>
  <c r="J65" i="1"/>
  <c r="L65" i="1" s="1"/>
  <c r="K65" i="1"/>
  <c r="V47" i="1"/>
  <c r="R47" i="1"/>
  <c r="W47" i="1" s="1"/>
  <c r="V12" i="1"/>
  <c r="K7" i="1"/>
  <c r="I71" i="1"/>
  <c r="F71" i="1"/>
  <c r="V28" i="1"/>
  <c r="U71" i="1"/>
  <c r="W45" i="1"/>
  <c r="W24" i="1"/>
  <c r="V24" i="1"/>
  <c r="V11" i="1"/>
  <c r="R11" i="1"/>
  <c r="W11" i="1" s="1"/>
  <c r="V64" i="1"/>
  <c r="V46" i="1"/>
  <c r="R46" i="1"/>
  <c r="W46" i="1" s="1"/>
  <c r="W26" i="1"/>
  <c r="K11" i="1"/>
  <c r="K71" i="1" s="1"/>
  <c r="G11" i="1"/>
  <c r="W7" i="1"/>
  <c r="K66" i="1"/>
  <c r="J66" i="1"/>
  <c r="L66" i="1" s="1"/>
  <c r="K46" i="1"/>
  <c r="G46" i="1"/>
  <c r="L46" i="1" s="1"/>
  <c r="T71" i="1"/>
  <c r="V26" i="1"/>
  <c r="Q71" i="1"/>
  <c r="V71" i="1" l="1"/>
  <c r="W71" i="1"/>
  <c r="R71" i="1"/>
  <c r="L11" i="1"/>
  <c r="L71" i="1" s="1"/>
  <c r="G71" i="1"/>
  <c r="R74" i="1" s="1"/>
  <c r="J71" i="1"/>
  <c r="U74" i="1" s="1"/>
  <c r="W74" i="1" l="1"/>
  <c r="O72" i="1"/>
</calcChain>
</file>

<file path=xl/sharedStrings.xml><?xml version="1.0" encoding="utf-8"?>
<sst xmlns="http://schemas.openxmlformats.org/spreadsheetml/2006/main" count="257" uniqueCount="120">
  <si>
    <t>№ п/п</t>
  </si>
  <si>
    <t>Наименование материалов</t>
  </si>
  <si>
    <t>Ед.изм</t>
  </si>
  <si>
    <t>Кол-во</t>
  </si>
  <si>
    <t>ООО "ЭлектроЭнергетика"</t>
  </si>
  <si>
    <t>Собственные материалы</t>
  </si>
  <si>
    <t>Ксмр</t>
  </si>
  <si>
    <t>Кмтр</t>
  </si>
  <si>
    <t>- материалы, кот. покупает Шеллрокк</t>
  </si>
  <si>
    <t>ООО КиКГКОСТРОЙ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</si>
  <si>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</si>
  <si>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</si>
  <si>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</si>
  <si>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</si>
  <si>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</si>
  <si>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</si>
  <si>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</si>
  <si>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</si>
  <si>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Демонтажные работы</t>
  </si>
  <si>
    <t>1</t>
  </si>
  <si>
    <t>Очистка  межпутья, откосов и выемок жд. путей от мусора, бетонного боя, грунта и пр.</t>
  </si>
  <si>
    <t>м3</t>
  </si>
  <si>
    <t>Демонтаж рельсошпальной решётки элементами</t>
  </si>
  <si>
    <t>м</t>
  </si>
  <si>
    <t>Разборка автомобильного переезда №27 из деревянных шпал через 1 путь</t>
  </si>
  <si>
    <t>шт</t>
  </si>
  <si>
    <t>Выемка щебня и загрезнённого грунта основания пути 1 (0,55 м * 4 м)</t>
  </si>
  <si>
    <t>Погрузка, вывоз и утилизация загрезнённого щебня, грунта, мусора</t>
  </si>
  <si>
    <t>т</t>
  </si>
  <si>
    <t>Погрузка и перевозка балансодержателю демонтированных элементов (шпалы, рельсы, скрепления, болты)</t>
  </si>
  <si>
    <t xml:space="preserve">Реконструкция пути 3 </t>
  </si>
  <si>
    <t>Уплотнение основания выемки катками послойное (прохождение по одному следу 4-5 раз)</t>
  </si>
  <si>
    <t>м2</t>
  </si>
  <si>
    <t>Устройство прослойки из геотекстиля</t>
  </si>
  <si>
    <t>2.1</t>
  </si>
  <si>
    <t>Геотекстиль</t>
  </si>
  <si>
    <t>Устройство песчаного основания с уплотнением катками</t>
  </si>
  <si>
    <t>3.1</t>
  </si>
  <si>
    <t>Песок</t>
  </si>
  <si>
    <t xml:space="preserve">Устройство балластного основания из щебня h=0,35м </t>
  </si>
  <si>
    <t>4.1</t>
  </si>
  <si>
    <t>Щебень балластный кат.2</t>
  </si>
  <si>
    <t>Уплотнение основания балластного послойно (два слоя)</t>
  </si>
  <si>
    <t>Укладка рельсошпальной решётки отдельными элементами с эпюрой шпал 1840 шт/км, длинна рельса 12,5 м.</t>
  </si>
  <si>
    <t>6.1</t>
  </si>
  <si>
    <t>Рельс Р65, L-12,5 м.</t>
  </si>
  <si>
    <t>6.2</t>
  </si>
  <si>
    <t>Шпала железобетонная, Ш1</t>
  </si>
  <si>
    <t>6.3</t>
  </si>
  <si>
    <t>Накладка стыковая 1Р-65</t>
  </si>
  <si>
    <t>6.4</t>
  </si>
  <si>
    <t>Болт стыковой М27х160 в сборе</t>
  </si>
  <si>
    <t>6.5</t>
  </si>
  <si>
    <t>Подкладка КБ-65</t>
  </si>
  <si>
    <t>6.6</t>
  </si>
  <si>
    <t>Прокладка ЦП-143</t>
  </si>
  <si>
    <t>6.7</t>
  </si>
  <si>
    <t>Прокладка ЦП-328</t>
  </si>
  <si>
    <t>6.8</t>
  </si>
  <si>
    <t>Болт закладной М22х175 в сборе</t>
  </si>
  <si>
    <t>6.9</t>
  </si>
  <si>
    <t>Болт клеммный М22х75 в сборе</t>
  </si>
  <si>
    <t>Балластировка путей</t>
  </si>
  <si>
    <t>7.1</t>
  </si>
  <si>
    <t>Выправка пути</t>
  </si>
  <si>
    <t>Рихтовка пути</t>
  </si>
  <si>
    <t>Послеосадочный ремонт ж.д. пути</t>
  </si>
  <si>
    <t>Устройство переезда 27 через 1 путь (6,5 м)</t>
  </si>
  <si>
    <t>Укладка плиты внутренней резинокордового покрытия</t>
  </si>
  <si>
    <t>шт.</t>
  </si>
  <si>
    <t>Укладка плиты наружней резинокордового покрытия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</si>
  <si>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</si>
  <si>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</si>
  <si>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14.1</t>
  </si>
  <si>
    <t>Резинокордовое покрытие</t>
  </si>
  <si>
    <t>компл.</t>
  </si>
  <si>
    <t>14.2</t>
  </si>
  <si>
    <t>Балка прижимная Аl.БПР-3 (3000х400х400)</t>
  </si>
  <si>
    <t>14.3</t>
  </si>
  <si>
    <t>Балка прижимная A1 .БПР-4 (4000х400х400)</t>
  </si>
  <si>
    <t>Баластировка, выправка путей (6,5м)</t>
  </si>
  <si>
    <t>14.4</t>
  </si>
  <si>
    <t>Устройство стрелочных переводов СП № 24 м СП №35</t>
  </si>
  <si>
    <t>16</t>
  </si>
  <si>
    <t>Устройство выемки под основание стрелочных переводов (1/9 на жб брусе, СП35)</t>
  </si>
  <si>
    <t>Уплотнение основания основания выемки катками</t>
  </si>
  <si>
    <t>18.1</t>
  </si>
  <si>
    <t>19.1</t>
  </si>
  <si>
    <t>Уплотнение основания балластного  послойно (два слоя)</t>
  </si>
  <si>
    <t>Монтаж и сборка стрелочного перевода (56,979 т)</t>
  </si>
  <si>
    <t>21.1</t>
  </si>
  <si>
    <t>Стрелочный перевод 1/9 с комплектом скрепления</t>
  </si>
  <si>
    <t>21.2</t>
  </si>
  <si>
    <t>Koмплeкт бpуca жeлeзoбeтoннoгo для cтpeлoчнoгo пepeвoдa P65 1/9</t>
  </si>
  <si>
    <t>Монтаж бруса деревянного под переводные механизмы</t>
  </si>
  <si>
    <t>Монтаж переводного механизма (флюгарки)</t>
  </si>
  <si>
    <t>23.1</t>
  </si>
  <si>
    <t>Переводной механизм ручной (флюгарка)</t>
  </si>
  <si>
    <t>23.2</t>
  </si>
  <si>
    <t xml:space="preserve">Запорная закладка с проушинами </t>
  </si>
  <si>
    <t>23.3</t>
  </si>
  <si>
    <t>Закладка стрелочная</t>
  </si>
  <si>
    <t>23.4</t>
  </si>
  <si>
    <t>Лак битумный БТ-577 (Кузбасслак)</t>
  </si>
  <si>
    <t>л</t>
  </si>
  <si>
    <t>23.5</t>
  </si>
  <si>
    <t>Эмаль ПФ-115 белая</t>
  </si>
  <si>
    <t>кг</t>
  </si>
  <si>
    <t>23.6</t>
  </si>
  <si>
    <t>Эмаль ПФ-115 черная</t>
  </si>
  <si>
    <t>Балластировка  стрелочного перевода</t>
  </si>
  <si>
    <t>24.1</t>
  </si>
  <si>
    <t>Выправка и рихтовка стрелочного перевода</t>
  </si>
  <si>
    <t>25.1</t>
  </si>
  <si>
    <t>Итого</t>
  </si>
  <si>
    <t>Итого себестоимость с НДС</t>
  </si>
  <si>
    <t>Рентабельность СМР</t>
  </si>
  <si>
    <t>Рентабельность МТР</t>
  </si>
  <si>
    <t>Рентабельность</t>
  </si>
  <si>
    <t>Стрелоные переводы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</si>
</sst>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\ ##0.00"/>
    <numFmt numFmtId="165" formatCode="_-* #,##0_-;\-* #,##0_-;_-* &quot;-&quot;??_-;_-@_-"/>
    <numFmt numFmtId="166" formatCode="_-* #\ ##0.00_-;\-* #\ ##0.00_-;_-* &quot;-&quot;??_-;_-@_-"/>
    <numFmt numFmtId="167" formatCode="_-* #,##0.00\ _₽_-;\-* #,##0.00\ _₽_-;_-* &quot;-&quot;??\ _₽_-;_-@_-"/>
    <numFmt numFmtId="168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1" fillId="3" borderId="0" xfId="3" applyFill="1"/>
    <xf numFmtId="2" fontId="1" fillId="4" borderId="0" xfId="3" applyNumberFormat="1" applyFill="1"/>
    <xf numFmtId="2" fontId="1" fillId="3" borderId="0" xfId="3" applyNumberFormat="1" applyFill="1"/>
    <xf numFmtId="0" fontId="1" fillId="0" borderId="0" xfId="1"/>
    <xf numFmtId="0" fontId="1" fillId="3" borderId="3" xfId="1" applyFill="1" applyBorder="1"/>
    <xf numFmtId="0" fontId="1" fillId="0" borderId="0" xfId="1" quotePrefix="1"/>
    <xf numFmtId="4" fontId="3" fillId="0" borderId="3" xfId="1" applyNumberFormat="1" applyFont="1" applyBorder="1" applyAlignment="1">
      <alignment horizontal="center" vertical="center" wrapText="1"/>
    </xf>
    <xf numFmtId="165" fontId="4" fillId="0" borderId="3" xfId="4" applyNumberFormat="1" applyFont="1" applyBorder="1" applyAlignment="1">
      <alignment vertical="center"/>
    </xf>
    <xf numFmtId="164" fontId="3" fillId="2" borderId="21" xfId="2" applyNumberFormat="1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4" fontId="4" fillId="2" borderId="22" xfId="5" applyNumberFormat="1" applyFont="1" applyFill="1" applyBorder="1" applyAlignment="1">
      <alignment horizontal="center" vertical="center" wrapText="1"/>
    </xf>
    <xf numFmtId="164" fontId="3" fillId="3" borderId="14" xfId="3" applyNumberFormat="1" applyFont="1" applyFill="1" applyBorder="1" applyAlignment="1">
      <alignment horizontal="center" vertical="center" wrapText="1"/>
    </xf>
    <xf numFmtId="4" fontId="3" fillId="3" borderId="14" xfId="3" applyNumberFormat="1" applyFont="1" applyFill="1" applyBorder="1" applyAlignment="1">
      <alignment horizontal="center" vertical="center" wrapText="1"/>
    </xf>
    <xf numFmtId="4" fontId="4" fillId="3" borderId="14" xfId="5" applyNumberFormat="1" applyFont="1" applyFill="1" applyBorder="1" applyAlignment="1">
      <alignment horizontal="center" vertical="center" wrapText="1"/>
    </xf>
    <xf numFmtId="164" fontId="3" fillId="3" borderId="18" xfId="3" applyNumberFormat="1" applyFont="1" applyFill="1" applyBorder="1" applyAlignment="1">
      <alignment horizontal="center" vertical="center" wrapText="1"/>
    </xf>
    <xf numFmtId="4" fontId="4" fillId="3" borderId="15" xfId="5" applyNumberFormat="1" applyFont="1" applyFill="1" applyBorder="1" applyAlignment="1">
      <alignment horizontal="center" vertical="center" wrapText="1"/>
    </xf>
    <xf numFmtId="4" fontId="3" fillId="3" borderId="15" xfId="3" applyNumberFormat="1" applyFont="1" applyFill="1" applyBorder="1" applyAlignment="1">
      <alignment horizontal="center" vertical="center" wrapText="1"/>
    </xf>
    <xf numFmtId="1" fontId="3" fillId="0" borderId="1" xfId="6" applyNumberFormat="1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3" fontId="3" fillId="0" borderId="1" xfId="6" applyNumberFormat="1" applyFont="1" applyBorder="1" applyAlignment="1">
      <alignment horizontal="center" vertical="center"/>
    </xf>
    <xf numFmtId="0" fontId="3" fillId="0" borderId="8" xfId="6" applyFont="1" applyBorder="1" applyAlignment="1">
      <alignment horizontal="center" vertical="center"/>
    </xf>
    <xf numFmtId="0" fontId="3" fillId="0" borderId="23" xfId="6" applyFont="1" applyBorder="1" applyAlignment="1">
      <alignment horizontal="center" vertical="center"/>
    </xf>
    <xf numFmtId="3" fontId="3" fillId="0" borderId="8" xfId="6" applyNumberFormat="1" applyFont="1" applyBorder="1" applyAlignment="1">
      <alignment horizontal="center" vertical="center"/>
    </xf>
    <xf numFmtId="3" fontId="3" fillId="0" borderId="24" xfId="6" applyNumberFormat="1" applyFont="1" applyBorder="1" applyAlignment="1">
      <alignment horizontal="center" vertical="center"/>
    </xf>
    <xf numFmtId="3" fontId="3" fillId="0" borderId="0" xfId="6" applyNumberFormat="1" applyFont="1" applyAlignment="1">
      <alignment horizontal="center" vertical="center"/>
    </xf>
    <xf numFmtId="3" fontId="3" fillId="0" borderId="4" xfId="6" applyNumberFormat="1" applyFont="1" applyBorder="1" applyAlignment="1">
      <alignment horizontal="center" vertical="center"/>
    </xf>
    <xf numFmtId="3" fontId="3" fillId="0" borderId="9" xfId="6" applyNumberFormat="1" applyFont="1" applyBorder="1" applyAlignment="1">
      <alignment horizontal="center" vertical="center"/>
    </xf>
    <xf numFmtId="1" fontId="3" fillId="5" borderId="18" xfId="6" applyNumberFormat="1" applyFont="1" applyFill="1" applyBorder="1" applyAlignment="1">
      <alignment vertical="center"/>
    </xf>
    <xf numFmtId="1" fontId="3" fillId="5" borderId="14" xfId="6" applyNumberFormat="1" applyFont="1" applyFill="1" applyBorder="1" applyAlignment="1">
      <alignment vertical="center"/>
    </xf>
    <xf numFmtId="1" fontId="3" fillId="5" borderId="21" xfId="6" applyNumberFormat="1" applyFont="1" applyFill="1" applyBorder="1" applyAlignment="1">
      <alignment vertical="center"/>
    </xf>
    <xf numFmtId="1" fontId="3" fillId="5" borderId="15" xfId="6" applyNumberFormat="1" applyFont="1" applyFill="1" applyBorder="1" applyAlignment="1">
      <alignment vertical="center"/>
    </xf>
    <xf numFmtId="1" fontId="3" fillId="5" borderId="25" xfId="6" applyNumberFormat="1" applyFont="1" applyFill="1" applyBorder="1" applyAlignment="1">
      <alignment vertical="center"/>
    </xf>
    <xf numFmtId="49" fontId="6" fillId="6" borderId="3" xfId="1" applyNumberFormat="1" applyFont="1" applyFill="1" applyBorder="1" applyAlignment="1">
      <alignment horizontal="center" vertical="center" wrapText="1"/>
    </xf>
    <xf numFmtId="0" fontId="6" fillId="0" borderId="3" xfId="7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3" fontId="6" fillId="0" borderId="3" xfId="4" applyFont="1" applyFill="1" applyBorder="1" applyAlignment="1">
      <alignment horizontal="center" vertical="center"/>
    </xf>
    <xf numFmtId="43" fontId="7" fillId="0" borderId="3" xfId="4" applyFont="1" applyBorder="1" applyAlignment="1">
      <alignment vertical="center"/>
    </xf>
    <xf numFmtId="43" fontId="8" fillId="0" borderId="3" xfId="4" applyFont="1" applyFill="1" applyBorder="1" applyAlignment="1">
      <alignment horizontal="center" vertical="center" wrapText="1"/>
    </xf>
    <xf numFmtId="43" fontId="7" fillId="6" borderId="3" xfId="4" applyFont="1" applyFill="1" applyBorder="1" applyAlignment="1">
      <alignment vertical="center"/>
    </xf>
    <xf numFmtId="43" fontId="7" fillId="6" borderId="3" xfId="4" applyFont="1" applyFill="1" applyBorder="1" applyAlignment="1">
      <alignment horizontal="center" vertical="center" wrapText="1"/>
    </xf>
    <xf numFmtId="43" fontId="7" fillId="0" borderId="18" xfId="4" applyFont="1" applyBorder="1" applyAlignment="1">
      <alignment vertical="center"/>
    </xf>
    <xf numFmtId="43" fontId="7" fillId="0" borderId="21" xfId="4" applyFont="1" applyBorder="1" applyAlignment="1">
      <alignment vertical="center"/>
    </xf>
    <xf numFmtId="43" fontId="7" fillId="0" borderId="22" xfId="4" applyFont="1" applyBorder="1" applyAlignment="1">
      <alignment vertical="center"/>
    </xf>
    <xf numFmtId="43" fontId="7" fillId="0" borderId="15" xfId="4" applyFont="1" applyBorder="1" applyAlignment="1">
      <alignment vertical="center"/>
    </xf>
    <xf numFmtId="167" fontId="1" fillId="0" borderId="0" xfId="1" applyNumberFormat="1"/>
    <xf numFmtId="3" fontId="6" fillId="0" borderId="3" xfId="0" applyNumberFormat="1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1" fontId="3" fillId="5" borderId="10" xfId="6" applyNumberFormat="1" applyFont="1" applyFill="1" applyBorder="1" applyAlignment="1">
      <alignment vertical="center"/>
    </xf>
    <xf numFmtId="1" fontId="3" fillId="5" borderId="11" xfId="6" applyNumberFormat="1" applyFont="1" applyFill="1" applyBorder="1" applyAlignment="1">
      <alignment vertical="center"/>
    </xf>
    <xf numFmtId="1" fontId="3" fillId="5" borderId="26" xfId="6" applyNumberFormat="1" applyFont="1" applyFill="1" applyBorder="1" applyAlignment="1">
      <alignment vertical="center"/>
    </xf>
    <xf numFmtId="1" fontId="3" fillId="5" borderId="20" xfId="6" applyNumberFormat="1" applyFont="1" applyFill="1" applyBorder="1" applyAlignment="1">
      <alignment vertical="center"/>
    </xf>
    <xf numFmtId="1" fontId="3" fillId="5" borderId="17" xfId="6" applyNumberFormat="1" applyFont="1" applyFill="1" applyBorder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 wrapText="1"/>
    </xf>
    <xf numFmtId="49" fontId="6" fillId="7" borderId="3" xfId="1" applyNumberFormat="1" applyFont="1" applyFill="1" applyBorder="1" applyAlignment="1">
      <alignment horizontal="center" vertical="center" wrapText="1"/>
    </xf>
    <xf numFmtId="0" fontId="6" fillId="7" borderId="3" xfId="7" applyFont="1" applyFill="1" applyBorder="1" applyAlignment="1">
      <alignment horizontal="left" vertical="center" wrapText="1"/>
    </xf>
    <xf numFmtId="0" fontId="6" fillId="7" borderId="3" xfId="1" applyFont="1" applyFill="1" applyBorder="1" applyAlignment="1">
      <alignment horizontal="center" vertical="center" wrapText="1"/>
    </xf>
    <xf numFmtId="4" fontId="6" fillId="7" borderId="3" xfId="4" applyNumberFormat="1" applyFont="1" applyFill="1" applyBorder="1" applyAlignment="1">
      <alignment horizontal="center" vertical="center"/>
    </xf>
    <xf numFmtId="43" fontId="7" fillId="7" borderId="3" xfId="4" applyFont="1" applyFill="1" applyBorder="1" applyAlignment="1">
      <alignment vertical="center"/>
    </xf>
    <xf numFmtId="43" fontId="6" fillId="7" borderId="3" xfId="4" applyFont="1" applyFill="1" applyBorder="1" applyAlignment="1">
      <alignment horizontal="center" vertical="center" wrapText="1"/>
    </xf>
    <xf numFmtId="43" fontId="7" fillId="7" borderId="3" xfId="4" applyFont="1" applyFill="1" applyBorder="1" applyAlignment="1">
      <alignment horizontal="center" vertical="center" wrapText="1"/>
    </xf>
    <xf numFmtId="43" fontId="7" fillId="7" borderId="18" xfId="4" applyFont="1" applyFill="1" applyBorder="1" applyAlignment="1">
      <alignment vertical="center"/>
    </xf>
    <xf numFmtId="43" fontId="7" fillId="7" borderId="21" xfId="4" applyFont="1" applyFill="1" applyBorder="1" applyAlignment="1">
      <alignment vertical="center"/>
    </xf>
    <xf numFmtId="43" fontId="7" fillId="7" borderId="22" xfId="4" applyFont="1" applyFill="1" applyBorder="1" applyAlignment="1">
      <alignment vertical="center"/>
    </xf>
    <xf numFmtId="43" fontId="7" fillId="7" borderId="15" xfId="4" applyFont="1" applyFill="1" applyBorder="1" applyAlignment="1">
      <alignment vertical="center"/>
    </xf>
    <xf numFmtId="0" fontId="7" fillId="7" borderId="3" xfId="1" applyFont="1" applyFill="1" applyBorder="1" applyAlignment="1">
      <alignment horizontal="center" vertical="center"/>
    </xf>
    <xf numFmtId="43" fontId="6" fillId="0" borderId="3" xfId="4" applyFont="1" applyFill="1" applyBorder="1" applyAlignment="1">
      <alignment horizontal="center" vertical="center" wrapText="1"/>
    </xf>
    <xf numFmtId="0" fontId="7" fillId="7" borderId="3" xfId="1" applyFont="1" applyFill="1" applyBorder="1" applyAlignment="1">
      <alignment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0" fontId="6" fillId="3" borderId="3" xfId="7" applyFont="1" applyFill="1" applyBorder="1" applyAlignment="1">
      <alignment horizontal="left" vertical="center" wrapText="1"/>
    </xf>
    <xf numFmtId="0" fontId="6" fillId="3" borderId="3" xfId="1" applyFont="1" applyFill="1" applyBorder="1" applyAlignment="1">
      <alignment horizontal="center" vertical="center" wrapText="1"/>
    </xf>
    <xf numFmtId="4" fontId="6" fillId="3" borderId="3" xfId="1" applyNumberFormat="1" applyFont="1" applyFill="1" applyBorder="1" applyAlignment="1">
      <alignment horizontal="center" vertical="center" wrapText="1"/>
    </xf>
    <xf numFmtId="43" fontId="6" fillId="3" borderId="3" xfId="4" applyFont="1" applyFill="1" applyBorder="1" applyAlignment="1">
      <alignment horizontal="center" vertical="center"/>
    </xf>
    <xf numFmtId="43" fontId="7" fillId="3" borderId="3" xfId="4" applyFont="1" applyFill="1" applyBorder="1" applyAlignment="1">
      <alignment vertical="center"/>
    </xf>
    <xf numFmtId="43" fontId="8" fillId="3" borderId="3" xfId="4" applyFont="1" applyFill="1" applyBorder="1" applyAlignment="1">
      <alignment horizontal="center" vertical="center" wrapText="1"/>
    </xf>
    <xf numFmtId="43" fontId="7" fillId="3" borderId="3" xfId="4" applyFont="1" applyFill="1" applyBorder="1" applyAlignment="1">
      <alignment horizontal="center" vertical="center" wrapText="1"/>
    </xf>
    <xf numFmtId="43" fontId="7" fillId="3" borderId="18" xfId="4" applyFont="1" applyFill="1" applyBorder="1" applyAlignment="1">
      <alignment vertical="center"/>
    </xf>
    <xf numFmtId="43" fontId="7" fillId="3" borderId="21" xfId="4" applyFont="1" applyFill="1" applyBorder="1" applyAlignment="1">
      <alignment vertical="center"/>
    </xf>
    <xf numFmtId="43" fontId="7" fillId="3" borderId="22" xfId="4" applyFont="1" applyFill="1" applyBorder="1" applyAlignment="1">
      <alignment vertical="center"/>
    </xf>
    <xf numFmtId="43" fontId="7" fillId="3" borderId="15" xfId="4" applyFont="1" applyFill="1" applyBorder="1" applyAlignment="1">
      <alignment vertical="center"/>
    </xf>
    <xf numFmtId="4" fontId="6" fillId="6" borderId="3" xfId="4" applyNumberFormat="1" applyFont="1" applyFill="1" applyBorder="1" applyAlignment="1">
      <alignment horizontal="center" vertical="center"/>
    </xf>
    <xf numFmtId="0" fontId="6" fillId="7" borderId="3" xfId="1" applyFont="1" applyFill="1" applyBorder="1" applyAlignment="1">
      <alignment vertical="center" wrapText="1"/>
    </xf>
    <xf numFmtId="43" fontId="8" fillId="0" borderId="1" xfId="4" applyFont="1" applyFill="1" applyBorder="1" applyAlignment="1">
      <alignment horizontal="center" vertical="center" wrapText="1"/>
    </xf>
    <xf numFmtId="49" fontId="6" fillId="8" borderId="3" xfId="1" applyNumberFormat="1" applyFont="1" applyFill="1" applyBorder="1" applyAlignment="1">
      <alignment horizontal="center" vertical="center" wrapText="1"/>
    </xf>
    <xf numFmtId="43" fontId="6" fillId="8" borderId="3" xfId="4" applyFont="1" applyFill="1" applyBorder="1" applyAlignment="1">
      <alignment horizontal="center" vertical="center"/>
    </xf>
    <xf numFmtId="43" fontId="7" fillId="8" borderId="3" xfId="4" applyFont="1" applyFill="1" applyBorder="1" applyAlignment="1">
      <alignment vertical="center"/>
    </xf>
    <xf numFmtId="43" fontId="8" fillId="8" borderId="3" xfId="4" applyFont="1" applyFill="1" applyBorder="1" applyAlignment="1">
      <alignment horizontal="center" vertical="center" wrapText="1"/>
    </xf>
    <xf numFmtId="43" fontId="7" fillId="8" borderId="3" xfId="4" applyFont="1" applyFill="1" applyBorder="1" applyAlignment="1">
      <alignment horizontal="center" vertical="center" wrapText="1"/>
    </xf>
    <xf numFmtId="43" fontId="7" fillId="8" borderId="18" xfId="4" applyFont="1" applyFill="1" applyBorder="1" applyAlignment="1">
      <alignment vertical="center"/>
    </xf>
    <xf numFmtId="43" fontId="7" fillId="8" borderId="21" xfId="4" applyFont="1" applyFill="1" applyBorder="1" applyAlignment="1">
      <alignment vertical="center"/>
    </xf>
    <xf numFmtId="43" fontId="7" fillId="8" borderId="22" xfId="4" applyFont="1" applyFill="1" applyBorder="1" applyAlignment="1">
      <alignment vertical="center"/>
    </xf>
    <xf numFmtId="43" fontId="7" fillId="8" borderId="15" xfId="4" applyFont="1" applyFill="1" applyBorder="1" applyAlignment="1">
      <alignment vertical="center"/>
    </xf>
    <xf numFmtId="0" fontId="6" fillId="0" borderId="3" xfId="7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0" fontId="7" fillId="3" borderId="3" xfId="1" applyFont="1" applyFill="1" applyBorder="1" applyAlignment="1">
      <alignment vertical="center" wrapText="1"/>
    </xf>
    <xf numFmtId="0" fontId="7" fillId="3" borderId="3" xfId="1" applyFont="1" applyFill="1" applyBorder="1" applyAlignment="1">
      <alignment horizontal="center" vertical="center"/>
    </xf>
    <xf numFmtId="3" fontId="6" fillId="3" borderId="3" xfId="4" applyNumberFormat="1" applyFont="1" applyFill="1" applyBorder="1" applyAlignment="1">
      <alignment horizontal="center" vertical="center"/>
    </xf>
    <xf numFmtId="43" fontId="6" fillId="3" borderId="3" xfId="4" applyFont="1" applyFill="1" applyBorder="1" applyAlignment="1">
      <alignment vertical="center"/>
    </xf>
    <xf numFmtId="167" fontId="1" fillId="3" borderId="0" xfId="1" applyNumberFormat="1" applyFill="1"/>
    <xf numFmtId="0" fontId="1" fillId="3" borderId="0" xfId="1" applyFill="1"/>
    <xf numFmtId="0" fontId="7" fillId="9" borderId="3" xfId="1" applyFont="1" applyFill="1" applyBorder="1" applyAlignment="1">
      <alignment vertical="center" wrapText="1"/>
    </xf>
    <xf numFmtId="0" fontId="7" fillId="9" borderId="3" xfId="1" applyFont="1" applyFill="1" applyBorder="1" applyAlignment="1">
      <alignment horizontal="center" vertical="center"/>
    </xf>
    <xf numFmtId="0" fontId="9" fillId="8" borderId="3" xfId="7" applyFont="1" applyFill="1" applyBorder="1" applyAlignment="1">
      <alignment horizontal="left" vertical="center" wrapText="1"/>
    </xf>
    <xf numFmtId="0" fontId="6" fillId="8" borderId="3" xfId="1" applyFont="1" applyFill="1" applyBorder="1" applyAlignment="1">
      <alignment horizontal="center" vertical="center" wrapText="1"/>
    </xf>
    <xf numFmtId="4" fontId="6" fillId="8" borderId="3" xfId="1" applyNumberFormat="1" applyFont="1" applyFill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43" fontId="6" fillId="3" borderId="3" xfId="4" applyFont="1" applyFill="1" applyBorder="1" applyAlignment="1">
      <alignment horizontal="center" vertical="center" wrapText="1"/>
    </xf>
    <xf numFmtId="43" fontId="7" fillId="0" borderId="3" xfId="4" applyFont="1" applyFill="1" applyBorder="1" applyAlignment="1">
      <alignment horizontal="center" vertical="center"/>
    </xf>
    <xf numFmtId="3" fontId="6" fillId="3" borderId="3" xfId="4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7" borderId="3" xfId="4" applyNumberFormat="1" applyFont="1" applyFill="1" applyBorder="1" applyAlignment="1">
      <alignment horizontal="center" vertical="center" wrapText="1"/>
    </xf>
    <xf numFmtId="4" fontId="6" fillId="7" borderId="3" xfId="4" applyNumberFormat="1" applyFont="1" applyFill="1" applyBorder="1" applyAlignment="1">
      <alignment horizontal="center" vertical="center" wrapText="1"/>
    </xf>
    <xf numFmtId="166" fontId="7" fillId="9" borderId="3" xfId="4" applyNumberFormat="1" applyFont="1" applyFill="1" applyBorder="1" applyAlignment="1">
      <alignment vertical="center"/>
    </xf>
    <xf numFmtId="43" fontId="4" fillId="0" borderId="3" xfId="4" applyFont="1" applyBorder="1"/>
    <xf numFmtId="43" fontId="4" fillId="10" borderId="18" xfId="4" applyFont="1" applyFill="1" applyBorder="1"/>
    <xf numFmtId="165" fontId="0" fillId="0" borderId="27" xfId="4" applyNumberFormat="1" applyFont="1" applyBorder="1"/>
    <xf numFmtId="43" fontId="4" fillId="0" borderId="18" xfId="4" applyFont="1" applyBorder="1"/>
    <xf numFmtId="43" fontId="4" fillId="11" borderId="18" xfId="4" applyFont="1" applyFill="1" applyBorder="1"/>
    <xf numFmtId="43" fontId="4" fillId="4" borderId="18" xfId="4" applyFont="1" applyFill="1" applyBorder="1"/>
    <xf numFmtId="43" fontId="4" fillId="0" borderId="28" xfId="4" applyFont="1" applyBorder="1"/>
    <xf numFmtId="43" fontId="4" fillId="11" borderId="22" xfId="4" applyFont="1" applyFill="1" applyBorder="1" applyAlignment="1">
      <alignment horizontal="center" vertical="center"/>
    </xf>
    <xf numFmtId="43" fontId="4" fillId="0" borderId="14" xfId="4" applyFont="1" applyBorder="1"/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5" fontId="0" fillId="0" borderId="0" xfId="4" applyNumberFormat="1" applyFont="1"/>
    <xf numFmtId="0" fontId="2" fillId="0" borderId="0" xfId="1" applyFont="1"/>
    <xf numFmtId="0" fontId="7" fillId="0" borderId="0" xfId="1" applyFont="1"/>
    <xf numFmtId="167" fontId="4" fillId="0" borderId="0" xfId="1" applyNumberFormat="1" applyFont="1" applyAlignment="1">
      <alignment horizontal="center" vertical="center"/>
    </xf>
    <xf numFmtId="0" fontId="2" fillId="11" borderId="18" xfId="2" applyFont="1" applyFill="1" applyBorder="1" applyAlignment="1">
      <alignment horizontal="left" vertical="center" wrapText="1"/>
    </xf>
    <xf numFmtId="9" fontId="2" fillId="0" borderId="14" xfId="8" applyFont="1" applyBorder="1" applyAlignment="1">
      <alignment horizontal="right" vertical="center"/>
    </xf>
    <xf numFmtId="9" fontId="2" fillId="0" borderId="14" xfId="8" applyFont="1" applyBorder="1" applyAlignment="1">
      <alignment horizontal="left" vertical="center"/>
    </xf>
    <xf numFmtId="0" fontId="2" fillId="11" borderId="14" xfId="2" applyFont="1" applyFill="1" applyBorder="1" applyAlignment="1">
      <alignment horizontal="left" vertical="center" wrapText="1"/>
    </xf>
    <xf numFmtId="9" fontId="2" fillId="0" borderId="15" xfId="8" applyFont="1" applyBorder="1" applyAlignment="1">
      <alignment horizontal="right" vertical="center"/>
    </xf>
    <xf numFmtId="0" fontId="9" fillId="8" borderId="18" xfId="7" applyFont="1" applyFill="1" applyBorder="1" applyAlignment="1">
      <alignment horizontal="left" vertical="center" wrapText="1"/>
    </xf>
    <xf numFmtId="0" fontId="9" fillId="8" borderId="14" xfId="7" applyFont="1" applyFill="1" applyBorder="1" applyAlignment="1">
      <alignment horizontal="left" vertical="center" wrapText="1"/>
    </xf>
    <xf numFmtId="0" fontId="9" fillId="8" borderId="15" xfId="7" applyFont="1" applyFill="1" applyBorder="1" applyAlignment="1">
      <alignment horizontal="left" vertical="center" wrapText="1"/>
    </xf>
    <xf numFmtId="0" fontId="3" fillId="0" borderId="18" xfId="7" applyFont="1" applyBorder="1" applyAlignment="1">
      <alignment horizontal="right" vertical="center" wrapText="1"/>
    </xf>
    <xf numFmtId="0" fontId="3" fillId="0" borderId="14" xfId="7" applyFont="1" applyBorder="1" applyAlignment="1">
      <alignment horizontal="right" vertical="center" wrapText="1"/>
    </xf>
    <xf numFmtId="0" fontId="3" fillId="0" borderId="15" xfId="7" applyFont="1" applyBorder="1" applyAlignment="1">
      <alignment horizontal="right" vertical="center" wrapText="1"/>
    </xf>
    <xf numFmtId="0" fontId="2" fillId="3" borderId="14" xfId="3" applyFont="1" applyFill="1" applyBorder="1" applyAlignment="1">
      <alignment horizontal="center"/>
    </xf>
    <xf numFmtId="0" fontId="2" fillId="3" borderId="15" xfId="3" applyFont="1" applyFill="1" applyBorder="1" applyAlignment="1">
      <alignment horizontal="center"/>
    </xf>
    <xf numFmtId="4" fontId="3" fillId="0" borderId="3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64" fontId="3" fillId="3" borderId="14" xfId="3" applyNumberFormat="1" applyFont="1" applyFill="1" applyBorder="1" applyAlignment="1">
      <alignment horizontal="center" vertical="center" wrapText="1"/>
    </xf>
    <xf numFmtId="164" fontId="3" fillId="3" borderId="18" xfId="3" applyNumberFormat="1" applyFont="1" applyFill="1" applyBorder="1" applyAlignment="1">
      <alignment horizontal="center" vertical="center" wrapText="1"/>
    </xf>
    <xf numFmtId="164" fontId="3" fillId="3" borderId="15" xfId="3" applyNumberFormat="1" applyFont="1" applyFill="1" applyBorder="1" applyAlignment="1">
      <alignment horizontal="center" vertical="center" wrapText="1"/>
    </xf>
    <xf numFmtId="4" fontId="4" fillId="3" borderId="14" xfId="3" applyNumberFormat="1" applyFont="1" applyFill="1" applyBorder="1" applyAlignment="1">
      <alignment horizontal="center" vertical="center"/>
    </xf>
    <xf numFmtId="4" fontId="4" fillId="3" borderId="15" xfId="3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4" fontId="3" fillId="0" borderId="20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4" fontId="3" fillId="0" borderId="10" xfId="1" applyNumberFormat="1" applyFont="1" applyBorder="1" applyAlignment="1">
      <alignment horizontal="center" vertical="center" wrapText="1"/>
    </xf>
    <xf numFmtId="4" fontId="3" fillId="0" borderId="11" xfId="1" applyNumberFormat="1" applyFont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 wrapText="1"/>
    </xf>
    <xf numFmtId="164" fontId="3" fillId="2" borderId="6" xfId="2" applyNumberFormat="1" applyFont="1" applyFill="1" applyBorder="1" applyAlignment="1">
      <alignment horizontal="center" vertical="center" wrapText="1"/>
    </xf>
    <xf numFmtId="164" fontId="3" fillId="2" borderId="7" xfId="2" applyNumberFormat="1" applyFont="1" applyFill="1" applyBorder="1" applyAlignment="1">
      <alignment horizontal="center" vertical="center" wrapText="1"/>
    </xf>
    <xf numFmtId="164" fontId="3" fillId="2" borderId="12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Alignment="1">
      <alignment horizontal="center" vertical="center" wrapText="1"/>
    </xf>
    <xf numFmtId="164" fontId="3" fillId="2" borderId="13" xfId="2" applyNumberFormat="1" applyFont="1" applyFill="1" applyBorder="1" applyAlignment="1">
      <alignment horizontal="center" vertical="center" wrapText="1"/>
    </xf>
    <xf numFmtId="164" fontId="3" fillId="2" borderId="16" xfId="2" applyNumberFormat="1" applyFont="1" applyFill="1" applyBorder="1" applyAlignment="1">
      <alignment horizontal="center" vertical="center" wrapText="1"/>
    </xf>
    <xf numFmtId="164" fontId="3" fillId="2" borderId="11" xfId="2" applyNumberFormat="1" applyFont="1" applyFill="1" applyBorder="1" applyAlignment="1">
      <alignment horizontal="center" vertical="center" wrapText="1"/>
    </xf>
    <xf numFmtId="164" fontId="3" fillId="2" borderId="17" xfId="2" applyNumberFormat="1" applyFont="1" applyFill="1" applyBorder="1" applyAlignment="1">
      <alignment horizontal="center" vertical="center" wrapText="1"/>
    </xf>
  </cellXfs>
  <cellStyles count="9">
    <cellStyle name="ЛокСмМТСН" xfId="6" xr:uid="{A17F3BEA-03DC-4C71-95C3-41B8C92A1EC7}"/>
    <cellStyle name="Обычный" xfId="0" builtinId="0"/>
    <cellStyle name="Обычный 11" xfId="1" xr:uid="{4B7F077C-91E0-4DFE-8CD3-5BBC5E303160}"/>
    <cellStyle name="Обычный 2 2" xfId="7" xr:uid="{D3973266-D535-483F-A1F0-5F62B7EC43D3}"/>
    <cellStyle name="Обычный 5 2" xfId="3" xr:uid="{76AC35B0-2029-4DE8-9D83-D43DC6B70141}"/>
    <cellStyle name="Обычный 6 2" xfId="2" xr:uid="{64FA4E18-53D7-4CF7-A9A4-FFE8A4090C40}"/>
    <cellStyle name="Процентный 5" xfId="8" xr:uid="{649DCE9D-555A-410A-9F9A-B4B867A46B5D}"/>
    <cellStyle name="Финансовый 3 2" xfId="5" xr:uid="{7D7321DD-35E9-49AB-A6F5-CD49712051AF}"/>
    <cellStyle name="Финансовый 7" xfId="4" xr:uid="{D972AA81-DFC5-4DAF-9D56-A6119A4D9C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970A-DC49-4711-B764-23DA582FC316}">
  <sheetPr>
    <tabColor theme="2" tint="-0.249977111117893"/>
  </sheetPr>
  <dimension ref="A1:Z110"/>
  <sheetViews>
    <sheetView tabSelected="1" zoomScale="60" zoomScaleNormal="60" zoomScaleSheetLayoutView="100" workbookViewId="0">
      <pane xSplit="4" ySplit="5" topLeftCell="E50" activePane="bottomRight" state="frozen"/>
      <selection pane="topRight" activeCell="E1" sqref="E1"/>
      <selection pane="bottomLeft" activeCell="A6" sqref="A6"/>
      <selection pane="bottomRight" activeCell="W71" sqref="W71"/>
    </sheetView>
  </sheetViews>
  <sheetFormatPr defaultColWidth="8.85546875" defaultRowHeight="15" x14ac:dyDescent="0.25"/>
  <cols>
    <col min="1" max="1" width="9.42578125" style="4" customWidth="1"/>
    <col min="2" max="2" width="65.140625" style="4" customWidth="1"/>
    <col min="3" max="3" width="9.28515625" style="126" customWidth="1"/>
    <col min="4" max="4" width="10.140625" style="127" bestFit="1" customWidth="1"/>
    <col min="5" max="5" width="15.140625" style="4" customWidth="1"/>
    <col min="6" max="6" width="16" style="4" customWidth="1"/>
    <col min="7" max="7" width="17.140625" style="128" customWidth="1"/>
    <col min="8" max="8" width="16.140625" style="128" customWidth="1"/>
    <col min="9" max="12" width="16.140625" style="4" customWidth="1"/>
    <col min="13" max="14" width="15.28515625" style="4" customWidth="1"/>
    <col min="15" max="15" width="17.42578125" style="4" customWidth="1"/>
    <col min="16" max="23" width="15.85546875" style="4" customWidth="1"/>
    <col min="24" max="24" width="16.7109375" style="4" customWidth="1"/>
    <col min="25" max="16384" width="8.85546875" style="4"/>
  </cols>
  <sheetData>
    <row r="1" spans="1:26" ht="14.45" customHeight="1" x14ac:dyDescent="0.25">
      <c r="A1" s="152" t="s">
        <v>0</v>
      </c>
      <c r="B1" s="155" t="s">
        <v>1</v>
      </c>
      <c r="C1" s="145" t="s">
        <v>2</v>
      </c>
      <c r="D1" s="145" t="s">
        <v>3</v>
      </c>
      <c r="E1" s="158" t="s">
        <v>4</v>
      </c>
      <c r="F1" s="159"/>
      <c r="G1" s="159"/>
      <c r="H1" s="159"/>
      <c r="I1" s="159"/>
      <c r="J1" s="159"/>
      <c r="K1" s="159"/>
      <c r="L1" s="159"/>
      <c r="M1" s="162" t="s">
        <v>5</v>
      </c>
      <c r="N1" s="163"/>
      <c r="O1" s="164"/>
      <c r="P1" s="1" t="s">
        <v>6</v>
      </c>
      <c r="Q1" s="2">
        <v>1.4</v>
      </c>
      <c r="R1" s="3"/>
      <c r="S1" s="3" t="s">
        <v>7</v>
      </c>
      <c r="T1" s="2">
        <v>1.27</v>
      </c>
      <c r="U1" s="1"/>
      <c r="V1" s="1"/>
      <c r="W1" s="1"/>
      <c r="Y1" s="5"/>
      <c r="Z1" s="6" t="s">
        <v>8</v>
      </c>
    </row>
    <row r="2" spans="1:26" ht="14.45" customHeight="1" x14ac:dyDescent="0.25">
      <c r="A2" s="153"/>
      <c r="B2" s="156"/>
      <c r="C2" s="145"/>
      <c r="D2" s="145"/>
      <c r="E2" s="160"/>
      <c r="F2" s="161"/>
      <c r="G2" s="161"/>
      <c r="H2" s="161"/>
      <c r="I2" s="161"/>
      <c r="J2" s="161"/>
      <c r="K2" s="161"/>
      <c r="L2" s="161"/>
      <c r="M2" s="165"/>
      <c r="N2" s="166"/>
      <c r="O2" s="167"/>
      <c r="P2" s="143" t="s">
        <v>9</v>
      </c>
      <c r="Q2" s="143"/>
      <c r="R2" s="143"/>
      <c r="S2" s="143"/>
      <c r="T2" s="143"/>
      <c r="U2" s="143"/>
      <c r="V2" s="143"/>
      <c r="W2" s="144"/>
    </row>
    <row r="3" spans="1:26" ht="27.75" customHeight="1" x14ac:dyDescent="0.25">
      <c r="A3" s="153"/>
      <c r="B3" s="156"/>
      <c r="C3" s="145"/>
      <c r="D3" s="145"/>
      <c r="E3" s="145" t="s">
        <v>10</v>
      </c>
      <c r="F3" s="145"/>
      <c r="G3" s="145"/>
      <c r="H3" s="145" t="s">
        <v>11</v>
      </c>
      <c r="I3" s="145"/>
      <c r="J3" s="145"/>
      <c r="K3" s="146" t="s">
        <v>12</v>
      </c>
      <c r="L3" s="146"/>
      <c r="M3" s="168"/>
      <c r="N3" s="169"/>
      <c r="O3" s="170"/>
      <c r="P3" s="147" t="s">
        <v>10</v>
      </c>
      <c r="Q3" s="147"/>
      <c r="R3" s="147"/>
      <c r="S3" s="148" t="s">
        <v>11</v>
      </c>
      <c r="T3" s="147"/>
      <c r="U3" s="149"/>
      <c r="V3" s="150" t="s">
        <v>12</v>
      </c>
      <c r="W3" s="151"/>
    </row>
    <row r="4" spans="1:26" ht="56.1" customHeight="1" x14ac:dyDescent="0.25">
      <c r="A4" s="154"/>
      <c r="B4" s="157"/>
      <c r="C4" s="145"/>
      <c r="D4" s="145"/>
      <c r="E4" s="7" t="s">
        <v>13</v>
      </c>
      <c r="F4" s="7" t="s">
        <v>14</v>
      </c>
      <c r="G4" s="8" t="s">
        <v>15</v>
      </c>
      <c r="H4" s="7" t="s">
        <v>13</v>
      </c>
      <c r="I4" s="7" t="s">
        <v>14</v>
      </c>
      <c r="J4" s="8" t="s">
        <v>15</v>
      </c>
      <c r="K4" s="7" t="s">
        <v>16</v>
      </c>
      <c r="L4" s="7" t="s">
        <v>17</v>
      </c>
      <c r="M4" s="9" t="s">
        <v>13</v>
      </c>
      <c r="N4" s="10" t="s">
        <v>14</v>
      </c>
      <c r="O4" s="11" t="s">
        <v>15</v>
      </c>
      <c r="P4" s="12" t="s">
        <v>13</v>
      </c>
      <c r="Q4" s="13" t="s">
        <v>14</v>
      </c>
      <c r="R4" s="14" t="s">
        <v>15</v>
      </c>
      <c r="S4" s="15" t="s">
        <v>13</v>
      </c>
      <c r="T4" s="13" t="s">
        <v>14</v>
      </c>
      <c r="U4" s="16" t="s">
        <v>15</v>
      </c>
      <c r="V4" s="13" t="s">
        <v>16</v>
      </c>
      <c r="W4" s="17" t="s">
        <v>17</v>
      </c>
    </row>
    <row r="5" spans="1:26" x14ac:dyDescent="0.25">
      <c r="A5" s="18">
        <v>1</v>
      </c>
      <c r="B5" s="19">
        <v>2</v>
      </c>
      <c r="C5" s="19">
        <v>3</v>
      </c>
      <c r="D5" s="20">
        <v>4</v>
      </c>
      <c r="E5" s="19">
        <v>5</v>
      </c>
      <c r="F5" s="19">
        <v>6</v>
      </c>
      <c r="G5" s="19">
        <v>7</v>
      </c>
      <c r="H5" s="21">
        <v>8</v>
      </c>
      <c r="I5" s="21">
        <v>9</v>
      </c>
      <c r="J5" s="21">
        <v>10</v>
      </c>
      <c r="K5" s="21">
        <v>11</v>
      </c>
      <c r="L5" s="21">
        <v>12</v>
      </c>
      <c r="M5" s="22">
        <v>13</v>
      </c>
      <c r="N5" s="23">
        <v>14</v>
      </c>
      <c r="O5" s="24">
        <v>15</v>
      </c>
      <c r="P5" s="25">
        <v>16</v>
      </c>
      <c r="Q5" s="25">
        <v>17</v>
      </c>
      <c r="R5" s="25">
        <v>18</v>
      </c>
      <c r="S5" s="26">
        <v>19</v>
      </c>
      <c r="T5" s="25">
        <v>20</v>
      </c>
      <c r="U5" s="27">
        <v>21</v>
      </c>
      <c r="V5" s="25">
        <v>22</v>
      </c>
      <c r="W5" s="27">
        <v>23</v>
      </c>
    </row>
    <row r="6" spans="1:26" ht="21.75" customHeight="1" x14ac:dyDescent="0.25">
      <c r="A6" s="28" t="s">
        <v>18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31"/>
      <c r="O6" s="32"/>
      <c r="P6" s="31"/>
      <c r="Q6" s="31"/>
      <c r="R6" s="31"/>
      <c r="S6" s="31"/>
      <c r="T6" s="31"/>
      <c r="U6" s="31"/>
      <c r="V6" s="31"/>
      <c r="W6" s="31"/>
    </row>
    <row r="7" spans="1:26" ht="28.5" customHeight="1" x14ac:dyDescent="0.25">
      <c r="A7" s="33" t="s">
        <v>19</v>
      </c>
      <c r="B7" s="34" t="s">
        <v>20</v>
      </c>
      <c r="C7" s="35" t="s">
        <v>21</v>
      </c>
      <c r="D7" s="36">
        <f>ROUND(D8*3.5*0.2,2)</f>
        <v>175</v>
      </c>
      <c r="E7" s="37">
        <v>1800</v>
      </c>
      <c r="F7" s="38">
        <f>ROUND(E7*D7,2)</f>
        <v>315000</v>
      </c>
      <c r="G7" s="38">
        <f>ROUND(F7*1.2,2)</f>
        <v>378000</v>
      </c>
      <c r="H7" s="39"/>
      <c r="I7" s="40"/>
      <c r="J7" s="40"/>
      <c r="K7" s="41">
        <f t="shared" ref="K7:L12" si="0">F7+I7</f>
        <v>315000</v>
      </c>
      <c r="L7" s="42">
        <f t="shared" si="0"/>
        <v>378000</v>
      </c>
      <c r="M7" s="43"/>
      <c r="N7" s="38">
        <f>ROUND(M7*D7,2)</f>
        <v>0</v>
      </c>
      <c r="O7" s="44">
        <f>ROUND(N7*1.2,2)</f>
        <v>0</v>
      </c>
      <c r="P7" s="45">
        <f>E7*$Q$1</f>
        <v>2520</v>
      </c>
      <c r="Q7" s="38">
        <f>ROUND(P7*D7,2)</f>
        <v>441000</v>
      </c>
      <c r="R7" s="38">
        <f t="shared" ref="R7:R70" si="1">ROUND(Q7*1.2,2)</f>
        <v>529200</v>
      </c>
      <c r="S7" s="38">
        <f>H7*$T$1+M7*$T$1</f>
        <v>0</v>
      </c>
      <c r="T7" s="38">
        <f>ROUND(S7*D7,2)</f>
        <v>0</v>
      </c>
      <c r="U7" s="38">
        <f t="shared" ref="U7:U70" si="2">ROUND(T7*1.2,2)</f>
        <v>0</v>
      </c>
      <c r="V7" s="38">
        <f>Q7+T7</f>
        <v>441000</v>
      </c>
      <c r="W7" s="38">
        <f>R7+U7</f>
        <v>529200</v>
      </c>
      <c r="X7" s="46"/>
    </row>
    <row r="8" spans="1:26" ht="18.75" customHeight="1" x14ac:dyDescent="0.25">
      <c r="A8" s="33">
        <f>A7+1</f>
        <v>2</v>
      </c>
      <c r="B8" s="34" t="s">
        <v>22</v>
      </c>
      <c r="C8" s="35" t="s">
        <v>23</v>
      </c>
      <c r="D8" s="36">
        <v>250</v>
      </c>
      <c r="E8" s="37">
        <v>1979.8</v>
      </c>
      <c r="F8" s="38">
        <f t="shared" ref="F8:F12" si="3">ROUND(E8*D8,2)</f>
        <v>494950</v>
      </c>
      <c r="G8" s="38">
        <f t="shared" ref="G8:G12" si="4">ROUND(F8*1.2,2)</f>
        <v>593940</v>
      </c>
      <c r="H8" s="39"/>
      <c r="I8" s="40"/>
      <c r="J8" s="40"/>
      <c r="K8" s="41">
        <f t="shared" si="0"/>
        <v>494950</v>
      </c>
      <c r="L8" s="42">
        <f t="shared" si="0"/>
        <v>593940</v>
      </c>
      <c r="M8" s="43"/>
      <c r="N8" s="38">
        <f t="shared" ref="N8:N70" si="5">ROUND(M8*D8,2)</f>
        <v>0</v>
      </c>
      <c r="O8" s="44">
        <f t="shared" ref="O8:O70" si="6">ROUND(N8*1.2,2)</f>
        <v>0</v>
      </c>
      <c r="P8" s="45">
        <f t="shared" ref="P8:P70" si="7">E8*$Q$1</f>
        <v>2771.72</v>
      </c>
      <c r="Q8" s="38">
        <f t="shared" ref="Q8:Q70" si="8">ROUND(P8*D8,2)</f>
        <v>692930</v>
      </c>
      <c r="R8" s="38">
        <f t="shared" si="1"/>
        <v>831516</v>
      </c>
      <c r="S8" s="38">
        <f t="shared" ref="S8:S70" si="9">H8*$T$1+M8*$T$1</f>
        <v>0</v>
      </c>
      <c r="T8" s="38">
        <f t="shared" ref="T8:T70" si="10">ROUND(S8*D8,2)</f>
        <v>0</v>
      </c>
      <c r="U8" s="38">
        <f t="shared" si="2"/>
        <v>0</v>
      </c>
      <c r="V8" s="38">
        <f t="shared" ref="V8:W70" si="11">Q8+T8</f>
        <v>692930</v>
      </c>
      <c r="W8" s="38">
        <f t="shared" si="11"/>
        <v>831516</v>
      </c>
      <c r="X8" s="46"/>
    </row>
    <row r="9" spans="1:26" ht="28.5" customHeight="1" x14ac:dyDescent="0.25">
      <c r="A9" s="33">
        <f t="shared" ref="A9:A12" si="12">A8+1</f>
        <v>3</v>
      </c>
      <c r="B9" s="34" t="s">
        <v>24</v>
      </c>
      <c r="C9" s="35" t="s">
        <v>25</v>
      </c>
      <c r="D9" s="47">
        <v>1</v>
      </c>
      <c r="E9" s="37">
        <v>48600</v>
      </c>
      <c r="F9" s="38">
        <f t="shared" si="3"/>
        <v>48600</v>
      </c>
      <c r="G9" s="38">
        <f t="shared" si="4"/>
        <v>58320</v>
      </c>
      <c r="H9" s="39"/>
      <c r="I9" s="40"/>
      <c r="J9" s="40"/>
      <c r="K9" s="41">
        <f t="shared" si="0"/>
        <v>48600</v>
      </c>
      <c r="L9" s="42">
        <f t="shared" si="0"/>
        <v>58320</v>
      </c>
      <c r="M9" s="43"/>
      <c r="N9" s="38">
        <f t="shared" si="5"/>
        <v>0</v>
      </c>
      <c r="O9" s="44">
        <f t="shared" si="6"/>
        <v>0</v>
      </c>
      <c r="P9" s="45">
        <f t="shared" si="7"/>
        <v>68040</v>
      </c>
      <c r="Q9" s="38">
        <f t="shared" si="8"/>
        <v>68040</v>
      </c>
      <c r="R9" s="38">
        <f t="shared" si="1"/>
        <v>81648</v>
      </c>
      <c r="S9" s="38">
        <f t="shared" si="9"/>
        <v>0</v>
      </c>
      <c r="T9" s="38">
        <f t="shared" si="10"/>
        <v>0</v>
      </c>
      <c r="U9" s="38">
        <f t="shared" si="2"/>
        <v>0</v>
      </c>
      <c r="V9" s="38">
        <f t="shared" si="11"/>
        <v>68040</v>
      </c>
      <c r="W9" s="38">
        <f t="shared" si="11"/>
        <v>81648</v>
      </c>
      <c r="X9" s="46"/>
    </row>
    <row r="10" spans="1:26" ht="21.75" customHeight="1" x14ac:dyDescent="0.25">
      <c r="A10" s="33">
        <f t="shared" si="12"/>
        <v>4</v>
      </c>
      <c r="B10" s="34" t="s">
        <v>26</v>
      </c>
      <c r="C10" s="35" t="s">
        <v>21</v>
      </c>
      <c r="D10" s="36">
        <f>ROUND(D8*3.5*0.55,2)</f>
        <v>481.25</v>
      </c>
      <c r="E10" s="37">
        <v>1630</v>
      </c>
      <c r="F10" s="38">
        <f t="shared" si="3"/>
        <v>784437.5</v>
      </c>
      <c r="G10" s="38">
        <f t="shared" si="4"/>
        <v>941325</v>
      </c>
      <c r="H10" s="39"/>
      <c r="I10" s="40"/>
      <c r="J10" s="40"/>
      <c r="K10" s="41">
        <f t="shared" si="0"/>
        <v>784437.5</v>
      </c>
      <c r="L10" s="42">
        <f t="shared" si="0"/>
        <v>941325</v>
      </c>
      <c r="M10" s="43"/>
      <c r="N10" s="38">
        <f t="shared" si="5"/>
        <v>0</v>
      </c>
      <c r="O10" s="44">
        <f t="shared" si="6"/>
        <v>0</v>
      </c>
      <c r="P10" s="45">
        <f t="shared" si="7"/>
        <v>2282</v>
      </c>
      <c r="Q10" s="38">
        <f t="shared" si="8"/>
        <v>1098212.5</v>
      </c>
      <c r="R10" s="38">
        <f t="shared" si="1"/>
        <v>1317855</v>
      </c>
      <c r="S10" s="38">
        <f t="shared" si="9"/>
        <v>0</v>
      </c>
      <c r="T10" s="38">
        <f t="shared" si="10"/>
        <v>0</v>
      </c>
      <c r="U10" s="38">
        <f t="shared" si="2"/>
        <v>0</v>
      </c>
      <c r="V10" s="38">
        <f t="shared" si="11"/>
        <v>1098212.5</v>
      </c>
      <c r="W10" s="38">
        <f t="shared" si="11"/>
        <v>1317855</v>
      </c>
      <c r="X10" s="46"/>
    </row>
    <row r="11" spans="1:26" ht="21.75" customHeight="1" x14ac:dyDescent="0.25">
      <c r="A11" s="33">
        <f t="shared" si="12"/>
        <v>5</v>
      </c>
      <c r="B11" s="34" t="s">
        <v>27</v>
      </c>
      <c r="C11" s="35" t="s">
        <v>28</v>
      </c>
      <c r="D11" s="36">
        <f>ROUND((D7+D10)*1.4,2)</f>
        <v>918.75</v>
      </c>
      <c r="E11" s="37">
        <v>700</v>
      </c>
      <c r="F11" s="38">
        <f t="shared" si="3"/>
        <v>643125</v>
      </c>
      <c r="G11" s="38">
        <f t="shared" si="4"/>
        <v>771750</v>
      </c>
      <c r="H11" s="39"/>
      <c r="I11" s="40"/>
      <c r="J11" s="40"/>
      <c r="K11" s="41">
        <f t="shared" si="0"/>
        <v>643125</v>
      </c>
      <c r="L11" s="42">
        <f t="shared" si="0"/>
        <v>771750</v>
      </c>
      <c r="M11" s="43"/>
      <c r="N11" s="38">
        <f t="shared" si="5"/>
        <v>0</v>
      </c>
      <c r="O11" s="44">
        <f t="shared" si="6"/>
        <v>0</v>
      </c>
      <c r="P11" s="45">
        <f t="shared" si="7"/>
        <v>979.99999999999989</v>
      </c>
      <c r="Q11" s="38">
        <f t="shared" si="8"/>
        <v>900375</v>
      </c>
      <c r="R11" s="38">
        <f t="shared" si="1"/>
        <v>1080450</v>
      </c>
      <c r="S11" s="38">
        <f t="shared" si="9"/>
        <v>0</v>
      </c>
      <c r="T11" s="38">
        <f t="shared" si="10"/>
        <v>0</v>
      </c>
      <c r="U11" s="38">
        <f t="shared" si="2"/>
        <v>0</v>
      </c>
      <c r="V11" s="38">
        <f t="shared" si="11"/>
        <v>900375</v>
      </c>
      <c r="W11" s="38">
        <f t="shared" si="11"/>
        <v>1080450</v>
      </c>
      <c r="X11" s="46"/>
    </row>
    <row r="12" spans="1:26" ht="28.5" customHeight="1" x14ac:dyDescent="0.25">
      <c r="A12" s="33">
        <f t="shared" si="12"/>
        <v>6</v>
      </c>
      <c r="B12" s="34" t="s">
        <v>29</v>
      </c>
      <c r="C12" s="35" t="s">
        <v>28</v>
      </c>
      <c r="D12" s="48">
        <f>ROUND(21.8*2+336.23*D8/1000,2)</f>
        <v>127.66</v>
      </c>
      <c r="E12" s="37">
        <v>1140</v>
      </c>
      <c r="F12" s="38">
        <f t="shared" si="3"/>
        <v>145532.4</v>
      </c>
      <c r="G12" s="38">
        <f t="shared" si="4"/>
        <v>174638.88</v>
      </c>
      <c r="H12" s="39"/>
      <c r="I12" s="40"/>
      <c r="J12" s="40"/>
      <c r="K12" s="41">
        <f t="shared" si="0"/>
        <v>145532.4</v>
      </c>
      <c r="L12" s="42">
        <f t="shared" si="0"/>
        <v>174638.88</v>
      </c>
      <c r="M12" s="43"/>
      <c r="N12" s="38">
        <f t="shared" si="5"/>
        <v>0</v>
      </c>
      <c r="O12" s="44">
        <f t="shared" si="6"/>
        <v>0</v>
      </c>
      <c r="P12" s="45">
        <f t="shared" si="7"/>
        <v>1596</v>
      </c>
      <c r="Q12" s="38">
        <f t="shared" si="8"/>
        <v>203745.36</v>
      </c>
      <c r="R12" s="38">
        <f t="shared" si="1"/>
        <v>244494.43</v>
      </c>
      <c r="S12" s="38">
        <f t="shared" si="9"/>
        <v>0</v>
      </c>
      <c r="T12" s="38">
        <f t="shared" si="10"/>
        <v>0</v>
      </c>
      <c r="U12" s="38">
        <f t="shared" si="2"/>
        <v>0</v>
      </c>
      <c r="V12" s="38">
        <f t="shared" si="11"/>
        <v>203745.36</v>
      </c>
      <c r="W12" s="38">
        <f t="shared" si="11"/>
        <v>244494.43</v>
      </c>
      <c r="X12" s="46"/>
    </row>
    <row r="13" spans="1:26" ht="22.5" customHeight="1" x14ac:dyDescent="0.25">
      <c r="A13" s="49" t="s">
        <v>30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  <c r="N13" s="52"/>
      <c r="O13" s="53"/>
      <c r="P13" s="52"/>
      <c r="Q13" s="52"/>
      <c r="R13" s="52"/>
      <c r="S13" s="52"/>
      <c r="T13" s="52"/>
      <c r="U13" s="52"/>
      <c r="V13" s="52"/>
      <c r="W13" s="52"/>
      <c r="X13" s="46"/>
    </row>
    <row r="14" spans="1:26" ht="28.5" customHeight="1" x14ac:dyDescent="0.25">
      <c r="A14" s="33" t="s">
        <v>19</v>
      </c>
      <c r="B14" s="34" t="s">
        <v>31</v>
      </c>
      <c r="C14" s="54" t="s">
        <v>32</v>
      </c>
      <c r="D14" s="55">
        <v>875</v>
      </c>
      <c r="E14" s="37">
        <v>101.5</v>
      </c>
      <c r="F14" s="38">
        <f t="shared" ref="F14:F15" si="13">ROUND(E14*D14,2)</f>
        <v>88812.5</v>
      </c>
      <c r="G14" s="38">
        <f t="shared" ref="G14:G22" si="14">ROUND(F14*1.2,2)</f>
        <v>106575</v>
      </c>
      <c r="H14" s="39"/>
      <c r="I14" s="40"/>
      <c r="J14" s="40"/>
      <c r="K14" s="41">
        <f t="shared" ref="K14:L15" si="15">F14+I14</f>
        <v>88812.5</v>
      </c>
      <c r="L14" s="42">
        <f t="shared" si="15"/>
        <v>106575</v>
      </c>
      <c r="M14" s="43"/>
      <c r="N14" s="38">
        <f t="shared" si="5"/>
        <v>0</v>
      </c>
      <c r="O14" s="44">
        <f t="shared" si="6"/>
        <v>0</v>
      </c>
      <c r="P14" s="45">
        <f t="shared" si="7"/>
        <v>142.1</v>
      </c>
      <c r="Q14" s="38">
        <f t="shared" si="8"/>
        <v>124337.5</v>
      </c>
      <c r="R14" s="38">
        <f t="shared" si="1"/>
        <v>149205</v>
      </c>
      <c r="S14" s="38">
        <f t="shared" si="9"/>
        <v>0</v>
      </c>
      <c r="T14" s="38">
        <f t="shared" si="10"/>
        <v>0</v>
      </c>
      <c r="U14" s="38">
        <f t="shared" si="2"/>
        <v>0</v>
      </c>
      <c r="V14" s="38">
        <f t="shared" si="11"/>
        <v>124337.5</v>
      </c>
      <c r="W14" s="38">
        <f t="shared" si="11"/>
        <v>149205</v>
      </c>
      <c r="X14" s="46"/>
    </row>
    <row r="15" spans="1:26" ht="17.25" customHeight="1" x14ac:dyDescent="0.25">
      <c r="A15" s="33">
        <f>A14+1</f>
        <v>2</v>
      </c>
      <c r="B15" s="34" t="s">
        <v>33</v>
      </c>
      <c r="C15" s="54" t="s">
        <v>32</v>
      </c>
      <c r="D15" s="55">
        <v>1000</v>
      </c>
      <c r="E15" s="37">
        <v>52.98</v>
      </c>
      <c r="F15" s="38">
        <f t="shared" si="13"/>
        <v>52980</v>
      </c>
      <c r="G15" s="38">
        <f t="shared" si="14"/>
        <v>63576</v>
      </c>
      <c r="H15" s="39"/>
      <c r="I15" s="40"/>
      <c r="J15" s="40"/>
      <c r="K15" s="41">
        <f t="shared" si="15"/>
        <v>52980</v>
      </c>
      <c r="L15" s="42">
        <f t="shared" si="15"/>
        <v>63576</v>
      </c>
      <c r="M15" s="43"/>
      <c r="N15" s="38">
        <f t="shared" si="5"/>
        <v>0</v>
      </c>
      <c r="O15" s="44">
        <f t="shared" si="6"/>
        <v>0</v>
      </c>
      <c r="P15" s="45">
        <f t="shared" si="7"/>
        <v>74.171999999999997</v>
      </c>
      <c r="Q15" s="38">
        <f t="shared" si="8"/>
        <v>74172</v>
      </c>
      <c r="R15" s="38">
        <f t="shared" si="1"/>
        <v>89006.399999999994</v>
      </c>
      <c r="S15" s="38">
        <f t="shared" si="9"/>
        <v>0</v>
      </c>
      <c r="T15" s="38">
        <f t="shared" si="10"/>
        <v>0</v>
      </c>
      <c r="U15" s="38">
        <f t="shared" si="2"/>
        <v>0</v>
      </c>
      <c r="V15" s="38">
        <f t="shared" si="11"/>
        <v>74172</v>
      </c>
      <c r="W15" s="38">
        <f t="shared" si="11"/>
        <v>89006.399999999994</v>
      </c>
      <c r="X15" s="46"/>
    </row>
    <row r="16" spans="1:26" ht="18.75" customHeight="1" x14ac:dyDescent="0.25">
      <c r="A16" s="56" t="s">
        <v>34</v>
      </c>
      <c r="B16" s="57" t="s">
        <v>35</v>
      </c>
      <c r="C16" s="58" t="s">
        <v>32</v>
      </c>
      <c r="D16" s="59">
        <v>1100</v>
      </c>
      <c r="E16" s="60"/>
      <c r="F16" s="60"/>
      <c r="G16" s="60"/>
      <c r="H16" s="61">
        <v>67</v>
      </c>
      <c r="I16" s="60">
        <f t="shared" ref="I16" si="16">ROUND(H16*D16,2)</f>
        <v>73700</v>
      </c>
      <c r="J16" s="60">
        <f t="shared" ref="J16" si="17">ROUND(I16*1.2,2)</f>
        <v>88440</v>
      </c>
      <c r="K16" s="62">
        <f>F16+I16</f>
        <v>73700</v>
      </c>
      <c r="L16" s="63">
        <f>G16+J16</f>
        <v>88440</v>
      </c>
      <c r="M16" s="64"/>
      <c r="N16" s="60">
        <f t="shared" si="5"/>
        <v>0</v>
      </c>
      <c r="O16" s="65">
        <f t="shared" si="6"/>
        <v>0</v>
      </c>
      <c r="P16" s="66">
        <f t="shared" si="7"/>
        <v>0</v>
      </c>
      <c r="Q16" s="60">
        <f t="shared" si="8"/>
        <v>0</v>
      </c>
      <c r="R16" s="60">
        <f t="shared" si="1"/>
        <v>0</v>
      </c>
      <c r="S16" s="60">
        <f t="shared" si="9"/>
        <v>85.09</v>
      </c>
      <c r="T16" s="60">
        <f t="shared" si="10"/>
        <v>93599</v>
      </c>
      <c r="U16" s="60">
        <f t="shared" si="2"/>
        <v>112318.8</v>
      </c>
      <c r="V16" s="60">
        <f t="shared" si="11"/>
        <v>93599</v>
      </c>
      <c r="W16" s="60">
        <f t="shared" si="11"/>
        <v>112318.8</v>
      </c>
      <c r="X16" s="46"/>
    </row>
    <row r="17" spans="1:24" ht="20.25" customHeight="1" x14ac:dyDescent="0.25">
      <c r="A17" s="33">
        <f>A15+1</f>
        <v>3</v>
      </c>
      <c r="B17" s="34" t="s">
        <v>36</v>
      </c>
      <c r="C17" s="54" t="s">
        <v>21</v>
      </c>
      <c r="D17" s="55">
        <v>175</v>
      </c>
      <c r="E17" s="41">
        <v>1310.05</v>
      </c>
      <c r="F17" s="38">
        <f t="shared" ref="F17" si="18">ROUND(E17*D17,2)</f>
        <v>229258.75</v>
      </c>
      <c r="G17" s="38">
        <f t="shared" si="14"/>
        <v>275110.5</v>
      </c>
      <c r="H17" s="39"/>
      <c r="I17" s="40"/>
      <c r="J17" s="40"/>
      <c r="K17" s="41">
        <f t="shared" ref="K17:L17" si="19">F17+I17</f>
        <v>229258.75</v>
      </c>
      <c r="L17" s="42">
        <f t="shared" si="19"/>
        <v>275110.5</v>
      </c>
      <c r="M17" s="43"/>
      <c r="N17" s="38">
        <f t="shared" si="5"/>
        <v>0</v>
      </c>
      <c r="O17" s="44">
        <f t="shared" si="6"/>
        <v>0</v>
      </c>
      <c r="P17" s="45">
        <f t="shared" si="7"/>
        <v>1834.0699999999997</v>
      </c>
      <c r="Q17" s="38">
        <f t="shared" si="8"/>
        <v>320962.25</v>
      </c>
      <c r="R17" s="38">
        <f t="shared" si="1"/>
        <v>385154.7</v>
      </c>
      <c r="S17" s="38">
        <f t="shared" si="9"/>
        <v>0</v>
      </c>
      <c r="T17" s="38">
        <f t="shared" si="10"/>
        <v>0</v>
      </c>
      <c r="U17" s="38">
        <f t="shared" si="2"/>
        <v>0</v>
      </c>
      <c r="V17" s="38">
        <f t="shared" si="11"/>
        <v>320962.25</v>
      </c>
      <c r="W17" s="38">
        <f t="shared" si="11"/>
        <v>385154.7</v>
      </c>
      <c r="X17" s="46"/>
    </row>
    <row r="18" spans="1:24" ht="20.25" customHeight="1" x14ac:dyDescent="0.25">
      <c r="A18" s="56" t="s">
        <v>37</v>
      </c>
      <c r="B18" s="57" t="s">
        <v>38</v>
      </c>
      <c r="C18" s="67" t="s">
        <v>21</v>
      </c>
      <c r="D18" s="59">
        <v>210</v>
      </c>
      <c r="E18" s="60"/>
      <c r="F18" s="60"/>
      <c r="G18" s="60"/>
      <c r="H18" s="61">
        <v>1200</v>
      </c>
      <c r="I18" s="60">
        <f t="shared" ref="I18" si="20">ROUND(H18*D18,2)</f>
        <v>252000</v>
      </c>
      <c r="J18" s="60">
        <f t="shared" ref="J18" si="21">ROUND(I18*1.2,2)</f>
        <v>302400</v>
      </c>
      <c r="K18" s="62">
        <f>F18+I18</f>
        <v>252000</v>
      </c>
      <c r="L18" s="63">
        <f>G18+J18</f>
        <v>302400</v>
      </c>
      <c r="M18" s="64"/>
      <c r="N18" s="60">
        <f t="shared" si="5"/>
        <v>0</v>
      </c>
      <c r="O18" s="65">
        <f t="shared" si="6"/>
        <v>0</v>
      </c>
      <c r="P18" s="66">
        <f t="shared" si="7"/>
        <v>0</v>
      </c>
      <c r="Q18" s="60">
        <f t="shared" si="8"/>
        <v>0</v>
      </c>
      <c r="R18" s="60">
        <f t="shared" si="1"/>
        <v>0</v>
      </c>
      <c r="S18" s="60">
        <f t="shared" si="9"/>
        <v>1524</v>
      </c>
      <c r="T18" s="60">
        <f t="shared" si="10"/>
        <v>320040</v>
      </c>
      <c r="U18" s="60">
        <f t="shared" si="2"/>
        <v>384048</v>
      </c>
      <c r="V18" s="60">
        <f t="shared" si="11"/>
        <v>320040</v>
      </c>
      <c r="W18" s="60">
        <f t="shared" si="11"/>
        <v>384048</v>
      </c>
      <c r="X18" s="46"/>
    </row>
    <row r="19" spans="1:24" ht="19.5" customHeight="1" x14ac:dyDescent="0.25">
      <c r="A19" s="33">
        <f>A17+1</f>
        <v>4</v>
      </c>
      <c r="B19" s="34" t="s">
        <v>39</v>
      </c>
      <c r="C19" s="54" t="s">
        <v>21</v>
      </c>
      <c r="D19" s="55">
        <v>306.25</v>
      </c>
      <c r="E19" s="68">
        <v>2573.7399999999998</v>
      </c>
      <c r="F19" s="38">
        <f t="shared" ref="F19" si="22">ROUND(E19*D19,2)</f>
        <v>788207.88</v>
      </c>
      <c r="G19" s="38">
        <f t="shared" si="14"/>
        <v>945849.46</v>
      </c>
      <c r="H19" s="39"/>
      <c r="I19" s="40"/>
      <c r="J19" s="40"/>
      <c r="K19" s="41">
        <f t="shared" ref="K19:L19" si="23">F19+I19</f>
        <v>788207.88</v>
      </c>
      <c r="L19" s="42">
        <f t="shared" si="23"/>
        <v>945849.46</v>
      </c>
      <c r="M19" s="43"/>
      <c r="N19" s="38">
        <f t="shared" si="5"/>
        <v>0</v>
      </c>
      <c r="O19" s="44">
        <f t="shared" si="6"/>
        <v>0</v>
      </c>
      <c r="P19" s="45">
        <f t="shared" si="7"/>
        <v>3603.2359999999994</v>
      </c>
      <c r="Q19" s="38">
        <f t="shared" si="8"/>
        <v>1103491.03</v>
      </c>
      <c r="R19" s="38">
        <f t="shared" si="1"/>
        <v>1324189.24</v>
      </c>
      <c r="S19" s="38">
        <f t="shared" si="9"/>
        <v>0</v>
      </c>
      <c r="T19" s="38">
        <f t="shared" si="10"/>
        <v>0</v>
      </c>
      <c r="U19" s="38">
        <f t="shared" si="2"/>
        <v>0</v>
      </c>
      <c r="V19" s="38">
        <f t="shared" si="11"/>
        <v>1103491.03</v>
      </c>
      <c r="W19" s="38">
        <f t="shared" si="11"/>
        <v>1324189.24</v>
      </c>
      <c r="X19" s="46"/>
    </row>
    <row r="20" spans="1:24" ht="18" customHeight="1" x14ac:dyDescent="0.25">
      <c r="A20" s="56" t="s">
        <v>40</v>
      </c>
      <c r="B20" s="69" t="s">
        <v>41</v>
      </c>
      <c r="C20" s="67" t="s">
        <v>21</v>
      </c>
      <c r="D20" s="59">
        <v>358.31</v>
      </c>
      <c r="E20" s="60"/>
      <c r="F20" s="60"/>
      <c r="G20" s="60"/>
      <c r="H20" s="60">
        <v>3925</v>
      </c>
      <c r="I20" s="60">
        <f t="shared" ref="I20" si="24">ROUND(H20*D20,2)</f>
        <v>1406366.75</v>
      </c>
      <c r="J20" s="60">
        <f t="shared" ref="J20" si="25">ROUND(I20*1.2,2)</f>
        <v>1687640.1</v>
      </c>
      <c r="K20" s="62">
        <f>F20+I20</f>
        <v>1406366.75</v>
      </c>
      <c r="L20" s="63">
        <f>G20+J20</f>
        <v>1687640.1</v>
      </c>
      <c r="M20" s="64"/>
      <c r="N20" s="60">
        <f t="shared" si="5"/>
        <v>0</v>
      </c>
      <c r="O20" s="65">
        <f t="shared" si="6"/>
        <v>0</v>
      </c>
      <c r="P20" s="66">
        <f t="shared" si="7"/>
        <v>0</v>
      </c>
      <c r="Q20" s="60">
        <f t="shared" si="8"/>
        <v>0</v>
      </c>
      <c r="R20" s="60">
        <f t="shared" si="1"/>
        <v>0</v>
      </c>
      <c r="S20" s="60">
        <f t="shared" si="9"/>
        <v>4984.75</v>
      </c>
      <c r="T20" s="60">
        <f t="shared" si="10"/>
        <v>1786085.77</v>
      </c>
      <c r="U20" s="60">
        <f t="shared" si="2"/>
        <v>2143302.92</v>
      </c>
      <c r="V20" s="60">
        <f t="shared" si="11"/>
        <v>1786085.77</v>
      </c>
      <c r="W20" s="60">
        <f t="shared" si="11"/>
        <v>2143302.92</v>
      </c>
      <c r="X20" s="46"/>
    </row>
    <row r="21" spans="1:24" ht="18.75" customHeight="1" x14ac:dyDescent="0.25">
      <c r="A21" s="33">
        <f>A19+1</f>
        <v>5</v>
      </c>
      <c r="B21" s="34" t="s">
        <v>42</v>
      </c>
      <c r="C21" s="54" t="s">
        <v>32</v>
      </c>
      <c r="D21" s="55">
        <v>875</v>
      </c>
      <c r="E21" s="37">
        <v>203</v>
      </c>
      <c r="F21" s="38">
        <f t="shared" ref="F21:F22" si="26">ROUND(E21*D21,2)</f>
        <v>177625</v>
      </c>
      <c r="G21" s="38">
        <f t="shared" si="14"/>
        <v>213150</v>
      </c>
      <c r="H21" s="39"/>
      <c r="I21" s="40"/>
      <c r="J21" s="40"/>
      <c r="K21" s="41">
        <f t="shared" ref="K21:L22" si="27">F21+I21</f>
        <v>177625</v>
      </c>
      <c r="L21" s="42">
        <f t="shared" si="27"/>
        <v>213150</v>
      </c>
      <c r="M21" s="43"/>
      <c r="N21" s="38">
        <f t="shared" si="5"/>
        <v>0</v>
      </c>
      <c r="O21" s="44">
        <f t="shared" si="6"/>
        <v>0</v>
      </c>
      <c r="P21" s="45">
        <f t="shared" si="7"/>
        <v>284.2</v>
      </c>
      <c r="Q21" s="38">
        <f t="shared" si="8"/>
        <v>248675</v>
      </c>
      <c r="R21" s="38">
        <f t="shared" si="1"/>
        <v>298410</v>
      </c>
      <c r="S21" s="38">
        <f t="shared" si="9"/>
        <v>0</v>
      </c>
      <c r="T21" s="38">
        <f t="shared" si="10"/>
        <v>0</v>
      </c>
      <c r="U21" s="38">
        <f t="shared" si="2"/>
        <v>0</v>
      </c>
      <c r="V21" s="38">
        <f t="shared" si="11"/>
        <v>248675</v>
      </c>
      <c r="W21" s="38">
        <f t="shared" si="11"/>
        <v>298410</v>
      </c>
      <c r="X21" s="46"/>
    </row>
    <row r="22" spans="1:24" ht="28.5" customHeight="1" x14ac:dyDescent="0.25">
      <c r="A22" s="33">
        <f t="shared" ref="A22" si="28">A21+1</f>
        <v>6</v>
      </c>
      <c r="B22" s="34" t="s">
        <v>43</v>
      </c>
      <c r="C22" s="54" t="s">
        <v>23</v>
      </c>
      <c r="D22" s="55">
        <v>250</v>
      </c>
      <c r="E22" s="37">
        <v>2817.6</v>
      </c>
      <c r="F22" s="38">
        <f t="shared" si="26"/>
        <v>704400</v>
      </c>
      <c r="G22" s="38">
        <f t="shared" si="14"/>
        <v>845280</v>
      </c>
      <c r="H22" s="39"/>
      <c r="I22" s="40"/>
      <c r="J22" s="40"/>
      <c r="K22" s="41">
        <f t="shared" si="27"/>
        <v>704400</v>
      </c>
      <c r="L22" s="42">
        <f t="shared" si="27"/>
        <v>845280</v>
      </c>
      <c r="M22" s="43"/>
      <c r="N22" s="38">
        <f t="shared" si="5"/>
        <v>0</v>
      </c>
      <c r="O22" s="44">
        <f t="shared" si="6"/>
        <v>0</v>
      </c>
      <c r="P22" s="45">
        <f t="shared" si="7"/>
        <v>3944.6399999999994</v>
      </c>
      <c r="Q22" s="38">
        <f t="shared" si="8"/>
        <v>986160</v>
      </c>
      <c r="R22" s="38">
        <f t="shared" si="1"/>
        <v>1183392</v>
      </c>
      <c r="S22" s="38">
        <f t="shared" si="9"/>
        <v>0</v>
      </c>
      <c r="T22" s="38">
        <f t="shared" si="10"/>
        <v>0</v>
      </c>
      <c r="U22" s="38">
        <f t="shared" si="2"/>
        <v>0</v>
      </c>
      <c r="V22" s="38">
        <f t="shared" si="11"/>
        <v>986160</v>
      </c>
      <c r="W22" s="38">
        <f t="shared" si="11"/>
        <v>1183392</v>
      </c>
      <c r="X22" s="46"/>
    </row>
    <row r="23" spans="1:24" ht="22.5" customHeight="1" x14ac:dyDescent="0.25">
      <c r="A23" s="70" t="s">
        <v>44</v>
      </c>
      <c r="B23" s="71" t="s">
        <v>45</v>
      </c>
      <c r="C23" s="72" t="s">
        <v>25</v>
      </c>
      <c r="D23" s="73">
        <v>40</v>
      </c>
      <c r="E23" s="74"/>
      <c r="F23" s="75"/>
      <c r="G23" s="75"/>
      <c r="H23" s="76"/>
      <c r="I23" s="75"/>
      <c r="J23" s="75"/>
      <c r="K23" s="77"/>
      <c r="L23" s="78"/>
      <c r="M23" s="79">
        <f>5806760/1.2/40</f>
        <v>120974.16666666667</v>
      </c>
      <c r="N23" s="75">
        <f t="shared" si="5"/>
        <v>4838966.67</v>
      </c>
      <c r="O23" s="80">
        <f t="shared" si="6"/>
        <v>5806760</v>
      </c>
      <c r="P23" s="81">
        <f t="shared" si="7"/>
        <v>0</v>
      </c>
      <c r="Q23" s="75">
        <f t="shared" si="8"/>
        <v>0</v>
      </c>
      <c r="R23" s="75">
        <f t="shared" si="1"/>
        <v>0</v>
      </c>
      <c r="S23" s="75">
        <f t="shared" si="9"/>
        <v>153637.19166666668</v>
      </c>
      <c r="T23" s="75">
        <f t="shared" si="10"/>
        <v>6145487.6699999999</v>
      </c>
      <c r="U23" s="75">
        <f t="shared" si="2"/>
        <v>7374585.2000000002</v>
      </c>
      <c r="V23" s="75">
        <f t="shared" si="11"/>
        <v>6145487.6699999999</v>
      </c>
      <c r="W23" s="75">
        <f t="shared" si="11"/>
        <v>7374585.2000000002</v>
      </c>
      <c r="X23" s="46"/>
    </row>
    <row r="24" spans="1:24" ht="22.5" customHeight="1" x14ac:dyDescent="0.25">
      <c r="A24" s="70" t="s">
        <v>46</v>
      </c>
      <c r="B24" s="71" t="s">
        <v>47</v>
      </c>
      <c r="C24" s="72" t="s">
        <v>25</v>
      </c>
      <c r="D24" s="73">
        <v>460</v>
      </c>
      <c r="E24" s="74"/>
      <c r="F24" s="75"/>
      <c r="G24" s="75"/>
      <c r="H24" s="76"/>
      <c r="I24" s="75"/>
      <c r="J24" s="75"/>
      <c r="K24" s="77"/>
      <c r="L24" s="78"/>
      <c r="M24" s="79">
        <f>5950/1.2</f>
        <v>4958.3333333333339</v>
      </c>
      <c r="N24" s="75">
        <f t="shared" si="5"/>
        <v>2280833.33</v>
      </c>
      <c r="O24" s="80">
        <f t="shared" si="6"/>
        <v>2737000</v>
      </c>
      <c r="P24" s="81">
        <f t="shared" si="7"/>
        <v>0</v>
      </c>
      <c r="Q24" s="75">
        <f t="shared" si="8"/>
        <v>0</v>
      </c>
      <c r="R24" s="75">
        <f t="shared" si="1"/>
        <v>0</v>
      </c>
      <c r="S24" s="75">
        <f t="shared" si="9"/>
        <v>6297.0833333333339</v>
      </c>
      <c r="T24" s="75">
        <f t="shared" si="10"/>
        <v>2896658.33</v>
      </c>
      <c r="U24" s="75">
        <f t="shared" si="2"/>
        <v>3475990</v>
      </c>
      <c r="V24" s="75">
        <f t="shared" si="11"/>
        <v>2896658.33</v>
      </c>
      <c r="W24" s="75">
        <f t="shared" si="11"/>
        <v>3475990</v>
      </c>
      <c r="X24" s="46"/>
    </row>
    <row r="25" spans="1:24" ht="22.5" customHeight="1" x14ac:dyDescent="0.25">
      <c r="A25" s="70" t="s">
        <v>48</v>
      </c>
      <c r="B25" s="71" t="s">
        <v>49</v>
      </c>
      <c r="C25" s="72" t="s">
        <v>25</v>
      </c>
      <c r="D25" s="73">
        <v>84</v>
      </c>
      <c r="E25" s="74"/>
      <c r="F25" s="75"/>
      <c r="G25" s="75"/>
      <c r="H25" s="76"/>
      <c r="I25" s="75"/>
      <c r="J25" s="75"/>
      <c r="K25" s="77"/>
      <c r="L25" s="78"/>
      <c r="M25" s="79">
        <f>832608/1.2/84</f>
        <v>8260</v>
      </c>
      <c r="N25" s="75">
        <f t="shared" si="5"/>
        <v>693840</v>
      </c>
      <c r="O25" s="80">
        <f t="shared" si="6"/>
        <v>832608</v>
      </c>
      <c r="P25" s="81">
        <f t="shared" si="7"/>
        <v>0</v>
      </c>
      <c r="Q25" s="75">
        <f t="shared" si="8"/>
        <v>0</v>
      </c>
      <c r="R25" s="75">
        <f t="shared" si="1"/>
        <v>0</v>
      </c>
      <c r="S25" s="75">
        <f t="shared" si="9"/>
        <v>10490.2</v>
      </c>
      <c r="T25" s="75">
        <f t="shared" si="10"/>
        <v>881176.8</v>
      </c>
      <c r="U25" s="75">
        <f t="shared" si="2"/>
        <v>1057412.1599999999</v>
      </c>
      <c r="V25" s="75">
        <f t="shared" si="11"/>
        <v>881176.8</v>
      </c>
      <c r="W25" s="75">
        <f t="shared" si="11"/>
        <v>1057412.1599999999</v>
      </c>
      <c r="X25" s="46"/>
    </row>
    <row r="26" spans="1:24" ht="22.5" customHeight="1" x14ac:dyDescent="0.25">
      <c r="A26" s="70" t="s">
        <v>50</v>
      </c>
      <c r="B26" s="71" t="s">
        <v>51</v>
      </c>
      <c r="C26" s="72" t="s">
        <v>25</v>
      </c>
      <c r="D26" s="73">
        <v>252</v>
      </c>
      <c r="E26" s="74"/>
      <c r="F26" s="75"/>
      <c r="G26" s="75"/>
      <c r="H26" s="76"/>
      <c r="I26" s="75"/>
      <c r="J26" s="75"/>
      <c r="K26" s="77"/>
      <c r="L26" s="78"/>
      <c r="M26" s="79">
        <f>56715/1.2/252</f>
        <v>187.54960317460316</v>
      </c>
      <c r="N26" s="75">
        <f t="shared" si="5"/>
        <v>47262.5</v>
      </c>
      <c r="O26" s="80">
        <f t="shared" si="6"/>
        <v>56715</v>
      </c>
      <c r="P26" s="81">
        <f t="shared" si="7"/>
        <v>0</v>
      </c>
      <c r="Q26" s="75">
        <f t="shared" si="8"/>
        <v>0</v>
      </c>
      <c r="R26" s="75">
        <f t="shared" si="1"/>
        <v>0</v>
      </c>
      <c r="S26" s="75">
        <f t="shared" si="9"/>
        <v>238.18799603174602</v>
      </c>
      <c r="T26" s="75">
        <f t="shared" si="10"/>
        <v>60023.38</v>
      </c>
      <c r="U26" s="75">
        <f t="shared" si="2"/>
        <v>72028.06</v>
      </c>
      <c r="V26" s="75">
        <f t="shared" si="11"/>
        <v>60023.38</v>
      </c>
      <c r="W26" s="75">
        <f t="shared" si="11"/>
        <v>72028.06</v>
      </c>
      <c r="X26" s="46"/>
    </row>
    <row r="27" spans="1:24" ht="22.5" customHeight="1" x14ac:dyDescent="0.25">
      <c r="A27" s="70" t="s">
        <v>52</v>
      </c>
      <c r="B27" s="71" t="s">
        <v>53</v>
      </c>
      <c r="C27" s="72" t="s">
        <v>25</v>
      </c>
      <c r="D27" s="73">
        <v>920</v>
      </c>
      <c r="E27" s="74"/>
      <c r="F27" s="75"/>
      <c r="G27" s="75"/>
      <c r="H27" s="76"/>
      <c r="I27" s="75"/>
      <c r="J27" s="75"/>
      <c r="K27" s="77"/>
      <c r="L27" s="78"/>
      <c r="M27" s="79">
        <f>1727320/796/1.2</f>
        <v>1808.3333333333335</v>
      </c>
      <c r="N27" s="75">
        <f t="shared" si="5"/>
        <v>1663666.67</v>
      </c>
      <c r="O27" s="80">
        <f t="shared" si="6"/>
        <v>1996400</v>
      </c>
      <c r="P27" s="81">
        <f t="shared" si="7"/>
        <v>0</v>
      </c>
      <c r="Q27" s="75">
        <f t="shared" si="8"/>
        <v>0</v>
      </c>
      <c r="R27" s="75">
        <f t="shared" si="1"/>
        <v>0</v>
      </c>
      <c r="S27" s="75">
        <f t="shared" si="9"/>
        <v>2296.5833333333335</v>
      </c>
      <c r="T27" s="75">
        <f t="shared" si="10"/>
        <v>2112856.67</v>
      </c>
      <c r="U27" s="75">
        <f t="shared" si="2"/>
        <v>2535428</v>
      </c>
      <c r="V27" s="75">
        <f t="shared" si="11"/>
        <v>2112856.67</v>
      </c>
      <c r="W27" s="75">
        <f t="shared" si="11"/>
        <v>2535428</v>
      </c>
      <c r="X27" s="46"/>
    </row>
    <row r="28" spans="1:24" ht="22.5" customHeight="1" x14ac:dyDescent="0.25">
      <c r="A28" s="70" t="s">
        <v>54</v>
      </c>
      <c r="B28" s="71" t="s">
        <v>55</v>
      </c>
      <c r="C28" s="72" t="s">
        <v>25</v>
      </c>
      <c r="D28" s="73">
        <v>920</v>
      </c>
      <c r="E28" s="74"/>
      <c r="F28" s="75"/>
      <c r="G28" s="75"/>
      <c r="H28" s="76"/>
      <c r="I28" s="75"/>
      <c r="J28" s="75"/>
      <c r="K28" s="77"/>
      <c r="L28" s="78"/>
      <c r="M28" s="79">
        <f>85/1.2</f>
        <v>70.833333333333343</v>
      </c>
      <c r="N28" s="75">
        <f t="shared" si="5"/>
        <v>65166.67</v>
      </c>
      <c r="O28" s="80">
        <f t="shared" si="6"/>
        <v>78200</v>
      </c>
      <c r="P28" s="81">
        <f t="shared" si="7"/>
        <v>0</v>
      </c>
      <c r="Q28" s="75">
        <f t="shared" si="8"/>
        <v>0</v>
      </c>
      <c r="R28" s="75">
        <f t="shared" si="1"/>
        <v>0</v>
      </c>
      <c r="S28" s="75">
        <f t="shared" si="9"/>
        <v>89.958333333333343</v>
      </c>
      <c r="T28" s="75">
        <f t="shared" si="10"/>
        <v>82761.67</v>
      </c>
      <c r="U28" s="75">
        <f t="shared" si="2"/>
        <v>99314</v>
      </c>
      <c r="V28" s="75">
        <f t="shared" si="11"/>
        <v>82761.67</v>
      </c>
      <c r="W28" s="75">
        <f t="shared" si="11"/>
        <v>99314</v>
      </c>
      <c r="X28" s="46"/>
    </row>
    <row r="29" spans="1:24" ht="22.5" customHeight="1" x14ac:dyDescent="0.25">
      <c r="A29" s="70" t="s">
        <v>56</v>
      </c>
      <c r="B29" s="71" t="s">
        <v>57</v>
      </c>
      <c r="C29" s="72" t="s">
        <v>25</v>
      </c>
      <c r="D29" s="73">
        <v>920</v>
      </c>
      <c r="E29" s="74"/>
      <c r="F29" s="75"/>
      <c r="G29" s="75"/>
      <c r="H29" s="76"/>
      <c r="I29" s="75"/>
      <c r="J29" s="75"/>
      <c r="K29" s="77"/>
      <c r="L29" s="78"/>
      <c r="M29" s="79">
        <f>96/1.2</f>
        <v>80</v>
      </c>
      <c r="N29" s="75">
        <f t="shared" si="5"/>
        <v>73600</v>
      </c>
      <c r="O29" s="80">
        <f t="shared" si="6"/>
        <v>88320</v>
      </c>
      <c r="P29" s="81">
        <f t="shared" si="7"/>
        <v>0</v>
      </c>
      <c r="Q29" s="75">
        <f t="shared" si="8"/>
        <v>0</v>
      </c>
      <c r="R29" s="75">
        <f t="shared" si="1"/>
        <v>0</v>
      </c>
      <c r="S29" s="75">
        <f t="shared" si="9"/>
        <v>101.6</v>
      </c>
      <c r="T29" s="75">
        <f t="shared" si="10"/>
        <v>93472</v>
      </c>
      <c r="U29" s="75">
        <f t="shared" si="2"/>
        <v>112166.39999999999</v>
      </c>
      <c r="V29" s="75">
        <f t="shared" si="11"/>
        <v>93472</v>
      </c>
      <c r="W29" s="75">
        <f t="shared" si="11"/>
        <v>112166.39999999999</v>
      </c>
      <c r="X29" s="46"/>
    </row>
    <row r="30" spans="1:24" ht="22.5" customHeight="1" x14ac:dyDescent="0.25">
      <c r="A30" s="70" t="s">
        <v>58</v>
      </c>
      <c r="B30" s="71" t="s">
        <v>59</v>
      </c>
      <c r="C30" s="72" t="s">
        <v>25</v>
      </c>
      <c r="D30" s="73">
        <v>1840</v>
      </c>
      <c r="E30" s="74"/>
      <c r="F30" s="75"/>
      <c r="G30" s="75"/>
      <c r="H30" s="76"/>
      <c r="I30" s="75"/>
      <c r="J30" s="75"/>
      <c r="K30" s="77"/>
      <c r="L30" s="78"/>
      <c r="M30" s="79">
        <f>367354/1.2/1840</f>
        <v>166.37409420289856</v>
      </c>
      <c r="N30" s="75">
        <f t="shared" si="5"/>
        <v>306128.33</v>
      </c>
      <c r="O30" s="80">
        <f t="shared" si="6"/>
        <v>367354</v>
      </c>
      <c r="P30" s="81">
        <f t="shared" si="7"/>
        <v>0</v>
      </c>
      <c r="Q30" s="75">
        <f t="shared" si="8"/>
        <v>0</v>
      </c>
      <c r="R30" s="75">
        <f t="shared" si="1"/>
        <v>0</v>
      </c>
      <c r="S30" s="75">
        <f t="shared" si="9"/>
        <v>211.29509963768118</v>
      </c>
      <c r="T30" s="75">
        <f t="shared" si="10"/>
        <v>388782.98</v>
      </c>
      <c r="U30" s="75">
        <f t="shared" si="2"/>
        <v>466539.58</v>
      </c>
      <c r="V30" s="75">
        <f t="shared" si="11"/>
        <v>388782.98</v>
      </c>
      <c r="W30" s="75">
        <f t="shared" si="11"/>
        <v>466539.58</v>
      </c>
      <c r="X30" s="46"/>
    </row>
    <row r="31" spans="1:24" ht="22.5" customHeight="1" x14ac:dyDescent="0.25">
      <c r="A31" s="70" t="s">
        <v>60</v>
      </c>
      <c r="B31" s="71" t="s">
        <v>61</v>
      </c>
      <c r="C31" s="72" t="s">
        <v>25</v>
      </c>
      <c r="D31" s="73">
        <v>1840</v>
      </c>
      <c r="E31" s="74"/>
      <c r="F31" s="75"/>
      <c r="G31" s="75"/>
      <c r="H31" s="76"/>
      <c r="I31" s="75"/>
      <c r="J31" s="75"/>
      <c r="K31" s="77"/>
      <c r="L31" s="78"/>
      <c r="M31" s="79">
        <f>589305/1.2/1840</f>
        <v>266.89538043478262</v>
      </c>
      <c r="N31" s="75">
        <f t="shared" si="5"/>
        <v>491087.5</v>
      </c>
      <c r="O31" s="80">
        <f t="shared" si="6"/>
        <v>589305</v>
      </c>
      <c r="P31" s="81">
        <f t="shared" si="7"/>
        <v>0</v>
      </c>
      <c r="Q31" s="75">
        <f t="shared" si="8"/>
        <v>0</v>
      </c>
      <c r="R31" s="75">
        <f t="shared" si="1"/>
        <v>0</v>
      </c>
      <c r="S31" s="75">
        <f t="shared" si="9"/>
        <v>338.95713315217392</v>
      </c>
      <c r="T31" s="75">
        <f t="shared" si="10"/>
        <v>623681.13</v>
      </c>
      <c r="U31" s="75">
        <f t="shared" si="2"/>
        <v>748417.36</v>
      </c>
      <c r="V31" s="75">
        <f t="shared" si="11"/>
        <v>623681.13</v>
      </c>
      <c r="W31" s="75">
        <f t="shared" si="11"/>
        <v>748417.36</v>
      </c>
      <c r="X31" s="46"/>
    </row>
    <row r="32" spans="1:24" ht="22.5" customHeight="1" x14ac:dyDescent="0.25">
      <c r="A32" s="33">
        <f>A22+1</f>
        <v>7</v>
      </c>
      <c r="B32" s="34" t="s">
        <v>62</v>
      </c>
      <c r="C32" s="54" t="s">
        <v>21</v>
      </c>
      <c r="D32" s="55">
        <v>107.5</v>
      </c>
      <c r="E32" s="37">
        <v>1933.2</v>
      </c>
      <c r="F32" s="38">
        <f t="shared" ref="F32" si="29">ROUND(E32*D32,2)</f>
        <v>207819</v>
      </c>
      <c r="G32" s="38">
        <f t="shared" ref="G32" si="30">ROUND(F32*1.2,2)</f>
        <v>249382.8</v>
      </c>
      <c r="H32" s="39"/>
      <c r="I32" s="40">
        <f t="shared" ref="I32:I33" si="31">ROUND(H32*D32,2)</f>
        <v>0</v>
      </c>
      <c r="J32" s="40">
        <f t="shared" ref="J32:J33" si="32">ROUND(I32*1.2,2)</f>
        <v>0</v>
      </c>
      <c r="K32" s="41">
        <f t="shared" ref="K32:L37" si="33">F32+I32</f>
        <v>207819</v>
      </c>
      <c r="L32" s="42">
        <f t="shared" si="33"/>
        <v>249382.8</v>
      </c>
      <c r="M32" s="43"/>
      <c r="N32" s="38">
        <f t="shared" si="5"/>
        <v>0</v>
      </c>
      <c r="O32" s="44">
        <f t="shared" si="6"/>
        <v>0</v>
      </c>
      <c r="P32" s="45">
        <f t="shared" si="7"/>
        <v>2706.48</v>
      </c>
      <c r="Q32" s="38">
        <f t="shared" si="8"/>
        <v>290946.59999999998</v>
      </c>
      <c r="R32" s="38">
        <f t="shared" si="1"/>
        <v>349135.92</v>
      </c>
      <c r="S32" s="38">
        <f t="shared" si="9"/>
        <v>0</v>
      </c>
      <c r="T32" s="38">
        <f t="shared" si="10"/>
        <v>0</v>
      </c>
      <c r="U32" s="38">
        <f t="shared" si="2"/>
        <v>0</v>
      </c>
      <c r="V32" s="38">
        <f t="shared" si="11"/>
        <v>290946.59999999998</v>
      </c>
      <c r="W32" s="38">
        <f t="shared" si="11"/>
        <v>349135.92</v>
      </c>
      <c r="X32" s="46"/>
    </row>
    <row r="33" spans="1:24" ht="20.25" customHeight="1" x14ac:dyDescent="0.25">
      <c r="A33" s="56" t="s">
        <v>63</v>
      </c>
      <c r="B33" s="69" t="s">
        <v>41</v>
      </c>
      <c r="C33" s="67" t="s">
        <v>21</v>
      </c>
      <c r="D33" s="59">
        <v>125.78</v>
      </c>
      <c r="E33" s="60"/>
      <c r="F33" s="60"/>
      <c r="G33" s="60"/>
      <c r="H33" s="60">
        <v>3925</v>
      </c>
      <c r="I33" s="60">
        <f t="shared" si="31"/>
        <v>493686.5</v>
      </c>
      <c r="J33" s="60">
        <f t="shared" si="32"/>
        <v>592423.80000000005</v>
      </c>
      <c r="K33" s="62">
        <f t="shared" si="33"/>
        <v>493686.5</v>
      </c>
      <c r="L33" s="63">
        <f t="shared" si="33"/>
        <v>592423.80000000005</v>
      </c>
      <c r="M33" s="64"/>
      <c r="N33" s="60">
        <f t="shared" si="5"/>
        <v>0</v>
      </c>
      <c r="O33" s="65">
        <f t="shared" si="6"/>
        <v>0</v>
      </c>
      <c r="P33" s="66">
        <f t="shared" si="7"/>
        <v>0</v>
      </c>
      <c r="Q33" s="60">
        <f t="shared" si="8"/>
        <v>0</v>
      </c>
      <c r="R33" s="60">
        <f t="shared" si="1"/>
        <v>0</v>
      </c>
      <c r="S33" s="60">
        <f t="shared" si="9"/>
        <v>4984.75</v>
      </c>
      <c r="T33" s="60">
        <f t="shared" si="10"/>
        <v>626981.86</v>
      </c>
      <c r="U33" s="60">
        <f t="shared" si="2"/>
        <v>752378.23</v>
      </c>
      <c r="V33" s="60">
        <f t="shared" si="11"/>
        <v>626981.86</v>
      </c>
      <c r="W33" s="60">
        <f t="shared" si="11"/>
        <v>752378.23</v>
      </c>
      <c r="X33" s="46"/>
    </row>
    <row r="34" spans="1:24" ht="20.25" customHeight="1" x14ac:dyDescent="0.25">
      <c r="A34" s="33">
        <f>A32+1</f>
        <v>8</v>
      </c>
      <c r="B34" s="34" t="s">
        <v>64</v>
      </c>
      <c r="C34" s="54" t="s">
        <v>21</v>
      </c>
      <c r="D34" s="82">
        <v>10.75</v>
      </c>
      <c r="E34" s="68">
        <v>1449.9</v>
      </c>
      <c r="F34" s="38">
        <f t="shared" ref="F34" si="34">ROUND(E34*D34,2)</f>
        <v>15586.43</v>
      </c>
      <c r="G34" s="38">
        <f t="shared" ref="G34" si="35">ROUND(F34*1.2,2)</f>
        <v>18703.72</v>
      </c>
      <c r="H34" s="39"/>
      <c r="I34" s="40"/>
      <c r="J34" s="40"/>
      <c r="K34" s="41">
        <f t="shared" si="33"/>
        <v>15586.43</v>
      </c>
      <c r="L34" s="42">
        <f t="shared" si="33"/>
        <v>18703.72</v>
      </c>
      <c r="M34" s="43"/>
      <c r="N34" s="38">
        <f t="shared" si="5"/>
        <v>0</v>
      </c>
      <c r="O34" s="44">
        <f t="shared" si="6"/>
        <v>0</v>
      </c>
      <c r="P34" s="45">
        <f t="shared" si="7"/>
        <v>2029.86</v>
      </c>
      <c r="Q34" s="38">
        <f t="shared" si="8"/>
        <v>21821</v>
      </c>
      <c r="R34" s="38">
        <f t="shared" si="1"/>
        <v>26185.200000000001</v>
      </c>
      <c r="S34" s="38">
        <f t="shared" si="9"/>
        <v>0</v>
      </c>
      <c r="T34" s="38">
        <f t="shared" si="10"/>
        <v>0</v>
      </c>
      <c r="U34" s="38">
        <f t="shared" si="2"/>
        <v>0</v>
      </c>
      <c r="V34" s="38">
        <f t="shared" si="11"/>
        <v>21821</v>
      </c>
      <c r="W34" s="38">
        <f t="shared" si="11"/>
        <v>26185.200000000001</v>
      </c>
      <c r="X34" s="46"/>
    </row>
    <row r="35" spans="1:24" ht="20.25" customHeight="1" x14ac:dyDescent="0.25">
      <c r="A35" s="56" t="s">
        <v>63</v>
      </c>
      <c r="B35" s="83" t="s">
        <v>41</v>
      </c>
      <c r="C35" s="67" t="s">
        <v>21</v>
      </c>
      <c r="D35" s="59">
        <v>12.58</v>
      </c>
      <c r="E35" s="60"/>
      <c r="F35" s="60"/>
      <c r="G35" s="60"/>
      <c r="H35" s="60">
        <v>3925</v>
      </c>
      <c r="I35" s="60">
        <f t="shared" ref="I35" si="36">ROUND(H35*D35,2)</f>
        <v>49376.5</v>
      </c>
      <c r="J35" s="60">
        <f t="shared" ref="J35" si="37">ROUND(I35*1.2,2)</f>
        <v>59251.8</v>
      </c>
      <c r="K35" s="62">
        <f t="shared" si="33"/>
        <v>49376.5</v>
      </c>
      <c r="L35" s="63">
        <f t="shared" si="33"/>
        <v>59251.8</v>
      </c>
      <c r="M35" s="64"/>
      <c r="N35" s="60">
        <f t="shared" si="5"/>
        <v>0</v>
      </c>
      <c r="O35" s="65">
        <f t="shared" si="6"/>
        <v>0</v>
      </c>
      <c r="P35" s="66">
        <f t="shared" si="7"/>
        <v>0</v>
      </c>
      <c r="Q35" s="60">
        <f t="shared" si="8"/>
        <v>0</v>
      </c>
      <c r="R35" s="60">
        <f t="shared" si="1"/>
        <v>0</v>
      </c>
      <c r="S35" s="60">
        <f t="shared" si="9"/>
        <v>4984.75</v>
      </c>
      <c r="T35" s="60">
        <f t="shared" si="10"/>
        <v>62708.160000000003</v>
      </c>
      <c r="U35" s="60">
        <f t="shared" si="2"/>
        <v>75249.789999999994</v>
      </c>
      <c r="V35" s="60">
        <f t="shared" si="11"/>
        <v>62708.160000000003</v>
      </c>
      <c r="W35" s="60">
        <f t="shared" si="11"/>
        <v>75249.789999999994</v>
      </c>
      <c r="X35" s="46"/>
    </row>
    <row r="36" spans="1:24" ht="20.25" customHeight="1" x14ac:dyDescent="0.25">
      <c r="A36" s="33">
        <f>A34+1</f>
        <v>9</v>
      </c>
      <c r="B36" s="34" t="s">
        <v>65</v>
      </c>
      <c r="C36" s="54" t="s">
        <v>23</v>
      </c>
      <c r="D36" s="55">
        <v>250</v>
      </c>
      <c r="E36" s="37">
        <v>945.3</v>
      </c>
      <c r="F36" s="38">
        <f t="shared" ref="F36:F37" si="38">ROUND(E36*D36,2)</f>
        <v>236325</v>
      </c>
      <c r="G36" s="38">
        <f t="shared" ref="G36:G37" si="39">ROUND(F36*1.2,2)</f>
        <v>283590</v>
      </c>
      <c r="H36" s="39"/>
      <c r="I36" s="40"/>
      <c r="J36" s="40"/>
      <c r="K36" s="41">
        <f t="shared" si="33"/>
        <v>236325</v>
      </c>
      <c r="L36" s="42">
        <f t="shared" si="33"/>
        <v>283590</v>
      </c>
      <c r="M36" s="43"/>
      <c r="N36" s="38">
        <f t="shared" si="5"/>
        <v>0</v>
      </c>
      <c r="O36" s="44">
        <f t="shared" si="6"/>
        <v>0</v>
      </c>
      <c r="P36" s="45">
        <f t="shared" si="7"/>
        <v>1323.4199999999998</v>
      </c>
      <c r="Q36" s="38">
        <f t="shared" si="8"/>
        <v>330855</v>
      </c>
      <c r="R36" s="38">
        <f t="shared" si="1"/>
        <v>397026</v>
      </c>
      <c r="S36" s="38">
        <f t="shared" si="9"/>
        <v>0</v>
      </c>
      <c r="T36" s="38">
        <f t="shared" si="10"/>
        <v>0</v>
      </c>
      <c r="U36" s="38">
        <f t="shared" si="2"/>
        <v>0</v>
      </c>
      <c r="V36" s="38">
        <f t="shared" si="11"/>
        <v>330855</v>
      </c>
      <c r="W36" s="38">
        <f t="shared" si="11"/>
        <v>397026</v>
      </c>
      <c r="X36" s="46"/>
    </row>
    <row r="37" spans="1:24" ht="20.25" customHeight="1" x14ac:dyDescent="0.25">
      <c r="A37" s="33">
        <f t="shared" ref="A37" si="40">A36+1</f>
        <v>10</v>
      </c>
      <c r="B37" s="34" t="s">
        <v>66</v>
      </c>
      <c r="C37" s="54" t="s">
        <v>23</v>
      </c>
      <c r="D37" s="55">
        <v>250</v>
      </c>
      <c r="E37" s="37">
        <v>1933.2</v>
      </c>
      <c r="F37" s="38">
        <f t="shared" si="38"/>
        <v>483300</v>
      </c>
      <c r="G37" s="38">
        <f t="shared" si="39"/>
        <v>579960</v>
      </c>
      <c r="H37" s="84"/>
      <c r="I37" s="40"/>
      <c r="J37" s="40"/>
      <c r="K37" s="41">
        <f t="shared" si="33"/>
        <v>483300</v>
      </c>
      <c r="L37" s="42">
        <f t="shared" si="33"/>
        <v>579960</v>
      </c>
      <c r="M37" s="43"/>
      <c r="N37" s="38">
        <f t="shared" si="5"/>
        <v>0</v>
      </c>
      <c r="O37" s="44">
        <f t="shared" si="6"/>
        <v>0</v>
      </c>
      <c r="P37" s="45">
        <f t="shared" si="7"/>
        <v>2706.48</v>
      </c>
      <c r="Q37" s="38">
        <f t="shared" si="8"/>
        <v>676620</v>
      </c>
      <c r="R37" s="38">
        <f t="shared" si="1"/>
        <v>811944</v>
      </c>
      <c r="S37" s="38">
        <f t="shared" si="9"/>
        <v>0</v>
      </c>
      <c r="T37" s="38">
        <f t="shared" si="10"/>
        <v>0</v>
      </c>
      <c r="U37" s="38">
        <f t="shared" si="2"/>
        <v>0</v>
      </c>
      <c r="V37" s="38">
        <f t="shared" si="11"/>
        <v>676620</v>
      </c>
      <c r="W37" s="38">
        <f t="shared" si="11"/>
        <v>811944</v>
      </c>
      <c r="X37" s="46"/>
    </row>
    <row r="38" spans="1:24" ht="20.25" customHeight="1" x14ac:dyDescent="0.25">
      <c r="A38" s="85"/>
      <c r="B38" s="137" t="s">
        <v>67</v>
      </c>
      <c r="C38" s="138"/>
      <c r="D38" s="139"/>
      <c r="E38" s="86"/>
      <c r="F38" s="87"/>
      <c r="G38" s="87"/>
      <c r="H38" s="88"/>
      <c r="I38" s="87"/>
      <c r="J38" s="87"/>
      <c r="K38" s="89"/>
      <c r="L38" s="90"/>
      <c r="M38" s="91"/>
      <c r="N38" s="87">
        <f t="shared" si="5"/>
        <v>0</v>
      </c>
      <c r="O38" s="92">
        <f t="shared" si="6"/>
        <v>0</v>
      </c>
      <c r="P38" s="93">
        <f t="shared" si="7"/>
        <v>0</v>
      </c>
      <c r="Q38" s="87">
        <f t="shared" si="8"/>
        <v>0</v>
      </c>
      <c r="R38" s="87">
        <f t="shared" si="1"/>
        <v>0</v>
      </c>
      <c r="S38" s="87">
        <f t="shared" si="9"/>
        <v>0</v>
      </c>
      <c r="T38" s="87">
        <f t="shared" si="10"/>
        <v>0</v>
      </c>
      <c r="U38" s="87">
        <f t="shared" si="2"/>
        <v>0</v>
      </c>
      <c r="V38" s="87">
        <f t="shared" si="11"/>
        <v>0</v>
      </c>
      <c r="W38" s="87">
        <f t="shared" si="11"/>
        <v>0</v>
      </c>
      <c r="X38" s="46"/>
    </row>
    <row r="39" spans="1:24" ht="20.25" customHeight="1" x14ac:dyDescent="0.25">
      <c r="A39" s="33">
        <f>A37+1</f>
        <v>11</v>
      </c>
      <c r="B39" s="94" t="s">
        <v>68</v>
      </c>
      <c r="C39" s="95" t="s">
        <v>69</v>
      </c>
      <c r="D39" s="96">
        <v>12</v>
      </c>
      <c r="E39" s="37">
        <v>10620</v>
      </c>
      <c r="F39" s="38">
        <f t="shared" ref="F39:F46" si="41">ROUND(E39*D39,2)</f>
        <v>127440</v>
      </c>
      <c r="G39" s="38">
        <f t="shared" ref="G39:G46" si="42">ROUND(F39*1.2,2)</f>
        <v>152928</v>
      </c>
      <c r="H39" s="39"/>
      <c r="I39" s="40"/>
      <c r="J39" s="40"/>
      <c r="K39" s="41">
        <f t="shared" ref="K39:L47" si="43">F39+I39</f>
        <v>127440</v>
      </c>
      <c r="L39" s="42">
        <f t="shared" si="43"/>
        <v>152928</v>
      </c>
      <c r="M39" s="43"/>
      <c r="N39" s="38">
        <f t="shared" si="5"/>
        <v>0</v>
      </c>
      <c r="O39" s="44">
        <f t="shared" si="6"/>
        <v>0</v>
      </c>
      <c r="P39" s="45">
        <f t="shared" si="7"/>
        <v>14867.999999999998</v>
      </c>
      <c r="Q39" s="38">
        <f t="shared" si="8"/>
        <v>178416</v>
      </c>
      <c r="R39" s="38">
        <f t="shared" si="1"/>
        <v>214099.20000000001</v>
      </c>
      <c r="S39" s="38">
        <f t="shared" si="9"/>
        <v>0</v>
      </c>
      <c r="T39" s="38">
        <f t="shared" si="10"/>
        <v>0</v>
      </c>
      <c r="U39" s="38">
        <f t="shared" si="2"/>
        <v>0</v>
      </c>
      <c r="V39" s="38">
        <f t="shared" si="11"/>
        <v>178416</v>
      </c>
      <c r="W39" s="38">
        <f t="shared" si="11"/>
        <v>214099.20000000001</v>
      </c>
      <c r="X39" s="46"/>
    </row>
    <row r="40" spans="1:24" ht="20.25" customHeight="1" x14ac:dyDescent="0.25">
      <c r="A40" s="33">
        <f>A39+1</f>
        <v>12</v>
      </c>
      <c r="B40" s="94" t="s">
        <v>70</v>
      </c>
      <c r="C40" s="95" t="s">
        <v>69</v>
      </c>
      <c r="D40" s="96">
        <v>24</v>
      </c>
      <c r="E40" s="37">
        <v>8420</v>
      </c>
      <c r="F40" s="38">
        <f t="shared" si="41"/>
        <v>202080</v>
      </c>
      <c r="G40" s="38">
        <f t="shared" si="42"/>
        <v>242496</v>
      </c>
      <c r="H40" s="39"/>
      <c r="I40" s="40"/>
      <c r="J40" s="40"/>
      <c r="K40" s="41">
        <f t="shared" si="43"/>
        <v>202080</v>
      </c>
      <c r="L40" s="42">
        <f t="shared" si="43"/>
        <v>242496</v>
      </c>
      <c r="M40" s="43"/>
      <c r="N40" s="38">
        <f t="shared" si="5"/>
        <v>0</v>
      </c>
      <c r="O40" s="44">
        <f t="shared" si="6"/>
        <v>0</v>
      </c>
      <c r="P40" s="45">
        <f t="shared" si="7"/>
        <v>11788</v>
      </c>
      <c r="Q40" s="38">
        <f t="shared" si="8"/>
        <v>282912</v>
      </c>
      <c r="R40" s="38">
        <f t="shared" si="1"/>
        <v>339494.40000000002</v>
      </c>
      <c r="S40" s="38">
        <f t="shared" si="9"/>
        <v>0</v>
      </c>
      <c r="T40" s="38">
        <f t="shared" si="10"/>
        <v>0</v>
      </c>
      <c r="U40" s="38">
        <f t="shared" si="2"/>
        <v>0</v>
      </c>
      <c r="V40" s="38">
        <f t="shared" si="11"/>
        <v>282912</v>
      </c>
      <c r="W40" s="38">
        <f t="shared" si="11"/>
        <v>339494.40000000002</v>
      </c>
      <c r="X40" s="46"/>
    </row>
    <row r="41" spans="1:24" ht="20.25" customHeight="1" x14ac:dyDescent="0.25">
      <c r="A41" s="33">
        <f t="shared" ref="A41:A42" si="44">A40+1</f>
        <v>13</v>
      </c>
      <c r="B41" s="94" t="s">
        <v>71</v>
      </c>
      <c r="C41" s="95" t="s">
        <v>69</v>
      </c>
      <c r="D41" s="96">
        <v>24</v>
      </c>
      <c r="E41" s="37">
        <v>510</v>
      </c>
      <c r="F41" s="38">
        <f t="shared" si="41"/>
        <v>12240</v>
      </c>
      <c r="G41" s="38">
        <f t="shared" si="42"/>
        <v>14688</v>
      </c>
      <c r="H41" s="39"/>
      <c r="I41" s="40"/>
      <c r="J41" s="40"/>
      <c r="K41" s="41">
        <f t="shared" si="43"/>
        <v>12240</v>
      </c>
      <c r="L41" s="42">
        <f t="shared" si="43"/>
        <v>14688</v>
      </c>
      <c r="M41" s="43"/>
      <c r="N41" s="38">
        <f t="shared" si="5"/>
        <v>0</v>
      </c>
      <c r="O41" s="44">
        <f t="shared" si="6"/>
        <v>0</v>
      </c>
      <c r="P41" s="45">
        <f t="shared" si="7"/>
        <v>714</v>
      </c>
      <c r="Q41" s="38">
        <f t="shared" si="8"/>
        <v>17136</v>
      </c>
      <c r="R41" s="38">
        <f t="shared" si="1"/>
        <v>20563.2</v>
      </c>
      <c r="S41" s="38">
        <f t="shared" si="9"/>
        <v>0</v>
      </c>
      <c r="T41" s="38">
        <f t="shared" si="10"/>
        <v>0</v>
      </c>
      <c r="U41" s="38">
        <f t="shared" si="2"/>
        <v>0</v>
      </c>
      <c r="V41" s="38">
        <f t="shared" si="11"/>
        <v>17136</v>
      </c>
      <c r="W41" s="38">
        <f t="shared" si="11"/>
        <v>20563.2</v>
      </c>
      <c r="X41" s="46"/>
    </row>
    <row r="42" spans="1:24" ht="20.65" customHeight="1" x14ac:dyDescent="0.25">
      <c r="A42" s="33">
        <f t="shared" si="44"/>
        <v>14</v>
      </c>
      <c r="B42" s="94" t="s">
        <v>72</v>
      </c>
      <c r="C42" s="95" t="s">
        <v>69</v>
      </c>
      <c r="D42" s="96">
        <v>12</v>
      </c>
      <c r="E42" s="37">
        <v>510</v>
      </c>
      <c r="F42" s="38">
        <f t="shared" si="41"/>
        <v>6120</v>
      </c>
      <c r="G42" s="38">
        <f t="shared" si="42"/>
        <v>7344</v>
      </c>
      <c r="H42" s="39"/>
      <c r="I42" s="40"/>
      <c r="J42" s="40"/>
      <c r="K42" s="41">
        <f t="shared" si="43"/>
        <v>6120</v>
      </c>
      <c r="L42" s="42">
        <f t="shared" si="43"/>
        <v>7344</v>
      </c>
      <c r="M42" s="43"/>
      <c r="N42" s="38">
        <f t="shared" si="5"/>
        <v>0</v>
      </c>
      <c r="O42" s="44">
        <f t="shared" si="6"/>
        <v>0</v>
      </c>
      <c r="P42" s="45">
        <f t="shared" si="7"/>
        <v>714</v>
      </c>
      <c r="Q42" s="38">
        <f t="shared" si="8"/>
        <v>8568</v>
      </c>
      <c r="R42" s="38">
        <f t="shared" si="1"/>
        <v>10281.6</v>
      </c>
      <c r="S42" s="38">
        <f t="shared" si="9"/>
        <v>0</v>
      </c>
      <c r="T42" s="38">
        <f t="shared" si="10"/>
        <v>0</v>
      </c>
      <c r="U42" s="38">
        <f t="shared" si="2"/>
        <v>0</v>
      </c>
      <c r="V42" s="38">
        <f t="shared" si="11"/>
        <v>8568</v>
      </c>
      <c r="W42" s="38">
        <f t="shared" si="11"/>
        <v>10281.6</v>
      </c>
      <c r="X42" s="46"/>
    </row>
    <row r="43" spans="1:24" s="102" customFormat="1" ht="20.25" customHeight="1" x14ac:dyDescent="0.25">
      <c r="A43" s="70" t="s">
        <v>73</v>
      </c>
      <c r="B43" s="97" t="s">
        <v>74</v>
      </c>
      <c r="C43" s="98" t="s">
        <v>75</v>
      </c>
      <c r="D43" s="99">
        <v>1</v>
      </c>
      <c r="E43" s="75"/>
      <c r="F43" s="75"/>
      <c r="G43" s="75"/>
      <c r="H43" s="100"/>
      <c r="I43" s="75"/>
      <c r="J43" s="75"/>
      <c r="K43" s="77"/>
      <c r="L43" s="78"/>
      <c r="M43" s="79"/>
      <c r="N43" s="75">
        <f t="shared" si="5"/>
        <v>0</v>
      </c>
      <c r="O43" s="80">
        <f t="shared" si="6"/>
        <v>0</v>
      </c>
      <c r="P43" s="81">
        <f t="shared" si="7"/>
        <v>0</v>
      </c>
      <c r="Q43" s="75">
        <f t="shared" si="8"/>
        <v>0</v>
      </c>
      <c r="R43" s="75">
        <f t="shared" si="1"/>
        <v>0</v>
      </c>
      <c r="S43" s="75">
        <f t="shared" si="9"/>
        <v>0</v>
      </c>
      <c r="T43" s="75">
        <f t="shared" si="10"/>
        <v>0</v>
      </c>
      <c r="U43" s="75">
        <f t="shared" si="2"/>
        <v>0</v>
      </c>
      <c r="V43" s="75">
        <f t="shared" si="11"/>
        <v>0</v>
      </c>
      <c r="W43" s="75">
        <f t="shared" si="11"/>
        <v>0</v>
      </c>
      <c r="X43" s="101"/>
    </row>
    <row r="44" spans="1:24" s="102" customFormat="1" ht="20.25" customHeight="1" x14ac:dyDescent="0.25">
      <c r="A44" s="70" t="s">
        <v>76</v>
      </c>
      <c r="B44" s="97" t="s">
        <v>77</v>
      </c>
      <c r="C44" s="98" t="s">
        <v>69</v>
      </c>
      <c r="D44" s="99">
        <v>2</v>
      </c>
      <c r="E44" s="75"/>
      <c r="F44" s="75"/>
      <c r="G44" s="75"/>
      <c r="H44" s="100"/>
      <c r="I44" s="75"/>
      <c r="J44" s="75"/>
      <c r="K44" s="77"/>
      <c r="L44" s="78"/>
      <c r="M44" s="79"/>
      <c r="N44" s="75">
        <f t="shared" si="5"/>
        <v>0</v>
      </c>
      <c r="O44" s="80">
        <f t="shared" si="6"/>
        <v>0</v>
      </c>
      <c r="P44" s="81">
        <f t="shared" si="7"/>
        <v>0</v>
      </c>
      <c r="Q44" s="75">
        <f t="shared" si="8"/>
        <v>0</v>
      </c>
      <c r="R44" s="75">
        <f t="shared" si="1"/>
        <v>0</v>
      </c>
      <c r="S44" s="75">
        <f t="shared" si="9"/>
        <v>0</v>
      </c>
      <c r="T44" s="75">
        <f t="shared" si="10"/>
        <v>0</v>
      </c>
      <c r="U44" s="75">
        <f t="shared" si="2"/>
        <v>0</v>
      </c>
      <c r="V44" s="75">
        <f t="shared" si="11"/>
        <v>0</v>
      </c>
      <c r="W44" s="75">
        <f t="shared" si="11"/>
        <v>0</v>
      </c>
      <c r="X44" s="101"/>
    </row>
    <row r="45" spans="1:24" s="102" customFormat="1" ht="20.25" customHeight="1" x14ac:dyDescent="0.25">
      <c r="A45" s="70" t="s">
        <v>78</v>
      </c>
      <c r="B45" s="97" t="s">
        <v>79</v>
      </c>
      <c r="C45" s="98" t="s">
        <v>69</v>
      </c>
      <c r="D45" s="99">
        <v>2</v>
      </c>
      <c r="E45" s="75"/>
      <c r="F45" s="75"/>
      <c r="G45" s="75"/>
      <c r="H45" s="100"/>
      <c r="I45" s="75"/>
      <c r="J45" s="75"/>
      <c r="K45" s="77"/>
      <c r="L45" s="78"/>
      <c r="M45" s="79"/>
      <c r="N45" s="75">
        <f t="shared" si="5"/>
        <v>0</v>
      </c>
      <c r="O45" s="80">
        <f t="shared" si="6"/>
        <v>0</v>
      </c>
      <c r="P45" s="81">
        <f t="shared" si="7"/>
        <v>0</v>
      </c>
      <c r="Q45" s="75">
        <f t="shared" si="8"/>
        <v>0</v>
      </c>
      <c r="R45" s="75">
        <f t="shared" si="1"/>
        <v>0</v>
      </c>
      <c r="S45" s="75">
        <f t="shared" si="9"/>
        <v>0</v>
      </c>
      <c r="T45" s="75">
        <f t="shared" si="10"/>
        <v>0</v>
      </c>
      <c r="U45" s="75">
        <f t="shared" si="2"/>
        <v>0</v>
      </c>
      <c r="V45" s="75">
        <f t="shared" si="11"/>
        <v>0</v>
      </c>
      <c r="W45" s="75">
        <f t="shared" si="11"/>
        <v>0</v>
      </c>
      <c r="X45" s="101"/>
    </row>
    <row r="46" spans="1:24" ht="20.25" customHeight="1" x14ac:dyDescent="0.25">
      <c r="A46" s="33">
        <f>A42+1</f>
        <v>15</v>
      </c>
      <c r="B46" s="34" t="s">
        <v>80</v>
      </c>
      <c r="C46" s="54" t="s">
        <v>21</v>
      </c>
      <c r="D46" s="55">
        <f>8.39+3</f>
        <v>11.39</v>
      </c>
      <c r="E46" s="37">
        <v>1933.2</v>
      </c>
      <c r="F46" s="38">
        <f t="shared" si="41"/>
        <v>22019.15</v>
      </c>
      <c r="G46" s="38">
        <f t="shared" si="42"/>
        <v>26422.98</v>
      </c>
      <c r="H46" s="39"/>
      <c r="I46" s="40"/>
      <c r="J46" s="40"/>
      <c r="K46" s="41">
        <f t="shared" si="43"/>
        <v>22019.15</v>
      </c>
      <c r="L46" s="42">
        <f t="shared" si="43"/>
        <v>26422.98</v>
      </c>
      <c r="M46" s="43"/>
      <c r="N46" s="38">
        <f t="shared" si="5"/>
        <v>0</v>
      </c>
      <c r="O46" s="44">
        <f t="shared" si="6"/>
        <v>0</v>
      </c>
      <c r="P46" s="45">
        <f t="shared" si="7"/>
        <v>2706.48</v>
      </c>
      <c r="Q46" s="38">
        <f t="shared" si="8"/>
        <v>30826.81</v>
      </c>
      <c r="R46" s="38">
        <f t="shared" si="1"/>
        <v>36992.17</v>
      </c>
      <c r="S46" s="38">
        <f t="shared" si="9"/>
        <v>0</v>
      </c>
      <c r="T46" s="38">
        <f t="shared" si="10"/>
        <v>0</v>
      </c>
      <c r="U46" s="38">
        <f t="shared" si="2"/>
        <v>0</v>
      </c>
      <c r="V46" s="38">
        <f t="shared" si="11"/>
        <v>30826.81</v>
      </c>
      <c r="W46" s="38">
        <f t="shared" si="11"/>
        <v>36992.17</v>
      </c>
      <c r="X46" s="46"/>
    </row>
    <row r="47" spans="1:24" ht="20.25" customHeight="1" x14ac:dyDescent="0.25">
      <c r="A47" s="56" t="s">
        <v>81</v>
      </c>
      <c r="B47" s="103" t="s">
        <v>41</v>
      </c>
      <c r="C47" s="104" t="s">
        <v>21</v>
      </c>
      <c r="D47" s="59">
        <f>9.82+3</f>
        <v>12.82</v>
      </c>
      <c r="E47" s="60"/>
      <c r="F47" s="60"/>
      <c r="G47" s="60"/>
      <c r="H47" s="60">
        <v>3925</v>
      </c>
      <c r="I47" s="60">
        <f t="shared" ref="I47" si="45">ROUND(H47*D47,2)</f>
        <v>50318.5</v>
      </c>
      <c r="J47" s="60">
        <f t="shared" ref="J47" si="46">ROUND(I47*1.2,2)</f>
        <v>60382.2</v>
      </c>
      <c r="K47" s="62">
        <f t="shared" si="43"/>
        <v>50318.5</v>
      </c>
      <c r="L47" s="63">
        <f t="shared" si="43"/>
        <v>60382.2</v>
      </c>
      <c r="M47" s="64"/>
      <c r="N47" s="60">
        <f t="shared" si="5"/>
        <v>0</v>
      </c>
      <c r="O47" s="65">
        <f t="shared" si="6"/>
        <v>0</v>
      </c>
      <c r="P47" s="66">
        <f t="shared" si="7"/>
        <v>0</v>
      </c>
      <c r="Q47" s="60">
        <f t="shared" si="8"/>
        <v>0</v>
      </c>
      <c r="R47" s="60">
        <f t="shared" si="1"/>
        <v>0</v>
      </c>
      <c r="S47" s="60">
        <f t="shared" si="9"/>
        <v>4984.75</v>
      </c>
      <c r="T47" s="60">
        <f t="shared" si="10"/>
        <v>63904.5</v>
      </c>
      <c r="U47" s="60">
        <f t="shared" si="2"/>
        <v>76685.399999999994</v>
      </c>
      <c r="V47" s="60">
        <f t="shared" si="11"/>
        <v>63904.5</v>
      </c>
      <c r="W47" s="60">
        <f t="shared" si="11"/>
        <v>76685.399999999994</v>
      </c>
      <c r="X47" s="46"/>
    </row>
    <row r="48" spans="1:24" ht="20.25" customHeight="1" x14ac:dyDescent="0.25">
      <c r="A48" s="85"/>
      <c r="B48" s="105" t="s">
        <v>82</v>
      </c>
      <c r="C48" s="106"/>
      <c r="D48" s="107"/>
      <c r="E48" s="86"/>
      <c r="F48" s="87"/>
      <c r="G48" s="87"/>
      <c r="H48" s="88"/>
      <c r="I48" s="87"/>
      <c r="J48" s="87"/>
      <c r="K48" s="89"/>
      <c r="L48" s="90"/>
      <c r="M48" s="91"/>
      <c r="N48" s="87">
        <f t="shared" si="5"/>
        <v>0</v>
      </c>
      <c r="O48" s="92">
        <f t="shared" si="6"/>
        <v>0</v>
      </c>
      <c r="P48" s="93">
        <f t="shared" si="7"/>
        <v>0</v>
      </c>
      <c r="Q48" s="87">
        <f t="shared" si="8"/>
        <v>0</v>
      </c>
      <c r="R48" s="87">
        <f t="shared" si="1"/>
        <v>0</v>
      </c>
      <c r="S48" s="87">
        <f t="shared" si="9"/>
        <v>0</v>
      </c>
      <c r="T48" s="87">
        <f t="shared" si="10"/>
        <v>0</v>
      </c>
      <c r="U48" s="87">
        <f t="shared" si="2"/>
        <v>0</v>
      </c>
      <c r="V48" s="87">
        <f t="shared" si="11"/>
        <v>0</v>
      </c>
      <c r="W48" s="87">
        <f t="shared" si="11"/>
        <v>0</v>
      </c>
      <c r="X48" s="46"/>
    </row>
    <row r="49" spans="1:24" ht="30" customHeight="1" x14ac:dyDescent="0.25">
      <c r="A49" s="33" t="s">
        <v>83</v>
      </c>
      <c r="B49" s="34" t="s">
        <v>84</v>
      </c>
      <c r="C49" s="54" t="s">
        <v>21</v>
      </c>
      <c r="D49" s="55"/>
      <c r="E49" s="37">
        <v>1630</v>
      </c>
      <c r="F49" s="38">
        <f t="shared" ref="F49:F56" si="47">ROUND(E49*D49,2)</f>
        <v>0</v>
      </c>
      <c r="G49" s="38">
        <f t="shared" ref="G49:G56" si="48">ROUND(F49*1.2,2)</f>
        <v>0</v>
      </c>
      <c r="H49" s="39"/>
      <c r="I49" s="40"/>
      <c r="J49" s="40"/>
      <c r="K49" s="41">
        <f t="shared" ref="K49:L64" si="49">F49+I49</f>
        <v>0</v>
      </c>
      <c r="L49" s="42">
        <f t="shared" si="49"/>
        <v>0</v>
      </c>
      <c r="M49" s="43"/>
      <c r="N49" s="38">
        <f t="shared" si="5"/>
        <v>0</v>
      </c>
      <c r="O49" s="44">
        <f t="shared" si="6"/>
        <v>0</v>
      </c>
      <c r="P49" s="45">
        <f t="shared" si="7"/>
        <v>2282</v>
      </c>
      <c r="Q49" s="38">
        <f t="shared" si="8"/>
        <v>0</v>
      </c>
      <c r="R49" s="38">
        <f t="shared" si="1"/>
        <v>0</v>
      </c>
      <c r="S49" s="38">
        <f t="shared" si="9"/>
        <v>0</v>
      </c>
      <c r="T49" s="38">
        <f t="shared" si="10"/>
        <v>0</v>
      </c>
      <c r="U49" s="38">
        <f t="shared" si="2"/>
        <v>0</v>
      </c>
      <c r="V49" s="38">
        <f t="shared" si="11"/>
        <v>0</v>
      </c>
      <c r="W49" s="38">
        <f t="shared" si="11"/>
        <v>0</v>
      </c>
      <c r="X49" s="46"/>
    </row>
    <row r="50" spans="1:24" ht="20.25" customHeight="1" x14ac:dyDescent="0.25">
      <c r="A50" s="33">
        <f>A49+1</f>
        <v>17</v>
      </c>
      <c r="B50" s="34" t="s">
        <v>85</v>
      </c>
      <c r="C50" s="54" t="s">
        <v>32</v>
      </c>
      <c r="D50" s="55"/>
      <c r="E50" s="37">
        <v>101.5</v>
      </c>
      <c r="F50" s="38">
        <f t="shared" si="47"/>
        <v>0</v>
      </c>
      <c r="G50" s="38">
        <f t="shared" si="48"/>
        <v>0</v>
      </c>
      <c r="H50" s="39"/>
      <c r="I50" s="40"/>
      <c r="J50" s="40"/>
      <c r="K50" s="41">
        <f t="shared" si="49"/>
        <v>0</v>
      </c>
      <c r="L50" s="42">
        <f t="shared" si="49"/>
        <v>0</v>
      </c>
      <c r="M50" s="43"/>
      <c r="N50" s="38">
        <f t="shared" si="5"/>
        <v>0</v>
      </c>
      <c r="O50" s="44">
        <f t="shared" si="6"/>
        <v>0</v>
      </c>
      <c r="P50" s="45">
        <f t="shared" si="7"/>
        <v>142.1</v>
      </c>
      <c r="Q50" s="38">
        <f t="shared" si="8"/>
        <v>0</v>
      </c>
      <c r="R50" s="38">
        <f t="shared" si="1"/>
        <v>0</v>
      </c>
      <c r="S50" s="38">
        <f t="shared" si="9"/>
        <v>0</v>
      </c>
      <c r="T50" s="38">
        <f t="shared" si="10"/>
        <v>0</v>
      </c>
      <c r="U50" s="38">
        <f t="shared" si="2"/>
        <v>0</v>
      </c>
      <c r="V50" s="38">
        <f t="shared" si="11"/>
        <v>0</v>
      </c>
      <c r="W50" s="38">
        <f t="shared" si="11"/>
        <v>0</v>
      </c>
      <c r="X50" s="46"/>
    </row>
    <row r="51" spans="1:24" ht="20.25" customHeight="1" x14ac:dyDescent="0.25">
      <c r="A51" s="33">
        <f>A50+1</f>
        <v>18</v>
      </c>
      <c r="B51" s="34" t="s">
        <v>33</v>
      </c>
      <c r="C51" s="54" t="s">
        <v>32</v>
      </c>
      <c r="D51" s="55"/>
      <c r="E51" s="37">
        <v>52.98</v>
      </c>
      <c r="F51" s="38">
        <f t="shared" si="47"/>
        <v>0</v>
      </c>
      <c r="G51" s="38">
        <f t="shared" si="48"/>
        <v>0</v>
      </c>
      <c r="H51" s="39"/>
      <c r="I51" s="40"/>
      <c r="J51" s="40"/>
      <c r="K51" s="41">
        <f t="shared" si="49"/>
        <v>0</v>
      </c>
      <c r="L51" s="42">
        <f t="shared" si="49"/>
        <v>0</v>
      </c>
      <c r="M51" s="43"/>
      <c r="N51" s="38">
        <f t="shared" si="5"/>
        <v>0</v>
      </c>
      <c r="O51" s="44">
        <f t="shared" si="6"/>
        <v>0</v>
      </c>
      <c r="P51" s="45">
        <f t="shared" si="7"/>
        <v>74.171999999999997</v>
      </c>
      <c r="Q51" s="38">
        <f t="shared" si="8"/>
        <v>0</v>
      </c>
      <c r="R51" s="38">
        <f t="shared" si="1"/>
        <v>0</v>
      </c>
      <c r="S51" s="38">
        <f t="shared" si="9"/>
        <v>0</v>
      </c>
      <c r="T51" s="38">
        <f t="shared" si="10"/>
        <v>0</v>
      </c>
      <c r="U51" s="38">
        <f t="shared" si="2"/>
        <v>0</v>
      </c>
      <c r="V51" s="38">
        <f t="shared" si="11"/>
        <v>0</v>
      </c>
      <c r="W51" s="38">
        <f t="shared" si="11"/>
        <v>0</v>
      </c>
      <c r="X51" s="46"/>
    </row>
    <row r="52" spans="1:24" ht="20.25" customHeight="1" x14ac:dyDescent="0.25">
      <c r="A52" s="56" t="s">
        <v>86</v>
      </c>
      <c r="B52" s="57" t="s">
        <v>35</v>
      </c>
      <c r="C52" s="58" t="s">
        <v>32</v>
      </c>
      <c r="D52" s="59"/>
      <c r="E52" s="60"/>
      <c r="F52" s="60">
        <f t="shared" si="47"/>
        <v>0</v>
      </c>
      <c r="G52" s="60">
        <f t="shared" si="48"/>
        <v>0</v>
      </c>
      <c r="H52" s="61">
        <v>67</v>
      </c>
      <c r="I52" s="60">
        <f t="shared" ref="I52" si="50">ROUND(H52*D52,2)</f>
        <v>0</v>
      </c>
      <c r="J52" s="60">
        <f t="shared" ref="J52" si="51">ROUND(I52*1.2,2)</f>
        <v>0</v>
      </c>
      <c r="K52" s="62">
        <f t="shared" si="49"/>
        <v>0</v>
      </c>
      <c r="L52" s="63">
        <f t="shared" si="49"/>
        <v>0</v>
      </c>
      <c r="M52" s="64"/>
      <c r="N52" s="60">
        <f t="shared" si="5"/>
        <v>0</v>
      </c>
      <c r="O52" s="65">
        <f t="shared" si="6"/>
        <v>0</v>
      </c>
      <c r="P52" s="66">
        <f t="shared" si="7"/>
        <v>0</v>
      </c>
      <c r="Q52" s="60">
        <f t="shared" si="8"/>
        <v>0</v>
      </c>
      <c r="R52" s="60">
        <f t="shared" si="1"/>
        <v>0</v>
      </c>
      <c r="S52" s="60">
        <f t="shared" si="9"/>
        <v>85.09</v>
      </c>
      <c r="T52" s="60">
        <f t="shared" si="10"/>
        <v>0</v>
      </c>
      <c r="U52" s="60">
        <f t="shared" si="2"/>
        <v>0</v>
      </c>
      <c r="V52" s="60">
        <f t="shared" si="11"/>
        <v>0</v>
      </c>
      <c r="W52" s="60">
        <f t="shared" si="11"/>
        <v>0</v>
      </c>
      <c r="X52" s="46"/>
    </row>
    <row r="53" spans="1:24" ht="20.25" customHeight="1" x14ac:dyDescent="0.25">
      <c r="A53" s="33">
        <f>A51+1</f>
        <v>19</v>
      </c>
      <c r="B53" s="34" t="s">
        <v>39</v>
      </c>
      <c r="C53" s="54" t="s">
        <v>21</v>
      </c>
      <c r="D53" s="55"/>
      <c r="E53" s="68">
        <v>2573.7399999999998</v>
      </c>
      <c r="F53" s="38">
        <f t="shared" si="47"/>
        <v>0</v>
      </c>
      <c r="G53" s="38">
        <f t="shared" si="48"/>
        <v>0</v>
      </c>
      <c r="H53" s="39"/>
      <c r="I53" s="40"/>
      <c r="J53" s="40"/>
      <c r="K53" s="41">
        <f t="shared" si="49"/>
        <v>0</v>
      </c>
      <c r="L53" s="42">
        <f t="shared" si="49"/>
        <v>0</v>
      </c>
      <c r="M53" s="43"/>
      <c r="N53" s="38">
        <f t="shared" si="5"/>
        <v>0</v>
      </c>
      <c r="O53" s="44">
        <f t="shared" si="6"/>
        <v>0</v>
      </c>
      <c r="P53" s="45">
        <f t="shared" si="7"/>
        <v>3603.2359999999994</v>
      </c>
      <c r="Q53" s="38">
        <f t="shared" si="8"/>
        <v>0</v>
      </c>
      <c r="R53" s="38">
        <f t="shared" si="1"/>
        <v>0</v>
      </c>
      <c r="S53" s="38">
        <f t="shared" si="9"/>
        <v>0</v>
      </c>
      <c r="T53" s="38">
        <f t="shared" si="10"/>
        <v>0</v>
      </c>
      <c r="U53" s="38">
        <f t="shared" si="2"/>
        <v>0</v>
      </c>
      <c r="V53" s="38">
        <f t="shared" si="11"/>
        <v>0</v>
      </c>
      <c r="W53" s="38">
        <f t="shared" si="11"/>
        <v>0</v>
      </c>
      <c r="X53" s="46"/>
    </row>
    <row r="54" spans="1:24" ht="20.25" customHeight="1" x14ac:dyDescent="0.25">
      <c r="A54" s="56" t="s">
        <v>87</v>
      </c>
      <c r="B54" s="69" t="s">
        <v>41</v>
      </c>
      <c r="C54" s="67" t="s">
        <v>21</v>
      </c>
      <c r="D54" s="59"/>
      <c r="E54" s="60"/>
      <c r="F54" s="60">
        <f t="shared" si="47"/>
        <v>0</v>
      </c>
      <c r="G54" s="60">
        <f t="shared" si="48"/>
        <v>0</v>
      </c>
      <c r="H54" s="60">
        <v>3925</v>
      </c>
      <c r="I54" s="60">
        <f t="shared" ref="I54" si="52">ROUND(H54*D54,2)</f>
        <v>0</v>
      </c>
      <c r="J54" s="60">
        <f t="shared" ref="J54" si="53">ROUND(I54*1.2,2)</f>
        <v>0</v>
      </c>
      <c r="K54" s="62">
        <f t="shared" si="49"/>
        <v>0</v>
      </c>
      <c r="L54" s="63">
        <f t="shared" si="49"/>
        <v>0</v>
      </c>
      <c r="M54" s="64"/>
      <c r="N54" s="60">
        <f t="shared" si="5"/>
        <v>0</v>
      </c>
      <c r="O54" s="65">
        <f t="shared" si="6"/>
        <v>0</v>
      </c>
      <c r="P54" s="66">
        <f t="shared" si="7"/>
        <v>0</v>
      </c>
      <c r="Q54" s="60">
        <f t="shared" si="8"/>
        <v>0</v>
      </c>
      <c r="R54" s="60">
        <f t="shared" si="1"/>
        <v>0</v>
      </c>
      <c r="S54" s="60">
        <f t="shared" si="9"/>
        <v>4984.75</v>
      </c>
      <c r="T54" s="60">
        <f t="shared" si="10"/>
        <v>0</v>
      </c>
      <c r="U54" s="60">
        <f t="shared" si="2"/>
        <v>0</v>
      </c>
      <c r="V54" s="60">
        <f t="shared" si="11"/>
        <v>0</v>
      </c>
      <c r="W54" s="60">
        <f t="shared" si="11"/>
        <v>0</v>
      </c>
      <c r="X54" s="46"/>
    </row>
    <row r="55" spans="1:24" ht="20.25" customHeight="1" x14ac:dyDescent="0.25">
      <c r="A55" s="33">
        <f>A53+1</f>
        <v>20</v>
      </c>
      <c r="B55" s="34" t="s">
        <v>88</v>
      </c>
      <c r="C55" s="54" t="s">
        <v>32</v>
      </c>
      <c r="D55" s="55"/>
      <c r="E55" s="37">
        <v>203</v>
      </c>
      <c r="F55" s="38">
        <f t="shared" si="47"/>
        <v>0</v>
      </c>
      <c r="G55" s="38">
        <f t="shared" si="48"/>
        <v>0</v>
      </c>
      <c r="H55" s="39"/>
      <c r="I55" s="40"/>
      <c r="J55" s="40"/>
      <c r="K55" s="41">
        <f t="shared" si="49"/>
        <v>0</v>
      </c>
      <c r="L55" s="42">
        <f t="shared" si="49"/>
        <v>0</v>
      </c>
      <c r="M55" s="43"/>
      <c r="N55" s="38">
        <f t="shared" si="5"/>
        <v>0</v>
      </c>
      <c r="O55" s="44">
        <f t="shared" si="6"/>
        <v>0</v>
      </c>
      <c r="P55" s="45">
        <f t="shared" si="7"/>
        <v>284.2</v>
      </c>
      <c r="Q55" s="38">
        <f t="shared" si="8"/>
        <v>0</v>
      </c>
      <c r="R55" s="38">
        <f t="shared" si="1"/>
        <v>0</v>
      </c>
      <c r="S55" s="38">
        <f t="shared" si="9"/>
        <v>0</v>
      </c>
      <c r="T55" s="38">
        <f t="shared" si="10"/>
        <v>0</v>
      </c>
      <c r="U55" s="38">
        <f t="shared" si="2"/>
        <v>0</v>
      </c>
      <c r="V55" s="38">
        <f t="shared" si="11"/>
        <v>0</v>
      </c>
      <c r="W55" s="38">
        <f t="shared" si="11"/>
        <v>0</v>
      </c>
      <c r="X55" s="46"/>
    </row>
    <row r="56" spans="1:24" ht="20.25" customHeight="1" x14ac:dyDescent="0.25">
      <c r="A56" s="33">
        <f>A55+1</f>
        <v>21</v>
      </c>
      <c r="B56" s="34" t="s">
        <v>89</v>
      </c>
      <c r="C56" s="54" t="s">
        <v>75</v>
      </c>
      <c r="D56" s="108"/>
      <c r="E56" s="37">
        <v>449548</v>
      </c>
      <c r="F56" s="38">
        <f t="shared" si="47"/>
        <v>0</v>
      </c>
      <c r="G56" s="38">
        <f t="shared" si="48"/>
        <v>0</v>
      </c>
      <c r="H56" s="39"/>
      <c r="I56" s="40"/>
      <c r="J56" s="40"/>
      <c r="K56" s="41">
        <f t="shared" si="49"/>
        <v>0</v>
      </c>
      <c r="L56" s="42">
        <f t="shared" si="49"/>
        <v>0</v>
      </c>
      <c r="M56" s="43"/>
      <c r="N56" s="38">
        <f t="shared" si="5"/>
        <v>0</v>
      </c>
      <c r="O56" s="44">
        <f t="shared" si="6"/>
        <v>0</v>
      </c>
      <c r="P56" s="45">
        <f t="shared" si="7"/>
        <v>629367.19999999995</v>
      </c>
      <c r="Q56" s="38">
        <f t="shared" si="8"/>
        <v>0</v>
      </c>
      <c r="R56" s="38">
        <f t="shared" si="1"/>
        <v>0</v>
      </c>
      <c r="S56" s="38">
        <f t="shared" si="9"/>
        <v>0</v>
      </c>
      <c r="T56" s="38">
        <f t="shared" si="10"/>
        <v>0</v>
      </c>
      <c r="U56" s="38">
        <f t="shared" si="2"/>
        <v>0</v>
      </c>
      <c r="V56" s="38">
        <f t="shared" si="11"/>
        <v>0</v>
      </c>
      <c r="W56" s="38">
        <f t="shared" si="11"/>
        <v>0</v>
      </c>
      <c r="X56" s="46"/>
    </row>
    <row r="57" spans="1:24" ht="20.25" customHeight="1" x14ac:dyDescent="0.25">
      <c r="A57" s="70" t="s">
        <v>90</v>
      </c>
      <c r="B57" s="71" t="s">
        <v>91</v>
      </c>
      <c r="C57" s="98" t="s">
        <v>75</v>
      </c>
      <c r="D57" s="99"/>
      <c r="E57" s="75"/>
      <c r="F57" s="75"/>
      <c r="G57" s="75"/>
      <c r="H57" s="109"/>
      <c r="I57" s="75">
        <f t="shared" ref="I57:I58" si="54">ROUND(H57*D57,2)</f>
        <v>0</v>
      </c>
      <c r="J57" s="75">
        <f t="shared" ref="J57:J58" si="55">ROUND(I57*1.2,2)</f>
        <v>0</v>
      </c>
      <c r="K57" s="77">
        <f t="shared" si="49"/>
        <v>0</v>
      </c>
      <c r="L57" s="78">
        <f t="shared" si="49"/>
        <v>0</v>
      </c>
      <c r="M57" s="79">
        <v>3140000</v>
      </c>
      <c r="N57" s="75">
        <f t="shared" si="5"/>
        <v>0</v>
      </c>
      <c r="O57" s="80">
        <f t="shared" si="6"/>
        <v>0</v>
      </c>
      <c r="P57" s="81">
        <f t="shared" si="7"/>
        <v>0</v>
      </c>
      <c r="Q57" s="75">
        <f t="shared" si="8"/>
        <v>0</v>
      </c>
      <c r="R57" s="75">
        <f t="shared" si="1"/>
        <v>0</v>
      </c>
      <c r="S57" s="75">
        <f t="shared" si="9"/>
        <v>3987800</v>
      </c>
      <c r="T57" s="75">
        <f t="shared" si="10"/>
        <v>0</v>
      </c>
      <c r="U57" s="75">
        <f t="shared" si="2"/>
        <v>0</v>
      </c>
      <c r="V57" s="75">
        <f t="shared" si="11"/>
        <v>0</v>
      </c>
      <c r="W57" s="75">
        <f t="shared" si="11"/>
        <v>0</v>
      </c>
      <c r="X57" s="46"/>
    </row>
    <row r="58" spans="1:24" ht="20.25" customHeight="1" x14ac:dyDescent="0.25">
      <c r="A58" s="70" t="s">
        <v>92</v>
      </c>
      <c r="B58" s="71" t="s">
        <v>93</v>
      </c>
      <c r="C58" s="98" t="s">
        <v>75</v>
      </c>
      <c r="D58" s="99"/>
      <c r="E58" s="75"/>
      <c r="F58" s="75"/>
      <c r="G58" s="75"/>
      <c r="H58" s="100"/>
      <c r="I58" s="75">
        <f t="shared" si="54"/>
        <v>0</v>
      </c>
      <c r="J58" s="75">
        <f t="shared" si="55"/>
        <v>0</v>
      </c>
      <c r="K58" s="77">
        <f t="shared" si="49"/>
        <v>0</v>
      </c>
      <c r="L58" s="78">
        <f t="shared" si="49"/>
        <v>0</v>
      </c>
      <c r="M58" s="79">
        <f>760000/1.2</f>
        <v>633333.33333333337</v>
      </c>
      <c r="N58" s="75">
        <f t="shared" si="5"/>
        <v>0</v>
      </c>
      <c r="O58" s="80">
        <f t="shared" si="6"/>
        <v>0</v>
      </c>
      <c r="P58" s="81">
        <f t="shared" si="7"/>
        <v>0</v>
      </c>
      <c r="Q58" s="75">
        <f t="shared" si="8"/>
        <v>0</v>
      </c>
      <c r="R58" s="75">
        <f t="shared" si="1"/>
        <v>0</v>
      </c>
      <c r="S58" s="75">
        <f t="shared" si="9"/>
        <v>804333.33333333337</v>
      </c>
      <c r="T58" s="75">
        <f t="shared" si="10"/>
        <v>0</v>
      </c>
      <c r="U58" s="75">
        <f t="shared" si="2"/>
        <v>0</v>
      </c>
      <c r="V58" s="75">
        <f t="shared" si="11"/>
        <v>0</v>
      </c>
      <c r="W58" s="75">
        <f t="shared" si="11"/>
        <v>0</v>
      </c>
      <c r="X58" s="46"/>
    </row>
    <row r="59" spans="1:24" ht="20.25" customHeight="1" x14ac:dyDescent="0.25">
      <c r="A59" s="33">
        <f>A56+1</f>
        <v>22</v>
      </c>
      <c r="B59" s="34" t="s">
        <v>94</v>
      </c>
      <c r="C59" s="54" t="s">
        <v>69</v>
      </c>
      <c r="D59" s="108"/>
      <c r="E59" s="68">
        <v>2952.96</v>
      </c>
      <c r="F59" s="38">
        <f t="shared" ref="F59:F60" si="56">ROUND(E59*D59,2)</f>
        <v>0</v>
      </c>
      <c r="G59" s="38">
        <f t="shared" ref="G59:G60" si="57">ROUND(F59*1.2,2)</f>
        <v>0</v>
      </c>
      <c r="H59" s="39"/>
      <c r="I59" s="40"/>
      <c r="J59" s="40"/>
      <c r="K59" s="41">
        <f t="shared" si="49"/>
        <v>0</v>
      </c>
      <c r="L59" s="42">
        <f t="shared" si="49"/>
        <v>0</v>
      </c>
      <c r="M59" s="43"/>
      <c r="N59" s="38">
        <f t="shared" si="5"/>
        <v>0</v>
      </c>
      <c r="O59" s="44">
        <f t="shared" si="6"/>
        <v>0</v>
      </c>
      <c r="P59" s="45">
        <f t="shared" si="7"/>
        <v>4134.1440000000002</v>
      </c>
      <c r="Q59" s="38">
        <f t="shared" si="8"/>
        <v>0</v>
      </c>
      <c r="R59" s="38">
        <f t="shared" si="1"/>
        <v>0</v>
      </c>
      <c r="S59" s="38">
        <f t="shared" si="9"/>
        <v>0</v>
      </c>
      <c r="T59" s="38">
        <f t="shared" si="10"/>
        <v>0</v>
      </c>
      <c r="U59" s="38">
        <f t="shared" si="2"/>
        <v>0</v>
      </c>
      <c r="V59" s="38">
        <f t="shared" si="11"/>
        <v>0</v>
      </c>
      <c r="W59" s="38">
        <f t="shared" si="11"/>
        <v>0</v>
      </c>
      <c r="X59" s="46"/>
    </row>
    <row r="60" spans="1:24" ht="20.25" customHeight="1" x14ac:dyDescent="0.25">
      <c r="A60" s="33">
        <f>A59+1</f>
        <v>23</v>
      </c>
      <c r="B60" s="34" t="s">
        <v>95</v>
      </c>
      <c r="C60" s="54" t="s">
        <v>69</v>
      </c>
      <c r="D60" s="108"/>
      <c r="E60" s="110">
        <v>12480</v>
      </c>
      <c r="F60" s="38">
        <f t="shared" si="56"/>
        <v>0</v>
      </c>
      <c r="G60" s="38">
        <f t="shared" si="57"/>
        <v>0</v>
      </c>
      <c r="H60" s="39"/>
      <c r="I60" s="40"/>
      <c r="J60" s="40"/>
      <c r="K60" s="41">
        <f t="shared" si="49"/>
        <v>0</v>
      </c>
      <c r="L60" s="42">
        <f t="shared" si="49"/>
        <v>0</v>
      </c>
      <c r="M60" s="43"/>
      <c r="N60" s="38">
        <f t="shared" si="5"/>
        <v>0</v>
      </c>
      <c r="O60" s="44">
        <f t="shared" si="6"/>
        <v>0</v>
      </c>
      <c r="P60" s="45">
        <f t="shared" si="7"/>
        <v>17472</v>
      </c>
      <c r="Q60" s="38">
        <f t="shared" si="8"/>
        <v>0</v>
      </c>
      <c r="R60" s="38">
        <f t="shared" si="1"/>
        <v>0</v>
      </c>
      <c r="S60" s="38">
        <f t="shared" si="9"/>
        <v>0</v>
      </c>
      <c r="T60" s="38">
        <f t="shared" si="10"/>
        <v>0</v>
      </c>
      <c r="U60" s="38">
        <f t="shared" si="2"/>
        <v>0</v>
      </c>
      <c r="V60" s="38">
        <f t="shared" si="11"/>
        <v>0</v>
      </c>
      <c r="W60" s="38">
        <f t="shared" si="11"/>
        <v>0</v>
      </c>
      <c r="X60" s="46"/>
    </row>
    <row r="61" spans="1:24" ht="20.25" customHeight="1" x14ac:dyDescent="0.25">
      <c r="A61" s="70" t="s">
        <v>96</v>
      </c>
      <c r="B61" s="97" t="s">
        <v>97</v>
      </c>
      <c r="C61" s="98" t="s">
        <v>69</v>
      </c>
      <c r="D61" s="111"/>
      <c r="E61" s="75"/>
      <c r="F61" s="75"/>
      <c r="G61" s="75"/>
      <c r="H61" s="100"/>
      <c r="I61" s="75">
        <f t="shared" ref="I61:I66" si="58">ROUND(H61*D61,2)</f>
        <v>0</v>
      </c>
      <c r="J61" s="75">
        <f t="shared" ref="J61:J66" si="59">ROUND(I61*1.2,2)</f>
        <v>0</v>
      </c>
      <c r="K61" s="77">
        <f t="shared" si="49"/>
        <v>0</v>
      </c>
      <c r="L61" s="78">
        <f t="shared" si="49"/>
        <v>0</v>
      </c>
      <c r="M61" s="79">
        <v>92500</v>
      </c>
      <c r="N61" s="75">
        <f t="shared" si="5"/>
        <v>0</v>
      </c>
      <c r="O61" s="80">
        <f t="shared" si="6"/>
        <v>0</v>
      </c>
      <c r="P61" s="81">
        <f t="shared" si="7"/>
        <v>0</v>
      </c>
      <c r="Q61" s="75">
        <f t="shared" si="8"/>
        <v>0</v>
      </c>
      <c r="R61" s="75">
        <f t="shared" si="1"/>
        <v>0</v>
      </c>
      <c r="S61" s="75">
        <f t="shared" si="9"/>
        <v>117475</v>
      </c>
      <c r="T61" s="75">
        <f t="shared" si="10"/>
        <v>0</v>
      </c>
      <c r="U61" s="75">
        <f t="shared" si="2"/>
        <v>0</v>
      </c>
      <c r="V61" s="75">
        <f t="shared" si="11"/>
        <v>0</v>
      </c>
      <c r="W61" s="75">
        <f t="shared" si="11"/>
        <v>0</v>
      </c>
      <c r="X61" s="46"/>
    </row>
    <row r="62" spans="1:24" ht="20.25" customHeight="1" x14ac:dyDescent="0.25">
      <c r="A62" s="70" t="s">
        <v>98</v>
      </c>
      <c r="B62" s="112" t="s">
        <v>99</v>
      </c>
      <c r="C62" s="98" t="s">
        <v>25</v>
      </c>
      <c r="D62" s="111"/>
      <c r="E62" s="75"/>
      <c r="F62" s="75"/>
      <c r="G62" s="75"/>
      <c r="H62" s="75"/>
      <c r="I62" s="75">
        <f t="shared" si="58"/>
        <v>0</v>
      </c>
      <c r="J62" s="75">
        <f t="shared" si="59"/>
        <v>0</v>
      </c>
      <c r="K62" s="77">
        <f t="shared" si="49"/>
        <v>0</v>
      </c>
      <c r="L62" s="78">
        <f t="shared" si="49"/>
        <v>0</v>
      </c>
      <c r="M62" s="79">
        <v>2875</v>
      </c>
      <c r="N62" s="75">
        <f t="shared" si="5"/>
        <v>0</v>
      </c>
      <c r="O62" s="80">
        <f t="shared" si="6"/>
        <v>0</v>
      </c>
      <c r="P62" s="81">
        <f t="shared" si="7"/>
        <v>0</v>
      </c>
      <c r="Q62" s="75">
        <f t="shared" si="8"/>
        <v>0</v>
      </c>
      <c r="R62" s="75">
        <f t="shared" si="1"/>
        <v>0</v>
      </c>
      <c r="S62" s="75">
        <f t="shared" si="9"/>
        <v>3651.25</v>
      </c>
      <c r="T62" s="75">
        <f t="shared" si="10"/>
        <v>0</v>
      </c>
      <c r="U62" s="75">
        <f t="shared" si="2"/>
        <v>0</v>
      </c>
      <c r="V62" s="75">
        <f t="shared" si="11"/>
        <v>0</v>
      </c>
      <c r="W62" s="75">
        <f t="shared" si="11"/>
        <v>0</v>
      </c>
      <c r="X62" s="46"/>
    </row>
    <row r="63" spans="1:24" ht="20.25" customHeight="1" x14ac:dyDescent="0.25">
      <c r="A63" s="70" t="s">
        <v>100</v>
      </c>
      <c r="B63" s="71" t="s">
        <v>101</v>
      </c>
      <c r="C63" s="98" t="s">
        <v>69</v>
      </c>
      <c r="D63" s="113"/>
      <c r="E63" s="75"/>
      <c r="F63" s="75"/>
      <c r="G63" s="75"/>
      <c r="H63" s="75"/>
      <c r="I63" s="75">
        <f t="shared" si="58"/>
        <v>0</v>
      </c>
      <c r="J63" s="75">
        <f t="shared" si="59"/>
        <v>0</v>
      </c>
      <c r="K63" s="77">
        <f t="shared" si="49"/>
        <v>0</v>
      </c>
      <c r="L63" s="78">
        <f t="shared" si="49"/>
        <v>0</v>
      </c>
      <c r="M63" s="79">
        <v>2875</v>
      </c>
      <c r="N63" s="75">
        <f t="shared" si="5"/>
        <v>0</v>
      </c>
      <c r="O63" s="80">
        <f t="shared" si="6"/>
        <v>0</v>
      </c>
      <c r="P63" s="81">
        <f t="shared" si="7"/>
        <v>0</v>
      </c>
      <c r="Q63" s="75">
        <f t="shared" si="8"/>
        <v>0</v>
      </c>
      <c r="R63" s="75">
        <f t="shared" si="1"/>
        <v>0</v>
      </c>
      <c r="S63" s="75">
        <f t="shared" si="9"/>
        <v>3651.25</v>
      </c>
      <c r="T63" s="75">
        <f t="shared" si="10"/>
        <v>0</v>
      </c>
      <c r="U63" s="75">
        <f t="shared" si="2"/>
        <v>0</v>
      </c>
      <c r="V63" s="75">
        <f t="shared" si="11"/>
        <v>0</v>
      </c>
      <c r="W63" s="75">
        <f t="shared" si="11"/>
        <v>0</v>
      </c>
      <c r="X63" s="46"/>
    </row>
    <row r="64" spans="1:24" ht="20.25" customHeight="1" x14ac:dyDescent="0.25">
      <c r="A64" s="56" t="s">
        <v>102</v>
      </c>
      <c r="B64" s="57" t="s">
        <v>103</v>
      </c>
      <c r="C64" s="67" t="s">
        <v>104</v>
      </c>
      <c r="D64" s="114"/>
      <c r="E64" s="60"/>
      <c r="F64" s="60"/>
      <c r="G64" s="60"/>
      <c r="H64" s="60">
        <f>ROUND(1571/10*1.2,2)</f>
        <v>188.52</v>
      </c>
      <c r="I64" s="60">
        <f t="shared" si="58"/>
        <v>0</v>
      </c>
      <c r="J64" s="60">
        <f t="shared" si="59"/>
        <v>0</v>
      </c>
      <c r="K64" s="62">
        <f t="shared" si="49"/>
        <v>0</v>
      </c>
      <c r="L64" s="63">
        <f t="shared" si="49"/>
        <v>0</v>
      </c>
      <c r="M64" s="64"/>
      <c r="N64" s="60">
        <f t="shared" si="5"/>
        <v>0</v>
      </c>
      <c r="O64" s="65">
        <f t="shared" si="6"/>
        <v>0</v>
      </c>
      <c r="P64" s="66">
        <f t="shared" si="7"/>
        <v>0</v>
      </c>
      <c r="Q64" s="60">
        <f t="shared" si="8"/>
        <v>0</v>
      </c>
      <c r="R64" s="60">
        <f t="shared" si="1"/>
        <v>0</v>
      </c>
      <c r="S64" s="60">
        <f t="shared" si="9"/>
        <v>239.42040000000003</v>
      </c>
      <c r="T64" s="60">
        <f t="shared" si="10"/>
        <v>0</v>
      </c>
      <c r="U64" s="60">
        <f t="shared" si="2"/>
        <v>0</v>
      </c>
      <c r="V64" s="60">
        <f t="shared" si="11"/>
        <v>0</v>
      </c>
      <c r="W64" s="60">
        <f t="shared" si="11"/>
        <v>0</v>
      </c>
      <c r="X64" s="46"/>
    </row>
    <row r="65" spans="1:24" ht="20.25" customHeight="1" x14ac:dyDescent="0.25">
      <c r="A65" s="56" t="s">
        <v>105</v>
      </c>
      <c r="B65" s="57" t="s">
        <v>106</v>
      </c>
      <c r="C65" s="67" t="s">
        <v>107</v>
      </c>
      <c r="D65" s="115"/>
      <c r="E65" s="60"/>
      <c r="F65" s="60"/>
      <c r="G65" s="60"/>
      <c r="H65" s="116">
        <f>ROUND(244.95*1.2,2)</f>
        <v>293.94</v>
      </c>
      <c r="I65" s="60">
        <f t="shared" si="58"/>
        <v>0</v>
      </c>
      <c r="J65" s="60">
        <f t="shared" si="59"/>
        <v>0</v>
      </c>
      <c r="K65" s="62">
        <f t="shared" ref="K65:L70" si="60">F65+I65</f>
        <v>0</v>
      </c>
      <c r="L65" s="63">
        <f t="shared" si="60"/>
        <v>0</v>
      </c>
      <c r="M65" s="64"/>
      <c r="N65" s="60">
        <f t="shared" si="5"/>
        <v>0</v>
      </c>
      <c r="O65" s="65">
        <f t="shared" si="6"/>
        <v>0</v>
      </c>
      <c r="P65" s="66">
        <f t="shared" si="7"/>
        <v>0</v>
      </c>
      <c r="Q65" s="60">
        <f t="shared" si="8"/>
        <v>0</v>
      </c>
      <c r="R65" s="60">
        <f t="shared" si="1"/>
        <v>0</v>
      </c>
      <c r="S65" s="60">
        <f t="shared" si="9"/>
        <v>373.30380000000002</v>
      </c>
      <c r="T65" s="60">
        <f t="shared" si="10"/>
        <v>0</v>
      </c>
      <c r="U65" s="60">
        <f t="shared" si="2"/>
        <v>0</v>
      </c>
      <c r="V65" s="60">
        <f t="shared" si="11"/>
        <v>0</v>
      </c>
      <c r="W65" s="60">
        <f t="shared" si="11"/>
        <v>0</v>
      </c>
      <c r="X65" s="46"/>
    </row>
    <row r="66" spans="1:24" ht="20.25" customHeight="1" x14ac:dyDescent="0.25">
      <c r="A66" s="56" t="s">
        <v>108</v>
      </c>
      <c r="B66" s="57" t="s">
        <v>109</v>
      </c>
      <c r="C66" s="67" t="s">
        <v>107</v>
      </c>
      <c r="D66" s="115"/>
      <c r="E66" s="60"/>
      <c r="F66" s="60"/>
      <c r="G66" s="60"/>
      <c r="H66" s="116">
        <f>ROUND(223.92*1.2,2)</f>
        <v>268.7</v>
      </c>
      <c r="I66" s="60">
        <f t="shared" si="58"/>
        <v>0</v>
      </c>
      <c r="J66" s="60">
        <f t="shared" si="59"/>
        <v>0</v>
      </c>
      <c r="K66" s="62">
        <f t="shared" si="60"/>
        <v>0</v>
      </c>
      <c r="L66" s="63">
        <f t="shared" si="60"/>
        <v>0</v>
      </c>
      <c r="M66" s="64"/>
      <c r="N66" s="60">
        <f t="shared" si="5"/>
        <v>0</v>
      </c>
      <c r="O66" s="65">
        <f t="shared" si="6"/>
        <v>0</v>
      </c>
      <c r="P66" s="66">
        <f t="shared" si="7"/>
        <v>0</v>
      </c>
      <c r="Q66" s="60">
        <f t="shared" si="8"/>
        <v>0</v>
      </c>
      <c r="R66" s="60">
        <f t="shared" si="1"/>
        <v>0</v>
      </c>
      <c r="S66" s="60">
        <f t="shared" si="9"/>
        <v>341.24899999999997</v>
      </c>
      <c r="T66" s="60">
        <f t="shared" si="10"/>
        <v>0</v>
      </c>
      <c r="U66" s="60">
        <f t="shared" si="2"/>
        <v>0</v>
      </c>
      <c r="V66" s="60">
        <f t="shared" si="11"/>
        <v>0</v>
      </c>
      <c r="W66" s="60">
        <f t="shared" si="11"/>
        <v>0</v>
      </c>
      <c r="X66" s="46"/>
    </row>
    <row r="67" spans="1:24" ht="20.25" customHeight="1" x14ac:dyDescent="0.25">
      <c r="A67" s="33">
        <f>A60+1</f>
        <v>24</v>
      </c>
      <c r="B67" s="34" t="s">
        <v>110</v>
      </c>
      <c r="C67" s="54" t="s">
        <v>21</v>
      </c>
      <c r="D67" s="55"/>
      <c r="E67" s="37">
        <v>1933.2</v>
      </c>
      <c r="F67" s="38">
        <f t="shared" ref="F67" si="61">ROUND(E67*D67,2)</f>
        <v>0</v>
      </c>
      <c r="G67" s="38">
        <f t="shared" ref="G67:G69" si="62">ROUND(F67*1.2,2)</f>
        <v>0</v>
      </c>
      <c r="H67" s="39"/>
      <c r="I67" s="40"/>
      <c r="J67" s="40"/>
      <c r="K67" s="41">
        <f t="shared" si="60"/>
        <v>0</v>
      </c>
      <c r="L67" s="42">
        <f t="shared" si="60"/>
        <v>0</v>
      </c>
      <c r="M67" s="43"/>
      <c r="N67" s="38">
        <f t="shared" si="5"/>
        <v>0</v>
      </c>
      <c r="O67" s="44">
        <f t="shared" si="6"/>
        <v>0</v>
      </c>
      <c r="P67" s="45">
        <f t="shared" si="7"/>
        <v>2706.48</v>
      </c>
      <c r="Q67" s="38">
        <f t="shared" si="8"/>
        <v>0</v>
      </c>
      <c r="R67" s="38">
        <f t="shared" si="1"/>
        <v>0</v>
      </c>
      <c r="S67" s="38">
        <f t="shared" si="9"/>
        <v>0</v>
      </c>
      <c r="T67" s="38">
        <f t="shared" si="10"/>
        <v>0</v>
      </c>
      <c r="U67" s="38">
        <f t="shared" si="2"/>
        <v>0</v>
      </c>
      <c r="V67" s="38">
        <f t="shared" si="11"/>
        <v>0</v>
      </c>
      <c r="W67" s="38">
        <f t="shared" si="11"/>
        <v>0</v>
      </c>
      <c r="X67" s="46"/>
    </row>
    <row r="68" spans="1:24" ht="20.25" customHeight="1" x14ac:dyDescent="0.25">
      <c r="A68" s="56" t="s">
        <v>111</v>
      </c>
      <c r="B68" s="69" t="s">
        <v>41</v>
      </c>
      <c r="C68" s="67" t="s">
        <v>21</v>
      </c>
      <c r="D68" s="59"/>
      <c r="E68" s="60"/>
      <c r="F68" s="60"/>
      <c r="G68" s="60"/>
      <c r="H68" s="60">
        <v>3925</v>
      </c>
      <c r="I68" s="60">
        <f t="shared" ref="I68" si="63">ROUND(H68*D68,2)</f>
        <v>0</v>
      </c>
      <c r="J68" s="60">
        <f t="shared" ref="J68" si="64">ROUND(I68*1.2,2)</f>
        <v>0</v>
      </c>
      <c r="K68" s="62">
        <f t="shared" si="60"/>
        <v>0</v>
      </c>
      <c r="L68" s="63">
        <f t="shared" si="60"/>
        <v>0</v>
      </c>
      <c r="M68" s="64"/>
      <c r="N68" s="60">
        <f t="shared" si="5"/>
        <v>0</v>
      </c>
      <c r="O68" s="65">
        <f t="shared" si="6"/>
        <v>0</v>
      </c>
      <c r="P68" s="66">
        <f t="shared" si="7"/>
        <v>0</v>
      </c>
      <c r="Q68" s="60">
        <f t="shared" si="8"/>
        <v>0</v>
      </c>
      <c r="R68" s="60">
        <f t="shared" si="1"/>
        <v>0</v>
      </c>
      <c r="S68" s="60">
        <f t="shared" si="9"/>
        <v>4984.75</v>
      </c>
      <c r="T68" s="60">
        <f t="shared" si="10"/>
        <v>0</v>
      </c>
      <c r="U68" s="60">
        <f t="shared" si="2"/>
        <v>0</v>
      </c>
      <c r="V68" s="60">
        <f t="shared" si="11"/>
        <v>0</v>
      </c>
      <c r="W68" s="60">
        <f t="shared" si="11"/>
        <v>0</v>
      </c>
      <c r="X68" s="46"/>
    </row>
    <row r="69" spans="1:24" ht="20.25" customHeight="1" x14ac:dyDescent="0.25">
      <c r="A69" s="33">
        <f>A67+1</f>
        <v>25</v>
      </c>
      <c r="B69" s="34" t="s">
        <v>112</v>
      </c>
      <c r="C69" s="54" t="s">
        <v>21</v>
      </c>
      <c r="D69" s="55"/>
      <c r="E69" s="37">
        <v>2395.1999999999998</v>
      </c>
      <c r="F69" s="38">
        <f t="shared" ref="F69" si="65">ROUND(E69*D69,2)</f>
        <v>0</v>
      </c>
      <c r="G69" s="38">
        <f t="shared" si="62"/>
        <v>0</v>
      </c>
      <c r="H69" s="39"/>
      <c r="I69" s="40"/>
      <c r="J69" s="40"/>
      <c r="K69" s="41">
        <f t="shared" si="60"/>
        <v>0</v>
      </c>
      <c r="L69" s="42">
        <f t="shared" si="60"/>
        <v>0</v>
      </c>
      <c r="M69" s="43"/>
      <c r="N69" s="38">
        <f t="shared" si="5"/>
        <v>0</v>
      </c>
      <c r="O69" s="44">
        <f t="shared" si="6"/>
        <v>0</v>
      </c>
      <c r="P69" s="45">
        <f t="shared" si="7"/>
        <v>3353.2799999999997</v>
      </c>
      <c r="Q69" s="38">
        <f t="shared" si="8"/>
        <v>0</v>
      </c>
      <c r="R69" s="38">
        <f t="shared" si="1"/>
        <v>0</v>
      </c>
      <c r="S69" s="38">
        <f t="shared" si="9"/>
        <v>0</v>
      </c>
      <c r="T69" s="38">
        <f t="shared" si="10"/>
        <v>0</v>
      </c>
      <c r="U69" s="38">
        <f t="shared" si="2"/>
        <v>0</v>
      </c>
      <c r="V69" s="38">
        <f t="shared" si="11"/>
        <v>0</v>
      </c>
      <c r="W69" s="38">
        <f t="shared" si="11"/>
        <v>0</v>
      </c>
      <c r="X69" s="46"/>
    </row>
    <row r="70" spans="1:24" ht="20.25" customHeight="1" x14ac:dyDescent="0.25">
      <c r="A70" s="56" t="s">
        <v>113</v>
      </c>
      <c r="B70" s="69" t="s">
        <v>41</v>
      </c>
      <c r="C70" s="67" t="s">
        <v>21</v>
      </c>
      <c r="D70" s="59"/>
      <c r="E70" s="60"/>
      <c r="F70" s="60"/>
      <c r="G70" s="60"/>
      <c r="H70" s="60">
        <v>3925</v>
      </c>
      <c r="I70" s="60">
        <f t="shared" ref="I70" si="66">ROUND(H70*D70,2)</f>
        <v>0</v>
      </c>
      <c r="J70" s="60">
        <f t="shared" ref="J70" si="67">ROUND(I70*1.2,2)</f>
        <v>0</v>
      </c>
      <c r="K70" s="62">
        <f t="shared" si="60"/>
        <v>0</v>
      </c>
      <c r="L70" s="63">
        <f t="shared" si="60"/>
        <v>0</v>
      </c>
      <c r="M70" s="64"/>
      <c r="N70" s="60">
        <f t="shared" si="5"/>
        <v>0</v>
      </c>
      <c r="O70" s="65">
        <f t="shared" si="6"/>
        <v>0</v>
      </c>
      <c r="P70" s="66">
        <f t="shared" si="7"/>
        <v>0</v>
      </c>
      <c r="Q70" s="60">
        <f t="shared" si="8"/>
        <v>0</v>
      </c>
      <c r="R70" s="60">
        <f t="shared" si="1"/>
        <v>0</v>
      </c>
      <c r="S70" s="60">
        <f t="shared" si="9"/>
        <v>4984.75</v>
      </c>
      <c r="T70" s="60">
        <f t="shared" si="10"/>
        <v>0</v>
      </c>
      <c r="U70" s="60">
        <f t="shared" si="2"/>
        <v>0</v>
      </c>
      <c r="V70" s="60">
        <f t="shared" si="11"/>
        <v>0</v>
      </c>
      <c r="W70" s="60">
        <f t="shared" si="11"/>
        <v>0</v>
      </c>
      <c r="X70" s="46"/>
    </row>
    <row r="71" spans="1:24" x14ac:dyDescent="0.25">
      <c r="A71" s="140" t="s">
        <v>114</v>
      </c>
      <c r="B71" s="141"/>
      <c r="C71" s="141"/>
      <c r="D71" s="141"/>
      <c r="E71" s="142"/>
      <c r="F71" s="117">
        <f>SUM(F7:F70)</f>
        <v>5785858.6099999994</v>
      </c>
      <c r="G71" s="118">
        <f>SUM(G7:G70)</f>
        <v>6943030.3399999999</v>
      </c>
      <c r="H71" s="119"/>
      <c r="I71" s="120">
        <f t="shared" ref="I71:L71" si="68">SUM(I7:I70)</f>
        <v>2325448.25</v>
      </c>
      <c r="J71" s="121">
        <f t="shared" si="68"/>
        <v>2790537.9000000004</v>
      </c>
      <c r="K71" s="120">
        <f t="shared" si="68"/>
        <v>8111306.8599999994</v>
      </c>
      <c r="L71" s="122">
        <f t="shared" si="68"/>
        <v>9733568.2399999984</v>
      </c>
      <c r="M71" s="123"/>
      <c r="N71" s="120"/>
      <c r="O71" s="124">
        <f t="shared" ref="O71" si="69">SUM(O7:O70)</f>
        <v>12552662</v>
      </c>
      <c r="P71" s="125"/>
      <c r="Q71" s="120">
        <f t="shared" ref="Q71:R71" si="70">SUM(Q7:Q70)</f>
        <v>8100202.0499999989</v>
      </c>
      <c r="R71" s="118">
        <f t="shared" si="70"/>
        <v>9720242.459999999</v>
      </c>
      <c r="S71" s="120"/>
      <c r="T71" s="120">
        <f t="shared" ref="T71:W71" si="71">SUM(T7:T70)</f>
        <v>16238219.920000002</v>
      </c>
      <c r="U71" s="121">
        <f t="shared" si="71"/>
        <v>19485863.899999995</v>
      </c>
      <c r="V71" s="120">
        <f t="shared" si="71"/>
        <v>24338421.969999999</v>
      </c>
      <c r="W71" s="122">
        <f t="shared" si="71"/>
        <v>29206106.359999996</v>
      </c>
    </row>
    <row r="72" spans="1:24" x14ac:dyDescent="0.25">
      <c r="M72" s="129" t="s">
        <v>115</v>
      </c>
      <c r="N72" s="130"/>
      <c r="O72" s="131">
        <f>O71+L71</f>
        <v>22286230.239999998</v>
      </c>
    </row>
    <row r="74" spans="1:24" ht="30" x14ac:dyDescent="0.25">
      <c r="Q74" s="132" t="s">
        <v>116</v>
      </c>
      <c r="R74" s="133">
        <f>1-G71/R71</f>
        <v>0.28571428453853598</v>
      </c>
      <c r="S74" s="134"/>
      <c r="T74" s="135" t="s">
        <v>117</v>
      </c>
      <c r="U74" s="133">
        <f>1-(J71+O71)/U71</f>
        <v>0.21259842628788939</v>
      </c>
      <c r="V74" s="135" t="s">
        <v>118</v>
      </c>
      <c r="W74" s="136">
        <f>1-L71/W71</f>
        <v>0.66672831633144813</v>
      </c>
    </row>
    <row r="88" spans="1:4" x14ac:dyDescent="0.25">
      <c r="A88" s="129" t="s">
        <v>119</v>
      </c>
    </row>
    <row r="89" spans="1:4" ht="30" x14ac:dyDescent="0.25">
      <c r="A89" s="33" t="s">
        <v>83</v>
      </c>
      <c r="B89" s="34" t="s">
        <v>84</v>
      </c>
      <c r="C89" s="54" t="s">
        <v>21</v>
      </c>
      <c r="D89" s="55">
        <v>184.4</v>
      </c>
    </row>
    <row r="90" spans="1:4" x14ac:dyDescent="0.25">
      <c r="A90" s="33">
        <f>A89+1</f>
        <v>17</v>
      </c>
      <c r="B90" s="34" t="s">
        <v>85</v>
      </c>
      <c r="C90" s="54" t="s">
        <v>32</v>
      </c>
      <c r="D90" s="55">
        <v>214</v>
      </c>
    </row>
    <row r="91" spans="1:4" x14ac:dyDescent="0.25">
      <c r="A91" s="33">
        <f>A90+1</f>
        <v>18</v>
      </c>
      <c r="B91" s="34" t="s">
        <v>33</v>
      </c>
      <c r="C91" s="54" t="s">
        <v>32</v>
      </c>
      <c r="D91" s="55">
        <v>214</v>
      </c>
    </row>
    <row r="92" spans="1:4" x14ac:dyDescent="0.25">
      <c r="A92" s="56" t="s">
        <v>86</v>
      </c>
      <c r="B92" s="57" t="s">
        <v>35</v>
      </c>
      <c r="C92" s="58" t="s">
        <v>32</v>
      </c>
      <c r="D92" s="59">
        <f>D91*1.1</f>
        <v>235.4</v>
      </c>
    </row>
    <row r="93" spans="1:4" x14ac:dyDescent="0.25">
      <c r="A93" s="33">
        <f>A91+1</f>
        <v>19</v>
      </c>
      <c r="B93" s="34" t="s">
        <v>39</v>
      </c>
      <c r="C93" s="54" t="s">
        <v>21</v>
      </c>
      <c r="D93" s="55">
        <v>92.2</v>
      </c>
    </row>
    <row r="94" spans="1:4" x14ac:dyDescent="0.25">
      <c r="A94" s="56" t="s">
        <v>87</v>
      </c>
      <c r="B94" s="69" t="s">
        <v>41</v>
      </c>
      <c r="C94" s="67" t="s">
        <v>21</v>
      </c>
      <c r="D94" s="59">
        <f>ROUND(D93*1.17,2)</f>
        <v>107.87</v>
      </c>
    </row>
    <row r="95" spans="1:4" x14ac:dyDescent="0.25">
      <c r="A95" s="33">
        <f>A93+1</f>
        <v>20</v>
      </c>
      <c r="B95" s="34" t="s">
        <v>88</v>
      </c>
      <c r="C95" s="54" t="s">
        <v>32</v>
      </c>
      <c r="D95" s="55">
        <v>428</v>
      </c>
    </row>
    <row r="96" spans="1:4" x14ac:dyDescent="0.25">
      <c r="A96" s="33">
        <f>A95+1</f>
        <v>21</v>
      </c>
      <c r="B96" s="34" t="s">
        <v>89</v>
      </c>
      <c r="C96" s="54" t="s">
        <v>75</v>
      </c>
      <c r="D96" s="108">
        <v>2</v>
      </c>
    </row>
    <row r="97" spans="1:4" x14ac:dyDescent="0.25">
      <c r="A97" s="70" t="s">
        <v>90</v>
      </c>
      <c r="B97" s="71" t="s">
        <v>91</v>
      </c>
      <c r="C97" s="98" t="s">
        <v>75</v>
      </c>
      <c r="D97" s="99">
        <v>2</v>
      </c>
    </row>
    <row r="98" spans="1:4" x14ac:dyDescent="0.25">
      <c r="A98" s="70" t="s">
        <v>92</v>
      </c>
      <c r="B98" s="71" t="s">
        <v>93</v>
      </c>
      <c r="C98" s="98" t="s">
        <v>75</v>
      </c>
      <c r="D98" s="99">
        <v>2</v>
      </c>
    </row>
    <row r="99" spans="1:4" x14ac:dyDescent="0.25">
      <c r="A99" s="33">
        <f>A96+1</f>
        <v>22</v>
      </c>
      <c r="B99" s="34" t="s">
        <v>94</v>
      </c>
      <c r="C99" s="54" t="s">
        <v>69</v>
      </c>
      <c r="D99" s="108">
        <v>4</v>
      </c>
    </row>
    <row r="100" spans="1:4" x14ac:dyDescent="0.25">
      <c r="A100" s="33">
        <f>A99+1</f>
        <v>23</v>
      </c>
      <c r="B100" s="34" t="s">
        <v>95</v>
      </c>
      <c r="C100" s="54" t="s">
        <v>69</v>
      </c>
      <c r="D100" s="108">
        <v>2</v>
      </c>
    </row>
    <row r="101" spans="1:4" x14ac:dyDescent="0.25">
      <c r="A101" s="70" t="s">
        <v>96</v>
      </c>
      <c r="B101" s="97" t="s">
        <v>97</v>
      </c>
      <c r="C101" s="98" t="s">
        <v>69</v>
      </c>
      <c r="D101" s="111">
        <v>2</v>
      </c>
    </row>
    <row r="102" spans="1:4" x14ac:dyDescent="0.25">
      <c r="A102" s="70" t="s">
        <v>98</v>
      </c>
      <c r="B102" s="112" t="s">
        <v>99</v>
      </c>
      <c r="C102" s="98" t="s">
        <v>25</v>
      </c>
      <c r="D102" s="111">
        <v>2</v>
      </c>
    </row>
    <row r="103" spans="1:4" x14ac:dyDescent="0.25">
      <c r="A103" s="70" t="s">
        <v>100</v>
      </c>
      <c r="B103" s="71" t="s">
        <v>101</v>
      </c>
      <c r="C103" s="98" t="s">
        <v>69</v>
      </c>
      <c r="D103" s="113">
        <v>2</v>
      </c>
    </row>
    <row r="104" spans="1:4" x14ac:dyDescent="0.25">
      <c r="A104" s="56" t="s">
        <v>102</v>
      </c>
      <c r="B104" s="57" t="s">
        <v>103</v>
      </c>
      <c r="C104" s="67" t="s">
        <v>104</v>
      </c>
      <c r="D104" s="114">
        <v>8</v>
      </c>
    </row>
    <row r="105" spans="1:4" x14ac:dyDescent="0.25">
      <c r="A105" s="56" t="s">
        <v>105</v>
      </c>
      <c r="B105" s="57" t="s">
        <v>106</v>
      </c>
      <c r="C105" s="67" t="s">
        <v>107</v>
      </c>
      <c r="D105" s="115">
        <v>1.52</v>
      </c>
    </row>
    <row r="106" spans="1:4" x14ac:dyDescent="0.25">
      <c r="A106" s="56" t="s">
        <v>108</v>
      </c>
      <c r="B106" s="57" t="s">
        <v>109</v>
      </c>
      <c r="C106" s="67" t="s">
        <v>107</v>
      </c>
      <c r="D106" s="115">
        <v>1.52</v>
      </c>
    </row>
    <row r="107" spans="1:4" x14ac:dyDescent="0.25">
      <c r="A107" s="33">
        <f>A100+1</f>
        <v>24</v>
      </c>
      <c r="B107" s="34" t="s">
        <v>110</v>
      </c>
      <c r="C107" s="54" t="s">
        <v>21</v>
      </c>
      <c r="D107" s="55">
        <v>32.86</v>
      </c>
    </row>
    <row r="108" spans="1:4" x14ac:dyDescent="0.25">
      <c r="A108" s="56" t="s">
        <v>111</v>
      </c>
      <c r="B108" s="69" t="s">
        <v>41</v>
      </c>
      <c r="C108" s="67" t="s">
        <v>21</v>
      </c>
      <c r="D108" s="59">
        <f>ROUND(D107*1.17,2)</f>
        <v>38.450000000000003</v>
      </c>
    </row>
    <row r="109" spans="1:4" x14ac:dyDescent="0.25">
      <c r="A109" s="33">
        <f>A107+1</f>
        <v>25</v>
      </c>
      <c r="B109" s="34" t="s">
        <v>112</v>
      </c>
      <c r="C109" s="54" t="s">
        <v>21</v>
      </c>
      <c r="D109" s="55">
        <f>D107*0.1</f>
        <v>3.286</v>
      </c>
    </row>
    <row r="110" spans="1:4" x14ac:dyDescent="0.25">
      <c r="A110" s="56" t="s">
        <v>113</v>
      </c>
      <c r="B110" s="69" t="s">
        <v>41</v>
      </c>
      <c r="C110" s="67" t="s">
        <v>21</v>
      </c>
      <c r="D110" s="59">
        <f>ROUND(D109*1.17,2)</f>
        <v>3.84</v>
      </c>
    </row>
  </sheetData>
  <autoFilter ref="A5:W72" xr:uid="{0EA31175-5A03-44B5-A451-008DEEF19293}"/>
  <mergeCells count="15">
    <mergeCell ref="B38:D38"/>
    <mergeCell ref="A71:E71"/>
    <mergeCell ref="P2:W2"/>
    <mergeCell ref="E3:G3"/>
    <mergeCell ref="H3:J3"/>
    <mergeCell ref="K3:L3"/>
    <mergeCell ref="P3:R3"/>
    <mergeCell ref="S3:U3"/>
    <mergeCell ref="V3:W3"/>
    <mergeCell ref="A1:A4"/>
    <mergeCell ref="B1:B4"/>
    <mergeCell ref="C1:C4"/>
    <mergeCell ref="D1:D4"/>
    <mergeCell ref="E1:L2"/>
    <mergeCell ref="M1:O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Вход выход 3 путь</vt:lpstr>
      <vt:lpstr>'Вход выход 3 путь'!Область_печати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Анастасия</cp:lastModifiedBy>
  <dcterms:created xsi:type="dcterms:W3CDTF">2024-07-31T12:25:00Z</dcterms:created>
  <dcterms:modified xsi:type="dcterms:W3CDTF">2024-09-13T10:00:59Z</dcterms:modified>
</cp:coreProperties>
</file>