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ПЕРЕСЧЕТ окончательный\!!! согласование сметы с мк по 155 тыс\"/>
    </mc:Choice>
  </mc:AlternateContent>
  <xr:revisionPtr revIDLastSave="0" documentId="13_ncr:1_{8BDB91F7-C8A4-4424-A505-1162A601F566}" xr6:coauthVersionLast="47" xr6:coauthVersionMax="47" xr10:uidLastSave="{00000000-0000-0000-0000-000000000000}"/>
  <bookViews>
    <workbookView xWindow="-120" yWindow="-120" windowWidth="29040" windowHeight="15720" tabRatio="733" firstSheet="2" activeTab="3" xr2:uid="{FFA86EE9-2D57-4644-A65B-22E051DF5F38}"/>
  </bookViews>
  <sheets>
    <sheet name="!расчет по разделам (3)" sheetId="6" state="hidden" r:id="rId1"/>
    <sheet name="свод-компенс без НДС  (2)" sheetId="18" state="hidden" r:id="rId2"/>
    <sheet name="дефлятор 2кв_1кв 26 " sheetId="23" r:id="rId3"/>
    <sheet name="по Грандсмете" sheetId="24" r:id="rId4"/>
    <sheet name="для Андрея на 220 млн" sheetId="20" state="hidden" r:id="rId5"/>
    <sheet name="свод-компенс без НДС " sheetId="17" state="hidden" r:id="rId6"/>
    <sheet name="свод-компенс с НДС" sheetId="16" state="hidden" r:id="rId7"/>
    <sheet name="свод " sheetId="14" state="hidden" r:id="rId8"/>
    <sheet name="свод по ст" sheetId="13" state="hidden" r:id="rId9"/>
    <sheet name="!расчет (2 сценария)" sheetId="12" state="hidden" r:id="rId10"/>
    <sheet name="без настила" sheetId="1" state="hidden" r:id="rId11"/>
    <sheet name="+ЗУ+дефлятор" sheetId="8" state="hidden" r:id="rId12"/>
    <sheet name="!расчет по разделам" sheetId="4" state="hidden" r:id="rId13"/>
    <sheet name="+ЗУ + коэф.инфляции" sheetId="11" state="hidden" r:id="rId14"/>
    <sheet name="Дефл год Базовый Сайт" sheetId="10" state="hidden" r:id="rId15"/>
    <sheet name="расчет по разделам" sheetId="3" state="hidden" r:id="rId16"/>
    <sheet name="с настилом" sheetId="2" state="hidden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14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14" hidden="1">'Дефл год Базовый Сайт'!$A$5:$A$106</definedName>
    <definedName name="Z_0ED5301B_3B9B_4028_A009_D402EF13F98D_.wvu.FilterData" localSheetId="14" hidden="1">'Дефл год Базовый Сайт'!$A$5:$A$100</definedName>
    <definedName name="Z_13B89219_28C6_4883_87AC_E0D1795AD51D_.wvu.FilterData" localSheetId="14" hidden="1">'Дефл год Базовый Сайт'!$A$5:$A$100</definedName>
    <definedName name="Z_268023C0_9BC0_40EB_A535_38BF110897FA_.wvu.FilterData" localSheetId="14" hidden="1">'Дефл год Базовый Сайт'!$A$5:$A$100</definedName>
    <definedName name="Z_3DEEBB3D_1270_47DE_834F_86032DB959D9_.wvu.FilterData" localSheetId="14" hidden="1">'Дефл год Базовый Сайт'!$A$5:$A$100</definedName>
    <definedName name="Z_4E2D07F0_76DB_4630_BC1D_F4D5A502B378_.wvu.FilterData" localSheetId="14" hidden="1">'Дефл год Базовый Сайт'!$A$5:$A$100</definedName>
    <definedName name="Z_572ABAB9_340C_418A_A9AD_B19F14213DA2_.wvu.FilterData" localSheetId="14" hidden="1">'Дефл год Базовый Сайт'!$A$5:$A$100</definedName>
    <definedName name="Z_ABD7BA35_04E1_43E0_AC75_033C3CA6FF3C_.wvu.Cols" localSheetId="14" hidden="1">'Дефл год Базовый Сайт'!#REF!,'Дефл год Базовый Сайт'!#REF!</definedName>
    <definedName name="Z_ABD7BA35_04E1_43E0_AC75_033C3CA6FF3C_.wvu.FilterData" localSheetId="14" hidden="1">'Дефл год Базовый Сайт'!$A$5:$A$100</definedName>
    <definedName name="Z_ABD7BA35_04E1_43E0_AC75_033C3CA6FF3C_.wvu.PrintArea" localSheetId="14" hidden="1">'Дефл год Базовый Сайт'!$A$5:$F$100</definedName>
    <definedName name="Z_C73CA27E_77B2_422A_A773_B235904BACA3_.wvu.Cols" localSheetId="14" hidden="1">'Дефл год Базовый Сайт'!#REF!,'Дефл год Базовый Сайт'!#REF!</definedName>
    <definedName name="Z_C73CA27E_77B2_422A_A773_B235904BACA3_.wvu.FilterData" localSheetId="14" hidden="1">'Дефл год Базовый Сайт'!$A$5:$A$100</definedName>
    <definedName name="Z_C73CA27E_77B2_422A_A773_B235904BACA3_.wvu.PrintArea" localSheetId="14" hidden="1">'Дефл год Базовый Сайт'!$A$5:$F$100</definedName>
    <definedName name="Z_D49940EF_113F_4789_B6E7_8353B816853A_.wvu.Cols" localSheetId="14" hidden="1">'Дефл год Базовый Сайт'!#REF!,'Дефл год Базовый Сайт'!#REF!</definedName>
    <definedName name="Z_D49940EF_113F_4789_B6E7_8353B816853A_.wvu.FilterData" localSheetId="14" hidden="1">'Дефл год Базовый Сайт'!$A$5:$A$100</definedName>
    <definedName name="Z_D49940EF_113F_4789_B6E7_8353B816853A_.wvu.PrintArea" localSheetId="14" hidden="1">'Дефл год Базовый Сайт'!$A$5:$F$100</definedName>
    <definedName name="Z_DCC68DFC_E4AF_484C_822A_D560C6D52926_.wvu.FilterData" localSheetId="14" hidden="1">'Дефл год Базовый Сайт'!$A$5:$A$100</definedName>
    <definedName name="Z_E55F6B6A_DBD3_4117_B149_A082390B8D13_.wvu.Cols" localSheetId="14" hidden="1">'Дефл год Базовый Сайт'!#REF!,'Дефл год Базовый Сайт'!#REF!</definedName>
    <definedName name="Z_E55F6B6A_DBD3_4117_B149_A082390B8D13_.wvu.FilterData" localSheetId="14" hidden="1">'Дефл год Базовый Сайт'!$A$5:$A$100</definedName>
    <definedName name="Z_E55F6B6A_DBD3_4117_B149_A082390B8D13_.wvu.PrintArea" localSheetId="14" hidden="1">'Дефл год Базовый Сайт'!$A$5:$F$100</definedName>
    <definedName name="Z_E9547856_3045_49CA_B3C7_618D2DA21087_.wvu.FilterData" localSheetId="14" hidden="1">'Дефл год Базовый Сайт'!$A$5:$A$100</definedName>
    <definedName name="Z_E9D4ABE5_580B_4EA1_8057_CB16EE65A5F9_.wvu.FilterData" localSheetId="14" hidden="1">'Дефл год Базовый Сайт'!$A$5:$A$100</definedName>
    <definedName name="Z_F49A5623_9435_4BAA_98DE_EAAB0061DE16_.wvu.FilterData" localSheetId="14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14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14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4" l="1"/>
  <c r="C16" i="24"/>
  <c r="C17" i="24" s="1"/>
  <c r="C19" i="24" s="1"/>
  <c r="C12" i="24"/>
  <c r="C13" i="24" s="1"/>
  <c r="C10" i="24"/>
  <c r="I10" i="24" s="1"/>
  <c r="C6" i="24"/>
  <c r="C7" i="24" s="1"/>
  <c r="D26" i="23"/>
  <c r="D20" i="23"/>
  <c r="G22" i="23"/>
  <c r="G15" i="23"/>
  <c r="D13" i="23"/>
  <c r="B6" i="23"/>
  <c r="B7" i="23" s="1"/>
  <c r="B8" i="23" s="1"/>
  <c r="C5" i="23"/>
  <c r="D5" i="23" s="1"/>
  <c r="D6" i="23" s="1"/>
  <c r="C14" i="24" l="1"/>
  <c r="D7" i="23"/>
  <c r="D8" i="23" s="1"/>
  <c r="F26" i="20"/>
  <c r="AA22" i="20"/>
  <c r="AA28" i="20" s="1"/>
  <c r="T22" i="20"/>
  <c r="T26" i="20" s="1"/>
  <c r="F22" i="20"/>
  <c r="AH21" i="20"/>
  <c r="AH22" i="20" s="1"/>
  <c r="AA21" i="20"/>
  <c r="T21" i="20"/>
  <c r="M21" i="20"/>
  <c r="M22" i="20" s="1"/>
  <c r="F21" i="20"/>
  <c r="AA17" i="20"/>
  <c r="AA18" i="20" s="1"/>
  <c r="AA19" i="20" s="1"/>
  <c r="AH16" i="20"/>
  <c r="AH17" i="20" s="1"/>
  <c r="AH18" i="20" s="1"/>
  <c r="AH19" i="20" s="1"/>
  <c r="T16" i="20"/>
  <c r="M16" i="20"/>
  <c r="AH15" i="20"/>
  <c r="AA15" i="20"/>
  <c r="T15" i="20"/>
  <c r="M15" i="20"/>
  <c r="AH13" i="20"/>
  <c r="T13" i="20"/>
  <c r="M13" i="20"/>
  <c r="K13" i="20"/>
  <c r="F13" i="20"/>
  <c r="F16" i="20" s="1"/>
  <c r="R12" i="20"/>
  <c r="K12" i="20"/>
  <c r="D12" i="20"/>
  <c r="AA4" i="20"/>
  <c r="AA13" i="20" s="1"/>
  <c r="Y4" i="20"/>
  <c r="T4" i="20"/>
  <c r="R4" i="20"/>
  <c r="M4" i="20"/>
  <c r="K4" i="20"/>
  <c r="F4" i="20"/>
  <c r="D4" i="20"/>
  <c r="D13" i="20" s="1"/>
  <c r="Y3" i="20"/>
  <c r="R3" i="20"/>
  <c r="R13" i="20" s="1"/>
  <c r="T28" i="20" s="1"/>
  <c r="K3" i="20"/>
  <c r="D3" i="20"/>
  <c r="AH26" i="17"/>
  <c r="AE25" i="17"/>
  <c r="AE24" i="17"/>
  <c r="AA26" i="17"/>
  <c r="X25" i="17"/>
  <c r="X24" i="17"/>
  <c r="J25" i="17"/>
  <c r="J24" i="17"/>
  <c r="M21" i="17"/>
  <c r="M22" i="17" s="1"/>
  <c r="M15" i="17"/>
  <c r="K12" i="17"/>
  <c r="M4" i="17"/>
  <c r="M13" i="17" s="1"/>
  <c r="M16" i="17" s="1"/>
  <c r="K4" i="17"/>
  <c r="K3" i="17"/>
  <c r="K13" i="17" s="1"/>
  <c r="Q25" i="17"/>
  <c r="Q24" i="17"/>
  <c r="T21" i="17"/>
  <c r="T22" i="17" s="1"/>
  <c r="T15" i="17"/>
  <c r="R12" i="17"/>
  <c r="T4" i="17"/>
  <c r="T13" i="17" s="1"/>
  <c r="R4" i="17"/>
  <c r="R3" i="17"/>
  <c r="C25" i="18"/>
  <c r="C24" i="18"/>
  <c r="G22" i="18"/>
  <c r="U21" i="18"/>
  <c r="U22" i="18" s="1"/>
  <c r="U28" i="18" s="1"/>
  <c r="N21" i="18"/>
  <c r="N22" i="18" s="1"/>
  <c r="N28" i="18" s="1"/>
  <c r="F21" i="18"/>
  <c r="F22" i="18" s="1"/>
  <c r="N17" i="18"/>
  <c r="N18" i="18" s="1"/>
  <c r="N19" i="18" s="1"/>
  <c r="U15" i="18"/>
  <c r="N15" i="18"/>
  <c r="U13" i="18"/>
  <c r="U16" i="18" s="1"/>
  <c r="D12" i="18"/>
  <c r="N4" i="18"/>
  <c r="N13" i="18" s="1"/>
  <c r="L4" i="18"/>
  <c r="F4" i="18"/>
  <c r="F13" i="18" s="1"/>
  <c r="F16" i="18" s="1"/>
  <c r="D4" i="18"/>
  <c r="L3" i="18"/>
  <c r="D3" i="18"/>
  <c r="D13" i="18" s="1"/>
  <c r="C24" i="17"/>
  <c r="C25" i="17"/>
  <c r="F17" i="20" l="1"/>
  <c r="F18" i="20" s="1"/>
  <c r="M28" i="20"/>
  <c r="M26" i="20"/>
  <c r="AH26" i="20"/>
  <c r="F28" i="20"/>
  <c r="M17" i="20"/>
  <c r="M18" i="20" s="1"/>
  <c r="M19" i="20" s="1"/>
  <c r="T17" i="20"/>
  <c r="T18" i="20" s="1"/>
  <c r="T19" i="20" s="1"/>
  <c r="AA26" i="20"/>
  <c r="T16" i="17"/>
  <c r="T17" i="17" s="1"/>
  <c r="T18" i="17" s="1"/>
  <c r="T19" i="17" s="1"/>
  <c r="M17" i="17"/>
  <c r="M18" i="17" s="1"/>
  <c r="M19" i="17" s="1"/>
  <c r="M28" i="17"/>
  <c r="M26" i="17"/>
  <c r="R13" i="17"/>
  <c r="T28" i="17" s="1"/>
  <c r="T26" i="17"/>
  <c r="U17" i="18"/>
  <c r="U18" i="18" s="1"/>
  <c r="U19" i="18" s="1"/>
  <c r="F28" i="18"/>
  <c r="F26" i="18"/>
  <c r="F17" i="18"/>
  <c r="F18" i="18" s="1"/>
  <c r="AH15" i="17"/>
  <c r="AA15" i="17"/>
  <c r="AH21" i="17"/>
  <c r="AH22" i="17" s="1"/>
  <c r="AH28" i="17" s="1"/>
  <c r="AA21" i="17"/>
  <c r="AA22" i="17" s="1"/>
  <c r="AA28" i="17" s="1"/>
  <c r="F21" i="17"/>
  <c r="F22" i="17" s="1"/>
  <c r="F26" i="17" s="1"/>
  <c r="AA17" i="17"/>
  <c r="AA18" i="17" s="1"/>
  <c r="AA19" i="17" s="1"/>
  <c r="D12" i="17"/>
  <c r="AH13" i="17"/>
  <c r="AA4" i="17"/>
  <c r="AA13" i="17" s="1"/>
  <c r="Y4" i="17"/>
  <c r="F4" i="17"/>
  <c r="F13" i="17" s="1"/>
  <c r="D4" i="17"/>
  <c r="Y3" i="17"/>
  <c r="D3" i="17"/>
  <c r="D13" i="17" s="1"/>
  <c r="N4" i="16"/>
  <c r="L4" i="16"/>
  <c r="L3" i="16"/>
  <c r="AH16" i="17" l="1"/>
  <c r="AH17" i="17" s="1"/>
  <c r="AH18" i="17" s="1"/>
  <c r="AH19" i="17" s="1"/>
  <c r="F28" i="17"/>
  <c r="F16" i="17"/>
  <c r="F17" i="17" s="1"/>
  <c r="F18" i="17" l="1"/>
  <c r="N15" i="16"/>
  <c r="G22" i="16"/>
  <c r="F21" i="16"/>
  <c r="F22" i="16" s="1"/>
  <c r="F15" i="16"/>
  <c r="N21" i="16" l="1"/>
  <c r="N22" i="16" s="1"/>
  <c r="N25" i="16" s="1"/>
  <c r="N13" i="16"/>
  <c r="D12" i="16"/>
  <c r="F4" i="16"/>
  <c r="F13" i="16" s="1"/>
  <c r="F16" i="16" s="1"/>
  <c r="D4" i="16"/>
  <c r="D3" i="16"/>
  <c r="AA20" i="14"/>
  <c r="AA21" i="14" s="1"/>
  <c r="AA13" i="14"/>
  <c r="AA15" i="14" s="1"/>
  <c r="Y13" i="14"/>
  <c r="X20" i="14"/>
  <c r="X21" i="14" s="1"/>
  <c r="X13" i="14"/>
  <c r="X15" i="14" s="1"/>
  <c r="V13" i="14"/>
  <c r="U20" i="14"/>
  <c r="U21" i="14" s="1"/>
  <c r="U13" i="14"/>
  <c r="U15" i="14" s="1"/>
  <c r="S13" i="14"/>
  <c r="R20" i="14"/>
  <c r="R21" i="14" s="1"/>
  <c r="R13" i="14"/>
  <c r="R15" i="14" s="1"/>
  <c r="P13" i="14"/>
  <c r="O20" i="14"/>
  <c r="O21" i="14" s="1"/>
  <c r="O13" i="14"/>
  <c r="M13" i="14"/>
  <c r="L20" i="14"/>
  <c r="L21" i="14" s="1"/>
  <c r="L13" i="14"/>
  <c r="J13" i="14"/>
  <c r="I4" i="14"/>
  <c r="I13" i="14" s="1"/>
  <c r="G4" i="14"/>
  <c r="G13" i="14" s="1"/>
  <c r="D12" i="14"/>
  <c r="F4" i="14"/>
  <c r="F13" i="14" s="1"/>
  <c r="F16" i="14" s="1"/>
  <c r="F17" i="14" s="1"/>
  <c r="D4" i="14"/>
  <c r="D3" i="14"/>
  <c r="H126" i="13"/>
  <c r="G126" i="13"/>
  <c r="I110" i="13"/>
  <c r="F125" i="13"/>
  <c r="F126" i="13" s="1"/>
  <c r="I126" i="13" s="1"/>
  <c r="F118" i="13"/>
  <c r="F120" i="13" s="1"/>
  <c r="D118" i="13"/>
  <c r="F109" i="13"/>
  <c r="F110" i="13" s="1"/>
  <c r="F102" i="13"/>
  <c r="F104" i="13" s="1"/>
  <c r="D102" i="13"/>
  <c r="F93" i="13"/>
  <c r="F94" i="13" s="1"/>
  <c r="F87" i="13"/>
  <c r="F89" i="13" s="1"/>
  <c r="D87" i="13"/>
  <c r="F74" i="13"/>
  <c r="F75" i="13" s="1"/>
  <c r="F78" i="13"/>
  <c r="F79" i="13" s="1"/>
  <c r="F72" i="13"/>
  <c r="D72" i="13"/>
  <c r="F63" i="13"/>
  <c r="F64" i="13" s="1"/>
  <c r="F59" i="13"/>
  <c r="D59" i="13"/>
  <c r="F50" i="13"/>
  <c r="F51" i="13" s="1"/>
  <c r="F46" i="13"/>
  <c r="D46" i="13"/>
  <c r="F37" i="13"/>
  <c r="F38" i="13" s="1"/>
  <c r="F23" i="13"/>
  <c r="F33" i="13" s="1"/>
  <c r="D23" i="13"/>
  <c r="D33" i="13" s="1"/>
  <c r="F4" i="13"/>
  <c r="D4" i="13"/>
  <c r="D12" i="13"/>
  <c r="F14" i="13"/>
  <c r="D3" i="13"/>
  <c r="N17" i="16" l="1"/>
  <c r="N18" i="16" s="1"/>
  <c r="N19" i="16" s="1"/>
  <c r="D13" i="16"/>
  <c r="F25" i="16" s="1"/>
  <c r="F17" i="16"/>
  <c r="F18" i="16" s="1"/>
  <c r="F19" i="16" s="1"/>
  <c r="R27" i="14"/>
  <c r="U27" i="14"/>
  <c r="L27" i="14"/>
  <c r="X27" i="14"/>
  <c r="O27" i="14"/>
  <c r="AA27" i="14"/>
  <c r="AA16" i="14"/>
  <c r="AA17" i="14"/>
  <c r="X16" i="14"/>
  <c r="X17" i="14" s="1"/>
  <c r="U16" i="14"/>
  <c r="U17" i="14" s="1"/>
  <c r="R16" i="14"/>
  <c r="R17" i="14" s="1"/>
  <c r="O16" i="14"/>
  <c r="O17" i="14" s="1"/>
  <c r="L16" i="14"/>
  <c r="L17" i="14" s="1"/>
  <c r="I20" i="14"/>
  <c r="I21" i="14" s="1"/>
  <c r="I27" i="14" s="1"/>
  <c r="I16" i="14"/>
  <c r="I17" i="14" s="1"/>
  <c r="D13" i="14"/>
  <c r="F27" i="14" s="1"/>
  <c r="F76" i="13"/>
  <c r="I94" i="13"/>
  <c r="F105" i="13"/>
  <c r="F106" i="13" s="1"/>
  <c r="F121" i="13"/>
  <c r="F122" i="13" s="1"/>
  <c r="F90" i="13"/>
  <c r="F91" i="13" s="1"/>
  <c r="I79" i="13"/>
  <c r="I64" i="13"/>
  <c r="F60" i="13"/>
  <c r="F61" i="13" s="1"/>
  <c r="I51" i="13"/>
  <c r="F47" i="13"/>
  <c r="F48" i="13" s="1"/>
  <c r="I38" i="13"/>
  <c r="F34" i="13"/>
  <c r="F35" i="13" s="1"/>
  <c r="D14" i="13"/>
  <c r="I19" i="13" s="1"/>
  <c r="F15" i="13"/>
  <c r="F16" i="13" s="1"/>
  <c r="D16" i="12" l="1"/>
  <c r="V19" i="8"/>
  <c r="U24" i="12" l="1"/>
  <c r="W16" i="12"/>
  <c r="V16" i="12"/>
  <c r="S16" i="12"/>
  <c r="S14" i="12"/>
  <c r="U13" i="12"/>
  <c r="U12" i="12"/>
  <c r="U16" i="12" s="1"/>
  <c r="W10" i="12"/>
  <c r="W9" i="12"/>
  <c r="W8" i="12"/>
  <c r="W7" i="12"/>
  <c r="W6" i="12"/>
  <c r="W5" i="12"/>
  <c r="W4" i="12"/>
  <c r="W3" i="12"/>
  <c r="O3" i="12"/>
  <c r="AC32" i="8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U25" i="12" l="1"/>
  <c r="U17" i="12"/>
  <c r="U18" i="12" s="1"/>
  <c r="U19" i="12" s="1"/>
  <c r="U20" i="12" s="1"/>
  <c r="F16" i="4"/>
  <c r="M24" i="12"/>
  <c r="K16" i="12"/>
  <c r="M16" i="12"/>
  <c r="F16" i="12"/>
  <c r="F17" i="12"/>
  <c r="F18" i="12" s="1"/>
  <c r="F19" i="12" s="1"/>
  <c r="F20" i="12" s="1"/>
  <c r="T16" i="11"/>
  <c r="U21" i="12" l="1"/>
  <c r="U22" i="12" s="1"/>
  <c r="F25" i="4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U26" i="12" l="1"/>
  <c r="F21" i="4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V20" i="8" l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46493733-DE71-4CF2-99C9-19B6125ACBB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U14" authorId="0" shapeId="0" xr:uid="{7B4BE8DF-EAD6-411B-8272-8B30B23C511D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3D11F1B6-4974-4B22-8AC0-565C88CCBE23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0088D25D-FC13-4882-A258-DA124AC71A6C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1FCC1661-FD87-4AA3-AC4C-38DFD612303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73097DC4-C992-476A-B892-797B8BD7C8F4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EFF3CB8B-B175-4F92-975B-DFFC64C11C91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<sst xmlns="http://schemas.openxmlformats.org/spreadsheetml/2006/main" count="1853" uniqueCount="253">
  <si>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</si>
  <si>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</si>
  <si>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</si>
  <si>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</si>
  <si>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</si>
  <si>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</si>
  <si>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</si>
  <si>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</si>
  <si>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</si>
  <si>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</si>
  <si>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</si>
  <si>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</si>
  <si>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</si>
  <si>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</si>
  <si>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</si>
  <si>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</si>
  <si>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</si>
  <si>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</si>
  <si>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</si>
  <si>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</si>
  <si>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</si>
  <si>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</si>
  <si>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</si>
  <si>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</si>
  <si>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</si>
  <si>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</si>
  <si>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</si>
  <si>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</si>
  <si>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</si>
  <si>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</si>
  <si>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</si>
  <si>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</si>
  <si>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</si>
  <si>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</si>
  <si>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</si>
  <si>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</si>
  <si>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</si>
  <si>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</si>
  <si>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</si>
  <si>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</si>
  <si>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</si>
  <si>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</si>
  <si>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</si>
  <si>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</si>
  <si>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</si>
  <si>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</si>
  <si>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</si>
  <si>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</si>
  <si>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</si>
  <si>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</si>
  <si>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</si>
  <si>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</si>
  <si>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</si>
  <si>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</si>
  <si>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</si>
  <si>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</si>
  <si>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</si>
  <si>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</si>
  <si>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</si>
  <si>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</si>
  <si>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</si>
  <si>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</si>
  <si>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</si>
  <si>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</si>
  <si>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</si>
  <si>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</si>
  <si>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</si>
  <si>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</si>
  <si>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</si>
  <si>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</si>
  <si>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</si>
  <si>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</si>
  <si>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</si>
  <si>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</si>
  <si>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</si>
  <si>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</si>
  <si>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</si>
  <si>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</si>
  <si>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</si>
  <si>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</si>
  <si>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</si>
  <si>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</si>
  <si>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</si>
  <si>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</si>
  <si>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</si>
  <si>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</si>
  <si>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</si>
  <si>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</si>
  <si>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</si>
  <si>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</si>
  <si>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</si>
  <si>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</si>
  <si>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</si>
  <si>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</si>
  <si>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</si>
  <si>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</si>
  <si>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</si>
  <si>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</si>
  <si>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</si>
  <si>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</si>
  <si>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</si>
  <si>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</si>
  <si>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</si>
  <si>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</si>
  <si>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</si>
  <si>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</si>
  <si>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</si>
  <si>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</si>
  <si>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</si>
  <si>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</si>
  <si>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</si>
  <si>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</si>
  <si>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</si>
  <si>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</si>
  <si>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</si>
  <si>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</si>
  <si>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</si>
  <si>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</si>
  <si>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</si>
  <si>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</si>
  <si>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</si>
  <si>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</si>
  <si>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</si>
  <si>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</si>
  <si>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</si>
  <si>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</si>
  <si>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</si>
  <si>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</si>
  <si>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</si>
  <si>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</si>
  <si>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</si>
  <si>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</si>
  <si>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</si>
  <si>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</si>
  <si>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</si>
  <si>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</si>
  <si>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</si>
  <si>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</si>
  <si>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</si>
  <si>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</si>
  <si>
    <t>смета №1</t>
  </si>
  <si>
    <t>смета №2</t>
  </si>
  <si>
    <t>смета №3</t>
  </si>
  <si>
    <t>смета №4</t>
  </si>
  <si>
    <t>Договорной коэффициент-0,8316817371</t>
  </si>
  <si>
    <t>смета №7</t>
  </si>
  <si>
    <r>
      <t xml:space="preserve">Единая расценка,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</si>
  <si>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t>смета №8</t>
  </si>
  <si>
    <t>смета №9</t>
  </si>
  <si>
    <t xml:space="preserve">стоимость МАТЗАК вычитается </t>
  </si>
  <si>
    <t>Итого, с Кдог-1,20409902725</t>
  </si>
  <si>
    <t>без непредвиденных                                     (∑ пп.1-7)</t>
  </si>
  <si>
    <t xml:space="preserve"> без непредвиденных                     (∑ пп.1-10)</t>
  </si>
  <si>
    <t xml:space="preserve"> с непредвиденными                                 (∑ пп.1-10)</t>
  </si>
  <si>
    <t>Балки перекрытий и фермы Ф1+прогоны покрытия</t>
  </si>
  <si>
    <t>5 417,14/53,088</t>
  </si>
  <si>
    <t>6 110,76/50,244</t>
  </si>
  <si>
    <r>
      <rPr>
        <b/>
        <u/>
        <sz val="11"/>
        <rFont val="Calibri"/>
        <family val="2"/>
        <charset val="204"/>
        <scheme val="minor"/>
      </rPr>
      <t>5 270</t>
    </r>
    <r>
      <rPr>
        <b/>
        <sz val="11"/>
        <rFont val="Calibri"/>
        <family val="2"/>
        <charset val="204"/>
        <scheme val="minor"/>
      </rPr>
      <t>/56,7</t>
    </r>
  </si>
  <si>
    <r>
      <rPr>
        <b/>
        <u/>
        <sz val="11"/>
        <rFont val="Calibri"/>
        <family val="2"/>
        <charset val="204"/>
        <scheme val="minor"/>
      </rPr>
      <t>6 567,57</t>
    </r>
    <r>
      <rPr>
        <b/>
        <sz val="11"/>
        <rFont val="Calibri"/>
        <family val="2"/>
        <charset val="204"/>
        <scheme val="minor"/>
      </rPr>
      <t>/54</t>
    </r>
  </si>
  <si>
    <t>Стоимость, руб. за 1 тн, с Кдог , с НДС</t>
  </si>
  <si>
    <t>1.Смета к Договору, V по КМ (подписано)</t>
  </si>
  <si>
    <r>
      <t xml:space="preserve">2.Смета к Договору, V по </t>
    </r>
    <r>
      <rPr>
        <b/>
        <sz val="12"/>
        <color theme="0"/>
        <rFont val="Calibri"/>
        <family val="2"/>
        <charset val="204"/>
        <scheme val="minor"/>
      </rPr>
      <t>КМД</t>
    </r>
    <r>
      <rPr>
        <b/>
        <sz val="11"/>
        <color theme="0"/>
        <rFont val="Calibri"/>
        <family val="2"/>
        <charset val="204"/>
        <scheme val="minor"/>
      </rPr>
      <t xml:space="preserve"> </t>
    </r>
  </si>
  <si>
    <t>3.Смета с новой (единой) расценкй, V по КМД</t>
  </si>
  <si>
    <t>1-7</t>
  </si>
  <si>
    <t>Итого, с Кдог-0,8316817371</t>
  </si>
  <si>
    <t xml:space="preserve">4.Смета под сумму Договора с новой (единой) расценкй, V по КМД </t>
  </si>
  <si>
    <t>Итого, с Кдог-0,9742040607</t>
  </si>
  <si>
    <t>Зимнее удорожание-2,1%</t>
  </si>
  <si>
    <t>5.Смета с новой (единой) расценкй + ЗУ, V по КМД (165 млн + ЗУ)</t>
  </si>
  <si>
    <t>6.Смета под сумму Договора с новой (единой) расценкй, V по КМД  (191 млн. + ЗУ)</t>
  </si>
  <si>
    <t>7.Смета с новой (единой) расценкй + ЗУ+дефлятор, V по КМД (165 млн + ЗУ + дефлятор)</t>
  </si>
  <si>
    <t>8.Смета под сумму Договора с новой (единой) расценкй, V по КМД  (191 млн. + ЗУ + дефлятор)</t>
  </si>
  <si>
    <r>
      <t xml:space="preserve">Индекс инфляции (дефлятор) </t>
    </r>
    <r>
      <rPr>
        <i/>
        <sz val="11"/>
        <rFont val="Calibri"/>
        <family val="2"/>
        <charset val="204"/>
        <scheme val="minor"/>
      </rPr>
      <t>примерно 6%</t>
    </r>
  </si>
  <si>
    <t xml:space="preserve">2.Смета к Договору, V по КМД </t>
  </si>
  <si>
    <t>3.Смета с новой расценкой  (Монтаж пролетных строений галерей), V по КМД</t>
  </si>
  <si>
    <t xml:space="preserve">4.Смета под сумму Договора с новой расценкой, V по КМД </t>
  </si>
  <si>
    <t>5.Смета с новой расценкой + ЗУ, V по КМД (165 млн + ЗУ)</t>
  </si>
  <si>
    <t>6.Смета под сумму Договора с новой  расценкой, V по КМД  (191 млн. + ЗУ)</t>
  </si>
  <si>
    <t>7.Смета с новой расценкой + ЗУ+дефлятор, V по КМД (165 млн + ЗУ + дефлятор)</t>
  </si>
  <si>
    <t>8.Смета под сумму Договора с новой расценкой, V по КМД  (191 млн. + ЗУ + дефлятор)</t>
  </si>
  <si>
    <t>5 417,14/53,09</t>
  </si>
  <si>
    <t>6 110,76/50,24</t>
  </si>
  <si>
    <t>Профнастил H57-750-0,8 (крыша)</t>
  </si>
  <si>
    <r>
      <t>Ст-ть за 1 тн, руб.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пп.1-7)</t>
    </r>
  </si>
  <si>
    <r>
      <t xml:space="preserve">Ст-ть за 1 тн, руб.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</si>
  <si>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Ст-ть за 1 тн, руб. с Кдог , с НДС, 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</si>
  <si>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6%) </t>
    </r>
  </si>
  <si>
    <t>(+3,3%)</t>
  </si>
  <si>
    <t>Зимнее удорожание-построчно</t>
  </si>
  <si>
    <t>до +15%</t>
  </si>
  <si>
    <r>
      <t>Итого, с Кдог-</t>
    </r>
    <r>
      <rPr>
        <b/>
        <sz val="14"/>
        <color theme="4"/>
        <rFont val="Calibri"/>
        <family val="2"/>
        <charset val="204"/>
        <scheme val="minor"/>
      </rPr>
      <t>1,20409902725</t>
    </r>
  </si>
  <si>
    <t>М/к - 1,49%; антикорр.-0,42%</t>
  </si>
  <si>
    <t>Компенсация простоя (2 220 749,32руб.*4мес)</t>
  </si>
  <si>
    <t>1.Смета к Договору, V по КМ (подписано), давальческий одной строчкой, +ЗУ 2,1%,  + компенсация простоя, +3% непредвиденных, + 3,3% инфляции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</si>
  <si>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(октябрь 25г./февраль 26г., 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3,3%) </t>
    </r>
  </si>
  <si>
    <t xml:space="preserve">Индекс инфляции 2кв.25г./1кв.26г. (октябрь 25г./февраль 26г., дефлятор, ± 3,3%) </t>
  </si>
  <si>
    <t>Зимнее удорожание-2,1% (БЕЗ  начисления на материалы)</t>
  </si>
  <si>
    <t>ЗУ с начислением на материалы- 220 млн</t>
  </si>
  <si>
    <t>2..Смета к Договору, V по КМ (подписано), давальческий одной строчкой, +ЗУ 2,1%,  + компенсация простоя, +3% непредвиденных, + 3,3% инфляции</t>
  </si>
  <si>
    <t>Компенсация простоя (2 220 749,32 / 20% НДС руб.*4мес)</t>
  </si>
  <si>
    <t>3.Смета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</si>
  <si>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r>
      <t>Итого, с Кдог-</t>
    </r>
    <r>
      <rPr>
        <b/>
        <sz val="20"/>
        <color theme="4"/>
        <rFont val="Calibri"/>
        <family val="2"/>
        <charset val="204"/>
        <scheme val="minor"/>
      </rPr>
      <t>0,87</t>
    </r>
  </si>
  <si>
    <t>до суммы Договора+15%</t>
  </si>
  <si>
    <t>Сварка, тн (с непредвиденными и НДС)</t>
  </si>
  <si>
    <t>УЗК, м. шва (с непредвиденными и НДС)</t>
  </si>
  <si>
    <t>Доп.</t>
  </si>
  <si>
    <t>2.Смета к Договору, V по КМ (подписано), давальческий одной строчкой, +ЗУ 2,1%,  + компенсация простоя, +3% непредвиденных, + 3,3% инфляции</t>
  </si>
  <si>
    <t>3..Смета к Договору, V по КМ (подписано), давальческий одной строчкой, +ЗУ 2,1%,  + компенсация простоя, +3% непредвиденных, + 3,3% инфляции</t>
  </si>
  <si>
    <t>4.Смета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</si>
  <si>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t>Смета к Договору</t>
  </si>
  <si>
    <r>
      <t xml:space="preserve">Зимнее удорожание-2,1% </t>
    </r>
    <r>
      <rPr>
        <b/>
        <u/>
        <sz val="16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</si>
  <si>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Зимнее удорожание-2,1% (</t>
    </r>
    <r>
      <rPr>
        <b/>
        <sz val="22"/>
        <color rgb="FFC00000"/>
        <rFont val="Calibri"/>
        <family val="2"/>
        <charset val="204"/>
        <scheme val="minor"/>
      </rPr>
      <t>с</t>
    </r>
    <r>
      <rPr>
        <b/>
        <sz val="11"/>
        <color rgb="FFC00000"/>
        <rFont val="Calibri"/>
        <family val="2"/>
        <charset val="204"/>
        <scheme val="minor"/>
      </rPr>
      <t xml:space="preserve">  начислением на материалы)</t>
    </r>
  </si>
  <si>
    <r>
      <t>Зимнее удорожание</t>
    </r>
    <r>
      <rPr>
        <b/>
        <u/>
        <sz val="11"/>
        <color rgb="FFC00000"/>
        <rFont val="Calibri"/>
        <family val="2"/>
        <charset val="204"/>
        <scheme val="minor"/>
      </rPr>
      <t>-построчно</t>
    </r>
  </si>
  <si>
    <r>
      <t xml:space="preserve">Зимнее удорожание-2,1% </t>
    </r>
    <r>
      <rPr>
        <b/>
        <sz val="14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</si>
  <si>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0,826661479(новый)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</si>
  <si>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0,87367715(новый)</t>
    </r>
  </si>
  <si>
    <t>РАСЧЕТ ЦЕНЫ Договора с учетом индекса прогнозной инфляции на 2 кв. 2026г.</t>
  </si>
  <si>
    <r>
      <t xml:space="preserve">К </t>
    </r>
    <r>
      <rPr>
        <vertAlign val="subscript"/>
        <sz val="12"/>
        <rFont val="Arial Cyr"/>
        <charset val="204"/>
      </rPr>
      <t>(4кв25)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0,25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</si>
  <si>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0,25</t>
    </r>
  </si>
  <si>
    <t>Переход от октября 25г. к декабрю 25г. из годового дефлятора:</t>
  </si>
  <si>
    <t>Переход от января 26г. к марту 26г. из годового дефлятора:</t>
  </si>
  <si>
    <t xml:space="preserve">(Берём периоды: январь 2026 → март 2026 ≈ 3 месяца = 0,25 года)
</t>
  </si>
  <si>
    <r>
      <t xml:space="preserve">К </t>
    </r>
    <r>
      <rPr>
        <vertAlign val="subscript"/>
        <sz val="12"/>
        <rFont val="Arial Cyr"/>
        <charset val="204"/>
      </rPr>
      <t>(1кв26)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0,25</t>
    </r>
  </si>
  <si>
    <r>
      <t>(1,054)</t>
    </r>
    <r>
      <rPr>
        <b/>
        <vertAlign val="superscript"/>
        <sz val="10"/>
        <color rgb="FFFF0000"/>
        <rFont val="Arial Cyr"/>
        <charset val="204"/>
      </rPr>
      <t>0,25</t>
    </r>
  </si>
  <si>
    <t>Переходной индекс-дефлятор за период октябрь 2025 – март 2026:</t>
  </si>
  <si>
    <t>1,0196*1,0132</t>
  </si>
  <si>
    <t>(+1,96%)</t>
  </si>
  <si>
    <t>(+1,32%)</t>
  </si>
  <si>
    <t>Расчет индекса прогнозной инфляции:</t>
  </si>
  <si>
    <t xml:space="preserve">(Берём периоды: октябрь 2025 → декабрь 2025 ≈ 3 месяца = 0,25 года)
</t>
  </si>
  <si>
    <r>
      <t xml:space="preserve">на </t>
    </r>
    <r>
      <rPr>
        <b/>
        <u/>
        <sz val="10"/>
        <rFont val="Arial Cyr"/>
        <charset val="204"/>
      </rPr>
      <t>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</si>
  <si>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r>
      <t xml:space="preserve">на </t>
    </r>
    <r>
      <rPr>
        <b/>
        <u/>
        <sz val="10"/>
        <rFont val="Arial Cyr"/>
        <charset val="204"/>
      </rPr>
      <t>2026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</si>
  <si>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Наименование работ</t>
  </si>
  <si>
    <t xml:space="preserve">Стоимость работ </t>
  </si>
  <si>
    <t>Стоимость работ в контракте</t>
  </si>
  <si>
    <t>Стоимость выполнения комплекса работ по монтажу металлоконструкций</t>
  </si>
  <si>
    <t>Непредвиденные затраты 3%</t>
  </si>
  <si>
    <t xml:space="preserve">Итоговая стоимость комплекса работ с учетом 3% непредвиденных затрат </t>
  </si>
  <si>
    <t>Расчёт обновленной стоимости работ</t>
  </si>
  <si>
    <t>Зимнее удорожание работ 2,1% с уходом за материалом зимой</t>
  </si>
  <si>
    <t>Затраты на содержание строительной площадки и персонала (4 мес, июль-октябрь)</t>
  </si>
  <si>
    <t>Итого с зимними, содержанием</t>
  </si>
  <si>
    <t>Непредвиденные 3%</t>
  </si>
  <si>
    <t xml:space="preserve">Итого с зимними, содержанием, инфляцией и непредвиденными </t>
  </si>
  <si>
    <r>
      <t>Итого, с договорным коэффициентом (</t>
    </r>
    <r>
      <rPr>
        <i/>
        <sz val="11"/>
        <color theme="1"/>
        <rFont val="Calibri"/>
        <charset val="204"/>
        <scheme val="minor"/>
      </rPr>
      <t>только на СМР- 1,20409902725</t>
    </r>
    <r>
      <rPr>
        <sz val="11"/>
        <color theme="1"/>
        <rFont val="Calibri"/>
        <family val="2"/>
        <charset val="204"/>
        <scheme val="minor"/>
      </rPr>
      <t>)</t>
    </r>
  </si>
  <si>
    <t>Итого с НДС 20%</t>
  </si>
  <si>
    <t>Банковская гарантия</t>
  </si>
  <si>
    <t>Итого, с банковской гарантией</t>
  </si>
  <si>
    <r>
      <t xml:space="preserve">Индекс инфляции 2кв.25г./1кв.26г. (октябрь 25г./март 26г., дефлятор, ± </t>
    </r>
    <r>
      <rPr>
        <b/>
        <sz val="11"/>
        <color rgb="FFFF0000"/>
        <rFont val="Calibri"/>
        <family val="2"/>
        <charset val="204"/>
        <scheme val="minor"/>
      </rPr>
      <t>3,3%</t>
    </r>
    <r>
      <rPr>
        <sz val="11"/>
        <color theme="1"/>
        <rFont val="Calibri"/>
        <family val="2"/>
        <charset val="204"/>
        <scheme val="minor"/>
      </rPr>
      <t xml:space="preserve">) </t>
    </r>
  </si>
  <si>
    <t>июль</t>
  </si>
  <si>
    <t>август</t>
  </si>
  <si>
    <t>сентябрь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</si>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</sst>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8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20"/>
      <color theme="4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u/>
      <sz val="11"/>
      <color rgb="FFC00000"/>
      <name val="Calibri"/>
      <family val="2"/>
      <charset val="204"/>
      <scheme val="minor"/>
    </font>
    <font>
      <b/>
      <u/>
      <sz val="16"/>
      <color rgb="FFC00000"/>
      <name val="Calibri"/>
      <family val="2"/>
      <charset val="204"/>
      <scheme val="minor"/>
    </font>
    <font>
      <b/>
      <sz val="22"/>
      <color rgb="FFC00000"/>
      <name val="Calibri"/>
      <family val="2"/>
      <charset val="204"/>
      <scheme val="minor"/>
    </font>
    <font>
      <b/>
      <sz val="16"/>
      <color theme="4"/>
      <name val="Calibri"/>
      <family val="2"/>
      <charset val="204"/>
      <scheme val="minor"/>
    </font>
    <font>
      <b/>
      <u/>
      <sz val="10"/>
      <name val="Arial Cyr"/>
      <charset val="204"/>
    </font>
    <font>
      <b/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467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8" fillId="0" borderId="0" xfId="0" applyFont="1" applyAlignment="1">
      <alignment wrapText="1"/>
    </xf>
    <xf numFmtId="164" fontId="26" fillId="3" borderId="24" xfId="0" applyNumberFormat="1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76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4" fontId="1" fillId="0" borderId="7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4" borderId="46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59" fillId="0" borderId="25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3" fillId="8" borderId="0" xfId="0" applyFont="1" applyFill="1"/>
    <xf numFmtId="0" fontId="9" fillId="8" borderId="0" xfId="0" applyFont="1" applyFill="1"/>
    <xf numFmtId="4" fontId="1" fillId="0" borderId="27" xfId="0" applyNumberFormat="1" applyFont="1" applyBorder="1" applyAlignment="1">
      <alignment horizontal="center" vertical="center"/>
    </xf>
    <xf numFmtId="49" fontId="0" fillId="3" borderId="80" xfId="0" applyNumberFormat="1" applyFill="1" applyBorder="1" applyAlignment="1">
      <alignment horizontal="center" vertical="center"/>
    </xf>
    <xf numFmtId="0" fontId="0" fillId="3" borderId="81" xfId="0" applyFill="1" applyBorder="1" applyAlignment="1">
      <alignment horizontal="left" vertical="center" wrapText="1"/>
    </xf>
    <xf numFmtId="0" fontId="0" fillId="3" borderId="81" xfId="0" applyFill="1" applyBorder="1" applyAlignment="1">
      <alignment horizontal="center" vertical="center" wrapText="1"/>
    </xf>
    <xf numFmtId="164" fontId="0" fillId="3" borderId="79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2" fontId="3" fillId="0" borderId="40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" fontId="0" fillId="0" borderId="39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0" fillId="0" borderId="88" xfId="0" applyBorder="1"/>
    <xf numFmtId="4" fontId="1" fillId="4" borderId="92" xfId="0" applyNumberFormat="1" applyFont="1" applyFill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69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92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6" fillId="3" borderId="22" xfId="0" applyFont="1" applyFill="1" applyBorder="1" applyAlignment="1">
      <alignment horizontal="center"/>
    </xf>
    <xf numFmtId="0" fontId="66" fillId="3" borderId="9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/>
    </xf>
    <xf numFmtId="0" fontId="66" fillId="0" borderId="47" xfId="0" applyFont="1" applyBorder="1" applyAlignment="1">
      <alignment horizontal="center" vertical="center"/>
    </xf>
    <xf numFmtId="0" fontId="66" fillId="0" borderId="0" xfId="0" applyFont="1"/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left" vertical="center" wrapText="1"/>
    </xf>
    <xf numFmtId="0" fontId="66" fillId="0" borderId="22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4" fontId="26" fillId="0" borderId="56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2" fontId="18" fillId="0" borderId="0" xfId="1" applyNumberFormat="1" applyFont="1"/>
    <xf numFmtId="0" fontId="59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8" fillId="0" borderId="0" xfId="0" applyFont="1"/>
    <xf numFmtId="0" fontId="61" fillId="8" borderId="20" xfId="0" applyFont="1" applyFill="1" applyBorder="1" applyAlignment="1">
      <alignment horizontal="center" vertical="center"/>
    </xf>
    <xf numFmtId="4" fontId="26" fillId="0" borderId="25" xfId="0" applyNumberFormat="1" applyFont="1" applyBorder="1" applyAlignment="1">
      <alignment horizontal="center" vertical="center" wrapText="1"/>
    </xf>
    <xf numFmtId="4" fontId="1" fillId="0" borderId="70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61" fillId="8" borderId="20" xfId="0" applyFont="1" applyFill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4" fontId="63" fillId="4" borderId="0" xfId="0" applyNumberFormat="1" applyFont="1" applyFill="1" applyAlignment="1">
      <alignment horizontal="center" vertical="center" wrapText="1"/>
    </xf>
    <xf numFmtId="4" fontId="1" fillId="0" borderId="94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 vertical="center"/>
    </xf>
    <xf numFmtId="4" fontId="26" fillId="0" borderId="3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16" fillId="0" borderId="0" xfId="1" applyAlignment="1">
      <alignment horizontal="center"/>
    </xf>
    <xf numFmtId="166" fontId="17" fillId="4" borderId="0" xfId="1" applyNumberFormat="1" applyFont="1" applyFill="1" applyAlignment="1">
      <alignment horizontal="center"/>
    </xf>
    <xf numFmtId="165" fontId="16" fillId="4" borderId="0" xfId="1" applyNumberForma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9" borderId="27" xfId="0" applyFont="1" applyFill="1" applyBorder="1" applyAlignment="1">
      <alignment vertical="center"/>
    </xf>
    <xf numFmtId="0" fontId="1" fillId="9" borderId="17" xfId="0" applyFont="1" applyFill="1" applyBorder="1" applyAlignment="1">
      <alignment vertical="center"/>
    </xf>
    <xf numFmtId="0" fontId="1" fillId="9" borderId="4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4" fontId="77" fillId="0" borderId="1" xfId="0" applyNumberFormat="1" applyFont="1" applyBorder="1" applyAlignment="1">
      <alignment horizontal="center" vertical="center"/>
    </xf>
    <xf numFmtId="0" fontId="79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9" borderId="1" xfId="0" applyFont="1" applyFill="1" applyBorder="1" applyAlignment="1">
      <alignment vertical="center" wrapText="1"/>
    </xf>
    <xf numFmtId="0" fontId="0" fillId="0" borderId="1" xfId="0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" fontId="81" fillId="0" borderId="1" xfId="0" applyNumberFormat="1" applyFont="1" applyBorder="1" applyAlignment="1">
      <alignment horizontal="center" vertical="center"/>
    </xf>
    <xf numFmtId="4" fontId="54" fillId="0" borderId="0" xfId="0" applyNumberFormat="1" applyFont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2" fontId="3" fillId="0" borderId="95" xfId="0" applyNumberFormat="1" applyFont="1" applyBorder="1" applyAlignment="1">
      <alignment horizontal="center" vertical="center" wrapText="1"/>
    </xf>
    <xf numFmtId="2" fontId="3" fillId="0" borderId="84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4" fontId="63" fillId="0" borderId="33" xfId="0" applyNumberFormat="1" applyFont="1" applyBorder="1" applyAlignment="1">
      <alignment horizontal="center" vertical="center"/>
    </xf>
    <xf numFmtId="4" fontId="63" fillId="0" borderId="34" xfId="0" applyNumberFormat="1" applyFont="1" applyBorder="1" applyAlignment="1">
      <alignment horizontal="center" vertical="center"/>
    </xf>
    <xf numFmtId="4" fontId="1" fillId="0" borderId="93" xfId="0" applyNumberFormat="1" applyFont="1" applyBorder="1" applyAlignment="1">
      <alignment horizontal="center" vertical="center"/>
    </xf>
    <xf numFmtId="4" fontId="1" fillId="0" borderId="85" xfId="0" applyNumberFormat="1" applyFont="1" applyBorder="1" applyAlignment="1">
      <alignment horizontal="center" vertical="center"/>
    </xf>
    <xf numFmtId="4" fontId="63" fillId="0" borderId="27" xfId="0" applyNumberFormat="1" applyFont="1" applyBorder="1" applyAlignment="1">
      <alignment horizontal="center" vertical="center"/>
    </xf>
    <xf numFmtId="4" fontId="63" fillId="0" borderId="28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164" fontId="0" fillId="3" borderId="58" xfId="0" applyNumberFormat="1" applyFill="1" applyBorder="1" applyAlignment="1">
      <alignment horizontal="center" vertical="center"/>
    </xf>
    <xf numFmtId="164" fontId="0" fillId="3" borderId="38" xfId="0" applyNumberFormat="1" applyFill="1" applyBorder="1" applyAlignment="1">
      <alignment horizontal="center" vertical="center"/>
    </xf>
    <xf numFmtId="164" fontId="0" fillId="3" borderId="59" xfId="0" applyNumberFormat="1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 vertical="center" wrapText="1"/>
    </xf>
    <xf numFmtId="0" fontId="61" fillId="8" borderId="56" xfId="0" applyFont="1" applyFill="1" applyBorder="1" applyAlignment="1">
      <alignment horizontal="center" vertical="center" wrapText="1"/>
    </xf>
    <xf numFmtId="0" fontId="61" fillId="8" borderId="20" xfId="0" applyFont="1" applyFill="1" applyBorder="1" applyAlignment="1">
      <alignment horizontal="center" vertical="center" wrapText="1"/>
    </xf>
    <xf numFmtId="0" fontId="61" fillId="8" borderId="32" xfId="0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1" fillId="9" borderId="1" xfId="0" applyFont="1" applyFill="1" applyBorder="1" applyAlignment="1">
      <alignment horizontal="center" vertical="center"/>
    </xf>
    <xf numFmtId="0" fontId="71" fillId="8" borderId="56" xfId="0" applyFont="1" applyFill="1" applyBorder="1" applyAlignment="1">
      <alignment horizontal="center" vertical="center" wrapText="1"/>
    </xf>
    <xf numFmtId="0" fontId="71" fillId="8" borderId="20" xfId="0" applyFont="1" applyFill="1" applyBorder="1" applyAlignment="1">
      <alignment horizontal="center" vertical="center" wrapText="1"/>
    </xf>
    <xf numFmtId="0" fontId="71" fillId="8" borderId="32" xfId="0" applyFont="1" applyFill="1" applyBorder="1" applyAlignment="1">
      <alignment horizontal="center" vertical="center" wrapText="1"/>
    </xf>
    <xf numFmtId="2" fontId="3" fillId="0" borderId="89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" fontId="1" fillId="0" borderId="91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/>
    </xf>
    <xf numFmtId="0" fontId="53" fillId="8" borderId="20" xfId="0" applyFont="1" applyFill="1" applyBorder="1" applyAlignment="1">
      <alignment horizontal="center" vertical="center"/>
    </xf>
    <xf numFmtId="0" fontId="53" fillId="8" borderId="32" xfId="0" applyFont="1" applyFill="1" applyBorder="1" applyAlignment="1">
      <alignment horizontal="center" vertical="center"/>
    </xf>
    <xf numFmtId="164" fontId="0" fillId="3" borderId="6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70" xfId="0" applyNumberFormat="1" applyFill="1" applyBorder="1" applyAlignment="1">
      <alignment horizontal="center" vertical="center"/>
    </xf>
    <xf numFmtId="164" fontId="0" fillId="3" borderId="86" xfId="0" applyNumberFormat="1" applyFill="1" applyBorder="1" applyAlignment="1">
      <alignment horizontal="center" vertical="center"/>
    </xf>
    <xf numFmtId="164" fontId="0" fillId="3" borderId="90" xfId="0" applyNumberFormat="1" applyFill="1" applyBorder="1" applyAlignment="1">
      <alignment horizontal="center" vertical="center"/>
    </xf>
    <xf numFmtId="164" fontId="0" fillId="3" borderId="78" xfId="0" applyNumberFormat="1" applyFill="1" applyBorder="1" applyAlignment="1">
      <alignment horizontal="center" vertical="center"/>
    </xf>
    <xf numFmtId="164" fontId="0" fillId="3" borderId="87" xfId="0" applyNumberForma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32" xfId="0" applyFont="1" applyFill="1" applyBorder="1" applyAlignment="1">
      <alignment horizontal="center" vertical="center" wrapText="1"/>
    </xf>
    <xf numFmtId="0" fontId="1" fillId="0" borderId="78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164" fontId="0" fillId="3" borderId="82" xfId="0" applyNumberFormat="1" applyFill="1" applyBorder="1" applyAlignment="1">
      <alignment horizontal="center" vertical="center"/>
    </xf>
    <xf numFmtId="164" fontId="0" fillId="3" borderId="83" xfId="0" applyNumberForma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0" fillId="3" borderId="63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4" fontId="0" fillId="3" borderId="49" xfId="0" applyNumberFormat="1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65" xfId="0" applyNumberFormat="1" applyFill="1" applyBorder="1" applyAlignment="1">
      <alignment horizontal="center" vertical="center"/>
    </xf>
    <xf numFmtId="4" fontId="0" fillId="3" borderId="66" xfId="0" applyNumberFormat="1" applyFill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80;&#1085;&#1072;&#1085;&#1089;&#1099;%20&#1080;%20&#1076;&#1086;&#1075;&#1086;&#1074;&#1086;&#1088;&#1072;/&#1055;&#1088;&#1080;&#1083;&#1086;&#1078;&#1077;&#1085;&#1080;&#1103;%20&#1082;%20&#1087;&#1080;&#1089;&#1100;&#1084;&#1091;%20&#1087;&#1086;%20&#1091;&#1074;&#1077;&#1083;&#1080;&#1095;&#1077;&#1085;&#1080;&#1102;%20&#1089;&#1090;&#1086;&#1080;&#1084;&#1086;&#1089;&#1090;&#1080;/&#1057;&#1086;&#1076;&#1077;&#1088;&#1078;&#1072;&#1085;&#1080;&#1077;%20&#1087;&#1083;&#1086;&#1097;&#1072;&#1076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28">
          <cell r="H28">
            <v>8834892.9900000002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362" t="s">
        <v>21</v>
      </c>
      <c r="E2" s="363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362" t="s">
        <v>21</v>
      </c>
      <c r="M2" s="363"/>
      <c r="N2" s="57" t="s">
        <v>32</v>
      </c>
      <c r="Q2" s="54" t="s">
        <v>37</v>
      </c>
      <c r="R2" s="55" t="s">
        <v>38</v>
      </c>
      <c r="S2" s="56" t="s">
        <v>18</v>
      </c>
      <c r="T2" s="362" t="s">
        <v>21</v>
      </c>
      <c r="U2" s="363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f>40619316.42-G3</f>
        <v>10022991.91</v>
      </c>
      <c r="G3" s="36">
        <v>30596324.510000002</v>
      </c>
      <c r="H3" s="36"/>
      <c r="I3" s="81">
        <v>1</v>
      </c>
      <c r="J3" s="366" t="s">
        <v>47</v>
      </c>
      <c r="K3" s="85" t="s">
        <v>19</v>
      </c>
      <c r="L3" s="364">
        <f>404.352+9.256</f>
        <v>413.60799999999995</v>
      </c>
      <c r="M3" s="365"/>
      <c r="N3" s="369">
        <v>164516389.53999999</v>
      </c>
      <c r="Q3" s="81">
        <v>1</v>
      </c>
      <c r="R3" s="366" t="s">
        <v>47</v>
      </c>
      <c r="S3" s="372" t="s">
        <v>19</v>
      </c>
      <c r="T3" s="375">
        <v>1893.4</v>
      </c>
      <c r="U3" s="376"/>
      <c r="V3" s="369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381">
        <f>676.624</f>
        <v>676.62400000000002</v>
      </c>
      <c r="E4" s="382"/>
      <c r="F4" s="89">
        <f>77526903.96-G4</f>
        <v>28449520.749999993</v>
      </c>
      <c r="G4" s="36">
        <v>49077383.210000001</v>
      </c>
      <c r="H4" s="36"/>
      <c r="I4" s="82">
        <v>2</v>
      </c>
      <c r="J4" s="367"/>
      <c r="K4" s="88" t="s">
        <v>19</v>
      </c>
      <c r="L4" s="381">
        <f>676.624</f>
        <v>676.62400000000002</v>
      </c>
      <c r="M4" s="382"/>
      <c r="N4" s="370"/>
      <c r="Q4" s="82">
        <v>2</v>
      </c>
      <c r="R4" s="367"/>
      <c r="S4" s="373"/>
      <c r="T4" s="377"/>
      <c r="U4" s="378"/>
      <c r="V4" s="370"/>
    </row>
    <row r="5" spans="1:22" x14ac:dyDescent="0.25">
      <c r="A5" s="82">
        <v>3</v>
      </c>
      <c r="B5" s="87" t="s">
        <v>26</v>
      </c>
      <c r="C5" s="88" t="s">
        <v>19</v>
      </c>
      <c r="D5" s="381">
        <v>295.15199999999999</v>
      </c>
      <c r="E5" s="382"/>
      <c r="F5" s="89">
        <f>35252578.16-G5</f>
        <v>12410042.859999996</v>
      </c>
      <c r="G5" s="36">
        <v>22842535.300000001</v>
      </c>
      <c r="H5" s="36"/>
      <c r="I5" s="82">
        <v>3</v>
      </c>
      <c r="J5" s="367"/>
      <c r="K5" s="88" t="s">
        <v>19</v>
      </c>
      <c r="L5" s="381">
        <v>295.15199999999999</v>
      </c>
      <c r="M5" s="382"/>
      <c r="N5" s="370"/>
      <c r="Q5" s="82">
        <v>3</v>
      </c>
      <c r="R5" s="367"/>
      <c r="S5" s="373"/>
      <c r="T5" s="377"/>
      <c r="U5" s="378"/>
      <c r="V5" s="370"/>
    </row>
    <row r="6" spans="1:22" ht="30" x14ac:dyDescent="0.25">
      <c r="A6" s="82">
        <v>4</v>
      </c>
      <c r="B6" s="87" t="s">
        <v>8</v>
      </c>
      <c r="C6" s="88" t="s">
        <v>19</v>
      </c>
      <c r="D6" s="381">
        <v>284.85599999999999</v>
      </c>
      <c r="E6" s="382"/>
      <c r="F6" s="89">
        <f>54348406.96-G6</f>
        <v>29847559.98</v>
      </c>
      <c r="G6" s="36">
        <v>24500846.98</v>
      </c>
      <c r="H6" s="36"/>
      <c r="I6" s="82">
        <v>4</v>
      </c>
      <c r="J6" s="367"/>
      <c r="K6" s="88" t="s">
        <v>19</v>
      </c>
      <c r="L6" s="381">
        <v>284.85599999999999</v>
      </c>
      <c r="M6" s="382"/>
      <c r="N6" s="370"/>
      <c r="Q6" s="82">
        <v>4</v>
      </c>
      <c r="R6" s="367"/>
      <c r="S6" s="373"/>
      <c r="T6" s="377"/>
      <c r="U6" s="378"/>
      <c r="V6" s="370"/>
    </row>
    <row r="7" spans="1:22" x14ac:dyDescent="0.25">
      <c r="A7" s="82">
        <v>5</v>
      </c>
      <c r="B7" s="87" t="s">
        <v>1</v>
      </c>
      <c r="C7" s="88" t="s">
        <v>19</v>
      </c>
      <c r="D7" s="381">
        <v>103.27200000000001</v>
      </c>
      <c r="E7" s="382"/>
      <c r="F7" s="89">
        <f>14658524.85-G7</f>
        <v>6218924.8699999992</v>
      </c>
      <c r="G7" s="36">
        <v>8439599.9800000004</v>
      </c>
      <c r="H7" s="36"/>
      <c r="I7" s="82">
        <v>5</v>
      </c>
      <c r="J7" s="367"/>
      <c r="K7" s="88" t="s">
        <v>19</v>
      </c>
      <c r="L7" s="381">
        <v>103.27200000000001</v>
      </c>
      <c r="M7" s="382"/>
      <c r="N7" s="370"/>
      <c r="Q7" s="82">
        <v>5</v>
      </c>
      <c r="R7" s="367"/>
      <c r="S7" s="373"/>
      <c r="T7" s="377"/>
      <c r="U7" s="378"/>
      <c r="V7" s="370"/>
    </row>
    <row r="8" spans="1:22" ht="30" x14ac:dyDescent="0.25">
      <c r="A8" s="82">
        <v>6</v>
      </c>
      <c r="B8" s="87" t="s">
        <v>2</v>
      </c>
      <c r="C8" s="88" t="s">
        <v>19</v>
      </c>
      <c r="D8" s="381">
        <v>66.872</v>
      </c>
      <c r="E8" s="382"/>
      <c r="F8" s="89">
        <f>9352168.79-G8</f>
        <v>4525782.0099999988</v>
      </c>
      <c r="G8" s="36">
        <v>4826386.78</v>
      </c>
      <c r="H8" s="36"/>
      <c r="I8" s="82">
        <v>6</v>
      </c>
      <c r="J8" s="367"/>
      <c r="K8" s="88" t="s">
        <v>19</v>
      </c>
      <c r="L8" s="381">
        <v>66.872</v>
      </c>
      <c r="M8" s="382"/>
      <c r="N8" s="370"/>
      <c r="Q8" s="82">
        <v>6</v>
      </c>
      <c r="R8" s="367"/>
      <c r="S8" s="373"/>
      <c r="T8" s="377"/>
      <c r="U8" s="378"/>
      <c r="V8" s="370"/>
    </row>
    <row r="9" spans="1:22" x14ac:dyDescent="0.25">
      <c r="A9" s="82">
        <v>7</v>
      </c>
      <c r="B9" s="87" t="s">
        <v>3</v>
      </c>
      <c r="C9" s="88" t="s">
        <v>19</v>
      </c>
      <c r="D9" s="381">
        <v>233.27199999999999</v>
      </c>
      <c r="E9" s="382"/>
      <c r="F9" s="89">
        <f>34523672.98-G9</f>
        <v>17401032.069999997</v>
      </c>
      <c r="G9" s="36">
        <v>17122640.91</v>
      </c>
      <c r="H9" s="36"/>
      <c r="I9" s="82">
        <v>7</v>
      </c>
      <c r="J9" s="367"/>
      <c r="K9" s="88" t="s">
        <v>19</v>
      </c>
      <c r="L9" s="381">
        <v>233.27199999999999</v>
      </c>
      <c r="M9" s="382"/>
      <c r="N9" s="370"/>
      <c r="Q9" s="82">
        <v>7</v>
      </c>
      <c r="R9" s="367"/>
      <c r="S9" s="373"/>
      <c r="T9" s="377"/>
      <c r="U9" s="378"/>
      <c r="V9" s="370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383">
        <v>4.3680000000000003</v>
      </c>
      <c r="E10" s="384"/>
      <c r="F10" s="92">
        <f>1043243.99-G10</f>
        <v>714028.58000000007</v>
      </c>
      <c r="G10" s="36">
        <v>329215.40999999997</v>
      </c>
      <c r="H10" s="36"/>
      <c r="I10" s="83">
        <v>8</v>
      </c>
      <c r="J10" s="368"/>
      <c r="K10" s="91" t="s">
        <v>19</v>
      </c>
      <c r="L10" s="383">
        <v>4.3680000000000003</v>
      </c>
      <c r="M10" s="384"/>
      <c r="N10" s="371"/>
      <c r="Q10" s="83">
        <v>8</v>
      </c>
      <c r="R10" s="368"/>
      <c r="S10" s="374"/>
      <c r="T10" s="379"/>
      <c r="U10" s="380"/>
      <c r="V10" s="371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385" t="s">
        <v>31</v>
      </c>
      <c r="E12" s="386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85" t="s">
        <v>31</v>
      </c>
      <c r="M12" s="386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85" t="s">
        <v>31</v>
      </c>
      <c r="U12" s="386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387" t="s">
        <v>30</v>
      </c>
      <c r="E13" s="388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87" t="s">
        <v>30</v>
      </c>
      <c r="M13" s="388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87" t="s">
        <v>30</v>
      </c>
      <c r="U13" s="388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389">
        <f>47.6596*100</f>
        <v>4765.96</v>
      </c>
      <c r="E14" s="390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89">
        <f>47.6596*100</f>
        <v>4765.96</v>
      </c>
      <c r="M14" s="390"/>
      <c r="N14" s="73">
        <v>1105733.3899999999</v>
      </c>
      <c r="Q14" s="70">
        <v>11</v>
      </c>
      <c r="R14" s="71" t="s">
        <v>17</v>
      </c>
      <c r="S14" s="72" t="s">
        <v>20</v>
      </c>
      <c r="T14" s="389">
        <f>47.6596*100</f>
        <v>4765.96</v>
      </c>
      <c r="U14" s="390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F16" sqref="F16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.140625" style="35" customWidth="1"/>
    <col min="8" max="8" width="4.7109375" customWidth="1"/>
    <col min="9" max="9" width="27.85546875" customWidth="1"/>
    <col min="10" max="10" width="12" style="35" customWidth="1"/>
    <col min="11" max="11" width="12.28515625" customWidth="1"/>
    <col min="12" max="12" width="3.42578125" customWidth="1"/>
    <col min="13" max="13" width="23.28515625" customWidth="1"/>
    <col min="14" max="14" width="1.140625" style="35" customWidth="1"/>
    <col min="15" max="15" width="10" style="35" hidden="1" customWidth="1"/>
    <col min="16" max="16" width="4.7109375" customWidth="1"/>
    <col min="17" max="17" width="27.85546875" customWidth="1"/>
    <col min="18" max="18" width="12" style="35" customWidth="1"/>
    <col min="19" max="19" width="12.28515625" customWidth="1"/>
    <col min="20" max="20" width="3.42578125" customWidth="1"/>
    <col min="21" max="21" width="23.28515625" customWidth="1"/>
    <col min="22" max="22" width="1.42578125" style="35" customWidth="1"/>
    <col min="23" max="23" width="0.85546875" style="35" customWidth="1"/>
  </cols>
  <sheetData>
    <row r="1" spans="1:23" ht="38.25" customHeight="1" thickBot="1" x14ac:dyDescent="0.3">
      <c r="B1" s="256" t="s">
        <v>140</v>
      </c>
      <c r="F1" s="245" t="s">
        <v>132</v>
      </c>
      <c r="G1" s="105"/>
      <c r="I1" s="256" t="s">
        <v>141</v>
      </c>
      <c r="M1" s="245" t="s">
        <v>133</v>
      </c>
      <c r="N1" s="105"/>
      <c r="Q1" s="256" t="s">
        <v>145</v>
      </c>
      <c r="U1" s="245" t="s">
        <v>146</v>
      </c>
      <c r="V1" s="105"/>
    </row>
    <row r="2" spans="1:23" ht="15.75" thickBot="1" x14ac:dyDescent="0.3">
      <c r="A2" s="54" t="s">
        <v>58</v>
      </c>
      <c r="B2" s="55" t="s">
        <v>69</v>
      </c>
      <c r="C2" s="56" t="s">
        <v>18</v>
      </c>
      <c r="D2" s="362" t="s">
        <v>21</v>
      </c>
      <c r="E2" s="363"/>
      <c r="F2" s="57" t="s">
        <v>32</v>
      </c>
      <c r="G2" s="1" t="s">
        <v>24</v>
      </c>
      <c r="H2" s="54" t="s">
        <v>58</v>
      </c>
      <c r="I2" s="55" t="s">
        <v>69</v>
      </c>
      <c r="J2" s="56" t="s">
        <v>18</v>
      </c>
      <c r="K2" s="362" t="s">
        <v>21</v>
      </c>
      <c r="L2" s="363"/>
      <c r="M2" s="57" t="s">
        <v>32</v>
      </c>
      <c r="N2" s="1" t="s">
        <v>24</v>
      </c>
      <c r="P2" s="54" t="s">
        <v>58</v>
      </c>
      <c r="Q2" s="55" t="s">
        <v>69</v>
      </c>
      <c r="R2" s="56" t="s">
        <v>18</v>
      </c>
      <c r="S2" s="362" t="s">
        <v>21</v>
      </c>
      <c r="T2" s="363"/>
      <c r="U2" s="57" t="s">
        <v>32</v>
      </c>
      <c r="V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454">
        <v>292.42</v>
      </c>
      <c r="L3" s="455"/>
      <c r="M3" s="259">
        <f>37762102.01-N3</f>
        <v>7165777.4999999963</v>
      </c>
      <c r="N3" s="36">
        <v>30596324.510000002</v>
      </c>
      <c r="O3" s="36">
        <f>D3-K3</f>
        <v>121.18799999999993</v>
      </c>
      <c r="P3" s="81">
        <v>1</v>
      </c>
      <c r="Q3" s="84" t="s">
        <v>0</v>
      </c>
      <c r="R3" s="85" t="s">
        <v>19</v>
      </c>
      <c r="S3" s="444">
        <v>1791.6900000000003</v>
      </c>
      <c r="T3" s="445"/>
      <c r="U3" s="369">
        <v>139860049.75999999</v>
      </c>
      <c r="V3" s="248">
        <v>30596324.510000002</v>
      </c>
      <c r="W3" s="248">
        <f>L3-S3</f>
        <v>-1791.6900000000003</v>
      </c>
    </row>
    <row r="4" spans="1:23" ht="30" x14ac:dyDescent="0.25">
      <c r="A4" s="82">
        <v>2</v>
      </c>
      <c r="B4" s="87" t="s">
        <v>25</v>
      </c>
      <c r="C4" s="88" t="s">
        <v>19</v>
      </c>
      <c r="D4" s="364">
        <f>676.624</f>
        <v>676.62400000000002</v>
      </c>
      <c r="E4" s="365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456">
        <v>941.29</v>
      </c>
      <c r="L4" s="457"/>
      <c r="M4" s="259">
        <f>89009547.99-N4</f>
        <v>39932164.779999994</v>
      </c>
      <c r="N4" s="36">
        <v>49077383.210000001</v>
      </c>
      <c r="O4" s="248">
        <f t="shared" ref="O4:O5" si="0">D4-K4</f>
        <v>-264.66599999999994</v>
      </c>
      <c r="P4" s="82">
        <v>2</v>
      </c>
      <c r="Q4" s="87" t="s">
        <v>25</v>
      </c>
      <c r="R4" s="88" t="s">
        <v>19</v>
      </c>
      <c r="S4" s="446"/>
      <c r="T4" s="447"/>
      <c r="U4" s="370"/>
      <c r="V4" s="248">
        <v>49077383.210000001</v>
      </c>
      <c r="W4" s="248">
        <f t="shared" ref="W4:W5" si="1">L4-S4</f>
        <v>0</v>
      </c>
    </row>
    <row r="5" spans="1:23" x14ac:dyDescent="0.25">
      <c r="A5" s="82">
        <v>3</v>
      </c>
      <c r="B5" s="87" t="s">
        <v>26</v>
      </c>
      <c r="C5" s="88" t="s">
        <v>19</v>
      </c>
      <c r="D5" s="381">
        <v>295.15199999999999</v>
      </c>
      <c r="E5" s="382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454">
        <v>53.14</v>
      </c>
      <c r="L5" s="455"/>
      <c r="M5" s="259">
        <f>25076874.41-N5</f>
        <v>2234339.1099999994</v>
      </c>
      <c r="N5" s="36">
        <v>22842535.300000001</v>
      </c>
      <c r="O5" s="248">
        <f t="shared" si="0"/>
        <v>242.012</v>
      </c>
      <c r="P5" s="82">
        <v>3</v>
      </c>
      <c r="Q5" s="87" t="s">
        <v>26</v>
      </c>
      <c r="R5" s="88" t="s">
        <v>19</v>
      </c>
      <c r="S5" s="446"/>
      <c r="T5" s="447"/>
      <c r="U5" s="370"/>
      <c r="V5" s="248">
        <v>22842535.300000001</v>
      </c>
      <c r="W5" s="248">
        <f t="shared" si="1"/>
        <v>0</v>
      </c>
    </row>
    <row r="6" spans="1:23" ht="30" x14ac:dyDescent="0.25">
      <c r="A6" s="82">
        <v>4</v>
      </c>
      <c r="B6" s="87" t="s">
        <v>8</v>
      </c>
      <c r="C6" s="88" t="s">
        <v>19</v>
      </c>
      <c r="D6" s="381">
        <v>284.85599999999999</v>
      </c>
      <c r="E6" s="382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456">
        <v>213.17</v>
      </c>
      <c r="L6" s="457"/>
      <c r="M6" s="260">
        <f>46837060.14-N6</f>
        <v>22336213.16</v>
      </c>
      <c r="N6" s="36">
        <v>24500846.98</v>
      </c>
      <c r="O6" s="36">
        <f>D6-K6</f>
        <v>71.686000000000007</v>
      </c>
      <c r="P6" s="82">
        <v>4</v>
      </c>
      <c r="Q6" s="87" t="s">
        <v>8</v>
      </c>
      <c r="R6" s="88" t="s">
        <v>19</v>
      </c>
      <c r="S6" s="446"/>
      <c r="T6" s="447"/>
      <c r="U6" s="370"/>
      <c r="V6" s="248">
        <v>24500846.98</v>
      </c>
      <c r="W6" s="248">
        <f>L6-S6</f>
        <v>0</v>
      </c>
    </row>
    <row r="7" spans="1:23" x14ac:dyDescent="0.25">
      <c r="A7" s="82">
        <v>5</v>
      </c>
      <c r="B7" s="87" t="s">
        <v>1</v>
      </c>
      <c r="C7" s="88" t="s">
        <v>19</v>
      </c>
      <c r="D7" s="381">
        <v>103.27200000000001</v>
      </c>
      <c r="E7" s="382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456">
        <v>61.69</v>
      </c>
      <c r="L7" s="457"/>
      <c r="M7" s="260">
        <f>12077264.9-N7</f>
        <v>3714903.1500000004</v>
      </c>
      <c r="N7" s="36">
        <v>8362361.75</v>
      </c>
      <c r="O7" s="36">
        <f>D7-K7</f>
        <v>41.582000000000008</v>
      </c>
      <c r="P7" s="82">
        <v>5</v>
      </c>
      <c r="Q7" s="87" t="s">
        <v>1</v>
      </c>
      <c r="R7" s="88" t="s">
        <v>19</v>
      </c>
      <c r="S7" s="446"/>
      <c r="T7" s="447"/>
      <c r="U7" s="370"/>
      <c r="V7" s="248">
        <v>8362361.75</v>
      </c>
      <c r="W7" s="248">
        <f>L7-S7</f>
        <v>0</v>
      </c>
    </row>
    <row r="8" spans="1:23" ht="30" x14ac:dyDescent="0.25">
      <c r="A8" s="82">
        <v>6</v>
      </c>
      <c r="B8" s="87" t="s">
        <v>2</v>
      </c>
      <c r="C8" s="88" t="s">
        <v>19</v>
      </c>
      <c r="D8" s="381">
        <v>66.872</v>
      </c>
      <c r="E8" s="382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456">
        <v>41.95</v>
      </c>
      <c r="L8" s="457"/>
      <c r="M8" s="260">
        <f>7627692.25-N8</f>
        <v>2839000</v>
      </c>
      <c r="N8" s="36">
        <v>4788692.25</v>
      </c>
      <c r="O8" s="36">
        <f>D8-K8</f>
        <v>24.921999999999997</v>
      </c>
      <c r="P8" s="82">
        <v>6</v>
      </c>
      <c r="Q8" s="87" t="s">
        <v>2</v>
      </c>
      <c r="R8" s="88" t="s">
        <v>19</v>
      </c>
      <c r="S8" s="446"/>
      <c r="T8" s="447"/>
      <c r="U8" s="370"/>
      <c r="V8" s="248">
        <v>4788692.25</v>
      </c>
      <c r="W8" s="248">
        <f>L8-S8</f>
        <v>0</v>
      </c>
    </row>
    <row r="9" spans="1:23" x14ac:dyDescent="0.25">
      <c r="A9" s="82">
        <v>7</v>
      </c>
      <c r="B9" s="87" t="s">
        <v>3</v>
      </c>
      <c r="C9" s="88" t="s">
        <v>19</v>
      </c>
      <c r="D9" s="381">
        <v>233.27199999999999</v>
      </c>
      <c r="E9" s="382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458">
        <v>182.95</v>
      </c>
      <c r="L9" s="459"/>
      <c r="M9" s="260">
        <f>30709409.94-N9</f>
        <v>13647239.470000003</v>
      </c>
      <c r="N9" s="36">
        <v>17062170.469999999</v>
      </c>
      <c r="O9" s="36">
        <f t="shared" ref="O9:O10" si="2">D9-K9</f>
        <v>50.322000000000003</v>
      </c>
      <c r="P9" s="82">
        <v>7</v>
      </c>
      <c r="Q9" s="87" t="s">
        <v>3</v>
      </c>
      <c r="R9" s="88" t="s">
        <v>19</v>
      </c>
      <c r="S9" s="446"/>
      <c r="T9" s="447"/>
      <c r="U9" s="370"/>
      <c r="V9" s="248">
        <v>17062170.469999999</v>
      </c>
      <c r="W9" s="248">
        <f t="shared" ref="W9:W10" si="3">L9-S9</f>
        <v>0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383">
        <v>4.3680000000000003</v>
      </c>
      <c r="E10" s="384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383">
        <v>5.08</v>
      </c>
      <c r="L10" s="384"/>
      <c r="M10" s="249">
        <f>1160321.19-N10</f>
        <v>831105.78</v>
      </c>
      <c r="N10" s="36">
        <v>329215.40999999997</v>
      </c>
      <c r="O10" s="36">
        <f t="shared" si="2"/>
        <v>-0.71199999999999974</v>
      </c>
      <c r="P10" s="83">
        <v>8</v>
      </c>
      <c r="Q10" s="90" t="s">
        <v>4</v>
      </c>
      <c r="R10" s="91" t="s">
        <v>19</v>
      </c>
      <c r="S10" s="448"/>
      <c r="T10" s="449"/>
      <c r="U10" s="371"/>
      <c r="V10" s="248">
        <v>329215.40999999997</v>
      </c>
      <c r="W10" s="248">
        <f t="shared" si="3"/>
        <v>0</v>
      </c>
    </row>
    <row r="11" spans="1:23" ht="2.25" customHeight="1" thickTop="1" x14ac:dyDescent="0.25">
      <c r="A11" s="95"/>
      <c r="B11" s="96"/>
      <c r="C11" s="97"/>
      <c r="D11" s="238"/>
      <c r="E11" s="239"/>
      <c r="F11" s="100"/>
      <c r="G11" s="36"/>
      <c r="H11" s="95"/>
      <c r="I11" s="96"/>
      <c r="J11" s="97"/>
      <c r="K11" s="238"/>
      <c r="L11" s="239"/>
      <c r="M11" s="250"/>
      <c r="N11" s="36"/>
      <c r="P11" s="95"/>
      <c r="Q11" s="96"/>
      <c r="R11" s="97"/>
      <c r="S11" s="254"/>
      <c r="T11" s="255"/>
      <c r="U11" s="250"/>
      <c r="V11" s="248"/>
    </row>
    <row r="12" spans="1:23" ht="19.5" customHeight="1" x14ac:dyDescent="0.25">
      <c r="A12" s="53">
        <v>9</v>
      </c>
      <c r="B12" s="50" t="s">
        <v>131</v>
      </c>
      <c r="C12" s="42" t="s">
        <v>29</v>
      </c>
      <c r="D12" s="385" t="s">
        <v>134</v>
      </c>
      <c r="E12" s="386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450" t="s">
        <v>136</v>
      </c>
      <c r="L12" s="451"/>
      <c r="M12" s="251">
        <f>3419291.82+388055.63</f>
        <v>3807347.4499999997</v>
      </c>
      <c r="N12" s="248">
        <v>5678876.6900000004</v>
      </c>
      <c r="P12" s="53">
        <v>9</v>
      </c>
      <c r="Q12" s="50" t="s">
        <v>27</v>
      </c>
      <c r="R12" s="42" t="s">
        <v>29</v>
      </c>
      <c r="S12" s="450" t="s">
        <v>136</v>
      </c>
      <c r="T12" s="451"/>
      <c r="U12" s="251">
        <f>3419291.82+388055.63</f>
        <v>3807347.4499999997</v>
      </c>
      <c r="V12" s="248">
        <v>5678876.6900000004</v>
      </c>
    </row>
    <row r="13" spans="1:23" x14ac:dyDescent="0.25">
      <c r="A13" s="52">
        <v>10</v>
      </c>
      <c r="B13" s="51" t="s">
        <v>28</v>
      </c>
      <c r="C13" s="40" t="s">
        <v>29</v>
      </c>
      <c r="D13" s="387" t="s">
        <v>137</v>
      </c>
      <c r="E13" s="388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452" t="s">
        <v>135</v>
      </c>
      <c r="L13" s="453"/>
      <c r="M13" s="252">
        <f>13237387.5+493072.33+437764.01</f>
        <v>14168223.84</v>
      </c>
      <c r="N13" s="36">
        <v>6649088.5499999998</v>
      </c>
      <c r="P13" s="52">
        <v>10</v>
      </c>
      <c r="Q13" s="51" t="s">
        <v>28</v>
      </c>
      <c r="R13" s="40" t="s">
        <v>29</v>
      </c>
      <c r="S13" s="452" t="s">
        <v>135</v>
      </c>
      <c r="T13" s="453"/>
      <c r="U13" s="252">
        <f>13237387.5+493072.33+437764.01</f>
        <v>14168223.84</v>
      </c>
      <c r="V13" s="248">
        <v>6649088.5499999998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389">
        <f>47.6596*100</f>
        <v>4765.96</v>
      </c>
      <c r="E14" s="390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89">
        <f>47.6596*100</f>
        <v>4765.96</v>
      </c>
      <c r="L14" s="390"/>
      <c r="M14" s="253">
        <v>1105733.3899999999</v>
      </c>
      <c r="N14" s="36"/>
      <c r="P14" s="70">
        <v>11</v>
      </c>
      <c r="Q14" s="71" t="s">
        <v>17</v>
      </c>
      <c r="R14" s="72" t="s">
        <v>20</v>
      </c>
      <c r="S14" s="389">
        <f>47.6596*100</f>
        <v>4765.96</v>
      </c>
      <c r="T14" s="390"/>
      <c r="U14" s="253">
        <v>1105733.3899999999</v>
      </c>
      <c r="V14" s="248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P15" s="74"/>
      <c r="Q15" s="75"/>
      <c r="R15" s="76"/>
      <c r="S15" s="77"/>
      <c r="T15" s="77"/>
      <c r="U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4">
        <f>SUM(N3:N13)</f>
        <v>169887495.12</v>
      </c>
      <c r="O16" s="242">
        <f>D16-K16</f>
        <v>286.33399999999961</v>
      </c>
      <c r="P16" s="69">
        <v>12</v>
      </c>
      <c r="Q16" s="59" t="s">
        <v>22</v>
      </c>
      <c r="R16" s="60"/>
      <c r="S16" s="61">
        <f>S3+S4+S5+S6+S7+S8+S9+S10</f>
        <v>1791.6900000000003</v>
      </c>
      <c r="T16" s="62" t="s">
        <v>19</v>
      </c>
      <c r="U16" s="63">
        <f>SUM(U3:U14)</f>
        <v>158941354.43999997</v>
      </c>
      <c r="V16" s="244">
        <f>SUM(V3:V13)</f>
        <v>169887495.12</v>
      </c>
      <c r="W16" s="242" t="e">
        <f>L16-S16</f>
        <v>#VALUE!</v>
      </c>
    </row>
    <row r="17" spans="1:22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  <c r="P17" s="67">
        <v>13</v>
      </c>
      <c r="Q17" s="58" t="s">
        <v>23</v>
      </c>
      <c r="R17" s="41"/>
      <c r="S17" s="45"/>
      <c r="T17" s="46"/>
      <c r="U17" s="47">
        <f>U16*0.03</f>
        <v>4768240.6331999991</v>
      </c>
    </row>
    <row r="18" spans="1:22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  <c r="P18" s="68">
        <v>14</v>
      </c>
      <c r="Q18" s="64" t="s">
        <v>36</v>
      </c>
      <c r="R18" s="48"/>
      <c r="S18" s="65"/>
      <c r="T18" s="44"/>
      <c r="U18" s="66">
        <f>U16+U17</f>
        <v>163709595.07319996</v>
      </c>
      <c r="V18" s="248"/>
    </row>
    <row r="19" spans="1:22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1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1">
        <v>1.1951738485498071</v>
      </c>
      <c r="P19" s="67">
        <v>15</v>
      </c>
      <c r="Q19" s="58" t="s">
        <v>144</v>
      </c>
      <c r="R19" s="41"/>
      <c r="S19" s="45"/>
      <c r="T19" s="46"/>
      <c r="U19" s="47">
        <f>U18*V19</f>
        <v>137606949.46666664</v>
      </c>
      <c r="V19" s="141">
        <v>0.84055518801532703</v>
      </c>
    </row>
    <row r="20" spans="1:22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  <c r="P20" s="68">
        <v>16</v>
      </c>
      <c r="Q20" s="64" t="s">
        <v>22</v>
      </c>
      <c r="R20" s="48"/>
      <c r="S20" s="65"/>
      <c r="T20" s="44"/>
      <c r="U20" s="66">
        <f>U19</f>
        <v>137606949.46666664</v>
      </c>
    </row>
    <row r="21" spans="1:22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  <c r="P21" s="67">
        <v>17</v>
      </c>
      <c r="Q21" s="58" t="s">
        <v>33</v>
      </c>
      <c r="R21" s="41"/>
      <c r="S21" s="45"/>
      <c r="T21" s="46"/>
      <c r="U21" s="47">
        <f>U20*0.2</f>
        <v>27521389.893333331</v>
      </c>
    </row>
    <row r="22" spans="1:22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3">
        <f>M22-F22</f>
        <v>-26522683.13199994</v>
      </c>
      <c r="P22" s="69">
        <v>18</v>
      </c>
      <c r="Q22" s="59" t="s">
        <v>34</v>
      </c>
      <c r="R22" s="60"/>
      <c r="S22" s="61"/>
      <c r="T22" s="62"/>
      <c r="U22" s="107">
        <f>U20+U21</f>
        <v>165128339.35999995</v>
      </c>
      <c r="V22" s="39"/>
    </row>
    <row r="23" spans="1:22" x14ac:dyDescent="0.25">
      <c r="C23"/>
      <c r="G23" s="39"/>
      <c r="J23"/>
      <c r="N23" s="39"/>
      <c r="R23"/>
      <c r="V23" s="39"/>
    </row>
    <row r="24" spans="1:22" ht="35.25" customHeight="1" x14ac:dyDescent="0.25">
      <c r="B24" s="443" t="s">
        <v>53</v>
      </c>
      <c r="C24" s="443"/>
      <c r="D24" s="443"/>
      <c r="E24" s="79"/>
      <c r="F24" s="93">
        <f>(F3+F4+F5+F6+F7+F8+F9+F10)*G19*1.2/D16</f>
        <v>75700.428816399144</v>
      </c>
      <c r="G24" s="39"/>
      <c r="I24" s="443" t="s">
        <v>53</v>
      </c>
      <c r="J24" s="443"/>
      <c r="K24" s="443"/>
      <c r="L24" s="79"/>
      <c r="M24" s="93">
        <f>(M3+M4+M5+M6+M7+M8+M9+M10)*N19*1.2/K16</f>
        <v>74204.915168345775</v>
      </c>
      <c r="N24" s="39"/>
      <c r="Q24" s="443" t="s">
        <v>53</v>
      </c>
      <c r="R24" s="443"/>
      <c r="S24" s="443"/>
      <c r="T24" s="79"/>
      <c r="U24" s="93">
        <f>(U3+U4+U5+U6+U7+U8+U9+U10)*V19*1.2/S16</f>
        <v>78736.895615993679</v>
      </c>
      <c r="V24" s="39"/>
    </row>
    <row r="25" spans="1:22" ht="30.75" customHeight="1" x14ac:dyDescent="0.25">
      <c r="B25" s="443" t="s">
        <v>54</v>
      </c>
      <c r="C25" s="443"/>
      <c r="D25" s="443"/>
      <c r="E25" s="79"/>
      <c r="F25" s="93">
        <f>F16*G19*1.2/D16</f>
        <v>89541.292052319011</v>
      </c>
      <c r="G25" s="39"/>
      <c r="I25" s="443" t="s">
        <v>54</v>
      </c>
      <c r="J25" s="443"/>
      <c r="K25" s="443"/>
      <c r="L25" s="79"/>
      <c r="M25" s="93">
        <f>M16*N19*1.2/K16</f>
        <v>89479.081804145753</v>
      </c>
      <c r="N25" s="39"/>
      <c r="Q25" s="443" t="s">
        <v>54</v>
      </c>
      <c r="R25" s="443"/>
      <c r="S25" s="443"/>
      <c r="T25" s="79"/>
      <c r="U25" s="93">
        <f>U16*V19*1.2/S16</f>
        <v>89479.081804145724</v>
      </c>
      <c r="V25" s="39"/>
    </row>
    <row r="26" spans="1:22" ht="37.5" customHeight="1" x14ac:dyDescent="0.25">
      <c r="B26" s="443" t="s">
        <v>55</v>
      </c>
      <c r="C26" s="443"/>
      <c r="D26" s="443"/>
      <c r="E26" s="79"/>
      <c r="F26" s="93">
        <f>F22/D16</f>
        <v>92227.530813888574</v>
      </c>
      <c r="G26" s="39"/>
      <c r="I26" s="443" t="s">
        <v>55</v>
      </c>
      <c r="J26" s="443"/>
      <c r="K26" s="443"/>
      <c r="L26" s="79"/>
      <c r="M26" s="93">
        <f>M22/K16</f>
        <v>92163.45425827014</v>
      </c>
      <c r="N26" s="39"/>
      <c r="Q26" s="443" t="s">
        <v>55</v>
      </c>
      <c r="R26" s="443"/>
      <c r="S26" s="443"/>
      <c r="T26" s="79"/>
      <c r="U26" s="93">
        <f>U22/S16</f>
        <v>92163.454258270081</v>
      </c>
      <c r="V26" s="39"/>
    </row>
  </sheetData>
  <mergeCells count="39"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  <mergeCell ref="K9:L9"/>
    <mergeCell ref="D10:E10"/>
    <mergeCell ref="K10:L10"/>
    <mergeCell ref="K8:L8"/>
    <mergeCell ref="D9:E9"/>
    <mergeCell ref="U3:U10"/>
    <mergeCell ref="S12:T12"/>
    <mergeCell ref="S13:T13"/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S14:T14"/>
    <mergeCell ref="Q24:S24"/>
    <mergeCell ref="Q25:S25"/>
    <mergeCell ref="Q26:S26"/>
    <mergeCell ref="S2:T2"/>
    <mergeCell ref="S3:T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6" ht="15.75" thickBot="1" x14ac:dyDescent="0.3"/>
    <row r="18" spans="2:6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25">
      <c r="B19" s="10" t="s">
        <v>0</v>
      </c>
      <c r="C19" s="240">
        <v>290.81</v>
      </c>
      <c r="D19" s="21">
        <v>397.7</v>
      </c>
      <c r="E19" s="11">
        <f>404.352+9.256</f>
        <v>413.60799999999995</v>
      </c>
    </row>
    <row r="20" spans="2:6" ht="30" x14ac:dyDescent="0.25">
      <c r="B20" s="10" t="s">
        <v>7</v>
      </c>
      <c r="C20" s="240">
        <v>994.42</v>
      </c>
      <c r="D20" s="21">
        <v>934.4</v>
      </c>
      <c r="E20" s="11">
        <f>676.624+295.152</f>
        <v>971.77600000000007</v>
      </c>
    </row>
    <row r="21" spans="2:6" x14ac:dyDescent="0.25">
      <c r="B21" s="10" t="s">
        <v>8</v>
      </c>
      <c r="C21" s="240">
        <v>213.17</v>
      </c>
      <c r="D21" s="21">
        <v>273.89999999999998</v>
      </c>
      <c r="E21" s="11">
        <v>284.85599999999999</v>
      </c>
    </row>
    <row r="22" spans="2:6" x14ac:dyDescent="0.25">
      <c r="B22" s="10" t="s">
        <v>1</v>
      </c>
      <c r="C22" s="240">
        <v>61.69</v>
      </c>
      <c r="D22" s="21">
        <v>99.3</v>
      </c>
      <c r="E22" s="11">
        <v>103.27200000000001</v>
      </c>
    </row>
    <row r="23" spans="2:6" x14ac:dyDescent="0.25">
      <c r="B23" s="10" t="s">
        <v>2</v>
      </c>
      <c r="C23" s="240">
        <v>41.95</v>
      </c>
      <c r="D23" s="21">
        <v>64.3</v>
      </c>
      <c r="E23" s="11">
        <v>66.872</v>
      </c>
    </row>
    <row r="24" spans="2:6" x14ac:dyDescent="0.25">
      <c r="B24" s="10" t="s">
        <v>3</v>
      </c>
      <c r="C24" s="240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25">
      <c r="B25" s="10" t="s">
        <v>4</v>
      </c>
      <c r="C25" s="240">
        <v>5.08</v>
      </c>
      <c r="D25" s="21">
        <v>4.37</v>
      </c>
      <c r="E25" s="11">
        <v>4.3680000000000003</v>
      </c>
    </row>
    <row r="26" spans="2:6" x14ac:dyDescent="0.25">
      <c r="B26" s="10" t="s">
        <v>5</v>
      </c>
      <c r="C26" s="240">
        <v>0</v>
      </c>
      <c r="D26" s="22">
        <v>0</v>
      </c>
      <c r="E26" s="12">
        <f>C26</f>
        <v>0</v>
      </c>
    </row>
    <row r="27" spans="2:6" ht="15.75" thickBot="1" x14ac:dyDescent="0.3">
      <c r="B27" s="13" t="s">
        <v>6</v>
      </c>
      <c r="C27" s="241">
        <f>C26</f>
        <v>0</v>
      </c>
      <c r="D27" s="23">
        <v>0</v>
      </c>
      <c r="E27" s="14">
        <f>C27</f>
        <v>0</v>
      </c>
    </row>
    <row r="28" spans="2:6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5.75" thickBot="1" x14ac:dyDescent="0.3">
      <c r="B29" s="17"/>
      <c r="C29" s="17"/>
      <c r="D29" s="17"/>
      <c r="E29" s="18"/>
    </row>
    <row r="30" spans="2:6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6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2"/>
  <sheetViews>
    <sheetView topLeftCell="O7" workbookViewId="0">
      <selection activeCell="Y17" sqref="Y17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257" t="s">
        <v>147</v>
      </c>
      <c r="S1" s="143"/>
      <c r="T1" s="106"/>
      <c r="U1" s="106"/>
      <c r="V1" s="104" t="s">
        <v>67</v>
      </c>
      <c r="X1" s="106"/>
      <c r="Y1" s="257" t="s">
        <v>147</v>
      </c>
      <c r="Z1" s="105"/>
      <c r="AA1" s="106"/>
      <c r="AB1" s="106"/>
      <c r="AC1" s="104" t="s">
        <v>67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62" t="s">
        <v>21</v>
      </c>
      <c r="E2" s="363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62" t="s">
        <v>21</v>
      </c>
      <c r="M2" s="363"/>
      <c r="N2" s="57" t="s">
        <v>32</v>
      </c>
      <c r="Q2" s="54" t="s">
        <v>58</v>
      </c>
      <c r="R2" s="55" t="s">
        <v>69</v>
      </c>
      <c r="S2" s="56" t="s">
        <v>18</v>
      </c>
      <c r="T2" s="362" t="s">
        <v>21</v>
      </c>
      <c r="U2" s="363"/>
      <c r="V2" s="57" t="s">
        <v>32</v>
      </c>
      <c r="X2" s="54" t="s">
        <v>58</v>
      </c>
      <c r="Y2" s="55" t="s">
        <v>69</v>
      </c>
      <c r="Z2" s="56" t="s">
        <v>18</v>
      </c>
      <c r="AA2" s="362" t="s">
        <v>21</v>
      </c>
      <c r="AB2" s="363"/>
      <c r="AC2" s="57" t="s">
        <v>32</v>
      </c>
    </row>
    <row r="3" spans="1:31" ht="15" customHeight="1" x14ac:dyDescent="0.25">
      <c r="A3" s="81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f>40619316.42-G3</f>
        <v>10022991.91</v>
      </c>
      <c r="G3" s="36">
        <v>30596324.510000002</v>
      </c>
      <c r="H3" s="36"/>
      <c r="I3" s="81">
        <v>1</v>
      </c>
      <c r="J3" s="366" t="s">
        <v>47</v>
      </c>
      <c r="K3" s="85" t="s">
        <v>19</v>
      </c>
      <c r="L3" s="364">
        <f>404.352+9.256</f>
        <v>413.60799999999995</v>
      </c>
      <c r="M3" s="365"/>
      <c r="N3" s="369">
        <v>164516389.53999999</v>
      </c>
      <c r="Q3" s="81">
        <v>1</v>
      </c>
      <c r="R3" s="366" t="s">
        <v>47</v>
      </c>
      <c r="S3" s="372" t="s">
        <v>19</v>
      </c>
      <c r="T3" s="444">
        <v>1791.6900000000003</v>
      </c>
      <c r="U3" s="445"/>
      <c r="V3" s="369">
        <v>139860049.75999999</v>
      </c>
      <c r="X3" s="81">
        <v>1</v>
      </c>
      <c r="Y3" s="366" t="s">
        <v>47</v>
      </c>
      <c r="Z3" s="372" t="s">
        <v>19</v>
      </c>
      <c r="AA3" s="444">
        <f>T3</f>
        <v>1791.6900000000003</v>
      </c>
      <c r="AB3" s="445"/>
      <c r="AC3" s="369">
        <v>139860049.75999999</v>
      </c>
    </row>
    <row r="4" spans="1:31" ht="30" customHeight="1" x14ac:dyDescent="0.25">
      <c r="A4" s="82">
        <v>2</v>
      </c>
      <c r="B4" s="87" t="s">
        <v>25</v>
      </c>
      <c r="C4" s="88" t="s">
        <v>19</v>
      </c>
      <c r="D4" s="381">
        <f>676.624</f>
        <v>676.62400000000002</v>
      </c>
      <c r="E4" s="382"/>
      <c r="F4" s="89">
        <f>77526903.96-G4</f>
        <v>28449520.749999993</v>
      </c>
      <c r="G4" s="36">
        <v>49077383.210000001</v>
      </c>
      <c r="H4" s="36"/>
      <c r="I4" s="82">
        <v>2</v>
      </c>
      <c r="J4" s="367"/>
      <c r="K4" s="88" t="s">
        <v>19</v>
      </c>
      <c r="L4" s="381">
        <f>676.624</f>
        <v>676.62400000000002</v>
      </c>
      <c r="M4" s="382"/>
      <c r="N4" s="370"/>
      <c r="Q4" s="82">
        <v>2</v>
      </c>
      <c r="R4" s="367"/>
      <c r="S4" s="373"/>
      <c r="T4" s="446"/>
      <c r="U4" s="447"/>
      <c r="V4" s="370"/>
      <c r="X4" s="82">
        <v>2</v>
      </c>
      <c r="Y4" s="367"/>
      <c r="Z4" s="373"/>
      <c r="AA4" s="446"/>
      <c r="AB4" s="447"/>
      <c r="AC4" s="370"/>
    </row>
    <row r="5" spans="1:31" x14ac:dyDescent="0.25">
      <c r="A5" s="82">
        <v>3</v>
      </c>
      <c r="B5" s="87" t="s">
        <v>26</v>
      </c>
      <c r="C5" s="88" t="s">
        <v>19</v>
      </c>
      <c r="D5" s="381">
        <v>295.15199999999999</v>
      </c>
      <c r="E5" s="382"/>
      <c r="F5" s="89">
        <f>35252578.16-G5</f>
        <v>12410042.859999996</v>
      </c>
      <c r="G5" s="36">
        <v>22842535.300000001</v>
      </c>
      <c r="H5" s="36"/>
      <c r="I5" s="82">
        <v>3</v>
      </c>
      <c r="J5" s="367"/>
      <c r="K5" s="88" t="s">
        <v>19</v>
      </c>
      <c r="L5" s="381">
        <v>295.15199999999999</v>
      </c>
      <c r="M5" s="382"/>
      <c r="N5" s="370"/>
      <c r="Q5" s="82">
        <v>3</v>
      </c>
      <c r="R5" s="367"/>
      <c r="S5" s="373"/>
      <c r="T5" s="446"/>
      <c r="U5" s="447"/>
      <c r="V5" s="370"/>
      <c r="X5" s="82">
        <v>3</v>
      </c>
      <c r="Y5" s="367"/>
      <c r="Z5" s="373"/>
      <c r="AA5" s="446"/>
      <c r="AB5" s="447"/>
      <c r="AC5" s="370"/>
    </row>
    <row r="6" spans="1:31" ht="30" x14ac:dyDescent="0.25">
      <c r="A6" s="82">
        <v>4</v>
      </c>
      <c r="B6" s="87" t="s">
        <v>8</v>
      </c>
      <c r="C6" s="88" t="s">
        <v>19</v>
      </c>
      <c r="D6" s="381">
        <v>284.85599999999999</v>
      </c>
      <c r="E6" s="382"/>
      <c r="F6" s="89">
        <f>54348406.96-G6</f>
        <v>29847559.98</v>
      </c>
      <c r="G6" s="36">
        <v>24500846.98</v>
      </c>
      <c r="H6" s="36"/>
      <c r="I6" s="82">
        <v>4</v>
      </c>
      <c r="J6" s="367"/>
      <c r="K6" s="88" t="s">
        <v>19</v>
      </c>
      <c r="L6" s="381">
        <v>284.85599999999999</v>
      </c>
      <c r="M6" s="382"/>
      <c r="N6" s="370"/>
      <c r="Q6" s="82">
        <v>4</v>
      </c>
      <c r="R6" s="367"/>
      <c r="S6" s="373"/>
      <c r="T6" s="446"/>
      <c r="U6" s="447"/>
      <c r="V6" s="370"/>
      <c r="X6" s="82">
        <v>4</v>
      </c>
      <c r="Y6" s="367"/>
      <c r="Z6" s="373"/>
      <c r="AA6" s="446"/>
      <c r="AB6" s="447"/>
      <c r="AC6" s="370"/>
    </row>
    <row r="7" spans="1:31" x14ac:dyDescent="0.25">
      <c r="A7" s="82">
        <v>5</v>
      </c>
      <c r="B7" s="87" t="s">
        <v>1</v>
      </c>
      <c r="C7" s="88" t="s">
        <v>19</v>
      </c>
      <c r="D7" s="381">
        <v>103.27200000000001</v>
      </c>
      <c r="E7" s="382"/>
      <c r="F7" s="89">
        <f>14658524.85-G7</f>
        <v>6218924.8699999992</v>
      </c>
      <c r="G7" s="36">
        <v>8439599.9800000004</v>
      </c>
      <c r="H7" s="36"/>
      <c r="I7" s="82">
        <v>5</v>
      </c>
      <c r="J7" s="367"/>
      <c r="K7" s="88" t="s">
        <v>19</v>
      </c>
      <c r="L7" s="381">
        <v>103.27200000000001</v>
      </c>
      <c r="M7" s="382"/>
      <c r="N7" s="370"/>
      <c r="Q7" s="82">
        <v>5</v>
      </c>
      <c r="R7" s="367"/>
      <c r="S7" s="373"/>
      <c r="T7" s="446"/>
      <c r="U7" s="447"/>
      <c r="V7" s="370"/>
      <c r="X7" s="82">
        <v>5</v>
      </c>
      <c r="Y7" s="367"/>
      <c r="Z7" s="373"/>
      <c r="AA7" s="446"/>
      <c r="AB7" s="447"/>
      <c r="AC7" s="370"/>
    </row>
    <row r="8" spans="1:31" ht="30" x14ac:dyDescent="0.25">
      <c r="A8" s="82">
        <v>6</v>
      </c>
      <c r="B8" s="87" t="s">
        <v>2</v>
      </c>
      <c r="C8" s="88" t="s">
        <v>19</v>
      </c>
      <c r="D8" s="381">
        <v>66.872</v>
      </c>
      <c r="E8" s="382"/>
      <c r="F8" s="89">
        <f>9352168.79-G8</f>
        <v>4525782.0099999988</v>
      </c>
      <c r="G8" s="36">
        <v>4826386.78</v>
      </c>
      <c r="H8" s="36"/>
      <c r="I8" s="82">
        <v>6</v>
      </c>
      <c r="J8" s="367"/>
      <c r="K8" s="88" t="s">
        <v>19</v>
      </c>
      <c r="L8" s="381">
        <v>66.872</v>
      </c>
      <c r="M8" s="382"/>
      <c r="N8" s="370"/>
      <c r="Q8" s="82">
        <v>6</v>
      </c>
      <c r="R8" s="367"/>
      <c r="S8" s="373"/>
      <c r="T8" s="446"/>
      <c r="U8" s="447"/>
      <c r="V8" s="370"/>
      <c r="X8" s="82">
        <v>6</v>
      </c>
      <c r="Y8" s="367"/>
      <c r="Z8" s="373"/>
      <c r="AA8" s="446"/>
      <c r="AB8" s="447"/>
      <c r="AC8" s="370"/>
    </row>
    <row r="9" spans="1:31" x14ac:dyDescent="0.25">
      <c r="A9" s="82">
        <v>7</v>
      </c>
      <c r="B9" s="87" t="s">
        <v>3</v>
      </c>
      <c r="C9" s="88" t="s">
        <v>19</v>
      </c>
      <c r="D9" s="381">
        <v>233.27199999999999</v>
      </c>
      <c r="E9" s="382"/>
      <c r="F9" s="89">
        <f>34523672.98-G9</f>
        <v>17401032.069999997</v>
      </c>
      <c r="G9" s="36">
        <v>17122640.91</v>
      </c>
      <c r="H9" s="36"/>
      <c r="I9" s="82">
        <v>7</v>
      </c>
      <c r="J9" s="367"/>
      <c r="K9" s="88" t="s">
        <v>19</v>
      </c>
      <c r="L9" s="381">
        <v>233.27199999999999</v>
      </c>
      <c r="M9" s="382"/>
      <c r="N9" s="370"/>
      <c r="Q9" s="82">
        <v>7</v>
      </c>
      <c r="R9" s="367"/>
      <c r="S9" s="373"/>
      <c r="T9" s="446"/>
      <c r="U9" s="447"/>
      <c r="V9" s="370"/>
      <c r="X9" s="82">
        <v>7</v>
      </c>
      <c r="Y9" s="367"/>
      <c r="Z9" s="373"/>
      <c r="AA9" s="446"/>
      <c r="AB9" s="447"/>
      <c r="AC9" s="370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83">
        <v>4.3680000000000003</v>
      </c>
      <c r="E10" s="384"/>
      <c r="F10" s="92">
        <f>1043243.99-G10</f>
        <v>714028.58000000007</v>
      </c>
      <c r="G10" s="36">
        <v>329215.40999999997</v>
      </c>
      <c r="H10" s="36"/>
      <c r="I10" s="83">
        <v>8</v>
      </c>
      <c r="J10" s="368"/>
      <c r="K10" s="91" t="s">
        <v>19</v>
      </c>
      <c r="L10" s="383">
        <v>4.3680000000000003</v>
      </c>
      <c r="M10" s="384"/>
      <c r="N10" s="371"/>
      <c r="Q10" s="83">
        <v>8</v>
      </c>
      <c r="R10" s="368"/>
      <c r="S10" s="374"/>
      <c r="T10" s="448"/>
      <c r="U10" s="449"/>
      <c r="V10" s="371"/>
      <c r="X10" s="83">
        <v>8</v>
      </c>
      <c r="Y10" s="368"/>
      <c r="Z10" s="374"/>
      <c r="AA10" s="448"/>
      <c r="AB10" s="449"/>
      <c r="AC10" s="371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46"/>
      <c r="U11" s="247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85" t="s">
        <v>31</v>
      </c>
      <c r="E12" s="386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85" t="s">
        <v>31</v>
      </c>
      <c r="M12" s="386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85" t="s">
        <v>31</v>
      </c>
      <c r="U12" s="386"/>
      <c r="V12" s="43">
        <v>3807347.4499999997</v>
      </c>
      <c r="X12" s="53">
        <v>9</v>
      </c>
      <c r="Y12" s="50" t="s">
        <v>27</v>
      </c>
      <c r="Z12" s="42" t="s">
        <v>29</v>
      </c>
      <c r="AA12" s="385" t="s">
        <v>31</v>
      </c>
      <c r="AB12" s="386"/>
      <c r="AC12" s="43">
        <v>3807347.4499999997</v>
      </c>
    </row>
    <row r="13" spans="1:31" x14ac:dyDescent="0.25">
      <c r="A13" s="52">
        <v>10</v>
      </c>
      <c r="B13" s="51" t="s">
        <v>28</v>
      </c>
      <c r="C13" s="40" t="s">
        <v>29</v>
      </c>
      <c r="D13" s="387" t="s">
        <v>30</v>
      </c>
      <c r="E13" s="388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87" t="s">
        <v>30</v>
      </c>
      <c r="M13" s="388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87" t="s">
        <v>30</v>
      </c>
      <c r="U13" s="388"/>
      <c r="V13" s="29">
        <v>14168223.84</v>
      </c>
      <c r="X13" s="52">
        <v>10</v>
      </c>
      <c r="Y13" s="51" t="s">
        <v>28</v>
      </c>
      <c r="Z13" s="40" t="s">
        <v>29</v>
      </c>
      <c r="AA13" s="387" t="s">
        <v>30</v>
      </c>
      <c r="AB13" s="388"/>
      <c r="AC13" s="29">
        <v>14168223.84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89">
        <f>47.6596*100</f>
        <v>4765.96</v>
      </c>
      <c r="E14" s="390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89">
        <f>47.6596*100</f>
        <v>4765.96</v>
      </c>
      <c r="M14" s="390"/>
      <c r="N14" s="73">
        <v>1105733.3899999999</v>
      </c>
      <c r="Q14" s="70">
        <v>11</v>
      </c>
      <c r="R14" s="71" t="s">
        <v>17</v>
      </c>
      <c r="S14" s="72" t="s">
        <v>20</v>
      </c>
      <c r="T14" s="389">
        <f>47.6596*100</f>
        <v>4765.96</v>
      </c>
      <c r="U14" s="390"/>
      <c r="V14" s="73">
        <v>1105733.3899999999</v>
      </c>
      <c r="X14" s="70">
        <v>11</v>
      </c>
      <c r="Y14" s="71" t="s">
        <v>17</v>
      </c>
      <c r="Z14" s="72" t="s">
        <v>20</v>
      </c>
      <c r="AA14" s="389">
        <f>47.6596*100</f>
        <v>4765.96</v>
      </c>
      <c r="AB14" s="390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68</v>
      </c>
      <c r="S17" s="220" t="s">
        <v>149</v>
      </c>
      <c r="T17" s="61"/>
      <c r="U17" s="62"/>
      <c r="V17" s="63">
        <v>9428605.5600000005</v>
      </c>
      <c r="X17" s="69">
        <v>12</v>
      </c>
      <c r="Y17" s="59" t="s">
        <v>68</v>
      </c>
      <c r="Z17" s="142" t="s">
        <v>71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144</v>
      </c>
      <c r="S21" s="41"/>
      <c r="T21" s="45"/>
      <c r="U21" s="46"/>
      <c r="V21" s="47">
        <f>V20*W21</f>
        <v>147270803.00000003</v>
      </c>
      <c r="W21" s="141">
        <v>0.84920945598563047</v>
      </c>
      <c r="X21" s="67">
        <v>15</v>
      </c>
      <c r="Y21" s="58" t="s">
        <v>144</v>
      </c>
      <c r="Z21" s="41"/>
      <c r="AA21" s="45"/>
      <c r="AB21" s="46"/>
      <c r="AC21" s="47">
        <f>AC20*AD21</f>
        <v>141293341.89166665</v>
      </c>
      <c r="AD21" s="141">
        <v>0.84532131674922417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147270803.00000003</v>
      </c>
      <c r="X22" s="68">
        <v>16</v>
      </c>
      <c r="Y22" s="64" t="s">
        <v>22</v>
      </c>
      <c r="Z22" s="48"/>
      <c r="AA22" s="65"/>
      <c r="AB22" s="44"/>
      <c r="AC22" s="66">
        <f>AC21</f>
        <v>141293341.89166665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29454160.600000009</v>
      </c>
      <c r="X23" s="67">
        <v>17</v>
      </c>
      <c r="Y23" s="58" t="s">
        <v>33</v>
      </c>
      <c r="Z23" s="41"/>
      <c r="AA23" s="45"/>
      <c r="AB23" s="46"/>
      <c r="AC23" s="47">
        <f>AC22*0.2</f>
        <v>28258668.37833333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176724963.60000002</v>
      </c>
      <c r="X24" s="69">
        <v>18</v>
      </c>
      <c r="Y24" s="59" t="s">
        <v>34</v>
      </c>
      <c r="Z24" s="60"/>
      <c r="AA24" s="61"/>
      <c r="AB24" s="62"/>
      <c r="AC24" s="107">
        <f>AC22+AC23</f>
        <v>169552010.26999998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443" t="s">
        <v>53</v>
      </c>
      <c r="C26" s="443"/>
      <c r="D26" s="443"/>
      <c r="E26" s="79"/>
      <c r="F26" s="93">
        <v>75700.428816399144</v>
      </c>
      <c r="G26" s="39"/>
      <c r="H26" s="39"/>
      <c r="J26" s="443" t="s">
        <v>53</v>
      </c>
      <c r="K26" s="443"/>
      <c r="L26" s="443"/>
      <c r="M26" s="79"/>
      <c r="N26" s="93">
        <f>164516389.54/L16</f>
        <v>79169.629195812944</v>
      </c>
      <c r="R26" s="443" t="s">
        <v>53</v>
      </c>
      <c r="S26" s="443"/>
      <c r="T26" s="443"/>
      <c r="U26" s="79"/>
      <c r="V26" s="93">
        <f>V3*W21*1.2/T16</f>
        <v>79547.562427080207</v>
      </c>
      <c r="Y26" s="443" t="s">
        <v>53</v>
      </c>
      <c r="Z26" s="443"/>
      <c r="AA26" s="443"/>
      <c r="AB26" s="79"/>
      <c r="AC26" s="93">
        <f>AC3*AD21*1.2/AA16</f>
        <v>79183.350751794234</v>
      </c>
    </row>
    <row r="27" spans="1:31" ht="30.75" customHeight="1" x14ac:dyDescent="0.25">
      <c r="B27" s="443" t="s">
        <v>54</v>
      </c>
      <c r="C27" s="443"/>
      <c r="D27" s="443"/>
      <c r="E27" s="79"/>
      <c r="F27" s="93">
        <v>89541.292052319011</v>
      </c>
      <c r="G27" s="39"/>
      <c r="H27" s="39"/>
      <c r="J27" s="443" t="s">
        <v>54</v>
      </c>
      <c r="K27" s="443"/>
      <c r="L27" s="443"/>
      <c r="M27" s="79"/>
      <c r="N27" s="93">
        <f>185090075.82/L16</f>
        <v>89070.230093588907</v>
      </c>
      <c r="R27" s="443" t="s">
        <v>54</v>
      </c>
      <c r="S27" s="443"/>
      <c r="T27" s="443"/>
      <c r="U27" s="79"/>
      <c r="V27" s="93">
        <f>V18*W21*1.2/T16</f>
        <v>95763.014005272547</v>
      </c>
      <c r="Y27" s="443" t="s">
        <v>54</v>
      </c>
      <c r="Z27" s="443"/>
      <c r="AA27" s="443"/>
      <c r="AB27" s="79"/>
      <c r="AC27" s="93">
        <f>AC18*AD21*1.2/AA16</f>
        <v>91876.162842837439</v>
      </c>
    </row>
    <row r="28" spans="1:31" ht="37.5" customHeight="1" x14ac:dyDescent="0.25">
      <c r="B28" s="443" t="s">
        <v>55</v>
      </c>
      <c r="C28" s="443"/>
      <c r="D28" s="443"/>
      <c r="E28" s="79"/>
      <c r="F28" s="93">
        <f>F24/D16</f>
        <v>92227.530813888574</v>
      </c>
      <c r="G28" s="39"/>
      <c r="H28" s="39"/>
      <c r="J28" s="443" t="s">
        <v>55</v>
      </c>
      <c r="K28" s="443"/>
      <c r="L28" s="443"/>
      <c r="M28" s="79"/>
      <c r="N28" s="93">
        <f>N24/L16</f>
        <v>92227.530814851038</v>
      </c>
      <c r="R28" s="443" t="s">
        <v>55</v>
      </c>
      <c r="S28" s="443"/>
      <c r="T28" s="443"/>
      <c r="U28" s="79"/>
      <c r="V28" s="93">
        <f>V24/T16</f>
        <v>98635.904425430737</v>
      </c>
      <c r="Y28" s="443" t="s">
        <v>55</v>
      </c>
      <c r="Z28" s="443"/>
      <c r="AA28" s="443"/>
      <c r="AB28" s="79"/>
      <c r="AC28" s="93">
        <f>AC24/AA16</f>
        <v>94632.447728122585</v>
      </c>
    </row>
    <row r="29" spans="1:31" ht="50.25" customHeight="1" thickBot="1" x14ac:dyDescent="0.3">
      <c r="R29" s="258" t="s">
        <v>148</v>
      </c>
      <c r="V29" s="104" t="s">
        <v>139</v>
      </c>
      <c r="Y29" s="258" t="s">
        <v>148</v>
      </c>
      <c r="AC29" s="104" t="s">
        <v>139</v>
      </c>
    </row>
    <row r="30" spans="1:31" ht="19.5" customHeight="1" thickBot="1" x14ac:dyDescent="0.3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2"/>
      <c r="R30" s="233" t="s">
        <v>129</v>
      </c>
      <c r="S30" s="234"/>
      <c r="T30" s="235"/>
      <c r="U30" s="236"/>
      <c r="V30" s="237">
        <v>189211279.96000001</v>
      </c>
      <c r="X30" s="232"/>
      <c r="Y30" s="233" t="s">
        <v>129</v>
      </c>
      <c r="Z30" s="234"/>
      <c r="AA30" s="235"/>
      <c r="AB30" s="236"/>
      <c r="AC30" s="237">
        <v>181605829.13</v>
      </c>
    </row>
    <row r="32" spans="1:31" ht="37.5" customHeight="1" x14ac:dyDescent="0.25">
      <c r="B32" s="443" t="s">
        <v>55</v>
      </c>
      <c r="C32" s="443"/>
      <c r="D32" s="443"/>
      <c r="E32" s="79"/>
      <c r="F32" s="93" t="e">
        <f>F28/D20</f>
        <v>#DIV/0!</v>
      </c>
      <c r="G32" s="39"/>
      <c r="H32" s="39"/>
      <c r="J32" s="443" t="s">
        <v>55</v>
      </c>
      <c r="K32" s="443"/>
      <c r="L32" s="443"/>
      <c r="M32" s="79"/>
      <c r="N32" s="93" t="e">
        <f>N28/L20</f>
        <v>#DIV/0!</v>
      </c>
      <c r="R32" s="443" t="s">
        <v>55</v>
      </c>
      <c r="S32" s="443"/>
      <c r="T32" s="443"/>
      <c r="U32" s="79"/>
      <c r="V32" s="93">
        <f>V30/T16</f>
        <v>105604.92047173338</v>
      </c>
      <c r="Y32" s="443" t="s">
        <v>55</v>
      </c>
      <c r="Z32" s="443"/>
      <c r="AA32" s="443"/>
      <c r="AB32" s="79"/>
      <c r="AC32" s="93">
        <f>AC30/AA16</f>
        <v>101360.07296463114</v>
      </c>
    </row>
  </sheetData>
  <mergeCells count="58">
    <mergeCell ref="AC3:AC10"/>
    <mergeCell ref="AA12:AB12"/>
    <mergeCell ref="AA13:AB13"/>
    <mergeCell ref="AA14:AB14"/>
    <mergeCell ref="Y26:AA26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D13:E13"/>
    <mergeCell ref="L13:M13"/>
    <mergeCell ref="T13:U13"/>
    <mergeCell ref="D14:E14"/>
    <mergeCell ref="L14:M14"/>
    <mergeCell ref="T14:U14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T10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39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B1" s="256" t="s">
        <v>140</v>
      </c>
      <c r="F1" s="245" t="s">
        <v>132</v>
      </c>
      <c r="G1" s="105"/>
      <c r="H1" s="106"/>
      <c r="I1" s="257" t="s">
        <v>142</v>
      </c>
      <c r="J1" s="105"/>
      <c r="K1" s="106"/>
      <c r="L1" s="106"/>
      <c r="M1" s="104" t="s">
        <v>50</v>
      </c>
      <c r="N1" s="138"/>
      <c r="O1" s="106"/>
      <c r="P1" s="257" t="s">
        <v>143</v>
      </c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69</v>
      </c>
      <c r="C2" s="56" t="s">
        <v>18</v>
      </c>
      <c r="D2" s="362" t="s">
        <v>21</v>
      </c>
      <c r="E2" s="363"/>
      <c r="F2" s="57" t="s">
        <v>32</v>
      </c>
      <c r="G2" s="1" t="s">
        <v>24</v>
      </c>
      <c r="H2" s="54" t="s">
        <v>58</v>
      </c>
      <c r="I2" s="55" t="s">
        <v>69</v>
      </c>
      <c r="J2" s="56" t="s">
        <v>18</v>
      </c>
      <c r="K2" s="362" t="s">
        <v>21</v>
      </c>
      <c r="L2" s="363"/>
      <c r="M2" s="57" t="s">
        <v>32</v>
      </c>
      <c r="O2" s="54" t="s">
        <v>58</v>
      </c>
      <c r="P2" s="55" t="s">
        <v>69</v>
      </c>
      <c r="Q2" s="56" t="s">
        <v>18</v>
      </c>
      <c r="R2" s="362" t="s">
        <v>21</v>
      </c>
      <c r="S2" s="363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f>40619316.42-G3</f>
        <v>10022991.91</v>
      </c>
      <c r="G3" s="36">
        <v>30596324.510000002</v>
      </c>
      <c r="H3" s="81">
        <v>1</v>
      </c>
      <c r="I3" s="366" t="s">
        <v>47</v>
      </c>
      <c r="J3" s="85" t="s">
        <v>19</v>
      </c>
      <c r="K3" s="364">
        <f>404.352+9.256</f>
        <v>413.60799999999995</v>
      </c>
      <c r="L3" s="365"/>
      <c r="M3" s="369">
        <v>164516389.53999999</v>
      </c>
      <c r="O3" s="81">
        <v>1</v>
      </c>
      <c r="P3" s="366" t="s">
        <v>47</v>
      </c>
      <c r="Q3" s="372" t="s">
        <v>19</v>
      </c>
      <c r="R3" s="375">
        <f>'!расчет (2 сценария)'!K16</f>
        <v>1791.6900000000003</v>
      </c>
      <c r="S3" s="376"/>
      <c r="T3" s="369">
        <v>139860049.75999999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364">
        <f>676.624</f>
        <v>676.62400000000002</v>
      </c>
      <c r="E4" s="365"/>
      <c r="F4" s="89">
        <f>77526903.96-G4</f>
        <v>28449520.749999993</v>
      </c>
      <c r="G4" s="36">
        <v>49077383.210000001</v>
      </c>
      <c r="H4" s="82">
        <v>2</v>
      </c>
      <c r="I4" s="367"/>
      <c r="J4" s="88" t="s">
        <v>19</v>
      </c>
      <c r="K4" s="381">
        <f>676.624</f>
        <v>676.62400000000002</v>
      </c>
      <c r="L4" s="382"/>
      <c r="M4" s="370"/>
      <c r="O4" s="82">
        <v>2</v>
      </c>
      <c r="P4" s="367"/>
      <c r="Q4" s="373"/>
      <c r="R4" s="377"/>
      <c r="S4" s="378"/>
      <c r="T4" s="370"/>
    </row>
    <row r="5" spans="1:20" x14ac:dyDescent="0.25">
      <c r="A5" s="82">
        <v>3</v>
      </c>
      <c r="B5" s="87" t="s">
        <v>26</v>
      </c>
      <c r="C5" s="88" t="s">
        <v>19</v>
      </c>
      <c r="D5" s="381">
        <v>295.15199999999999</v>
      </c>
      <c r="E5" s="382"/>
      <c r="F5" s="89">
        <f>35252578.16-G5</f>
        <v>12410042.859999996</v>
      </c>
      <c r="G5" s="36">
        <v>22842535.300000001</v>
      </c>
      <c r="H5" s="82">
        <v>3</v>
      </c>
      <c r="I5" s="367"/>
      <c r="J5" s="88" t="s">
        <v>19</v>
      </c>
      <c r="K5" s="381">
        <v>295.15199999999999</v>
      </c>
      <c r="L5" s="382"/>
      <c r="M5" s="370"/>
      <c r="O5" s="82">
        <v>3</v>
      </c>
      <c r="P5" s="367"/>
      <c r="Q5" s="373"/>
      <c r="R5" s="377"/>
      <c r="S5" s="378"/>
      <c r="T5" s="370"/>
    </row>
    <row r="6" spans="1:20" ht="30" x14ac:dyDescent="0.25">
      <c r="A6" s="82">
        <v>4</v>
      </c>
      <c r="B6" s="87" t="s">
        <v>8</v>
      </c>
      <c r="C6" s="88" t="s">
        <v>19</v>
      </c>
      <c r="D6" s="381">
        <v>284.85599999999999</v>
      </c>
      <c r="E6" s="382"/>
      <c r="F6" s="89">
        <f>54348406.96-G6</f>
        <v>29847559.98</v>
      </c>
      <c r="G6" s="36">
        <v>24500846.98</v>
      </c>
      <c r="H6" s="82">
        <v>4</v>
      </c>
      <c r="I6" s="367"/>
      <c r="J6" s="88" t="s">
        <v>19</v>
      </c>
      <c r="K6" s="381">
        <v>284.85599999999999</v>
      </c>
      <c r="L6" s="382"/>
      <c r="M6" s="370"/>
      <c r="O6" s="82">
        <v>4</v>
      </c>
      <c r="P6" s="367"/>
      <c r="Q6" s="373"/>
      <c r="R6" s="377"/>
      <c r="S6" s="378"/>
      <c r="T6" s="370"/>
    </row>
    <row r="7" spans="1:20" x14ac:dyDescent="0.25">
      <c r="A7" s="82">
        <v>5</v>
      </c>
      <c r="B7" s="87" t="s">
        <v>1</v>
      </c>
      <c r="C7" s="88" t="s">
        <v>19</v>
      </c>
      <c r="D7" s="381">
        <v>103.27200000000001</v>
      </c>
      <c r="E7" s="382"/>
      <c r="F7" s="89">
        <f>14658524.85-G7</f>
        <v>6218924.8699999992</v>
      </c>
      <c r="G7" s="36">
        <v>8439599.9800000004</v>
      </c>
      <c r="H7" s="82">
        <v>5</v>
      </c>
      <c r="I7" s="367"/>
      <c r="J7" s="88" t="s">
        <v>19</v>
      </c>
      <c r="K7" s="381">
        <v>103.27200000000001</v>
      </c>
      <c r="L7" s="382"/>
      <c r="M7" s="370"/>
      <c r="O7" s="82">
        <v>5</v>
      </c>
      <c r="P7" s="367"/>
      <c r="Q7" s="373"/>
      <c r="R7" s="377"/>
      <c r="S7" s="378"/>
      <c r="T7" s="370"/>
    </row>
    <row r="8" spans="1:20" ht="30" x14ac:dyDescent="0.25">
      <c r="A8" s="82">
        <v>6</v>
      </c>
      <c r="B8" s="87" t="s">
        <v>2</v>
      </c>
      <c r="C8" s="88" t="s">
        <v>19</v>
      </c>
      <c r="D8" s="381">
        <v>66.872</v>
      </c>
      <c r="E8" s="382"/>
      <c r="F8" s="89">
        <f>9352168.79-G8</f>
        <v>4525782.0099999988</v>
      </c>
      <c r="G8" s="36">
        <v>4826386.78</v>
      </c>
      <c r="H8" s="82">
        <v>6</v>
      </c>
      <c r="I8" s="367"/>
      <c r="J8" s="88" t="s">
        <v>19</v>
      </c>
      <c r="K8" s="381">
        <v>66.872</v>
      </c>
      <c r="L8" s="382"/>
      <c r="M8" s="370"/>
      <c r="O8" s="82">
        <v>6</v>
      </c>
      <c r="P8" s="367"/>
      <c r="Q8" s="373"/>
      <c r="R8" s="377"/>
      <c r="S8" s="378"/>
      <c r="T8" s="370"/>
    </row>
    <row r="9" spans="1:20" x14ac:dyDescent="0.25">
      <c r="A9" s="82">
        <v>7</v>
      </c>
      <c r="B9" s="87" t="s">
        <v>3</v>
      </c>
      <c r="C9" s="88" t="s">
        <v>19</v>
      </c>
      <c r="D9" s="381">
        <v>233.27199999999999</v>
      </c>
      <c r="E9" s="382"/>
      <c r="F9" s="89">
        <f>34523672.98-G9</f>
        <v>17401032.069999997</v>
      </c>
      <c r="G9" s="36">
        <v>17122640.91</v>
      </c>
      <c r="H9" s="82">
        <v>7</v>
      </c>
      <c r="I9" s="367"/>
      <c r="J9" s="88" t="s">
        <v>19</v>
      </c>
      <c r="K9" s="381">
        <v>233.27199999999999</v>
      </c>
      <c r="L9" s="382"/>
      <c r="M9" s="370"/>
      <c r="O9" s="82">
        <v>7</v>
      </c>
      <c r="P9" s="367"/>
      <c r="Q9" s="373"/>
      <c r="R9" s="377"/>
      <c r="S9" s="378"/>
      <c r="T9" s="370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383">
        <v>4.3680000000000003</v>
      </c>
      <c r="E10" s="384"/>
      <c r="F10" s="92">
        <f>1043243.99-G10</f>
        <v>714028.58000000007</v>
      </c>
      <c r="G10" s="36">
        <v>329215.40999999997</v>
      </c>
      <c r="H10" s="83">
        <v>8</v>
      </c>
      <c r="I10" s="368"/>
      <c r="J10" s="91" t="s">
        <v>19</v>
      </c>
      <c r="K10" s="383">
        <v>4.3680000000000003</v>
      </c>
      <c r="L10" s="384"/>
      <c r="M10" s="371"/>
      <c r="O10" s="83">
        <v>8</v>
      </c>
      <c r="P10" s="368"/>
      <c r="Q10" s="374"/>
      <c r="R10" s="379"/>
      <c r="S10" s="380"/>
      <c r="T10" s="371"/>
    </row>
    <row r="11" spans="1:20" ht="2.25" customHeight="1" thickTop="1" x14ac:dyDescent="0.25">
      <c r="A11" s="95"/>
      <c r="B11" s="96"/>
      <c r="C11" s="97"/>
      <c r="D11" s="246"/>
      <c r="E11" s="247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ht="26.25" x14ac:dyDescent="0.25">
      <c r="A12" s="53">
        <v>9</v>
      </c>
      <c r="B12" s="50" t="s">
        <v>131</v>
      </c>
      <c r="C12" s="42" t="s">
        <v>29</v>
      </c>
      <c r="D12" s="385" t="s">
        <v>134</v>
      </c>
      <c r="E12" s="386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385" t="s">
        <v>31</v>
      </c>
      <c r="L12" s="386"/>
      <c r="M12" s="43">
        <v>3704032.4099999992</v>
      </c>
      <c r="O12" s="53">
        <v>9</v>
      </c>
      <c r="P12" s="50" t="s">
        <v>27</v>
      </c>
      <c r="Q12" s="42" t="s">
        <v>29</v>
      </c>
      <c r="R12" s="385" t="s">
        <v>31</v>
      </c>
      <c r="S12" s="386"/>
      <c r="T12" s="43">
        <v>3807347.4499999997</v>
      </c>
    </row>
    <row r="13" spans="1:20" x14ac:dyDescent="0.25">
      <c r="A13" s="52">
        <v>10</v>
      </c>
      <c r="B13" s="51" t="s">
        <v>28</v>
      </c>
      <c r="C13" s="40" t="s">
        <v>29</v>
      </c>
      <c r="D13" s="387" t="s">
        <v>137</v>
      </c>
      <c r="E13" s="388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387" t="s">
        <v>30</v>
      </c>
      <c r="L13" s="388"/>
      <c r="M13" s="29">
        <v>15227354.290000003</v>
      </c>
      <c r="O13" s="52">
        <v>10</v>
      </c>
      <c r="P13" s="51" t="s">
        <v>28</v>
      </c>
      <c r="Q13" s="40" t="s">
        <v>29</v>
      </c>
      <c r="R13" s="387" t="s">
        <v>30</v>
      </c>
      <c r="S13" s="388"/>
      <c r="T13" s="29">
        <v>14168223.84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389">
        <f>47.6596*100</f>
        <v>4765.96</v>
      </c>
      <c r="E14" s="390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89">
        <f>47.6596*100</f>
        <v>4765.96</v>
      </c>
      <c r="L14" s="390"/>
      <c r="M14" s="73">
        <v>1105733.3899999999</v>
      </c>
      <c r="O14" s="70">
        <v>11</v>
      </c>
      <c r="P14" s="71" t="s">
        <v>17</v>
      </c>
      <c r="Q14" s="72" t="s">
        <v>20</v>
      </c>
      <c r="R14" s="389">
        <f>47.6596*100</f>
        <v>4765.96</v>
      </c>
      <c r="S14" s="390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0">
        <v>0.84017617373110121</v>
      </c>
      <c r="O19" s="67">
        <v>15</v>
      </c>
      <c r="P19" s="58" t="s">
        <v>138</v>
      </c>
      <c r="Q19" s="41"/>
      <c r="R19" s="45"/>
      <c r="S19" s="46"/>
      <c r="T19" s="47">
        <f>T18*U19</f>
        <v>159709185.40833333</v>
      </c>
      <c r="U19" s="141">
        <v>0.97556398778533471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25">
      <c r="C23"/>
      <c r="G23" s="39"/>
      <c r="J23"/>
      <c r="Q23"/>
    </row>
    <row r="24" spans="1:21" ht="35.25" customHeight="1" x14ac:dyDescent="0.25">
      <c r="B24" s="443" t="s">
        <v>53</v>
      </c>
      <c r="C24" s="443"/>
      <c r="D24" s="443"/>
      <c r="E24" s="79"/>
      <c r="F24" s="93">
        <f>(F3+F4+F5+F6+F7+F8+F9+F10)*G19*1.2/D16</f>
        <v>75700.428816399144</v>
      </c>
      <c r="G24" s="39"/>
      <c r="I24" s="443" t="s">
        <v>53</v>
      </c>
      <c r="J24" s="443"/>
      <c r="K24" s="443"/>
      <c r="L24" s="79"/>
      <c r="M24" s="93">
        <f>(M3+M4+M5+M6+M7+M8+M9+M10)*N19*1.2/K16</f>
        <v>79819.723360137839</v>
      </c>
      <c r="P24" s="443" t="s">
        <v>53</v>
      </c>
      <c r="Q24" s="443"/>
      <c r="R24" s="443"/>
      <c r="S24" s="79"/>
      <c r="T24" s="93">
        <f>(T3+T4+T5+T6+T7+T8+T9+T10)*U19*1.2/R16</f>
        <v>91383.505768779811</v>
      </c>
    </row>
    <row r="25" spans="1:21" ht="30.75" customHeight="1" x14ac:dyDescent="0.25">
      <c r="B25" s="443" t="s">
        <v>54</v>
      </c>
      <c r="C25" s="443"/>
      <c r="D25" s="443"/>
      <c r="E25" s="79"/>
      <c r="F25" s="93">
        <f>F16*G19*1.2/D16</f>
        <v>89541.292052319011</v>
      </c>
      <c r="G25" s="39"/>
      <c r="I25" s="443" t="s">
        <v>54</v>
      </c>
      <c r="J25" s="443"/>
      <c r="K25" s="443"/>
      <c r="L25" s="79"/>
      <c r="M25" s="93">
        <f>M16*N19*1.2/K16</f>
        <v>89541.2920560567</v>
      </c>
      <c r="P25" s="443" t="s">
        <v>54</v>
      </c>
      <c r="Q25" s="443"/>
      <c r="R25" s="443"/>
      <c r="S25" s="79"/>
      <c r="T25" s="93">
        <f>T16*U19*1.2/R16</f>
        <v>103851.08689214451</v>
      </c>
    </row>
    <row r="26" spans="1:21" ht="37.5" customHeight="1" x14ac:dyDescent="0.25">
      <c r="B26" s="443" t="s">
        <v>55</v>
      </c>
      <c r="C26" s="443"/>
      <c r="D26" s="443"/>
      <c r="E26" s="79"/>
      <c r="F26" s="93">
        <f>F22/D16</f>
        <v>92227.530813888574</v>
      </c>
      <c r="G26" s="39"/>
      <c r="I26" s="443" t="s">
        <v>55</v>
      </c>
      <c r="J26" s="443"/>
      <c r="K26" s="443"/>
      <c r="L26" s="79"/>
      <c r="M26" s="93">
        <f>M22/K16</f>
        <v>92227.530812926154</v>
      </c>
      <c r="P26" s="443" t="s">
        <v>55</v>
      </c>
      <c r="Q26" s="443"/>
      <c r="R26" s="443"/>
      <c r="S26" s="79"/>
      <c r="T26" s="93">
        <f>T22/R16</f>
        <v>106966.61949890884</v>
      </c>
    </row>
  </sheetData>
  <mergeCells count="43">
    <mergeCell ref="P25:R25"/>
    <mergeCell ref="P26:R26"/>
    <mergeCell ref="R14:S14"/>
    <mergeCell ref="Q3:Q10"/>
    <mergeCell ref="R3:S10"/>
    <mergeCell ref="P24:R24"/>
    <mergeCell ref="B24:D24"/>
    <mergeCell ref="B25:D25"/>
    <mergeCell ref="B26:D26"/>
    <mergeCell ref="I24:K24"/>
    <mergeCell ref="I25:K25"/>
    <mergeCell ref="I26:K26"/>
    <mergeCell ref="T3:T10"/>
    <mergeCell ref="K12:L12"/>
    <mergeCell ref="K13:L13"/>
    <mergeCell ref="K14:L14"/>
    <mergeCell ref="M3:M10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3" t="str">
        <f>S17</f>
        <v>некорректный расчет</v>
      </c>
      <c r="T1" s="106"/>
      <c r="U1" s="106"/>
      <c r="V1" s="104" t="s">
        <v>67</v>
      </c>
      <c r="X1" s="106"/>
      <c r="Y1" s="106"/>
      <c r="Z1" s="105"/>
      <c r="AA1" s="106"/>
      <c r="AB1" s="106"/>
      <c r="AC1" s="104" t="s">
        <v>130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62" t="s">
        <v>21</v>
      </c>
      <c r="E2" s="363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62" t="s">
        <v>21</v>
      </c>
      <c r="M2" s="363"/>
      <c r="N2" s="57" t="s">
        <v>32</v>
      </c>
      <c r="Q2" s="54" t="s">
        <v>58</v>
      </c>
      <c r="R2" s="55" t="s">
        <v>69</v>
      </c>
      <c r="S2" s="56" t="s">
        <v>18</v>
      </c>
      <c r="T2" s="362" t="s">
        <v>21</v>
      </c>
      <c r="U2" s="363"/>
      <c r="V2" s="57" t="s">
        <v>32</v>
      </c>
      <c r="X2" s="54" t="s">
        <v>58</v>
      </c>
      <c r="Y2" s="55" t="s">
        <v>69</v>
      </c>
      <c r="Z2" s="56" t="s">
        <v>18</v>
      </c>
      <c r="AA2" s="362" t="s">
        <v>21</v>
      </c>
      <c r="AB2" s="363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f>40619316.42-G3</f>
        <v>10022991.91</v>
      </c>
      <c r="G3" s="36">
        <v>30596324.510000002</v>
      </c>
      <c r="H3" s="36"/>
      <c r="I3" s="81">
        <v>1</v>
      </c>
      <c r="J3" s="366" t="s">
        <v>47</v>
      </c>
      <c r="K3" s="85" t="s">
        <v>19</v>
      </c>
      <c r="L3" s="364">
        <f>404.352+9.256</f>
        <v>413.60799999999995</v>
      </c>
      <c r="M3" s="365"/>
      <c r="N3" s="369">
        <v>164516389.53999999</v>
      </c>
      <c r="Q3" s="81">
        <v>1</v>
      </c>
      <c r="R3" s="366" t="s">
        <v>47</v>
      </c>
      <c r="S3" s="372" t="s">
        <v>19</v>
      </c>
      <c r="T3" s="375">
        <v>1893.4</v>
      </c>
      <c r="U3" s="376"/>
      <c r="V3" s="369">
        <v>147799573.72999999</v>
      </c>
      <c r="X3" s="81">
        <v>1</v>
      </c>
      <c r="Y3" s="366" t="s">
        <v>47</v>
      </c>
      <c r="Z3" s="372" t="s">
        <v>19</v>
      </c>
      <c r="AA3" s="375">
        <v>1893.4</v>
      </c>
      <c r="AB3" s="376"/>
      <c r="AC3" s="369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381">
        <f>676.624</f>
        <v>676.62400000000002</v>
      </c>
      <c r="E4" s="382"/>
      <c r="F4" s="89">
        <f>77526903.96-G4</f>
        <v>28449520.749999993</v>
      </c>
      <c r="G4" s="36">
        <v>49077383.210000001</v>
      </c>
      <c r="H4" s="36"/>
      <c r="I4" s="82">
        <v>2</v>
      </c>
      <c r="J4" s="367"/>
      <c r="K4" s="88" t="s">
        <v>19</v>
      </c>
      <c r="L4" s="381">
        <f>676.624</f>
        <v>676.62400000000002</v>
      </c>
      <c r="M4" s="382"/>
      <c r="N4" s="370"/>
      <c r="Q4" s="82">
        <v>2</v>
      </c>
      <c r="R4" s="367"/>
      <c r="S4" s="373"/>
      <c r="T4" s="377"/>
      <c r="U4" s="378"/>
      <c r="V4" s="370"/>
      <c r="X4" s="82">
        <v>2</v>
      </c>
      <c r="Y4" s="367"/>
      <c r="Z4" s="373"/>
      <c r="AA4" s="377"/>
      <c r="AB4" s="378"/>
      <c r="AC4" s="370"/>
    </row>
    <row r="5" spans="1:31" x14ac:dyDescent="0.25">
      <c r="A5" s="82">
        <v>3</v>
      </c>
      <c r="B5" s="87" t="s">
        <v>26</v>
      </c>
      <c r="C5" s="88" t="s">
        <v>19</v>
      </c>
      <c r="D5" s="381">
        <v>295.15199999999999</v>
      </c>
      <c r="E5" s="382"/>
      <c r="F5" s="89">
        <f>35252578.16-G5</f>
        <v>12410042.859999996</v>
      </c>
      <c r="G5" s="36">
        <v>22842535.300000001</v>
      </c>
      <c r="H5" s="36"/>
      <c r="I5" s="82">
        <v>3</v>
      </c>
      <c r="J5" s="367"/>
      <c r="K5" s="88" t="s">
        <v>19</v>
      </c>
      <c r="L5" s="381">
        <v>295.15199999999999</v>
      </c>
      <c r="M5" s="382"/>
      <c r="N5" s="370"/>
      <c r="Q5" s="82">
        <v>3</v>
      </c>
      <c r="R5" s="367"/>
      <c r="S5" s="373"/>
      <c r="T5" s="377"/>
      <c r="U5" s="378"/>
      <c r="V5" s="370"/>
      <c r="X5" s="82">
        <v>3</v>
      </c>
      <c r="Y5" s="367"/>
      <c r="Z5" s="373"/>
      <c r="AA5" s="377"/>
      <c r="AB5" s="378"/>
      <c r="AC5" s="370"/>
    </row>
    <row r="6" spans="1:31" ht="30" x14ac:dyDescent="0.25">
      <c r="A6" s="82">
        <v>4</v>
      </c>
      <c r="B6" s="87" t="s">
        <v>8</v>
      </c>
      <c r="C6" s="88" t="s">
        <v>19</v>
      </c>
      <c r="D6" s="381">
        <v>284.85599999999999</v>
      </c>
      <c r="E6" s="382"/>
      <c r="F6" s="89">
        <f>54348406.96-G6</f>
        <v>29847559.98</v>
      </c>
      <c r="G6" s="36">
        <v>24500846.98</v>
      </c>
      <c r="H6" s="36"/>
      <c r="I6" s="82">
        <v>4</v>
      </c>
      <c r="J6" s="367"/>
      <c r="K6" s="88" t="s">
        <v>19</v>
      </c>
      <c r="L6" s="381">
        <v>284.85599999999999</v>
      </c>
      <c r="M6" s="382"/>
      <c r="N6" s="370"/>
      <c r="Q6" s="82">
        <v>4</v>
      </c>
      <c r="R6" s="367"/>
      <c r="S6" s="373"/>
      <c r="T6" s="377"/>
      <c r="U6" s="378"/>
      <c r="V6" s="370"/>
      <c r="X6" s="82">
        <v>4</v>
      </c>
      <c r="Y6" s="367"/>
      <c r="Z6" s="373"/>
      <c r="AA6" s="377"/>
      <c r="AB6" s="378"/>
      <c r="AC6" s="370"/>
    </row>
    <row r="7" spans="1:31" x14ac:dyDescent="0.25">
      <c r="A7" s="82">
        <v>5</v>
      </c>
      <c r="B7" s="87" t="s">
        <v>1</v>
      </c>
      <c r="C7" s="88" t="s">
        <v>19</v>
      </c>
      <c r="D7" s="381">
        <v>103.27200000000001</v>
      </c>
      <c r="E7" s="382"/>
      <c r="F7" s="89">
        <f>14658524.85-G7</f>
        <v>6218924.8699999992</v>
      </c>
      <c r="G7" s="36">
        <v>8439599.9800000004</v>
      </c>
      <c r="H7" s="36"/>
      <c r="I7" s="82">
        <v>5</v>
      </c>
      <c r="J7" s="367"/>
      <c r="K7" s="88" t="s">
        <v>19</v>
      </c>
      <c r="L7" s="381">
        <v>103.27200000000001</v>
      </c>
      <c r="M7" s="382"/>
      <c r="N7" s="370"/>
      <c r="Q7" s="82">
        <v>5</v>
      </c>
      <c r="R7" s="367"/>
      <c r="S7" s="373"/>
      <c r="T7" s="377"/>
      <c r="U7" s="378"/>
      <c r="V7" s="370"/>
      <c r="X7" s="82">
        <v>5</v>
      </c>
      <c r="Y7" s="367"/>
      <c r="Z7" s="373"/>
      <c r="AA7" s="377"/>
      <c r="AB7" s="378"/>
      <c r="AC7" s="370"/>
    </row>
    <row r="8" spans="1:31" ht="30" x14ac:dyDescent="0.25">
      <c r="A8" s="82">
        <v>6</v>
      </c>
      <c r="B8" s="87" t="s">
        <v>2</v>
      </c>
      <c r="C8" s="88" t="s">
        <v>19</v>
      </c>
      <c r="D8" s="381">
        <v>66.872</v>
      </c>
      <c r="E8" s="382"/>
      <c r="F8" s="89">
        <f>9352168.79-G8</f>
        <v>4525782.0099999988</v>
      </c>
      <c r="G8" s="36">
        <v>4826386.78</v>
      </c>
      <c r="H8" s="36"/>
      <c r="I8" s="82">
        <v>6</v>
      </c>
      <c r="J8" s="367"/>
      <c r="K8" s="88" t="s">
        <v>19</v>
      </c>
      <c r="L8" s="381">
        <v>66.872</v>
      </c>
      <c r="M8" s="382"/>
      <c r="N8" s="370"/>
      <c r="Q8" s="82">
        <v>6</v>
      </c>
      <c r="R8" s="367"/>
      <c r="S8" s="373"/>
      <c r="T8" s="377"/>
      <c r="U8" s="378"/>
      <c r="V8" s="370"/>
      <c r="X8" s="82">
        <v>6</v>
      </c>
      <c r="Y8" s="367"/>
      <c r="Z8" s="373"/>
      <c r="AA8" s="377"/>
      <c r="AB8" s="378"/>
      <c r="AC8" s="370"/>
    </row>
    <row r="9" spans="1:31" x14ac:dyDescent="0.25">
      <c r="A9" s="82">
        <v>7</v>
      </c>
      <c r="B9" s="87" t="s">
        <v>3</v>
      </c>
      <c r="C9" s="88" t="s">
        <v>19</v>
      </c>
      <c r="D9" s="381">
        <v>233.27199999999999</v>
      </c>
      <c r="E9" s="382"/>
      <c r="F9" s="89">
        <f>34523672.98-G9</f>
        <v>17401032.069999997</v>
      </c>
      <c r="G9" s="36">
        <v>17122640.91</v>
      </c>
      <c r="H9" s="36"/>
      <c r="I9" s="82">
        <v>7</v>
      </c>
      <c r="J9" s="367"/>
      <c r="K9" s="88" t="s">
        <v>19</v>
      </c>
      <c r="L9" s="381">
        <v>233.27199999999999</v>
      </c>
      <c r="M9" s="382"/>
      <c r="N9" s="370"/>
      <c r="Q9" s="82">
        <v>7</v>
      </c>
      <c r="R9" s="367"/>
      <c r="S9" s="373"/>
      <c r="T9" s="377"/>
      <c r="U9" s="378"/>
      <c r="V9" s="370"/>
      <c r="X9" s="82">
        <v>7</v>
      </c>
      <c r="Y9" s="367"/>
      <c r="Z9" s="373"/>
      <c r="AA9" s="377"/>
      <c r="AB9" s="378"/>
      <c r="AC9" s="370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83">
        <v>4.3680000000000003</v>
      </c>
      <c r="E10" s="384"/>
      <c r="F10" s="92">
        <f>1043243.99-G10</f>
        <v>714028.58000000007</v>
      </c>
      <c r="G10" s="36">
        <v>329215.40999999997</v>
      </c>
      <c r="H10" s="36"/>
      <c r="I10" s="83">
        <v>8</v>
      </c>
      <c r="J10" s="368"/>
      <c r="K10" s="91" t="s">
        <v>19</v>
      </c>
      <c r="L10" s="383">
        <v>4.3680000000000003</v>
      </c>
      <c r="M10" s="384"/>
      <c r="N10" s="371"/>
      <c r="Q10" s="83">
        <v>8</v>
      </c>
      <c r="R10" s="368"/>
      <c r="S10" s="374"/>
      <c r="T10" s="379"/>
      <c r="U10" s="380"/>
      <c r="V10" s="371"/>
      <c r="X10" s="83">
        <v>8</v>
      </c>
      <c r="Y10" s="368"/>
      <c r="Z10" s="374"/>
      <c r="AA10" s="379"/>
      <c r="AB10" s="380"/>
      <c r="AC10" s="371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85" t="s">
        <v>31</v>
      </c>
      <c r="E12" s="386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85" t="s">
        <v>31</v>
      </c>
      <c r="M12" s="386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85" t="s">
        <v>31</v>
      </c>
      <c r="U12" s="386"/>
      <c r="V12" s="43">
        <v>3704032.4099999992</v>
      </c>
      <c r="X12" s="53">
        <v>9</v>
      </c>
      <c r="Y12" s="50" t="s">
        <v>27</v>
      </c>
      <c r="Z12" s="42" t="s">
        <v>29</v>
      </c>
      <c r="AA12" s="385" t="s">
        <v>31</v>
      </c>
      <c r="AB12" s="386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387" t="s">
        <v>30</v>
      </c>
      <c r="E13" s="388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87" t="s">
        <v>30</v>
      </c>
      <c r="M13" s="388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87" t="s">
        <v>30</v>
      </c>
      <c r="U13" s="388"/>
      <c r="V13" s="29">
        <v>15227354.290000003</v>
      </c>
      <c r="X13" s="52">
        <v>10</v>
      </c>
      <c r="Y13" s="51" t="s">
        <v>28</v>
      </c>
      <c r="Z13" s="40" t="s">
        <v>29</v>
      </c>
      <c r="AA13" s="387" t="s">
        <v>30</v>
      </c>
      <c r="AB13" s="388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89">
        <f>47.6596*100</f>
        <v>4765.96</v>
      </c>
      <c r="E14" s="390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89">
        <f>47.6596*100</f>
        <v>4765.96</v>
      </c>
      <c r="M14" s="390"/>
      <c r="N14" s="73">
        <v>1105733.3899999999</v>
      </c>
      <c r="Q14" s="70">
        <v>11</v>
      </c>
      <c r="R14" s="71" t="s">
        <v>17</v>
      </c>
      <c r="S14" s="72" t="s">
        <v>20</v>
      </c>
      <c r="T14" s="389">
        <f>47.6596*100</f>
        <v>4765.96</v>
      </c>
      <c r="U14" s="390"/>
      <c r="V14" s="73">
        <v>1105733.3899999999</v>
      </c>
      <c r="X14" s="70">
        <v>11</v>
      </c>
      <c r="Y14" s="71" t="s">
        <v>17</v>
      </c>
      <c r="Z14" s="72" t="s">
        <v>20</v>
      </c>
      <c r="AA14" s="389">
        <f>47.6596*100</f>
        <v>4765.96</v>
      </c>
      <c r="AB14" s="390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68</v>
      </c>
      <c r="S17" s="142" t="s">
        <v>70</v>
      </c>
      <c r="T17" s="61"/>
      <c r="U17" s="62"/>
      <c r="V17" s="63">
        <v>9941805.3699999992</v>
      </c>
      <c r="X17" s="69">
        <v>12</v>
      </c>
      <c r="Y17" s="59" t="s">
        <v>68</v>
      </c>
      <c r="Z17" s="142" t="s">
        <v>71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7" t="s">
        <v>36</v>
      </c>
      <c r="S20" s="228"/>
      <c r="T20" s="229"/>
      <c r="U20" s="230"/>
      <c r="V20" s="231">
        <f>V18+V19</f>
        <v>183111854.16569996</v>
      </c>
      <c r="X20" s="219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2"/>
      <c r="R21" s="233" t="s">
        <v>129</v>
      </c>
      <c r="S21" s="234"/>
      <c r="T21" s="235"/>
      <c r="U21" s="236"/>
      <c r="V21" s="237">
        <f>V20*0.06</f>
        <v>10986711.249941997</v>
      </c>
      <c r="X21" s="221"/>
      <c r="Y21" s="222" t="s">
        <v>129</v>
      </c>
      <c r="Z21" s="223"/>
      <c r="AA21" s="224"/>
      <c r="AB21" s="225"/>
      <c r="AC21" s="226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1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1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443" t="s">
        <v>53</v>
      </c>
      <c r="C28" s="443"/>
      <c r="D28" s="443"/>
      <c r="E28" s="79"/>
      <c r="F28" s="93">
        <v>75700.428816399144</v>
      </c>
      <c r="G28" s="39"/>
      <c r="H28" s="39"/>
      <c r="J28" s="443" t="s">
        <v>53</v>
      </c>
      <c r="K28" s="443"/>
      <c r="L28" s="443"/>
      <c r="M28" s="79"/>
      <c r="N28" s="93">
        <f>164516389.54/L16</f>
        <v>79169.629195812944</v>
      </c>
      <c r="R28" s="443" t="s">
        <v>53</v>
      </c>
      <c r="S28" s="443"/>
      <c r="T28" s="443"/>
      <c r="U28" s="79"/>
      <c r="V28" s="93">
        <v>98736.12</v>
      </c>
      <c r="Y28" s="443" t="s">
        <v>53</v>
      </c>
      <c r="Z28" s="443"/>
      <c r="AA28" s="443"/>
      <c r="AB28" s="79"/>
      <c r="AC28" s="93">
        <v>94190.720000000001</v>
      </c>
    </row>
    <row r="29" spans="1:31" ht="30.75" customHeight="1" x14ac:dyDescent="0.25">
      <c r="B29" s="443" t="s">
        <v>54</v>
      </c>
      <c r="C29" s="443"/>
      <c r="D29" s="443"/>
      <c r="E29" s="79"/>
      <c r="F29" s="93">
        <v>89541.292052319011</v>
      </c>
      <c r="G29" s="39"/>
      <c r="H29" s="39"/>
      <c r="J29" s="443" t="s">
        <v>54</v>
      </c>
      <c r="K29" s="443"/>
      <c r="L29" s="443"/>
      <c r="M29" s="79"/>
      <c r="N29" s="93">
        <f>185090075.82/L16</f>
        <v>89070.230093588907</v>
      </c>
      <c r="R29" s="443" t="s">
        <v>54</v>
      </c>
      <c r="S29" s="443"/>
      <c r="T29" s="443"/>
      <c r="U29" s="79"/>
      <c r="V29" s="93">
        <v>111278</v>
      </c>
      <c r="Y29" s="443" t="s">
        <v>54</v>
      </c>
      <c r="Z29" s="443"/>
      <c r="AA29" s="443"/>
      <c r="AB29" s="79"/>
      <c r="AC29" s="93">
        <v>106960.11</v>
      </c>
    </row>
    <row r="30" spans="1:31" ht="37.5" customHeight="1" x14ac:dyDescent="0.25">
      <c r="B30" s="443" t="s">
        <v>55</v>
      </c>
      <c r="C30" s="443"/>
      <c r="D30" s="443"/>
      <c r="E30" s="79"/>
      <c r="F30" s="93">
        <f>F26/D16</f>
        <v>92227.530813888574</v>
      </c>
      <c r="G30" s="39"/>
      <c r="H30" s="39"/>
      <c r="J30" s="443" t="s">
        <v>55</v>
      </c>
      <c r="K30" s="443"/>
      <c r="L30" s="443"/>
      <c r="M30" s="79"/>
      <c r="N30" s="93">
        <f>N26/L16</f>
        <v>92227.530814851038</v>
      </c>
      <c r="R30" s="443" t="s">
        <v>55</v>
      </c>
      <c r="S30" s="443"/>
      <c r="T30" s="443"/>
      <c r="U30" s="79"/>
      <c r="V30" s="93">
        <f>V26/T16</f>
        <v>114616.43807964509</v>
      </c>
      <c r="Y30" s="443" t="s">
        <v>55</v>
      </c>
      <c r="Z30" s="443"/>
      <c r="AA30" s="443"/>
      <c r="AB30" s="79"/>
      <c r="AC30" s="93">
        <f>AC26/AA16</f>
        <v>110168.91603464665</v>
      </c>
    </row>
  </sheetData>
  <mergeCells count="54"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  <mergeCell ref="AA13:AB13"/>
    <mergeCell ref="D14:E14"/>
    <mergeCell ref="L14:M14"/>
    <mergeCell ref="T14:U14"/>
    <mergeCell ref="AA14:AB14"/>
    <mergeCell ref="L12:M12"/>
    <mergeCell ref="T12:U12"/>
    <mergeCell ref="D13:E13"/>
    <mergeCell ref="L13:M13"/>
    <mergeCell ref="T13:U13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4" customWidth="1"/>
    <col min="2" max="6" width="16.140625" style="144" customWidth="1"/>
    <col min="7" max="16384" width="8.85546875" style="144"/>
  </cols>
  <sheetData>
    <row r="1" spans="1:6" x14ac:dyDescent="0.25">
      <c r="A1" s="460" t="s">
        <v>72</v>
      </c>
      <c r="B1" s="460"/>
      <c r="C1" s="460"/>
      <c r="D1" s="460"/>
      <c r="E1" s="460"/>
      <c r="F1" s="460"/>
    </row>
    <row r="2" spans="1:6" ht="45" customHeight="1" x14ac:dyDescent="0.25">
      <c r="A2" s="460"/>
      <c r="B2" s="460"/>
      <c r="C2" s="460"/>
      <c r="D2" s="460"/>
      <c r="E2" s="460"/>
      <c r="F2" s="460"/>
    </row>
    <row r="3" spans="1:6" ht="52.5" customHeight="1" x14ac:dyDescent="0.25">
      <c r="A3" s="461" t="s">
        <v>73</v>
      </c>
      <c r="B3" s="461"/>
      <c r="C3" s="461"/>
      <c r="D3" s="461"/>
      <c r="E3" s="461"/>
      <c r="F3" s="461"/>
    </row>
    <row r="4" spans="1:6" s="145" customFormat="1" ht="19.5" customHeight="1" thickBot="1" x14ac:dyDescent="0.35">
      <c r="A4" s="462" t="s">
        <v>74</v>
      </c>
      <c r="B4" s="462"/>
      <c r="C4" s="462"/>
      <c r="D4" s="462"/>
      <c r="E4" s="462"/>
      <c r="F4" s="462"/>
    </row>
    <row r="5" spans="1:6" ht="19.5" customHeight="1" x14ac:dyDescent="0.25">
      <c r="A5" s="146"/>
      <c r="B5" s="147">
        <v>2024</v>
      </c>
      <c r="C5" s="148">
        <v>2025</v>
      </c>
      <c r="D5" s="148">
        <v>2026</v>
      </c>
      <c r="E5" s="148">
        <v>2027</v>
      </c>
      <c r="F5" s="149">
        <v>2028</v>
      </c>
    </row>
    <row r="6" spans="1:6" ht="19.5" customHeight="1" thickBot="1" x14ac:dyDescent="0.3">
      <c r="A6" s="150"/>
      <c r="B6" s="151" t="s">
        <v>75</v>
      </c>
      <c r="C6" s="152" t="s">
        <v>76</v>
      </c>
      <c r="D6" s="463" t="s">
        <v>77</v>
      </c>
      <c r="E6" s="463"/>
      <c r="F6" s="464"/>
    </row>
    <row r="7" spans="1:6" ht="15.75" customHeight="1" x14ac:dyDescent="0.25">
      <c r="A7" s="153" t="s">
        <v>78</v>
      </c>
      <c r="B7" s="154"/>
      <c r="C7" s="155"/>
      <c r="D7" s="155"/>
      <c r="E7" s="155"/>
      <c r="F7" s="156"/>
    </row>
    <row r="8" spans="1:6" ht="20.100000000000001" customHeight="1" x14ac:dyDescent="0.25">
      <c r="A8" s="157" t="s">
        <v>79</v>
      </c>
      <c r="B8" s="158">
        <v>110.66</v>
      </c>
      <c r="C8" s="159">
        <v>102.8</v>
      </c>
      <c r="D8" s="159">
        <v>106.1</v>
      </c>
      <c r="E8" s="159">
        <v>104.93</v>
      </c>
      <c r="F8" s="160">
        <v>104.28</v>
      </c>
    </row>
    <row r="9" spans="1:6" ht="20.100000000000001" customHeight="1" x14ac:dyDescent="0.25">
      <c r="A9" s="161" t="s">
        <v>80</v>
      </c>
      <c r="B9" s="162">
        <v>112.07</v>
      </c>
      <c r="C9" s="163">
        <v>103.02</v>
      </c>
      <c r="D9" s="163">
        <v>106.1</v>
      </c>
      <c r="E9" s="163">
        <v>105.11</v>
      </c>
      <c r="F9" s="164">
        <v>104.28</v>
      </c>
    </row>
    <row r="10" spans="1:6" ht="20.100000000000001" customHeight="1" x14ac:dyDescent="0.25">
      <c r="A10" s="165" t="s">
        <v>81</v>
      </c>
      <c r="B10" s="162">
        <v>110.43</v>
      </c>
      <c r="C10" s="163">
        <v>106.25</v>
      </c>
      <c r="D10" s="163">
        <v>104.9</v>
      </c>
      <c r="E10" s="163">
        <v>104.39</v>
      </c>
      <c r="F10" s="164">
        <v>104.12</v>
      </c>
    </row>
    <row r="11" spans="1:6" ht="20.100000000000001" customHeight="1" x14ac:dyDescent="0.25">
      <c r="A11" s="166" t="s">
        <v>82</v>
      </c>
      <c r="B11" s="167"/>
      <c r="C11" s="168"/>
      <c r="D11" s="168"/>
      <c r="E11" s="168"/>
      <c r="F11" s="169"/>
    </row>
    <row r="12" spans="1:6" ht="20.100000000000001" customHeight="1" x14ac:dyDescent="0.25">
      <c r="A12" s="157" t="s">
        <v>79</v>
      </c>
      <c r="B12" s="158">
        <v>116.59</v>
      </c>
      <c r="C12" s="159">
        <v>89.94</v>
      </c>
      <c r="D12" s="159">
        <v>107.78</v>
      </c>
      <c r="E12" s="159">
        <v>105.6</v>
      </c>
      <c r="F12" s="160">
        <v>104.59</v>
      </c>
    </row>
    <row r="13" spans="1:6" s="171" customFormat="1" ht="20.100000000000001" customHeight="1" x14ac:dyDescent="0.25">
      <c r="A13" s="170" t="s">
        <v>80</v>
      </c>
      <c r="B13" s="162">
        <v>117.68</v>
      </c>
      <c r="C13" s="163">
        <v>93.35</v>
      </c>
      <c r="D13" s="163">
        <v>107.24</v>
      </c>
      <c r="E13" s="163">
        <v>106.04</v>
      </c>
      <c r="F13" s="164">
        <v>104.7</v>
      </c>
    </row>
    <row r="14" spans="1:6" ht="20.100000000000001" customHeight="1" x14ac:dyDescent="0.25">
      <c r="A14" s="166" t="s">
        <v>83</v>
      </c>
      <c r="B14" s="167"/>
      <c r="C14" s="168"/>
      <c r="D14" s="168"/>
      <c r="E14" s="168"/>
      <c r="F14" s="169"/>
    </row>
    <row r="15" spans="1:6" ht="20.100000000000001" customHeight="1" x14ac:dyDescent="0.25">
      <c r="A15" s="157" t="s">
        <v>79</v>
      </c>
      <c r="B15" s="158">
        <v>115.66</v>
      </c>
      <c r="C15" s="159">
        <v>87.47</v>
      </c>
      <c r="D15" s="159">
        <v>108.31</v>
      </c>
      <c r="E15" s="159">
        <v>105.84</v>
      </c>
      <c r="F15" s="160">
        <v>104.67</v>
      </c>
    </row>
    <row r="16" spans="1:6" s="171" customFormat="1" ht="20.100000000000001" customHeight="1" x14ac:dyDescent="0.25">
      <c r="A16" s="172" t="s">
        <v>80</v>
      </c>
      <c r="B16" s="162">
        <v>117.51</v>
      </c>
      <c r="C16" s="163">
        <v>91.4</v>
      </c>
      <c r="D16" s="163">
        <v>107.68</v>
      </c>
      <c r="E16" s="163">
        <v>106.3</v>
      </c>
      <c r="F16" s="164">
        <v>104.78</v>
      </c>
    </row>
    <row r="17" spans="1:6" ht="20.100000000000001" customHeight="1" x14ac:dyDescent="0.25">
      <c r="A17" s="166" t="s">
        <v>84</v>
      </c>
      <c r="B17" s="167"/>
      <c r="C17" s="168"/>
      <c r="D17" s="168"/>
      <c r="E17" s="168"/>
      <c r="F17" s="169"/>
    </row>
    <row r="18" spans="1:6" ht="20.100000000000001" customHeight="1" x14ac:dyDescent="0.25">
      <c r="A18" s="157" t="s">
        <v>79</v>
      </c>
      <c r="B18" s="158">
        <v>83.1</v>
      </c>
      <c r="C18" s="159">
        <v>81.06</v>
      </c>
      <c r="D18" s="159">
        <v>101.91</v>
      </c>
      <c r="E18" s="159">
        <v>105.35</v>
      </c>
      <c r="F18" s="160">
        <v>103.41</v>
      </c>
    </row>
    <row r="19" spans="1:6" ht="20.100000000000001" customHeight="1" x14ac:dyDescent="0.25">
      <c r="A19" s="161" t="s">
        <v>80</v>
      </c>
      <c r="B19" s="162">
        <v>99.65</v>
      </c>
      <c r="C19" s="163">
        <v>88.11</v>
      </c>
      <c r="D19" s="163">
        <v>100.43</v>
      </c>
      <c r="E19" s="163">
        <v>105.55</v>
      </c>
      <c r="F19" s="164">
        <v>103.51</v>
      </c>
    </row>
    <row r="20" spans="1:6" ht="20.100000000000001" customHeight="1" x14ac:dyDescent="0.25">
      <c r="A20" s="165" t="s">
        <v>85</v>
      </c>
      <c r="B20" s="162"/>
      <c r="C20" s="163"/>
      <c r="D20" s="163"/>
      <c r="E20" s="163"/>
      <c r="F20" s="164"/>
    </row>
    <row r="21" spans="1:6" ht="20.100000000000001" customHeight="1" x14ac:dyDescent="0.25">
      <c r="A21" s="161" t="s">
        <v>80</v>
      </c>
      <c r="B21" s="162">
        <v>99.56</v>
      </c>
      <c r="C21" s="173">
        <v>103.19</v>
      </c>
      <c r="D21" s="173">
        <v>101.49</v>
      </c>
      <c r="E21" s="173">
        <v>104.35</v>
      </c>
      <c r="F21" s="174">
        <v>102.68</v>
      </c>
    </row>
    <row r="22" spans="1:6" ht="20.100000000000001" customHeight="1" x14ac:dyDescent="0.25">
      <c r="A22" s="166" t="s">
        <v>86</v>
      </c>
      <c r="B22" s="167"/>
      <c r="C22" s="168"/>
      <c r="D22" s="168"/>
      <c r="E22" s="168"/>
      <c r="F22" s="169"/>
    </row>
    <row r="23" spans="1:6" ht="20.100000000000001" customHeight="1" x14ac:dyDescent="0.25">
      <c r="A23" s="157" t="s">
        <v>79</v>
      </c>
      <c r="B23" s="158">
        <v>119.17</v>
      </c>
      <c r="C23" s="159">
        <v>87.91</v>
      </c>
      <c r="D23" s="159">
        <v>108.72</v>
      </c>
      <c r="E23" s="159">
        <v>105.87</v>
      </c>
      <c r="F23" s="160">
        <v>104.76</v>
      </c>
    </row>
    <row r="24" spans="1:6" s="171" customFormat="1" ht="20.100000000000001" customHeight="1" x14ac:dyDescent="0.25">
      <c r="A24" s="170" t="s">
        <v>80</v>
      </c>
      <c r="B24" s="175">
        <v>118.33</v>
      </c>
      <c r="C24" s="173">
        <v>91.62</v>
      </c>
      <c r="D24" s="173">
        <v>108.13</v>
      </c>
      <c r="E24" s="173">
        <v>106.34</v>
      </c>
      <c r="F24" s="174">
        <v>104.86</v>
      </c>
    </row>
    <row r="25" spans="1:6" ht="20.100000000000001" customHeight="1" x14ac:dyDescent="0.25">
      <c r="A25" s="176" t="s">
        <v>87</v>
      </c>
      <c r="B25" s="177"/>
      <c r="C25" s="178"/>
      <c r="D25" s="178"/>
      <c r="E25" s="178"/>
      <c r="F25" s="179"/>
    </row>
    <row r="26" spans="1:6" ht="20.100000000000001" customHeight="1" x14ac:dyDescent="0.25">
      <c r="A26" s="157" t="s">
        <v>79</v>
      </c>
      <c r="B26" s="158">
        <v>121.48</v>
      </c>
      <c r="C26" s="159">
        <v>105.37</v>
      </c>
      <c r="D26" s="159">
        <v>104.38</v>
      </c>
      <c r="E26" s="159">
        <v>104.08</v>
      </c>
      <c r="F26" s="160">
        <v>104.06</v>
      </c>
    </row>
    <row r="27" spans="1:6" ht="20.100000000000001" customHeight="1" x14ac:dyDescent="0.25">
      <c r="A27" s="161" t="s">
        <v>80</v>
      </c>
      <c r="B27" s="175">
        <v>119.31</v>
      </c>
      <c r="C27" s="173">
        <v>108.14</v>
      </c>
      <c r="D27" s="173">
        <v>104.38</v>
      </c>
      <c r="E27" s="173">
        <v>104.19</v>
      </c>
      <c r="F27" s="174">
        <v>104.07</v>
      </c>
    </row>
    <row r="28" spans="1:6" ht="20.100000000000001" customHeight="1" x14ac:dyDescent="0.25">
      <c r="A28" s="180" t="s">
        <v>88</v>
      </c>
      <c r="B28" s="167"/>
      <c r="C28" s="168"/>
      <c r="D28" s="168"/>
      <c r="E28" s="168"/>
      <c r="F28" s="181"/>
    </row>
    <row r="29" spans="1:6" ht="20.100000000000001" customHeight="1" x14ac:dyDescent="0.25">
      <c r="A29" s="157" t="s">
        <v>79</v>
      </c>
      <c r="B29" s="158">
        <v>132.13999999999999</v>
      </c>
      <c r="C29" s="159">
        <v>105.63</v>
      </c>
      <c r="D29" s="159">
        <v>104.49</v>
      </c>
      <c r="E29" s="159">
        <v>104.14</v>
      </c>
      <c r="F29" s="160">
        <v>104.13</v>
      </c>
    </row>
    <row r="30" spans="1:6" ht="20.100000000000001" customHeight="1" thickBot="1" x14ac:dyDescent="0.3">
      <c r="A30" s="182" t="s">
        <v>80</v>
      </c>
      <c r="B30" s="183">
        <v>125.72</v>
      </c>
      <c r="C30" s="184">
        <v>107.68</v>
      </c>
      <c r="D30" s="184">
        <v>104.34</v>
      </c>
      <c r="E30" s="184">
        <v>104.21</v>
      </c>
      <c r="F30" s="185">
        <v>104.12</v>
      </c>
    </row>
    <row r="31" spans="1:6" ht="20.100000000000001" customHeight="1" x14ac:dyDescent="0.25">
      <c r="A31" s="186" t="s">
        <v>89</v>
      </c>
      <c r="B31" s="187"/>
      <c r="C31" s="188"/>
      <c r="D31" s="188"/>
      <c r="E31" s="188"/>
      <c r="F31" s="189"/>
    </row>
    <row r="32" spans="1:6" ht="20.100000000000001" customHeight="1" x14ac:dyDescent="0.25">
      <c r="A32" s="157" t="s">
        <v>79</v>
      </c>
      <c r="B32" s="158">
        <v>97.25</v>
      </c>
      <c r="C32" s="159">
        <v>104.58</v>
      </c>
      <c r="D32" s="159">
        <v>104.06</v>
      </c>
      <c r="E32" s="159">
        <v>103.89</v>
      </c>
      <c r="F32" s="160">
        <v>103.84</v>
      </c>
    </row>
    <row r="33" spans="1:6" ht="20.100000000000001" customHeight="1" x14ac:dyDescent="0.25">
      <c r="A33" s="190" t="s">
        <v>80</v>
      </c>
      <c r="B33" s="175">
        <v>104.29</v>
      </c>
      <c r="C33" s="173">
        <v>109.5</v>
      </c>
      <c r="D33" s="173">
        <v>104.21</v>
      </c>
      <c r="E33" s="173">
        <v>104.04</v>
      </c>
      <c r="F33" s="174">
        <v>103.94</v>
      </c>
    </row>
    <row r="34" spans="1:6" ht="20.100000000000001" customHeight="1" x14ac:dyDescent="0.25">
      <c r="A34" s="176" t="s">
        <v>90</v>
      </c>
      <c r="B34" s="191"/>
      <c r="C34" s="192"/>
      <c r="D34" s="192"/>
      <c r="E34" s="192"/>
      <c r="F34" s="179"/>
    </row>
    <row r="35" spans="1:6" ht="20.100000000000001" customHeight="1" x14ac:dyDescent="0.25">
      <c r="A35" s="157" t="s">
        <v>79</v>
      </c>
      <c r="B35" s="158">
        <v>107.25</v>
      </c>
      <c r="C35" s="159">
        <v>105.41</v>
      </c>
      <c r="D35" s="159">
        <v>104.849</v>
      </c>
      <c r="E35" s="159">
        <v>104.28</v>
      </c>
      <c r="F35" s="160">
        <v>104.12</v>
      </c>
    </row>
    <row r="36" spans="1:6" ht="20.100000000000001" customHeight="1" x14ac:dyDescent="0.25">
      <c r="A36" s="161" t="s">
        <v>80</v>
      </c>
      <c r="B36" s="175">
        <v>111.22</v>
      </c>
      <c r="C36" s="173">
        <v>104.63</v>
      </c>
      <c r="D36" s="173">
        <v>104.88</v>
      </c>
      <c r="E36" s="173">
        <v>104.38</v>
      </c>
      <c r="F36" s="174">
        <v>104.08</v>
      </c>
    </row>
    <row r="37" spans="1:6" ht="30" x14ac:dyDescent="0.25">
      <c r="A37" s="180" t="s">
        <v>91</v>
      </c>
      <c r="B37" s="167"/>
      <c r="C37" s="168"/>
      <c r="D37" s="168"/>
      <c r="E37" s="168"/>
      <c r="F37" s="181"/>
    </row>
    <row r="38" spans="1:6" ht="20.100000000000001" customHeight="1" x14ac:dyDescent="0.25">
      <c r="A38" s="157" t="s">
        <v>79</v>
      </c>
      <c r="B38" s="158">
        <v>110.07</v>
      </c>
      <c r="C38" s="159">
        <v>112.16</v>
      </c>
      <c r="D38" s="159">
        <v>104.56</v>
      </c>
      <c r="E38" s="159">
        <v>104.06</v>
      </c>
      <c r="F38" s="160">
        <v>103.88</v>
      </c>
    </row>
    <row r="39" spans="1:6" ht="20.100000000000001" customHeight="1" x14ac:dyDescent="0.25">
      <c r="A39" s="161" t="s">
        <v>80</v>
      </c>
      <c r="B39" s="175">
        <v>109.05</v>
      </c>
      <c r="C39" s="173">
        <v>111.13</v>
      </c>
      <c r="D39" s="173">
        <v>104.76</v>
      </c>
      <c r="E39" s="173">
        <v>104.14</v>
      </c>
      <c r="F39" s="174">
        <v>103.89</v>
      </c>
    </row>
    <row r="40" spans="1:6" ht="30" x14ac:dyDescent="0.25">
      <c r="A40" s="180" t="s">
        <v>92</v>
      </c>
      <c r="B40" s="167"/>
      <c r="C40" s="168"/>
      <c r="D40" s="168"/>
      <c r="E40" s="168"/>
      <c r="F40" s="181"/>
    </row>
    <row r="41" spans="1:6" ht="20.100000000000001" customHeight="1" x14ac:dyDescent="0.25">
      <c r="A41" s="157" t="s">
        <v>79</v>
      </c>
      <c r="B41" s="158">
        <v>111.16</v>
      </c>
      <c r="C41" s="159">
        <v>109.2</v>
      </c>
      <c r="D41" s="159">
        <v>104.43</v>
      </c>
      <c r="E41" s="159">
        <v>104.13</v>
      </c>
      <c r="F41" s="160">
        <v>103.85</v>
      </c>
    </row>
    <row r="42" spans="1:6" ht="20.100000000000001" customHeight="1" x14ac:dyDescent="0.25">
      <c r="A42" s="190" t="s">
        <v>80</v>
      </c>
      <c r="B42" s="175">
        <v>108.13</v>
      </c>
      <c r="C42" s="173">
        <v>106.06</v>
      </c>
      <c r="D42" s="173">
        <v>104.17</v>
      </c>
      <c r="E42" s="173">
        <v>104</v>
      </c>
      <c r="F42" s="174">
        <v>103.85</v>
      </c>
    </row>
    <row r="43" spans="1:6" ht="30" x14ac:dyDescent="0.25">
      <c r="A43" s="180" t="s">
        <v>93</v>
      </c>
      <c r="B43" s="167"/>
      <c r="C43" s="168"/>
      <c r="D43" s="168"/>
      <c r="E43" s="168"/>
      <c r="F43" s="181"/>
    </row>
    <row r="44" spans="1:6" ht="20.100000000000001" customHeight="1" x14ac:dyDescent="0.25">
      <c r="A44" s="157" t="s">
        <v>79</v>
      </c>
      <c r="B44" s="158">
        <v>114.3</v>
      </c>
      <c r="C44" s="159">
        <v>104.31</v>
      </c>
      <c r="D44" s="159">
        <v>104.64</v>
      </c>
      <c r="E44" s="159">
        <v>104.08</v>
      </c>
      <c r="F44" s="160">
        <v>103.87</v>
      </c>
    </row>
    <row r="45" spans="1:6" ht="20.100000000000001" customHeight="1" x14ac:dyDescent="0.25">
      <c r="A45" s="190" t="s">
        <v>80</v>
      </c>
      <c r="B45" s="175">
        <v>115.88</v>
      </c>
      <c r="C45" s="173">
        <v>103.74</v>
      </c>
      <c r="D45" s="173">
        <v>104.78</v>
      </c>
      <c r="E45" s="173">
        <v>103.95</v>
      </c>
      <c r="F45" s="174">
        <v>103.91</v>
      </c>
    </row>
    <row r="46" spans="1:6" ht="20.100000000000001" customHeight="1" x14ac:dyDescent="0.25">
      <c r="A46" s="193" t="s">
        <v>94</v>
      </c>
      <c r="B46" s="177"/>
      <c r="C46" s="178"/>
      <c r="D46" s="178"/>
      <c r="E46" s="178"/>
      <c r="F46" s="194"/>
    </row>
    <row r="47" spans="1:6" ht="20.100000000000001" customHeight="1" x14ac:dyDescent="0.25">
      <c r="A47" s="157" t="s">
        <v>79</v>
      </c>
      <c r="B47" s="158">
        <v>113.7</v>
      </c>
      <c r="C47" s="159">
        <v>103.62</v>
      </c>
      <c r="D47" s="159">
        <v>104.04</v>
      </c>
      <c r="E47" s="159">
        <v>104</v>
      </c>
      <c r="F47" s="160">
        <v>104.02</v>
      </c>
    </row>
    <row r="48" spans="1:6" ht="20.100000000000001" customHeight="1" x14ac:dyDescent="0.25">
      <c r="A48" s="161" t="s">
        <v>80</v>
      </c>
      <c r="B48" s="175">
        <v>115.17</v>
      </c>
      <c r="C48" s="173">
        <v>101.18</v>
      </c>
      <c r="D48" s="173">
        <v>103.98</v>
      </c>
      <c r="E48" s="173">
        <v>103.9</v>
      </c>
      <c r="F48" s="174">
        <v>103.86</v>
      </c>
    </row>
    <row r="49" spans="1:6" ht="20.100000000000001" customHeight="1" x14ac:dyDescent="0.25">
      <c r="A49" s="180" t="s">
        <v>95</v>
      </c>
      <c r="B49" s="167"/>
      <c r="C49" s="168"/>
      <c r="D49" s="168"/>
      <c r="E49" s="168"/>
      <c r="F49" s="181"/>
    </row>
    <row r="50" spans="1:6" ht="20.100000000000001" customHeight="1" x14ac:dyDescent="0.25">
      <c r="A50" s="157" t="s">
        <v>79</v>
      </c>
      <c r="B50" s="158">
        <v>112.64</v>
      </c>
      <c r="C50" s="159">
        <v>94.68</v>
      </c>
      <c r="D50" s="159">
        <v>104.19</v>
      </c>
      <c r="E50" s="159">
        <v>103.9</v>
      </c>
      <c r="F50" s="160">
        <v>103.78</v>
      </c>
    </row>
    <row r="51" spans="1:6" ht="20.100000000000001" customHeight="1" x14ac:dyDescent="0.25">
      <c r="A51" s="190" t="s">
        <v>80</v>
      </c>
      <c r="B51" s="175">
        <v>116.42</v>
      </c>
      <c r="C51" s="173">
        <v>95.847999999999999</v>
      </c>
      <c r="D51" s="173">
        <v>104.649</v>
      </c>
      <c r="E51" s="173">
        <v>104.13</v>
      </c>
      <c r="F51" s="174">
        <v>103.8</v>
      </c>
    </row>
    <row r="52" spans="1:6" ht="45" x14ac:dyDescent="0.25">
      <c r="A52" s="180" t="s">
        <v>96</v>
      </c>
      <c r="B52" s="167"/>
      <c r="C52" s="168"/>
      <c r="D52" s="168"/>
      <c r="E52" s="168"/>
      <c r="F52" s="181"/>
    </row>
    <row r="53" spans="1:6" ht="20.100000000000001" customHeight="1" x14ac:dyDescent="0.25">
      <c r="A53" s="157" t="s">
        <v>79</v>
      </c>
      <c r="B53" s="158">
        <v>107.88</v>
      </c>
      <c r="C53" s="159">
        <v>107.42</v>
      </c>
      <c r="D53" s="159">
        <v>104.62</v>
      </c>
      <c r="E53" s="159">
        <v>104.349</v>
      </c>
      <c r="F53" s="160">
        <v>104.146</v>
      </c>
    </row>
    <row r="54" spans="1:6" ht="20.100000000000001" customHeight="1" thickBot="1" x14ac:dyDescent="0.3">
      <c r="A54" s="182" t="s">
        <v>80</v>
      </c>
      <c r="B54" s="183">
        <v>105.88</v>
      </c>
      <c r="C54" s="184">
        <v>104.15</v>
      </c>
      <c r="D54" s="184">
        <v>104.01</v>
      </c>
      <c r="E54" s="184">
        <v>103.92</v>
      </c>
      <c r="F54" s="185">
        <v>103.75</v>
      </c>
    </row>
    <row r="55" spans="1:6" ht="17.25" customHeight="1" x14ac:dyDescent="0.25">
      <c r="A55" s="186" t="s">
        <v>97</v>
      </c>
      <c r="B55" s="187"/>
      <c r="C55" s="188"/>
      <c r="D55" s="188"/>
      <c r="E55" s="188"/>
      <c r="F55" s="189"/>
    </row>
    <row r="56" spans="1:6" ht="20.100000000000001" customHeight="1" x14ac:dyDescent="0.25">
      <c r="A56" s="157" t="s">
        <v>79</v>
      </c>
      <c r="B56" s="158">
        <v>108.8</v>
      </c>
      <c r="C56" s="159">
        <v>109.72</v>
      </c>
      <c r="D56" s="159">
        <v>104.5</v>
      </c>
      <c r="E56" s="159">
        <v>104.21</v>
      </c>
      <c r="F56" s="160">
        <v>103.92</v>
      </c>
    </row>
    <row r="57" spans="1:6" ht="20.100000000000001" customHeight="1" x14ac:dyDescent="0.25">
      <c r="A57" s="161" t="s">
        <v>80</v>
      </c>
      <c r="B57" s="175">
        <v>112.64</v>
      </c>
      <c r="C57" s="173">
        <v>108.08</v>
      </c>
      <c r="D57" s="173">
        <v>104.28</v>
      </c>
      <c r="E57" s="173">
        <v>104.21</v>
      </c>
      <c r="F57" s="174">
        <v>104.02</v>
      </c>
    </row>
    <row r="58" spans="1:6" ht="15.75" x14ac:dyDescent="0.25">
      <c r="A58" s="180" t="s">
        <v>98</v>
      </c>
      <c r="B58" s="167"/>
      <c r="C58" s="168"/>
      <c r="D58" s="168"/>
      <c r="E58" s="168"/>
      <c r="F58" s="181"/>
    </row>
    <row r="59" spans="1:6" ht="20.100000000000001" customHeight="1" x14ac:dyDescent="0.25">
      <c r="A59" s="157" t="s">
        <v>79</v>
      </c>
      <c r="B59" s="158">
        <v>107.92</v>
      </c>
      <c r="C59" s="159">
        <v>94.72</v>
      </c>
      <c r="D59" s="159">
        <v>105.24</v>
      </c>
      <c r="E59" s="159">
        <v>104.88</v>
      </c>
      <c r="F59" s="160">
        <v>104.91</v>
      </c>
    </row>
    <row r="60" spans="1:6" ht="20.100000000000001" customHeight="1" x14ac:dyDescent="0.25">
      <c r="A60" s="190" t="s">
        <v>80</v>
      </c>
      <c r="B60" s="175">
        <v>108.17</v>
      </c>
      <c r="C60" s="173">
        <v>94.14</v>
      </c>
      <c r="D60" s="173">
        <v>104.88</v>
      </c>
      <c r="E60" s="173">
        <v>105.21</v>
      </c>
      <c r="F60" s="174">
        <v>104.88</v>
      </c>
    </row>
    <row r="61" spans="1:6" ht="30" x14ac:dyDescent="0.25">
      <c r="A61" s="193" t="s">
        <v>99</v>
      </c>
      <c r="B61" s="177"/>
      <c r="C61" s="178"/>
      <c r="D61" s="178"/>
      <c r="E61" s="178"/>
      <c r="F61" s="194"/>
    </row>
    <row r="62" spans="1:6" ht="20.100000000000001" customHeight="1" x14ac:dyDescent="0.25">
      <c r="A62" s="157" t="s">
        <v>79</v>
      </c>
      <c r="B62" s="158">
        <v>106.09</v>
      </c>
      <c r="C62" s="159">
        <v>116.32</v>
      </c>
      <c r="D62" s="159">
        <v>104.06</v>
      </c>
      <c r="E62" s="159">
        <v>104.2</v>
      </c>
      <c r="F62" s="160">
        <v>104.27</v>
      </c>
    </row>
    <row r="63" spans="1:6" ht="20.100000000000001" customHeight="1" x14ac:dyDescent="0.25">
      <c r="A63" s="161" t="s">
        <v>80</v>
      </c>
      <c r="B63" s="175">
        <v>111.44</v>
      </c>
      <c r="C63" s="173">
        <v>120.04900000000001</v>
      </c>
      <c r="D63" s="173">
        <v>102.98</v>
      </c>
      <c r="E63" s="173">
        <v>104.28</v>
      </c>
      <c r="F63" s="174">
        <v>103.94</v>
      </c>
    </row>
    <row r="64" spans="1:6" ht="30" x14ac:dyDescent="0.25">
      <c r="A64" s="180" t="s">
        <v>100</v>
      </c>
      <c r="B64" s="167"/>
      <c r="C64" s="168"/>
      <c r="D64" s="168"/>
      <c r="E64" s="168"/>
      <c r="F64" s="181"/>
    </row>
    <row r="65" spans="1:6" ht="20.100000000000001" customHeight="1" x14ac:dyDescent="0.25">
      <c r="A65" s="157" t="s">
        <v>79</v>
      </c>
      <c r="B65" s="158">
        <v>103.62</v>
      </c>
      <c r="C65" s="159">
        <v>101.84</v>
      </c>
      <c r="D65" s="159">
        <v>105.66</v>
      </c>
      <c r="E65" s="159">
        <v>104.44</v>
      </c>
      <c r="F65" s="160">
        <v>103.93</v>
      </c>
    </row>
    <row r="66" spans="1:6" ht="20.100000000000001" customHeight="1" x14ac:dyDescent="0.25">
      <c r="A66" s="190" t="s">
        <v>80</v>
      </c>
      <c r="B66" s="175">
        <v>114.25</v>
      </c>
      <c r="C66" s="173">
        <v>102.69</v>
      </c>
      <c r="D66" s="173">
        <v>105.44</v>
      </c>
      <c r="E66" s="173">
        <v>104.22</v>
      </c>
      <c r="F66" s="174">
        <v>103.86</v>
      </c>
    </row>
    <row r="67" spans="1:6" ht="20.100000000000001" customHeight="1" x14ac:dyDescent="0.25">
      <c r="A67" s="193" t="s">
        <v>101</v>
      </c>
      <c r="B67" s="177"/>
      <c r="C67" s="178"/>
      <c r="D67" s="178"/>
      <c r="E67" s="178"/>
      <c r="F67" s="194"/>
    </row>
    <row r="68" spans="1:6" ht="20.100000000000001" customHeight="1" x14ac:dyDescent="0.25">
      <c r="A68" s="157" t="s">
        <v>79</v>
      </c>
      <c r="B68" s="158">
        <v>109.75</v>
      </c>
      <c r="C68" s="159">
        <v>106.8</v>
      </c>
      <c r="D68" s="159">
        <v>105.67</v>
      </c>
      <c r="E68" s="159">
        <v>104.54</v>
      </c>
      <c r="F68" s="160">
        <v>104.39</v>
      </c>
    </row>
    <row r="69" spans="1:6" ht="20.100000000000001" customHeight="1" x14ac:dyDescent="0.25">
      <c r="A69" s="161" t="s">
        <v>80</v>
      </c>
      <c r="B69" s="175">
        <v>109.56</v>
      </c>
      <c r="C69" s="173">
        <v>106.81</v>
      </c>
      <c r="D69" s="173">
        <v>106.3</v>
      </c>
      <c r="E69" s="173">
        <v>104.89</v>
      </c>
      <c r="F69" s="174">
        <v>104.56</v>
      </c>
    </row>
    <row r="70" spans="1:6" ht="20.100000000000001" customHeight="1" x14ac:dyDescent="0.25">
      <c r="A70" s="180" t="s">
        <v>102</v>
      </c>
      <c r="B70" s="167"/>
      <c r="C70" s="168"/>
      <c r="D70" s="168"/>
      <c r="E70" s="168"/>
      <c r="F70" s="181"/>
    </row>
    <row r="71" spans="1:6" ht="20.100000000000001" customHeight="1" x14ac:dyDescent="0.25">
      <c r="A71" s="157" t="s">
        <v>79</v>
      </c>
      <c r="B71" s="158">
        <v>109.41</v>
      </c>
      <c r="C71" s="159">
        <v>105.63</v>
      </c>
      <c r="D71" s="159">
        <v>103.98</v>
      </c>
      <c r="E71" s="195">
        <v>103.95</v>
      </c>
      <c r="F71" s="196">
        <v>103.89</v>
      </c>
    </row>
    <row r="72" spans="1:6" ht="31.5" x14ac:dyDescent="0.25">
      <c r="A72" s="166" t="s">
        <v>103</v>
      </c>
      <c r="B72" s="197"/>
      <c r="C72" s="198"/>
      <c r="D72" s="198"/>
      <c r="E72" s="198"/>
      <c r="F72" s="169"/>
    </row>
    <row r="73" spans="1:6" ht="20.100000000000001" customHeight="1" x14ac:dyDescent="0.25">
      <c r="A73" s="157" t="s">
        <v>79</v>
      </c>
      <c r="B73" s="158">
        <v>108.22</v>
      </c>
      <c r="C73" s="159">
        <v>115.27</v>
      </c>
      <c r="D73" s="159">
        <v>113.2</v>
      </c>
      <c r="E73" s="159">
        <v>109.15</v>
      </c>
      <c r="F73" s="160">
        <v>104.946</v>
      </c>
    </row>
    <row r="74" spans="1:6" ht="20.100000000000001" customHeight="1" x14ac:dyDescent="0.25">
      <c r="A74" s="161" t="s">
        <v>80</v>
      </c>
      <c r="B74" s="175">
        <v>105.947</v>
      </c>
      <c r="C74" s="173">
        <v>114.37</v>
      </c>
      <c r="D74" s="173">
        <v>113.16</v>
      </c>
      <c r="E74" s="173">
        <v>109.06</v>
      </c>
      <c r="F74" s="174">
        <v>104.93</v>
      </c>
    </row>
    <row r="75" spans="1:6" ht="31.5" x14ac:dyDescent="0.25">
      <c r="A75" s="166" t="s">
        <v>104</v>
      </c>
      <c r="B75" s="197"/>
      <c r="C75" s="198"/>
      <c r="D75" s="198"/>
      <c r="E75" s="198"/>
      <c r="F75" s="169"/>
    </row>
    <row r="76" spans="1:6" ht="20.100000000000001" customHeight="1" x14ac:dyDescent="0.25">
      <c r="A76" s="157" t="s">
        <v>79</v>
      </c>
      <c r="B76" s="158">
        <v>108.02</v>
      </c>
      <c r="C76" s="159">
        <v>106.27</v>
      </c>
      <c r="D76" s="159">
        <v>104.36</v>
      </c>
      <c r="E76" s="159">
        <v>104.09</v>
      </c>
      <c r="F76" s="160">
        <v>104.04</v>
      </c>
    </row>
    <row r="77" spans="1:6" ht="20.100000000000001" customHeight="1" thickBot="1" x14ac:dyDescent="0.3">
      <c r="A77" s="182" t="s">
        <v>80</v>
      </c>
      <c r="B77" s="183">
        <v>104.89</v>
      </c>
      <c r="C77" s="184">
        <v>104.79</v>
      </c>
      <c r="D77" s="184">
        <v>104.2</v>
      </c>
      <c r="E77" s="184">
        <v>104.148</v>
      </c>
      <c r="F77" s="185">
        <v>104.04</v>
      </c>
    </row>
    <row r="78" spans="1:6" ht="20.100000000000001" customHeight="1" x14ac:dyDescent="0.25">
      <c r="A78" s="153" t="s">
        <v>105</v>
      </c>
      <c r="B78" s="199"/>
      <c r="C78" s="200"/>
      <c r="D78" s="200"/>
      <c r="E78" s="200"/>
      <c r="F78" s="201"/>
    </row>
    <row r="79" spans="1:6" ht="20.100000000000001" customHeight="1" x14ac:dyDescent="0.25">
      <c r="A79" s="157" t="s">
        <v>79</v>
      </c>
      <c r="B79" s="158">
        <v>108.28</v>
      </c>
      <c r="C79" s="159">
        <v>109.53</v>
      </c>
      <c r="D79" s="159">
        <v>104.92</v>
      </c>
      <c r="E79" s="159">
        <v>104.44</v>
      </c>
      <c r="F79" s="160">
        <v>104.44</v>
      </c>
    </row>
    <row r="80" spans="1:6" ht="20.100000000000001" customHeight="1" x14ac:dyDescent="0.25">
      <c r="A80" s="166" t="s">
        <v>106</v>
      </c>
      <c r="B80" s="197"/>
      <c r="C80" s="198"/>
      <c r="D80" s="198"/>
      <c r="E80" s="198"/>
      <c r="F80" s="169"/>
    </row>
    <row r="81" spans="1:6" ht="20.100000000000001" customHeight="1" x14ac:dyDescent="0.25">
      <c r="A81" s="157" t="s">
        <v>79</v>
      </c>
      <c r="B81" s="202">
        <v>106.9</v>
      </c>
      <c r="C81" s="159">
        <v>110.96</v>
      </c>
      <c r="D81" s="159">
        <v>104.58</v>
      </c>
      <c r="E81" s="159">
        <v>104.48</v>
      </c>
      <c r="F81" s="160">
        <v>104.33</v>
      </c>
    </row>
    <row r="82" spans="1:6" ht="20.100000000000001" customHeight="1" x14ac:dyDescent="0.25">
      <c r="A82" s="166" t="s">
        <v>107</v>
      </c>
      <c r="B82" s="197"/>
      <c r="C82" s="198"/>
      <c r="D82" s="198"/>
      <c r="E82" s="198"/>
      <c r="F82" s="169"/>
    </row>
    <row r="83" spans="1:6" ht="20.100000000000001" customHeight="1" x14ac:dyDescent="0.25">
      <c r="A83" s="157" t="s">
        <v>79</v>
      </c>
      <c r="B83" s="202">
        <v>109.89</v>
      </c>
      <c r="C83" s="159">
        <v>107.72</v>
      </c>
      <c r="D83" s="159">
        <v>105.36</v>
      </c>
      <c r="E83" s="159">
        <v>104.4</v>
      </c>
      <c r="F83" s="160">
        <v>104.58</v>
      </c>
    </row>
    <row r="84" spans="1:6" ht="20.100000000000001" customHeight="1" x14ac:dyDescent="0.25">
      <c r="A84" s="203" t="s">
        <v>108</v>
      </c>
      <c r="B84" s="175">
        <v>109.33</v>
      </c>
      <c r="C84" s="173">
        <v>107.79</v>
      </c>
      <c r="D84" s="173">
        <v>105.08</v>
      </c>
      <c r="E84" s="173">
        <v>104.4</v>
      </c>
      <c r="F84" s="174">
        <v>104.48</v>
      </c>
    </row>
    <row r="85" spans="1:6" ht="16.5" customHeight="1" x14ac:dyDescent="0.25">
      <c r="A85" s="166" t="s">
        <v>109</v>
      </c>
      <c r="B85" s="204"/>
      <c r="C85" s="205"/>
      <c r="D85" s="205"/>
      <c r="E85" s="205"/>
      <c r="F85" s="206"/>
    </row>
    <row r="86" spans="1:6" ht="20.100000000000001" customHeight="1" x14ac:dyDescent="0.25">
      <c r="A86" s="157" t="s">
        <v>110</v>
      </c>
      <c r="B86" s="202">
        <v>113.86</v>
      </c>
      <c r="C86" s="159">
        <v>108.8</v>
      </c>
      <c r="D86" s="159">
        <v>105.54</v>
      </c>
      <c r="E86" s="159">
        <v>105.2</v>
      </c>
      <c r="F86" s="160">
        <v>104.65</v>
      </c>
    </row>
    <row r="87" spans="1:6" ht="20.100000000000001" customHeight="1" x14ac:dyDescent="0.25">
      <c r="A87" s="207" t="s">
        <v>111</v>
      </c>
      <c r="B87" s="162">
        <v>113.46</v>
      </c>
      <c r="C87" s="163">
        <v>104.55</v>
      </c>
      <c r="D87" s="163">
        <v>105.69</v>
      </c>
      <c r="E87" s="163">
        <v>104.87</v>
      </c>
      <c r="F87" s="164">
        <v>104.79</v>
      </c>
    </row>
    <row r="88" spans="1:6" ht="20.100000000000001" customHeight="1" x14ac:dyDescent="0.25">
      <c r="A88" s="208" t="s">
        <v>112</v>
      </c>
      <c r="B88" s="175">
        <v>121.23</v>
      </c>
      <c r="C88" s="173">
        <v>109.28</v>
      </c>
      <c r="D88" s="173">
        <v>107.04</v>
      </c>
      <c r="E88" s="173">
        <v>105.44</v>
      </c>
      <c r="F88" s="174">
        <v>105.38</v>
      </c>
    </row>
    <row r="89" spans="1:6" ht="20.100000000000001" customHeight="1" x14ac:dyDescent="0.25">
      <c r="A89" s="176" t="s">
        <v>113</v>
      </c>
      <c r="B89" s="209"/>
      <c r="C89" s="210"/>
      <c r="D89" s="210"/>
      <c r="E89" s="210"/>
      <c r="F89" s="211"/>
    </row>
    <row r="90" spans="1:6" ht="20.100000000000001" customHeight="1" x14ac:dyDescent="0.25">
      <c r="A90" s="157" t="s">
        <v>79</v>
      </c>
      <c r="B90" s="158">
        <v>108.14</v>
      </c>
      <c r="C90" s="159">
        <v>107.4</v>
      </c>
      <c r="D90" s="159">
        <v>105.5</v>
      </c>
      <c r="E90" s="159">
        <v>104.1</v>
      </c>
      <c r="F90" s="160">
        <v>104.1</v>
      </c>
    </row>
    <row r="91" spans="1:6" ht="20.100000000000001" customHeight="1" x14ac:dyDescent="0.25">
      <c r="A91" s="190" t="s">
        <v>114</v>
      </c>
      <c r="B91" s="175">
        <v>108.22</v>
      </c>
      <c r="C91" s="173"/>
      <c r="D91" s="173"/>
      <c r="E91" s="173"/>
      <c r="F91" s="174"/>
    </row>
    <row r="92" spans="1:6" ht="20.100000000000001" customHeight="1" x14ac:dyDescent="0.25">
      <c r="A92" s="176" t="s">
        <v>115</v>
      </c>
      <c r="B92" s="209"/>
      <c r="C92" s="210"/>
      <c r="D92" s="210"/>
      <c r="E92" s="210"/>
      <c r="F92" s="211"/>
    </row>
    <row r="93" spans="1:6" ht="20.100000000000001" customHeight="1" x14ac:dyDescent="0.25">
      <c r="A93" s="157" t="s">
        <v>79</v>
      </c>
      <c r="B93" s="202">
        <v>107.81</v>
      </c>
      <c r="C93" s="218">
        <v>108.06</v>
      </c>
      <c r="D93" s="159">
        <v>105.41</v>
      </c>
      <c r="E93" s="159">
        <v>104.54</v>
      </c>
      <c r="F93" s="160">
        <v>104.28</v>
      </c>
    </row>
    <row r="94" spans="1:6" ht="20.100000000000001" customHeight="1" x14ac:dyDescent="0.25">
      <c r="A94" s="190" t="s">
        <v>80</v>
      </c>
      <c r="B94" s="175">
        <v>107.87</v>
      </c>
      <c r="C94" s="173">
        <v>107.87</v>
      </c>
      <c r="D94" s="173">
        <v>105.42</v>
      </c>
      <c r="E94" s="173">
        <v>104.44</v>
      </c>
      <c r="F94" s="174">
        <v>104.28</v>
      </c>
    </row>
    <row r="95" spans="1:6" ht="20.100000000000001" customHeight="1" x14ac:dyDescent="0.25">
      <c r="A95" s="166" t="s">
        <v>116</v>
      </c>
      <c r="B95" s="204"/>
      <c r="C95" s="205"/>
      <c r="D95" s="205"/>
      <c r="E95" s="205"/>
      <c r="F95" s="206"/>
    </row>
    <row r="96" spans="1:6" ht="20.100000000000001" customHeight="1" x14ac:dyDescent="0.25">
      <c r="A96" s="157" t="s">
        <v>117</v>
      </c>
      <c r="B96" s="158">
        <v>107.57</v>
      </c>
      <c r="C96" s="159">
        <v>108.01</v>
      </c>
      <c r="D96" s="159">
        <v>104.64</v>
      </c>
      <c r="E96" s="159">
        <v>104</v>
      </c>
      <c r="F96" s="160">
        <v>104</v>
      </c>
    </row>
    <row r="97" spans="1:6" ht="20.100000000000001" customHeight="1" x14ac:dyDescent="0.25">
      <c r="A97" s="161" t="s">
        <v>118</v>
      </c>
      <c r="B97" s="162">
        <v>107.85</v>
      </c>
      <c r="C97" s="163">
        <v>107.81</v>
      </c>
      <c r="D97" s="163">
        <v>104.42</v>
      </c>
      <c r="E97" s="163">
        <v>103.64</v>
      </c>
      <c r="F97" s="164">
        <v>103.74</v>
      </c>
    </row>
    <row r="98" spans="1:6" ht="20.100000000000001" customHeight="1" x14ac:dyDescent="0.25">
      <c r="A98" s="157" t="s">
        <v>119</v>
      </c>
      <c r="B98" s="158">
        <v>110.24</v>
      </c>
      <c r="C98" s="159">
        <v>112.03</v>
      </c>
      <c r="D98" s="159">
        <v>106.94</v>
      </c>
      <c r="E98" s="159">
        <v>104.81</v>
      </c>
      <c r="F98" s="160">
        <v>104</v>
      </c>
    </row>
    <row r="99" spans="1:6" ht="20.100000000000001" customHeight="1" thickBot="1" x14ac:dyDescent="0.3">
      <c r="A99" s="182" t="s">
        <v>120</v>
      </c>
      <c r="B99" s="183">
        <v>109.97</v>
      </c>
      <c r="C99" s="184">
        <v>112.03</v>
      </c>
      <c r="D99" s="184">
        <v>106.94</v>
      </c>
      <c r="E99" s="184">
        <v>104.95</v>
      </c>
      <c r="F99" s="185">
        <v>104.61</v>
      </c>
    </row>
    <row r="100" spans="1:6" ht="15" customHeight="1" x14ac:dyDescent="0.25">
      <c r="A100" s="212" t="s">
        <v>121</v>
      </c>
      <c r="B100" s="213"/>
      <c r="C100" s="213"/>
      <c r="D100" s="213"/>
      <c r="E100" s="213"/>
      <c r="F100" s="213"/>
    </row>
    <row r="101" spans="1:6" ht="14.25" customHeight="1" x14ac:dyDescent="0.25">
      <c r="A101" s="214" t="s">
        <v>122</v>
      </c>
      <c r="B101" s="215"/>
      <c r="C101" s="215"/>
      <c r="D101" s="215"/>
      <c r="E101" s="215"/>
      <c r="F101" s="215"/>
    </row>
    <row r="102" spans="1:6" ht="27" customHeight="1" x14ac:dyDescent="0.25">
      <c r="A102" s="465" t="s">
        <v>123</v>
      </c>
      <c r="B102" s="466"/>
      <c r="C102" s="466"/>
      <c r="D102" s="466"/>
      <c r="E102" s="466"/>
      <c r="F102" s="466"/>
    </row>
    <row r="103" spans="1:6" ht="15.75" x14ac:dyDescent="0.25">
      <c r="A103" s="212" t="s">
        <v>124</v>
      </c>
      <c r="B103" s="216"/>
      <c r="C103" s="216"/>
      <c r="D103" s="216"/>
      <c r="E103" s="216"/>
      <c r="F103" s="216"/>
    </row>
    <row r="104" spans="1:6" ht="15.75" x14ac:dyDescent="0.25">
      <c r="A104" s="212" t="s">
        <v>125</v>
      </c>
      <c r="B104" s="216"/>
      <c r="C104" s="216"/>
      <c r="D104" s="216"/>
      <c r="E104" s="216"/>
      <c r="F104" s="216"/>
    </row>
    <row r="105" spans="1:6" ht="15.75" x14ac:dyDescent="0.25">
      <c r="A105" s="212" t="s">
        <v>126</v>
      </c>
      <c r="B105" s="217"/>
      <c r="C105" s="217"/>
      <c r="D105" s="217"/>
      <c r="E105" s="217"/>
      <c r="F105" s="217"/>
    </row>
    <row r="106" spans="1:6" ht="15" customHeight="1" x14ac:dyDescent="0.25">
      <c r="A106" s="212" t="s">
        <v>127</v>
      </c>
      <c r="B106" s="215"/>
      <c r="C106" s="215"/>
      <c r="D106" s="215"/>
      <c r="E106" s="215"/>
      <c r="F106" s="215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362" t="s">
        <v>21</v>
      </c>
      <c r="E2" s="363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381">
        <f>676.624</f>
        <v>676.62400000000002</v>
      </c>
      <c r="E4" s="382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381">
        <v>295.15199999999999</v>
      </c>
      <c r="E5" s="382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381">
        <v>284.85599999999999</v>
      </c>
      <c r="E6" s="382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381">
        <v>103.27200000000001</v>
      </c>
      <c r="E7" s="382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381">
        <v>66.872</v>
      </c>
      <c r="E8" s="382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381">
        <v>233.27199999999999</v>
      </c>
      <c r="E9" s="382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383">
        <v>4.3680000000000003</v>
      </c>
      <c r="E10" s="384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385" t="s">
        <v>31</v>
      </c>
      <c r="E11" s="386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387" t="s">
        <v>30</v>
      </c>
      <c r="E12" s="388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389">
        <f>47.6596*100</f>
        <v>4765.96</v>
      </c>
      <c r="E13" s="390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9:E9"/>
    <mergeCell ref="D10:E10"/>
    <mergeCell ref="D11:E11"/>
    <mergeCell ref="D12:E12"/>
    <mergeCell ref="D13:E13"/>
    <mergeCell ref="D7:E7"/>
    <mergeCell ref="D8:E8"/>
    <mergeCell ref="D5:E5"/>
    <mergeCell ref="D2:E2"/>
    <mergeCell ref="D3:E3"/>
    <mergeCell ref="D4:E4"/>
    <mergeCell ref="D6:E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7B90-998C-4211-A714-533D8F157D3E}">
  <sheetPr>
    <tabColor rgb="FFFF0000"/>
  </sheetPr>
  <dimension ref="A1:BZ31"/>
  <sheetViews>
    <sheetView zoomScale="80" zoomScaleNormal="80" workbookViewId="0">
      <selection activeCell="N22" sqref="N22"/>
    </sheetView>
  </sheetViews>
  <sheetFormatPr defaultRowHeight="15" x14ac:dyDescent="0.25"/>
  <cols>
    <col min="1" max="1" width="7.5703125" style="306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6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  <col min="16" max="16" width="3.140625" style="306" customWidth="1"/>
    <col min="17" max="17" width="34" customWidth="1"/>
    <col min="18" max="18" width="11.5703125" customWidth="1"/>
    <col min="19" max="19" width="8.5703125" customWidth="1"/>
    <col min="20" max="20" width="9.42578125" customWidth="1"/>
    <col min="21" max="21" width="22.28515625" customWidth="1"/>
    <col min="23" max="23" width="12" bestFit="1" customWidth="1"/>
  </cols>
  <sheetData>
    <row r="1" spans="1:78" ht="51.75" customHeight="1" thickBot="1" x14ac:dyDescent="0.3">
      <c r="A1" s="410" t="s">
        <v>193</v>
      </c>
      <c r="B1" s="411"/>
      <c r="C1" s="411"/>
      <c r="D1" s="411"/>
      <c r="E1" s="411"/>
      <c r="F1" s="412"/>
      <c r="G1" s="321"/>
      <c r="I1" s="327"/>
      <c r="J1" s="411" t="s">
        <v>198</v>
      </c>
      <c r="K1" s="411"/>
      <c r="L1" s="411"/>
      <c r="M1" s="411"/>
      <c r="N1" s="412"/>
      <c r="P1" s="327"/>
      <c r="Q1" s="411" t="s">
        <v>200</v>
      </c>
      <c r="R1" s="411"/>
      <c r="S1" s="411"/>
      <c r="T1" s="411"/>
      <c r="U1" s="412"/>
    </row>
    <row r="2" spans="1:78" ht="27.75" customHeight="1" thickBot="1" x14ac:dyDescent="0.3">
      <c r="A2" s="296" t="s">
        <v>58</v>
      </c>
      <c r="B2" s="55" t="s">
        <v>69</v>
      </c>
      <c r="C2" s="314" t="s">
        <v>18</v>
      </c>
      <c r="D2" s="362" t="s">
        <v>21</v>
      </c>
      <c r="E2" s="363"/>
      <c r="F2" s="57" t="s">
        <v>32</v>
      </c>
      <c r="I2" s="296" t="s">
        <v>58</v>
      </c>
      <c r="J2" s="55" t="s">
        <v>69</v>
      </c>
      <c r="K2" s="314" t="s">
        <v>18</v>
      </c>
      <c r="L2" s="362" t="s">
        <v>21</v>
      </c>
      <c r="M2" s="363"/>
      <c r="N2" s="57" t="s">
        <v>32</v>
      </c>
      <c r="P2" s="296" t="s">
        <v>58</v>
      </c>
      <c r="Q2" s="55" t="s">
        <v>69</v>
      </c>
      <c r="R2" s="314" t="s">
        <v>18</v>
      </c>
      <c r="S2" s="362" t="s">
        <v>21</v>
      </c>
      <c r="T2" s="363"/>
      <c r="U2" s="57" t="s">
        <v>32</v>
      </c>
    </row>
    <row r="3" spans="1:78" x14ac:dyDescent="0.25">
      <c r="A3" s="297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v>10022991.91</v>
      </c>
      <c r="I3" s="297">
        <v>1</v>
      </c>
      <c r="J3" s="84" t="s">
        <v>0</v>
      </c>
      <c r="K3" s="85" t="s">
        <v>19</v>
      </c>
      <c r="L3" s="364">
        <f>404.352+9.256</f>
        <v>413.60799999999995</v>
      </c>
      <c r="M3" s="365"/>
      <c r="N3" s="86">
        <v>10022991.91</v>
      </c>
      <c r="P3" s="297">
        <v>1</v>
      </c>
      <c r="Q3" s="366" t="s">
        <v>47</v>
      </c>
      <c r="R3" s="407" t="s">
        <v>19</v>
      </c>
      <c r="S3" s="375">
        <v>2078.02</v>
      </c>
      <c r="T3" s="376"/>
      <c r="U3" s="404">
        <v>162211085.97999999</v>
      </c>
    </row>
    <row r="4" spans="1:78" ht="30" x14ac:dyDescent="0.25">
      <c r="A4" s="298">
        <v>2</v>
      </c>
      <c r="B4" s="87" t="s">
        <v>154</v>
      </c>
      <c r="C4" s="88" t="s">
        <v>19</v>
      </c>
      <c r="D4" s="364">
        <f>676.624+295.152</f>
        <v>971.77600000000007</v>
      </c>
      <c r="E4" s="365"/>
      <c r="F4" s="89">
        <f>28449520.75+12410042.86</f>
        <v>40859563.609999999</v>
      </c>
      <c r="I4" s="298">
        <v>2</v>
      </c>
      <c r="J4" s="87" t="s">
        <v>154</v>
      </c>
      <c r="K4" s="88" t="s">
        <v>19</v>
      </c>
      <c r="L4" s="364">
        <f>676.624+295.152</f>
        <v>971.77600000000007</v>
      </c>
      <c r="M4" s="365"/>
      <c r="N4" s="89">
        <f>28449520.75+12410042.86</f>
        <v>40859563.609999999</v>
      </c>
      <c r="P4" s="298">
        <v>2</v>
      </c>
      <c r="Q4" s="367"/>
      <c r="R4" s="408"/>
      <c r="S4" s="377"/>
      <c r="T4" s="378"/>
      <c r="U4" s="405"/>
    </row>
    <row r="5" spans="1:78" ht="30" x14ac:dyDescent="0.25">
      <c r="A5" s="298">
        <v>3</v>
      </c>
      <c r="B5" s="87" t="s">
        <v>8</v>
      </c>
      <c r="C5" s="88" t="s">
        <v>19</v>
      </c>
      <c r="D5" s="381">
        <v>284.85599999999999</v>
      </c>
      <c r="E5" s="382"/>
      <c r="F5" s="89">
        <v>29847559.98</v>
      </c>
      <c r="I5" s="298">
        <v>3</v>
      </c>
      <c r="J5" s="87" t="s">
        <v>8</v>
      </c>
      <c r="K5" s="88" t="s">
        <v>19</v>
      </c>
      <c r="L5" s="381">
        <v>284.85599999999999</v>
      </c>
      <c r="M5" s="382"/>
      <c r="N5" s="89">
        <v>29847559.98</v>
      </c>
      <c r="P5" s="298">
        <v>3</v>
      </c>
      <c r="Q5" s="367"/>
      <c r="R5" s="408"/>
      <c r="S5" s="377"/>
      <c r="T5" s="378"/>
      <c r="U5" s="405"/>
    </row>
    <row r="6" spans="1:78" x14ac:dyDescent="0.25">
      <c r="A6" s="298">
        <v>4</v>
      </c>
      <c r="B6" s="87" t="s">
        <v>1</v>
      </c>
      <c r="C6" s="88" t="s">
        <v>19</v>
      </c>
      <c r="D6" s="381">
        <v>103.27200000000001</v>
      </c>
      <c r="E6" s="382"/>
      <c r="F6" s="89">
        <v>6218924.8699999992</v>
      </c>
      <c r="I6" s="298">
        <v>4</v>
      </c>
      <c r="J6" s="87" t="s">
        <v>1</v>
      </c>
      <c r="K6" s="88" t="s">
        <v>19</v>
      </c>
      <c r="L6" s="381">
        <v>103.27200000000001</v>
      </c>
      <c r="M6" s="382"/>
      <c r="N6" s="89">
        <v>6218924.8699999992</v>
      </c>
      <c r="P6" s="298">
        <v>4</v>
      </c>
      <c r="Q6" s="367"/>
      <c r="R6" s="408"/>
      <c r="S6" s="377"/>
      <c r="T6" s="378"/>
      <c r="U6" s="405"/>
    </row>
    <row r="7" spans="1:78" x14ac:dyDescent="0.25">
      <c r="A7" s="298">
        <v>5</v>
      </c>
      <c r="B7" s="87" t="s">
        <v>2</v>
      </c>
      <c r="C7" s="88" t="s">
        <v>19</v>
      </c>
      <c r="D7" s="381">
        <v>66.872</v>
      </c>
      <c r="E7" s="382"/>
      <c r="F7" s="89">
        <v>4525782.0099999988</v>
      </c>
      <c r="I7" s="298">
        <v>5</v>
      </c>
      <c r="J7" s="87" t="s">
        <v>2</v>
      </c>
      <c r="K7" s="88" t="s">
        <v>19</v>
      </c>
      <c r="L7" s="381">
        <v>66.872</v>
      </c>
      <c r="M7" s="382"/>
      <c r="N7" s="89">
        <v>4525782.0099999988</v>
      </c>
      <c r="P7" s="298">
        <v>5</v>
      </c>
      <c r="Q7" s="367"/>
      <c r="R7" s="408"/>
      <c r="S7" s="377"/>
      <c r="T7" s="378"/>
      <c r="U7" s="405"/>
    </row>
    <row r="8" spans="1:78" x14ac:dyDescent="0.25">
      <c r="A8" s="298">
        <v>6</v>
      </c>
      <c r="B8" s="87" t="s">
        <v>3</v>
      </c>
      <c r="C8" s="88" t="s">
        <v>19</v>
      </c>
      <c r="D8" s="381">
        <v>233.27199999999999</v>
      </c>
      <c r="E8" s="382"/>
      <c r="F8" s="89">
        <v>17401032.069999997</v>
      </c>
      <c r="I8" s="298">
        <v>6</v>
      </c>
      <c r="J8" s="87" t="s">
        <v>3</v>
      </c>
      <c r="K8" s="88" t="s">
        <v>19</v>
      </c>
      <c r="L8" s="381">
        <v>233.27199999999999</v>
      </c>
      <c r="M8" s="382"/>
      <c r="N8" s="89">
        <v>17401032.069999997</v>
      </c>
      <c r="P8" s="298">
        <v>6</v>
      </c>
      <c r="Q8" s="367"/>
      <c r="R8" s="408"/>
      <c r="S8" s="377"/>
      <c r="T8" s="378"/>
      <c r="U8" s="405"/>
    </row>
    <row r="9" spans="1:78" ht="15.75" thickBot="1" x14ac:dyDescent="0.3">
      <c r="A9" s="299">
        <v>7</v>
      </c>
      <c r="B9" s="90" t="s">
        <v>4</v>
      </c>
      <c r="C9" s="91" t="s">
        <v>19</v>
      </c>
      <c r="D9" s="383">
        <v>4.3680000000000003</v>
      </c>
      <c r="E9" s="384"/>
      <c r="F9" s="92">
        <v>714028.58000000007</v>
      </c>
      <c r="I9" s="299">
        <v>7</v>
      </c>
      <c r="J9" s="90" t="s">
        <v>4</v>
      </c>
      <c r="K9" s="91" t="s">
        <v>19</v>
      </c>
      <c r="L9" s="383">
        <v>4.3680000000000003</v>
      </c>
      <c r="M9" s="384"/>
      <c r="N9" s="92">
        <v>714028.58000000007</v>
      </c>
      <c r="P9" s="299">
        <v>7</v>
      </c>
      <c r="Q9" s="368"/>
      <c r="R9" s="409"/>
      <c r="S9" s="379"/>
      <c r="T9" s="380"/>
      <c r="U9" s="406"/>
    </row>
    <row r="10" spans="1:78" s="311" customFormat="1" ht="27" customHeight="1" thickTop="1" x14ac:dyDescent="0.25">
      <c r="A10" s="309">
        <v>8</v>
      </c>
      <c r="B10" s="310" t="s">
        <v>182</v>
      </c>
      <c r="C10" s="42" t="s">
        <v>29</v>
      </c>
      <c r="D10" s="396" t="s">
        <v>157</v>
      </c>
      <c r="E10" s="397"/>
      <c r="F10" s="43">
        <v>3704032.4099999992</v>
      </c>
      <c r="G10" s="25"/>
      <c r="H10"/>
      <c r="I10" s="309">
        <v>8</v>
      </c>
      <c r="J10" s="310" t="s">
        <v>182</v>
      </c>
      <c r="K10" s="42" t="s">
        <v>29</v>
      </c>
      <c r="L10" s="398" t="s">
        <v>180</v>
      </c>
      <c r="M10" s="399"/>
      <c r="N10" s="43">
        <v>3704032.4099999992</v>
      </c>
      <c r="P10" s="309">
        <v>8</v>
      </c>
      <c r="Q10" s="310" t="s">
        <v>182</v>
      </c>
      <c r="R10" s="42" t="s">
        <v>29</v>
      </c>
      <c r="S10" s="398" t="s">
        <v>180</v>
      </c>
      <c r="T10" s="399"/>
      <c r="U10" s="43">
        <v>3704032.4099999992</v>
      </c>
    </row>
    <row r="11" spans="1:78" s="311" customFormat="1" ht="24.75" customHeight="1" x14ac:dyDescent="0.25">
      <c r="A11" s="312">
        <v>9</v>
      </c>
      <c r="B11" s="313" t="s">
        <v>28</v>
      </c>
      <c r="C11" s="40" t="s">
        <v>29</v>
      </c>
      <c r="D11" s="400" t="s">
        <v>158</v>
      </c>
      <c r="E11" s="401"/>
      <c r="F11" s="29">
        <v>15227354.290000003</v>
      </c>
      <c r="G11"/>
      <c r="H11"/>
      <c r="I11" s="312">
        <v>9</v>
      </c>
      <c r="J11" s="313" t="s">
        <v>28</v>
      </c>
      <c r="K11" s="40" t="s">
        <v>29</v>
      </c>
      <c r="L11" s="402" t="s">
        <v>181</v>
      </c>
      <c r="M11" s="403"/>
      <c r="N11" s="29">
        <v>15227354.290000003</v>
      </c>
      <c r="P11" s="312">
        <v>9</v>
      </c>
      <c r="Q11" s="313" t="s">
        <v>28</v>
      </c>
      <c r="R11" s="40" t="s">
        <v>29</v>
      </c>
      <c r="S11" s="402" t="s">
        <v>181</v>
      </c>
      <c r="T11" s="403"/>
      <c r="U11" s="29">
        <v>15227354.290000003</v>
      </c>
    </row>
    <row r="12" spans="1:78" s="290" customFormat="1" ht="25.5" customHeight="1" thickBot="1" x14ac:dyDescent="0.3">
      <c r="A12" s="300">
        <v>10</v>
      </c>
      <c r="B12" s="288" t="s">
        <v>17</v>
      </c>
      <c r="C12" s="289" t="s">
        <v>20</v>
      </c>
      <c r="D12" s="391">
        <f>47.6596*100</f>
        <v>4765.96</v>
      </c>
      <c r="E12" s="392"/>
      <c r="F12" s="33">
        <v>1105733.3899999999</v>
      </c>
      <c r="G12"/>
      <c r="H12"/>
      <c r="I12" s="300">
        <v>10</v>
      </c>
      <c r="J12" s="288" t="s">
        <v>17</v>
      </c>
      <c r="K12" s="289" t="s">
        <v>20</v>
      </c>
      <c r="L12" s="391">
        <v>4765.96</v>
      </c>
      <c r="M12" s="392"/>
      <c r="N12" s="33">
        <v>1105733.3899999999</v>
      </c>
      <c r="O12"/>
      <c r="P12" s="300">
        <v>10</v>
      </c>
      <c r="Q12" s="288" t="s">
        <v>17</v>
      </c>
      <c r="R12" s="289" t="s">
        <v>20</v>
      </c>
      <c r="S12" s="391">
        <v>4765.96</v>
      </c>
      <c r="T12" s="392"/>
      <c r="U12" s="33">
        <v>1105733.3899999999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ht="16.5" thickTop="1" thickBot="1" x14ac:dyDescent="0.3">
      <c r="A13" s="301">
        <v>11</v>
      </c>
      <c r="B13" s="59" t="s">
        <v>22</v>
      </c>
      <c r="C13" s="60"/>
      <c r="D13" s="269">
        <f>SUM(D3:E9)</f>
        <v>2078.0239999999999</v>
      </c>
      <c r="E13" s="62" t="s">
        <v>19</v>
      </c>
      <c r="F13" s="63">
        <f>SUM(F3:F12)</f>
        <v>129627003.12</v>
      </c>
      <c r="I13" s="301">
        <v>11</v>
      </c>
      <c r="J13" s="59" t="s">
        <v>22</v>
      </c>
      <c r="K13" s="60"/>
      <c r="L13" s="269">
        <v>2078.0239999999999</v>
      </c>
      <c r="M13" s="331" t="s">
        <v>19</v>
      </c>
      <c r="N13" s="63">
        <f>SUM(N3:N12)</f>
        <v>129627003.12</v>
      </c>
      <c r="P13" s="301">
        <v>11</v>
      </c>
      <c r="Q13" s="59" t="s">
        <v>22</v>
      </c>
      <c r="R13" s="60"/>
      <c r="S13" s="269">
        <v>2078.0239999999999</v>
      </c>
      <c r="T13" s="331" t="s">
        <v>19</v>
      </c>
      <c r="U13" s="63">
        <f>SUM(U3:U12)</f>
        <v>182248206.06999996</v>
      </c>
    </row>
    <row r="14" spans="1:78" ht="30.75" thickBot="1" x14ac:dyDescent="0.3">
      <c r="A14" s="302">
        <v>12</v>
      </c>
      <c r="B14" s="58" t="s">
        <v>196</v>
      </c>
      <c r="C14" s="41"/>
      <c r="D14" s="45"/>
      <c r="E14" s="46"/>
      <c r="F14" s="315"/>
      <c r="I14" s="302">
        <v>12</v>
      </c>
      <c r="J14" s="58" t="s">
        <v>188</v>
      </c>
      <c r="K14" s="41"/>
      <c r="L14" s="332"/>
      <c r="M14" s="333"/>
      <c r="N14" s="323" t="s">
        <v>191</v>
      </c>
      <c r="P14" s="302">
        <v>12</v>
      </c>
      <c r="Q14" s="58" t="s">
        <v>196</v>
      </c>
      <c r="R14" s="41"/>
      <c r="S14" s="332"/>
      <c r="T14" s="333"/>
      <c r="U14" s="323">
        <v>3827212.36</v>
      </c>
    </row>
    <row r="15" spans="1:78" ht="50.25" customHeight="1" thickBot="1" x14ac:dyDescent="0.3">
      <c r="A15" s="301">
        <v>13</v>
      </c>
      <c r="B15" s="59" t="s">
        <v>199</v>
      </c>
      <c r="C15" s="60"/>
      <c r="D15" s="45"/>
      <c r="E15" s="62"/>
      <c r="F15" s="286"/>
      <c r="I15" s="301">
        <v>13</v>
      </c>
      <c r="J15" s="59" t="s">
        <v>199</v>
      </c>
      <c r="K15" s="60"/>
      <c r="L15" s="45"/>
      <c r="M15" s="331"/>
      <c r="N15" s="286">
        <f>2220749.32/1.2*4</f>
        <v>7402497.7333333334</v>
      </c>
      <c r="P15" s="301">
        <v>13</v>
      </c>
      <c r="Q15" s="59" t="s">
        <v>199</v>
      </c>
      <c r="R15" s="60"/>
      <c r="S15" s="45"/>
      <c r="T15" s="331"/>
      <c r="U15" s="286">
        <f>2220749.32/1.2*4</f>
        <v>7402497.7333333334</v>
      </c>
    </row>
    <row r="16" spans="1:78" ht="28.5" customHeight="1" thickBot="1" x14ac:dyDescent="0.3">
      <c r="A16" s="301">
        <v>14</v>
      </c>
      <c r="B16" s="59" t="s">
        <v>22</v>
      </c>
      <c r="C16" s="60"/>
      <c r="D16" s="45"/>
      <c r="E16" s="62"/>
      <c r="F16" s="63">
        <f>F13+F14+F15</f>
        <v>129627003.12</v>
      </c>
      <c r="I16" s="301">
        <v>14</v>
      </c>
      <c r="J16" s="59" t="s">
        <v>22</v>
      </c>
      <c r="K16" s="60"/>
      <c r="L16" s="45"/>
      <c r="M16" s="331"/>
      <c r="N16" s="63">
        <v>140407250.5</v>
      </c>
      <c r="P16" s="301">
        <v>14</v>
      </c>
      <c r="Q16" s="59" t="s">
        <v>22</v>
      </c>
      <c r="R16" s="60"/>
      <c r="S16" s="45"/>
      <c r="T16" s="331"/>
      <c r="U16" s="63">
        <f>U13+U14+U15</f>
        <v>193477916.1633333</v>
      </c>
    </row>
    <row r="17" spans="1:22" ht="34.5" customHeight="1" thickBot="1" x14ac:dyDescent="0.3">
      <c r="A17" s="302">
        <v>15</v>
      </c>
      <c r="B17" s="58" t="s">
        <v>23</v>
      </c>
      <c r="C17" s="41"/>
      <c r="D17" s="45"/>
      <c r="E17" s="46"/>
      <c r="F17" s="271">
        <f>F16*0.03</f>
        <v>3888810.0935999998</v>
      </c>
      <c r="I17" s="302">
        <v>15</v>
      </c>
      <c r="J17" s="58" t="s">
        <v>23</v>
      </c>
      <c r="K17" s="41"/>
      <c r="L17" s="45"/>
      <c r="M17" s="334"/>
      <c r="N17" s="271">
        <f>N16*0.03</f>
        <v>4212217.5149999997</v>
      </c>
      <c r="P17" s="302">
        <v>15</v>
      </c>
      <c r="Q17" s="58" t="s">
        <v>23</v>
      </c>
      <c r="R17" s="41"/>
      <c r="S17" s="45"/>
      <c r="T17" s="334"/>
      <c r="U17" s="271">
        <f>U16*0.03</f>
        <v>5804337.4848999986</v>
      </c>
    </row>
    <row r="18" spans="1:22" ht="28.5" customHeight="1" thickBot="1" x14ac:dyDescent="0.3">
      <c r="A18" s="302">
        <v>16</v>
      </c>
      <c r="B18" s="58" t="s">
        <v>36</v>
      </c>
      <c r="C18" s="41"/>
      <c r="D18" s="45"/>
      <c r="E18" s="46"/>
      <c r="F18" s="47">
        <f>F16+F17</f>
        <v>133515813.21360001</v>
      </c>
      <c r="I18" s="302">
        <v>16</v>
      </c>
      <c r="J18" s="264" t="s">
        <v>36</v>
      </c>
      <c r="K18" s="265"/>
      <c r="L18" s="266"/>
      <c r="M18" s="335"/>
      <c r="N18" s="47">
        <f>N16+N17</f>
        <v>144619468.01499999</v>
      </c>
      <c r="P18" s="302">
        <v>16</v>
      </c>
      <c r="Q18" s="264" t="s">
        <v>36</v>
      </c>
      <c r="R18" s="265"/>
      <c r="S18" s="266"/>
      <c r="T18" s="335"/>
      <c r="U18" s="47">
        <f>U16+U17</f>
        <v>199282253.64823329</v>
      </c>
    </row>
    <row r="19" spans="1:22" ht="50.25" customHeight="1" thickBot="1" x14ac:dyDescent="0.3">
      <c r="A19" s="329">
        <v>17</v>
      </c>
      <c r="B19" s="58" t="s">
        <v>194</v>
      </c>
      <c r="C19" s="41"/>
      <c r="D19" s="45"/>
      <c r="E19" s="46"/>
      <c r="F19" s="47"/>
      <c r="I19" s="329">
        <v>17</v>
      </c>
      <c r="J19" s="281" t="s">
        <v>195</v>
      </c>
      <c r="K19" s="282">
        <v>1.0329999999999999</v>
      </c>
      <c r="L19" s="337"/>
      <c r="M19" s="338"/>
      <c r="N19" s="47">
        <f>N18*1.033</f>
        <v>149391910.45949498</v>
      </c>
      <c r="P19" s="329">
        <v>17</v>
      </c>
      <c r="Q19" s="281" t="s">
        <v>195</v>
      </c>
      <c r="R19" s="282">
        <v>1.0329999999999999</v>
      </c>
      <c r="S19" s="337"/>
      <c r="T19" s="338"/>
      <c r="U19" s="47">
        <f>U18*1.033</f>
        <v>205858568.01862499</v>
      </c>
    </row>
    <row r="20" spans="1:22" ht="30.75" customHeight="1" thickBot="1" x14ac:dyDescent="0.3">
      <c r="A20" s="305">
        <v>18</v>
      </c>
      <c r="B20" s="64" t="s">
        <v>190</v>
      </c>
      <c r="C20" s="48"/>
      <c r="D20" s="65"/>
      <c r="E20" s="44"/>
      <c r="F20" s="66">
        <v>174949743.41</v>
      </c>
      <c r="I20" s="305">
        <v>18</v>
      </c>
      <c r="J20" s="64" t="s">
        <v>190</v>
      </c>
      <c r="K20" s="48"/>
      <c r="L20" s="393"/>
      <c r="M20" s="394"/>
      <c r="N20" s="66">
        <v>174454214.74000001</v>
      </c>
      <c r="P20" s="305">
        <v>18</v>
      </c>
      <c r="Q20" s="64" t="s">
        <v>201</v>
      </c>
      <c r="R20" s="48"/>
      <c r="S20" s="393"/>
      <c r="T20" s="394"/>
      <c r="U20" s="66">
        <v>182677644.00999999</v>
      </c>
    </row>
    <row r="21" spans="1:22" ht="25.5" customHeight="1" thickBot="1" x14ac:dyDescent="0.3">
      <c r="A21" s="302">
        <v>19</v>
      </c>
      <c r="B21" s="58" t="s">
        <v>33</v>
      </c>
      <c r="C21" s="41"/>
      <c r="D21" s="45"/>
      <c r="E21" s="46"/>
      <c r="F21" s="47">
        <f>F20*0.2</f>
        <v>34989948.682000004</v>
      </c>
      <c r="G21" s="319" t="s">
        <v>189</v>
      </c>
      <c r="I21" s="302">
        <v>19</v>
      </c>
      <c r="J21" s="58" t="s">
        <v>33</v>
      </c>
      <c r="K21" s="41"/>
      <c r="L21" s="45"/>
      <c r="M21" s="334"/>
      <c r="N21" s="47">
        <f>N20*0.2</f>
        <v>34890842.948000006</v>
      </c>
      <c r="P21" s="302">
        <v>19</v>
      </c>
      <c r="Q21" s="58" t="s">
        <v>33</v>
      </c>
      <c r="R21" s="41"/>
      <c r="S21" s="45"/>
      <c r="T21" s="334"/>
      <c r="U21" s="47">
        <f>U20*0.2</f>
        <v>36535528.802000001</v>
      </c>
    </row>
    <row r="22" spans="1:22" ht="15.75" thickBot="1" x14ac:dyDescent="0.3">
      <c r="A22" s="301">
        <v>20</v>
      </c>
      <c r="B22" s="59" t="s">
        <v>34</v>
      </c>
      <c r="C22" s="60"/>
      <c r="D22" s="61"/>
      <c r="E22" s="62"/>
      <c r="F22" s="107">
        <f>F20+F21</f>
        <v>209939692.09200001</v>
      </c>
      <c r="G22" s="320">
        <f>191651022.492*1.15</f>
        <v>220398675.86579999</v>
      </c>
      <c r="I22" s="301">
        <v>20</v>
      </c>
      <c r="J22" s="59" t="s">
        <v>34</v>
      </c>
      <c r="K22" s="60"/>
      <c r="L22" s="61"/>
      <c r="M22" s="331"/>
      <c r="N22" s="107">
        <f>N20+N21</f>
        <v>209345057.68800002</v>
      </c>
      <c r="P22" s="301">
        <v>20</v>
      </c>
      <c r="Q22" s="59" t="s">
        <v>34</v>
      </c>
      <c r="R22" s="60"/>
      <c r="S22" s="61"/>
      <c r="T22" s="331"/>
      <c r="U22" s="107">
        <f>U20+U21</f>
        <v>219213172.81199998</v>
      </c>
      <c r="V22" t="s">
        <v>202</v>
      </c>
    </row>
    <row r="24" spans="1:22" ht="44.25" customHeight="1" x14ac:dyDescent="0.25">
      <c r="A24" s="35" t="s">
        <v>205</v>
      </c>
      <c r="B24" s="336" t="s">
        <v>203</v>
      </c>
      <c r="C24" s="336">
        <f>(25.493+56.46)*10</f>
        <v>819.53</v>
      </c>
      <c r="D24" s="336"/>
      <c r="E24" s="307"/>
      <c r="F24" s="270">
        <v>13705910.09</v>
      </c>
      <c r="G24" s="270"/>
      <c r="H24" s="270"/>
      <c r="I24"/>
      <c r="J24" s="336"/>
      <c r="K24" s="336"/>
      <c r="L24" s="307"/>
      <c r="M24" s="307"/>
      <c r="N24" s="270"/>
      <c r="P24"/>
      <c r="Q24" s="336"/>
      <c r="R24" s="336"/>
      <c r="S24" s="307"/>
      <c r="T24" s="307"/>
      <c r="U24" s="270"/>
    </row>
    <row r="25" spans="1:22" ht="44.25" customHeight="1" x14ac:dyDescent="0.25">
      <c r="A25" s="35" t="s">
        <v>205</v>
      </c>
      <c r="B25" s="336" t="s">
        <v>204</v>
      </c>
      <c r="C25" s="336">
        <f>53.09+234.08</f>
        <v>287.17</v>
      </c>
      <c r="D25" s="336"/>
      <c r="E25" s="307"/>
      <c r="F25" s="270">
        <v>2462459.88</v>
      </c>
      <c r="G25" s="270"/>
      <c r="H25" s="270"/>
      <c r="I25"/>
      <c r="J25" s="336"/>
      <c r="K25" s="336"/>
      <c r="L25" s="307"/>
      <c r="M25" s="307"/>
      <c r="N25" s="270"/>
      <c r="P25"/>
      <c r="Q25" s="336"/>
      <c r="R25" s="336"/>
      <c r="S25" s="307"/>
      <c r="T25" s="307"/>
      <c r="U25" s="270"/>
    </row>
    <row r="26" spans="1:22" ht="23.25" customHeight="1" x14ac:dyDescent="0.25">
      <c r="A26"/>
      <c r="B26" s="336"/>
      <c r="C26" s="336"/>
      <c r="D26" s="336"/>
      <c r="E26" s="307"/>
      <c r="F26" s="330">
        <f>F22+F24+F25</f>
        <v>226108062.06200001</v>
      </c>
      <c r="G26" s="270"/>
      <c r="H26" s="270"/>
      <c r="I26"/>
      <c r="J26" s="336"/>
      <c r="K26" s="336"/>
      <c r="L26" s="307"/>
      <c r="M26" s="307"/>
      <c r="N26" s="270"/>
      <c r="P26"/>
      <c r="Q26" s="336"/>
      <c r="R26" s="336"/>
      <c r="S26" s="307"/>
      <c r="T26" s="307"/>
      <c r="U26" s="270"/>
    </row>
    <row r="27" spans="1:22" ht="44.25" customHeight="1" x14ac:dyDescent="0.25">
      <c r="A27"/>
      <c r="B27" s="336"/>
      <c r="C27" s="336"/>
      <c r="D27" s="336"/>
      <c r="E27" s="307"/>
      <c r="F27" s="270"/>
      <c r="G27" s="270"/>
      <c r="H27" s="270"/>
      <c r="I27"/>
      <c r="J27" s="336"/>
      <c r="K27" s="336"/>
      <c r="L27" s="307"/>
      <c r="M27" s="307"/>
      <c r="N27" s="270"/>
      <c r="P27"/>
      <c r="Q27" s="336"/>
      <c r="R27" s="336"/>
      <c r="S27" s="307"/>
      <c r="T27" s="307"/>
      <c r="U27" s="270"/>
    </row>
    <row r="28" spans="1:22" ht="37.5" customHeight="1" x14ac:dyDescent="0.25">
      <c r="A28"/>
      <c r="B28" s="395" t="s">
        <v>185</v>
      </c>
      <c r="C28" s="395"/>
      <c r="D28" s="395"/>
      <c r="E28" s="307"/>
      <c r="F28" s="270">
        <f>F22/D13</f>
        <v>101028.52137030179</v>
      </c>
      <c r="G28" s="270"/>
      <c r="H28" s="270"/>
      <c r="I28"/>
      <c r="J28" s="270"/>
      <c r="K28" s="270"/>
      <c r="L28" s="307"/>
      <c r="M28" s="307"/>
      <c r="N28" s="270">
        <f>N22/L13</f>
        <v>100742.36759921927</v>
      </c>
      <c r="P28"/>
      <c r="Q28" s="270"/>
      <c r="R28" s="270"/>
      <c r="S28" s="307"/>
      <c r="T28" s="307"/>
      <c r="U28" s="270">
        <f>U22/S13</f>
        <v>105491.1650741281</v>
      </c>
    </row>
    <row r="31" spans="1:22" x14ac:dyDescent="0.25">
      <c r="B31" t="s">
        <v>197</v>
      </c>
    </row>
  </sheetData>
  <mergeCells count="36">
    <mergeCell ref="A1:F1"/>
    <mergeCell ref="J1:N1"/>
    <mergeCell ref="Q1:U1"/>
    <mergeCell ref="D2:E2"/>
    <mergeCell ref="L2:M2"/>
    <mergeCell ref="S2:T2"/>
    <mergeCell ref="U3:U9"/>
    <mergeCell ref="D4:E4"/>
    <mergeCell ref="L4:M4"/>
    <mergeCell ref="D5:E5"/>
    <mergeCell ref="L5:M5"/>
    <mergeCell ref="D3:E3"/>
    <mergeCell ref="L3:M3"/>
    <mergeCell ref="Q3:Q9"/>
    <mergeCell ref="R3:R9"/>
    <mergeCell ref="S3:T9"/>
    <mergeCell ref="D6:E6"/>
    <mergeCell ref="L6:M6"/>
    <mergeCell ref="D7:E7"/>
    <mergeCell ref="L7:M7"/>
    <mergeCell ref="D8:E8"/>
    <mergeCell ref="L8:M8"/>
    <mergeCell ref="S12:T12"/>
    <mergeCell ref="L20:M20"/>
    <mergeCell ref="S20:T20"/>
    <mergeCell ref="B28:D28"/>
    <mergeCell ref="D9:E9"/>
    <mergeCell ref="L9:M9"/>
    <mergeCell ref="D10:E10"/>
    <mergeCell ref="L10:M10"/>
    <mergeCell ref="D12:E12"/>
    <mergeCell ref="L12:M12"/>
    <mergeCell ref="S10:T10"/>
    <mergeCell ref="D11:E11"/>
    <mergeCell ref="L11:M11"/>
    <mergeCell ref="S11:T1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7B72-1AC2-4428-A834-5339972C4C9F}">
  <sheetPr>
    <tabColor theme="9" tint="0.39997558519241921"/>
    <pageSetUpPr fitToPage="1"/>
  </sheetPr>
  <dimension ref="A1:N26"/>
  <sheetViews>
    <sheetView zoomScale="115" zoomScaleNormal="115" zoomScaleSheetLayoutView="120" workbookViewId="0">
      <selection activeCell="E26" sqref="E26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13" t="s">
        <v>216</v>
      </c>
      <c r="B1" s="413"/>
      <c r="C1" s="413"/>
      <c r="D1" s="413"/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1.0196000000000001</v>
      </c>
      <c r="D5" s="115">
        <f>B5*C5</f>
        <v>166508664.74250001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166508664.74250001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33301732.948500004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199810397.69100001</v>
      </c>
      <c r="E8" s="120"/>
      <c r="F8" s="120"/>
      <c r="G8" s="109"/>
    </row>
    <row r="10" spans="1:14" ht="15" x14ac:dyDescent="0.25">
      <c r="A10" s="122" t="s">
        <v>228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128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230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219</v>
      </c>
      <c r="C15" s="414" t="s">
        <v>229</v>
      </c>
      <c r="D15" s="414"/>
      <c r="E15" s="414"/>
      <c r="F15" s="414"/>
      <c r="G15" s="318">
        <f>3/12</f>
        <v>0.25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11" s="137" customFormat="1" ht="25.5" customHeight="1" x14ac:dyDescent="0.25">
      <c r="A17" s="131" t="s">
        <v>217</v>
      </c>
      <c r="B17" s="132"/>
      <c r="C17" s="133" t="s">
        <v>218</v>
      </c>
      <c r="D17" s="345">
        <v>1.0196000000000001</v>
      </c>
      <c r="E17" s="134" t="s">
        <v>226</v>
      </c>
      <c r="F17" s="130"/>
      <c r="G17" s="135"/>
      <c r="H17" s="135"/>
      <c r="I17" s="136"/>
    </row>
    <row r="18" spans="1:11" ht="14.25" customHeight="1" x14ac:dyDescent="0.2">
      <c r="A18" s="109"/>
      <c r="G18" s="125"/>
      <c r="H18" s="125"/>
      <c r="I18" s="129"/>
    </row>
    <row r="19" spans="1:11" x14ac:dyDescent="0.2">
      <c r="A19" s="124" t="s">
        <v>128</v>
      </c>
      <c r="B19" s="124"/>
      <c r="C19" s="124"/>
      <c r="D19" s="124"/>
      <c r="E19" s="124"/>
      <c r="F19" s="124"/>
      <c r="G19" s="124"/>
      <c r="H19" s="125"/>
      <c r="I19" s="125"/>
      <c r="J19" s="125"/>
      <c r="K19" s="125"/>
    </row>
    <row r="20" spans="1:11" ht="19.5" x14ac:dyDescent="0.35">
      <c r="A20" s="124" t="s">
        <v>231</v>
      </c>
      <c r="B20" s="124"/>
      <c r="C20" s="126">
        <v>105.4</v>
      </c>
      <c r="D20" s="127">
        <f>C20/100</f>
        <v>1.054</v>
      </c>
      <c r="E20" s="124"/>
      <c r="F20" s="124"/>
      <c r="G20" s="128"/>
      <c r="H20" s="125"/>
      <c r="I20" s="129"/>
    </row>
    <row r="22" spans="1:11" x14ac:dyDescent="0.2">
      <c r="A22" s="123" t="s">
        <v>220</v>
      </c>
      <c r="C22" s="414" t="s">
        <v>221</v>
      </c>
      <c r="D22" s="414"/>
      <c r="E22" s="414"/>
      <c r="F22" s="414"/>
      <c r="G22" s="318">
        <f>3/12</f>
        <v>0.25</v>
      </c>
      <c r="H22" s="125"/>
      <c r="I22" s="129"/>
    </row>
    <row r="23" spans="1:11" ht="6" customHeight="1" x14ac:dyDescent="0.2">
      <c r="D23" s="130"/>
      <c r="G23" s="125"/>
      <c r="H23" s="125"/>
      <c r="I23" s="129"/>
    </row>
    <row r="24" spans="1:11" s="137" customFormat="1" ht="25.5" customHeight="1" x14ac:dyDescent="0.25">
      <c r="A24" s="131" t="s">
        <v>222</v>
      </c>
      <c r="B24" s="132"/>
      <c r="C24" s="133" t="s">
        <v>223</v>
      </c>
      <c r="D24" s="345">
        <v>1.0132000000000001</v>
      </c>
      <c r="E24" s="134" t="s">
        <v>227</v>
      </c>
      <c r="F24" s="130"/>
      <c r="G24" s="135"/>
      <c r="H24" s="135"/>
      <c r="I24" s="136"/>
    </row>
    <row r="26" spans="1:11" x14ac:dyDescent="0.2">
      <c r="A26" s="123" t="s">
        <v>224</v>
      </c>
      <c r="C26" s="130" t="s">
        <v>225</v>
      </c>
      <c r="D26" s="344">
        <f>D17*D24</f>
        <v>1.0330587200000001</v>
      </c>
      <c r="E26" s="343" t="s">
        <v>187</v>
      </c>
    </row>
  </sheetData>
  <sheetProtection selectLockedCells="1" selectUnlockedCells="1"/>
  <mergeCells count="3">
    <mergeCell ref="A1:D1"/>
    <mergeCell ref="C15:F15"/>
    <mergeCell ref="C22:F22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8A22-B4E6-4611-9F17-B03D85EE4DC6}">
  <sheetPr>
    <tabColor rgb="FFFF0000"/>
  </sheetPr>
  <dimension ref="A1:I19"/>
  <sheetViews>
    <sheetView tabSelected="1" topLeftCell="A7" zoomScale="130" zoomScaleNormal="130" workbookViewId="0">
      <selection activeCell="C6" sqref="C6"/>
    </sheetView>
  </sheetViews>
  <sheetFormatPr defaultRowHeight="15" x14ac:dyDescent="0.25"/>
  <cols>
    <col min="2" max="2" width="39.85546875" customWidth="1"/>
    <col min="3" max="3" width="25" customWidth="1"/>
    <col min="4" max="7" width="11.28515625" bestFit="1" customWidth="1"/>
    <col min="8" max="8" width="12.140625" customWidth="1"/>
    <col min="9" max="9" width="11.42578125" bestFit="1" customWidth="1"/>
  </cols>
  <sheetData>
    <row r="1" spans="1:9" x14ac:dyDescent="0.25">
      <c r="A1" s="415"/>
      <c r="B1" s="415"/>
      <c r="C1" s="415"/>
    </row>
    <row r="2" spans="1:9" x14ac:dyDescent="0.25">
      <c r="A2" s="346" t="s">
        <v>37</v>
      </c>
      <c r="B2" s="346" t="s">
        <v>232</v>
      </c>
      <c r="C2" s="346" t="s">
        <v>233</v>
      </c>
    </row>
    <row r="3" spans="1:9" x14ac:dyDescent="0.25">
      <c r="A3" s="347" t="s">
        <v>234</v>
      </c>
      <c r="B3" s="348"/>
      <c r="C3" s="349"/>
    </row>
    <row r="4" spans="1:9" ht="30" x14ac:dyDescent="0.25">
      <c r="A4" s="350">
        <v>1</v>
      </c>
      <c r="B4" s="356" t="s">
        <v>235</v>
      </c>
      <c r="C4" s="2">
        <v>155057461.56</v>
      </c>
    </row>
    <row r="5" spans="1:9" x14ac:dyDescent="0.25">
      <c r="A5" s="350">
        <v>2</v>
      </c>
      <c r="B5" s="356" t="s">
        <v>236</v>
      </c>
      <c r="C5" s="2">
        <v>4651723.8499999996</v>
      </c>
    </row>
    <row r="6" spans="1:9" ht="30" x14ac:dyDescent="0.25">
      <c r="A6" s="350">
        <v>3</v>
      </c>
      <c r="B6" s="356" t="s">
        <v>237</v>
      </c>
      <c r="C6" s="2">
        <f>C4+C5</f>
        <v>159709185.41</v>
      </c>
    </row>
    <row r="7" spans="1:9" x14ac:dyDescent="0.25">
      <c r="A7" s="350">
        <v>4</v>
      </c>
      <c r="B7" s="356" t="s">
        <v>33</v>
      </c>
      <c r="C7" s="2">
        <f>C6*1.2</f>
        <v>191651022.49199998</v>
      </c>
    </row>
    <row r="8" spans="1:9" x14ac:dyDescent="0.25">
      <c r="A8" s="351" t="s">
        <v>238</v>
      </c>
      <c r="B8" s="357"/>
      <c r="C8" s="351"/>
    </row>
    <row r="9" spans="1:9" ht="30" x14ac:dyDescent="0.25">
      <c r="A9" s="350">
        <v>1</v>
      </c>
      <c r="B9" s="356" t="s">
        <v>239</v>
      </c>
      <c r="C9" s="355">
        <v>9767601.6199999992</v>
      </c>
      <c r="D9" s="35" t="s">
        <v>249</v>
      </c>
      <c r="E9" s="35" t="s">
        <v>250</v>
      </c>
      <c r="F9" s="35" t="s">
        <v>251</v>
      </c>
      <c r="G9" s="35" t="s">
        <v>252</v>
      </c>
    </row>
    <row r="10" spans="1:9" ht="45" x14ac:dyDescent="0.25">
      <c r="A10" s="350">
        <v>2</v>
      </c>
      <c r="B10" s="356" t="s">
        <v>240</v>
      </c>
      <c r="C10" s="355">
        <f>[6]Лист1!$H$28</f>
        <v>8834892.9900000002</v>
      </c>
      <c r="D10" s="360">
        <v>2212420.31</v>
      </c>
      <c r="E10" s="360">
        <v>2191432.23</v>
      </c>
      <c r="F10" s="360">
        <v>2141436.85</v>
      </c>
      <c r="G10" s="360">
        <v>2414155.2000000002</v>
      </c>
      <c r="H10" s="360">
        <f>SUM(D10:G10)</f>
        <v>8959444.5899999999</v>
      </c>
      <c r="I10" s="361">
        <f>C10-H10</f>
        <v>-124551.59999999963</v>
      </c>
    </row>
    <row r="11" spans="1:9" x14ac:dyDescent="0.25">
      <c r="A11" s="350"/>
      <c r="B11" s="358" t="s">
        <v>241</v>
      </c>
      <c r="C11" s="352">
        <v>148229498.66</v>
      </c>
    </row>
    <row r="12" spans="1:9" x14ac:dyDescent="0.25">
      <c r="A12" s="350">
        <v>3</v>
      </c>
      <c r="B12" s="356" t="s">
        <v>242</v>
      </c>
      <c r="C12" s="2">
        <f>C11*0.03</f>
        <v>4446884.9597999994</v>
      </c>
    </row>
    <row r="13" spans="1:9" ht="30" x14ac:dyDescent="0.25">
      <c r="A13" s="350">
        <v>4</v>
      </c>
      <c r="B13" s="356" t="s">
        <v>248</v>
      </c>
      <c r="C13" s="2">
        <f>(C11+C12)*0.033</f>
        <v>5038320.6594534004</v>
      </c>
    </row>
    <row r="14" spans="1:9" ht="30" x14ac:dyDescent="0.25">
      <c r="A14" s="350"/>
      <c r="B14" s="358" t="s">
        <v>243</v>
      </c>
      <c r="C14" s="352">
        <f>C12+C11+C13</f>
        <v>157714704.27925339</v>
      </c>
    </row>
    <row r="15" spans="1:9" ht="30" x14ac:dyDescent="0.25">
      <c r="A15" s="350"/>
      <c r="B15" s="358" t="s">
        <v>244</v>
      </c>
      <c r="C15" s="352">
        <v>184021979.02000001</v>
      </c>
    </row>
    <row r="16" spans="1:9" x14ac:dyDescent="0.25">
      <c r="A16" s="350"/>
      <c r="B16" s="358" t="s">
        <v>33</v>
      </c>
      <c r="C16" s="2">
        <f>C15*0.2</f>
        <v>36804395.804000005</v>
      </c>
    </row>
    <row r="17" spans="1:5" x14ac:dyDescent="0.25">
      <c r="A17" s="353"/>
      <c r="B17" s="359" t="s">
        <v>245</v>
      </c>
      <c r="C17" s="354">
        <f>C15+C16</f>
        <v>220826374.824</v>
      </c>
    </row>
    <row r="18" spans="1:5" x14ac:dyDescent="0.25">
      <c r="A18" s="353"/>
      <c r="B18" s="359" t="s">
        <v>246</v>
      </c>
      <c r="C18" s="354">
        <v>1011891.79</v>
      </c>
    </row>
    <row r="19" spans="1:5" x14ac:dyDescent="0.25">
      <c r="A19" s="353"/>
      <c r="B19" s="359" t="s">
        <v>247</v>
      </c>
      <c r="C19" s="354">
        <f>C17+C18</f>
        <v>221838266.61399999</v>
      </c>
      <c r="D19" s="25"/>
      <c r="E19" s="25"/>
    </row>
  </sheetData>
  <mergeCells count="1">
    <mergeCell ref="A1:C1"/>
  </mergeCells>
  <phoneticPr fontId="8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1750-A4FE-4C70-8173-51CB30528027}">
  <sheetPr>
    <tabColor rgb="FF7030A0"/>
  </sheetPr>
  <dimension ref="A1:CG28"/>
  <sheetViews>
    <sheetView topLeftCell="AB7" zoomScale="80" zoomScaleNormal="80" workbookViewId="0">
      <selection activeCell="AH28" sqref="AH28"/>
    </sheetView>
  </sheetViews>
  <sheetFormatPr defaultRowHeight="15" x14ac:dyDescent="0.25"/>
  <cols>
    <col min="1" max="1" width="7.5703125" style="306" hidden="1" customWidth="1"/>
    <col min="2" max="2" width="18.42578125" hidden="1" customWidth="1"/>
    <col min="3" max="3" width="11.5703125" hidden="1" customWidth="1"/>
    <col min="4" max="4" width="8.5703125" hidden="1" customWidth="1"/>
    <col min="5" max="5" width="7.85546875" hidden="1" customWidth="1"/>
    <col min="6" max="6" width="19.28515625" hidden="1" customWidth="1"/>
    <col min="7" max="7" width="3.42578125" hidden="1" customWidth="1"/>
    <col min="8" max="8" width="7.5703125" style="306" hidden="1" customWidth="1"/>
    <col min="9" max="9" width="37.42578125" hidden="1" customWidth="1"/>
    <col min="10" max="10" width="11.5703125" hidden="1" customWidth="1"/>
    <col min="11" max="11" width="8.5703125" hidden="1" customWidth="1"/>
    <col min="12" max="12" width="7.85546875" hidden="1" customWidth="1"/>
    <col min="13" max="13" width="19.28515625" hidden="1" customWidth="1"/>
    <col min="14" max="14" width="2.42578125" hidden="1" customWidth="1"/>
    <col min="15" max="15" width="7.5703125" style="306" hidden="1" customWidth="1"/>
    <col min="16" max="16" width="37.42578125" hidden="1" customWidth="1"/>
    <col min="17" max="17" width="11.5703125" hidden="1" customWidth="1"/>
    <col min="18" max="18" width="8.5703125" hidden="1" customWidth="1"/>
    <col min="19" max="19" width="7.85546875" hidden="1" customWidth="1"/>
    <col min="20" max="20" width="19.28515625" hidden="1" customWidth="1"/>
    <col min="21" max="21" width="3" hidden="1" customWidth="1"/>
    <col min="22" max="22" width="6.140625" style="306" hidden="1" customWidth="1"/>
    <col min="23" max="23" width="34" hidden="1" customWidth="1"/>
    <col min="24" max="24" width="11.5703125" hidden="1" customWidth="1"/>
    <col min="25" max="25" width="8.5703125" hidden="1" customWidth="1"/>
    <col min="26" max="26" width="9.42578125" hidden="1" customWidth="1"/>
    <col min="27" max="27" width="22.28515625" hidden="1" customWidth="1"/>
    <col min="28" max="28" width="4" customWidth="1"/>
    <col min="29" max="29" width="5.85546875" style="306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16" t="s">
        <v>209</v>
      </c>
      <c r="B1" s="417"/>
      <c r="C1" s="417"/>
      <c r="D1" s="417"/>
      <c r="E1" s="417"/>
      <c r="F1" s="418"/>
      <c r="G1" s="321"/>
      <c r="H1" s="410" t="s">
        <v>193</v>
      </c>
      <c r="I1" s="411"/>
      <c r="J1" s="411"/>
      <c r="K1" s="411"/>
      <c r="L1" s="411"/>
      <c r="M1" s="412"/>
      <c r="N1" s="321"/>
      <c r="O1" s="410" t="s">
        <v>206</v>
      </c>
      <c r="P1" s="411"/>
      <c r="Q1" s="411"/>
      <c r="R1" s="411"/>
      <c r="S1" s="411"/>
      <c r="T1" s="412"/>
      <c r="V1" s="327"/>
      <c r="W1" s="411" t="s">
        <v>207</v>
      </c>
      <c r="X1" s="411"/>
      <c r="Y1" s="411"/>
      <c r="Z1" s="411"/>
      <c r="AA1" s="412"/>
      <c r="AC1" s="327"/>
      <c r="AD1" s="411" t="s">
        <v>208</v>
      </c>
      <c r="AE1" s="411"/>
      <c r="AF1" s="411"/>
      <c r="AG1" s="411"/>
      <c r="AH1" s="412"/>
    </row>
    <row r="2" spans="1:85" ht="27.75" customHeight="1" thickBot="1" x14ac:dyDescent="0.3">
      <c r="A2" s="296" t="s">
        <v>58</v>
      </c>
      <c r="B2" s="55" t="s">
        <v>69</v>
      </c>
      <c r="C2" s="314" t="s">
        <v>18</v>
      </c>
      <c r="D2" s="362" t="s">
        <v>21</v>
      </c>
      <c r="E2" s="363"/>
      <c r="F2" s="57" t="s">
        <v>32</v>
      </c>
      <c r="H2" s="296" t="s">
        <v>58</v>
      </c>
      <c r="I2" s="55" t="s">
        <v>69</v>
      </c>
      <c r="J2" s="314" t="s">
        <v>18</v>
      </c>
      <c r="K2" s="362" t="s">
        <v>21</v>
      </c>
      <c r="L2" s="363"/>
      <c r="M2" s="57" t="s">
        <v>32</v>
      </c>
      <c r="O2" s="296" t="s">
        <v>58</v>
      </c>
      <c r="P2" s="55" t="s">
        <v>69</v>
      </c>
      <c r="Q2" s="314" t="s">
        <v>18</v>
      </c>
      <c r="R2" s="362" t="s">
        <v>21</v>
      </c>
      <c r="S2" s="363"/>
      <c r="T2" s="57" t="s">
        <v>32</v>
      </c>
      <c r="V2" s="296" t="s">
        <v>58</v>
      </c>
      <c r="W2" s="55" t="s">
        <v>69</v>
      </c>
      <c r="X2" s="314" t="s">
        <v>18</v>
      </c>
      <c r="Y2" s="362" t="s">
        <v>21</v>
      </c>
      <c r="Z2" s="363"/>
      <c r="AA2" s="57" t="s">
        <v>32</v>
      </c>
      <c r="AC2" s="296" t="s">
        <v>58</v>
      </c>
      <c r="AD2" s="55" t="s">
        <v>69</v>
      </c>
      <c r="AE2" s="314" t="s">
        <v>18</v>
      </c>
      <c r="AF2" s="362" t="s">
        <v>21</v>
      </c>
      <c r="AG2" s="363"/>
      <c r="AH2" s="57" t="s">
        <v>32</v>
      </c>
    </row>
    <row r="3" spans="1:85" x14ac:dyDescent="0.25">
      <c r="A3" s="297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v>10022991.91</v>
      </c>
      <c r="H3" s="297">
        <v>1</v>
      </c>
      <c r="I3" s="84" t="s">
        <v>0</v>
      </c>
      <c r="J3" s="85" t="s">
        <v>19</v>
      </c>
      <c r="K3" s="364">
        <f>404.352+9.256</f>
        <v>413.60799999999995</v>
      </c>
      <c r="L3" s="365"/>
      <c r="M3" s="86">
        <v>10022991.91</v>
      </c>
      <c r="O3" s="297">
        <v>1</v>
      </c>
      <c r="P3" s="84" t="s">
        <v>0</v>
      </c>
      <c r="Q3" s="85" t="s">
        <v>19</v>
      </c>
      <c r="R3" s="364">
        <f>404.352+9.256</f>
        <v>413.60799999999995</v>
      </c>
      <c r="S3" s="365"/>
      <c r="T3" s="86">
        <v>10022991.91</v>
      </c>
      <c r="V3" s="297">
        <v>1</v>
      </c>
      <c r="W3" s="84" t="s">
        <v>0</v>
      </c>
      <c r="X3" s="85" t="s">
        <v>19</v>
      </c>
      <c r="Y3" s="364">
        <f>404.352+9.256</f>
        <v>413.60799999999995</v>
      </c>
      <c r="Z3" s="365"/>
      <c r="AA3" s="86">
        <v>10022991.91</v>
      </c>
      <c r="AC3" s="297">
        <v>1</v>
      </c>
      <c r="AD3" s="366" t="s">
        <v>47</v>
      </c>
      <c r="AE3" s="407" t="s">
        <v>19</v>
      </c>
      <c r="AF3" s="375">
        <v>2078.02</v>
      </c>
      <c r="AG3" s="376"/>
      <c r="AH3" s="404">
        <v>162211085.97999999</v>
      </c>
    </row>
    <row r="4" spans="1:85" ht="60" x14ac:dyDescent="0.25">
      <c r="A4" s="298">
        <v>2</v>
      </c>
      <c r="B4" s="87" t="s">
        <v>154</v>
      </c>
      <c r="C4" s="88" t="s">
        <v>19</v>
      </c>
      <c r="D4" s="364">
        <f>676.624+295.152</f>
        <v>971.77600000000007</v>
      </c>
      <c r="E4" s="365"/>
      <c r="F4" s="89">
        <f>28449520.75+12410042.86</f>
        <v>40859563.609999999</v>
      </c>
      <c r="H4" s="298">
        <v>2</v>
      </c>
      <c r="I4" s="87" t="s">
        <v>154</v>
      </c>
      <c r="J4" s="88" t="s">
        <v>19</v>
      </c>
      <c r="K4" s="364">
        <f>676.624+295.152</f>
        <v>971.77600000000007</v>
      </c>
      <c r="L4" s="365"/>
      <c r="M4" s="89">
        <f>28449520.75+12410042.86</f>
        <v>40859563.609999999</v>
      </c>
      <c r="O4" s="298">
        <v>2</v>
      </c>
      <c r="P4" s="87" t="s">
        <v>154</v>
      </c>
      <c r="Q4" s="88" t="s">
        <v>19</v>
      </c>
      <c r="R4" s="364">
        <f>676.624+295.152</f>
        <v>971.77600000000007</v>
      </c>
      <c r="S4" s="365"/>
      <c r="T4" s="89">
        <f>28449520.75+12410042.86</f>
        <v>40859563.609999999</v>
      </c>
      <c r="V4" s="298">
        <v>2</v>
      </c>
      <c r="W4" s="87" t="s">
        <v>154</v>
      </c>
      <c r="X4" s="88" t="s">
        <v>19</v>
      </c>
      <c r="Y4" s="364">
        <f>676.624+295.152</f>
        <v>971.77600000000007</v>
      </c>
      <c r="Z4" s="365"/>
      <c r="AA4" s="89">
        <f>28449520.75+12410042.86</f>
        <v>40859563.609999999</v>
      </c>
      <c r="AC4" s="298">
        <v>2</v>
      </c>
      <c r="AD4" s="367"/>
      <c r="AE4" s="408"/>
      <c r="AF4" s="377"/>
      <c r="AG4" s="378"/>
      <c r="AH4" s="405"/>
    </row>
    <row r="5" spans="1:85" ht="30" x14ac:dyDescent="0.25">
      <c r="A5" s="298">
        <v>3</v>
      </c>
      <c r="B5" s="87" t="s">
        <v>8</v>
      </c>
      <c r="C5" s="88" t="s">
        <v>19</v>
      </c>
      <c r="D5" s="381">
        <v>284.85599999999999</v>
      </c>
      <c r="E5" s="382"/>
      <c r="F5" s="89">
        <v>29847559.98</v>
      </c>
      <c r="H5" s="298">
        <v>3</v>
      </c>
      <c r="I5" s="87" t="s">
        <v>8</v>
      </c>
      <c r="J5" s="88" t="s">
        <v>19</v>
      </c>
      <c r="K5" s="381">
        <v>284.85599999999999</v>
      </c>
      <c r="L5" s="382"/>
      <c r="M5" s="89">
        <v>29847559.98</v>
      </c>
      <c r="O5" s="298">
        <v>3</v>
      </c>
      <c r="P5" s="87" t="s">
        <v>8</v>
      </c>
      <c r="Q5" s="88" t="s">
        <v>19</v>
      </c>
      <c r="R5" s="381">
        <v>284.85599999999999</v>
      </c>
      <c r="S5" s="382"/>
      <c r="T5" s="89">
        <v>29847559.98</v>
      </c>
      <c r="V5" s="298">
        <v>3</v>
      </c>
      <c r="W5" s="87" t="s">
        <v>8</v>
      </c>
      <c r="X5" s="88" t="s">
        <v>19</v>
      </c>
      <c r="Y5" s="381">
        <v>284.85599999999999</v>
      </c>
      <c r="Z5" s="382"/>
      <c r="AA5" s="89">
        <v>29847559.98</v>
      </c>
      <c r="AC5" s="298">
        <v>3</v>
      </c>
      <c r="AD5" s="367"/>
      <c r="AE5" s="408"/>
      <c r="AF5" s="377"/>
      <c r="AG5" s="378"/>
      <c r="AH5" s="405"/>
    </row>
    <row r="6" spans="1:85" x14ac:dyDescent="0.25">
      <c r="A6" s="298">
        <v>4</v>
      </c>
      <c r="B6" s="87" t="s">
        <v>1</v>
      </c>
      <c r="C6" s="88" t="s">
        <v>19</v>
      </c>
      <c r="D6" s="381">
        <v>103.27200000000001</v>
      </c>
      <c r="E6" s="382"/>
      <c r="F6" s="89">
        <v>6218924.8699999992</v>
      </c>
      <c r="H6" s="298">
        <v>4</v>
      </c>
      <c r="I6" s="87" t="s">
        <v>1</v>
      </c>
      <c r="J6" s="88" t="s">
        <v>19</v>
      </c>
      <c r="K6" s="381">
        <v>103.27200000000001</v>
      </c>
      <c r="L6" s="382"/>
      <c r="M6" s="89">
        <v>6218924.8699999992</v>
      </c>
      <c r="O6" s="298">
        <v>4</v>
      </c>
      <c r="P6" s="87" t="s">
        <v>1</v>
      </c>
      <c r="Q6" s="88" t="s">
        <v>19</v>
      </c>
      <c r="R6" s="381">
        <v>103.27200000000001</v>
      </c>
      <c r="S6" s="382"/>
      <c r="T6" s="89">
        <v>6218924.8699999992</v>
      </c>
      <c r="V6" s="298">
        <v>4</v>
      </c>
      <c r="W6" s="87" t="s">
        <v>1</v>
      </c>
      <c r="X6" s="88" t="s">
        <v>19</v>
      </c>
      <c r="Y6" s="381">
        <v>103.27200000000001</v>
      </c>
      <c r="Z6" s="382"/>
      <c r="AA6" s="89">
        <v>6218924.8699999992</v>
      </c>
      <c r="AC6" s="298">
        <v>4</v>
      </c>
      <c r="AD6" s="367"/>
      <c r="AE6" s="408"/>
      <c r="AF6" s="377"/>
      <c r="AG6" s="378"/>
      <c r="AH6" s="405"/>
    </row>
    <row r="7" spans="1:85" ht="30" x14ac:dyDescent="0.25">
      <c r="A7" s="298">
        <v>5</v>
      </c>
      <c r="B7" s="87" t="s">
        <v>2</v>
      </c>
      <c r="C7" s="88" t="s">
        <v>19</v>
      </c>
      <c r="D7" s="381">
        <v>66.872</v>
      </c>
      <c r="E7" s="382"/>
      <c r="F7" s="89">
        <v>4525782.0099999988</v>
      </c>
      <c r="H7" s="298">
        <v>5</v>
      </c>
      <c r="I7" s="87" t="s">
        <v>2</v>
      </c>
      <c r="J7" s="88" t="s">
        <v>19</v>
      </c>
      <c r="K7" s="381">
        <v>66.872</v>
      </c>
      <c r="L7" s="382"/>
      <c r="M7" s="89">
        <v>4525782.0099999988</v>
      </c>
      <c r="O7" s="298">
        <v>5</v>
      </c>
      <c r="P7" s="87" t="s">
        <v>2</v>
      </c>
      <c r="Q7" s="88" t="s">
        <v>19</v>
      </c>
      <c r="R7" s="381">
        <v>66.872</v>
      </c>
      <c r="S7" s="382"/>
      <c r="T7" s="89">
        <v>4525782.0099999988</v>
      </c>
      <c r="V7" s="298">
        <v>5</v>
      </c>
      <c r="W7" s="87" t="s">
        <v>2</v>
      </c>
      <c r="X7" s="88" t="s">
        <v>19</v>
      </c>
      <c r="Y7" s="381">
        <v>66.872</v>
      </c>
      <c r="Z7" s="382"/>
      <c r="AA7" s="89">
        <v>4525782.0099999988</v>
      </c>
      <c r="AC7" s="298">
        <v>5</v>
      </c>
      <c r="AD7" s="367"/>
      <c r="AE7" s="408"/>
      <c r="AF7" s="377"/>
      <c r="AG7" s="378"/>
      <c r="AH7" s="405"/>
    </row>
    <row r="8" spans="1:85" x14ac:dyDescent="0.25">
      <c r="A8" s="298">
        <v>6</v>
      </c>
      <c r="B8" s="87" t="s">
        <v>3</v>
      </c>
      <c r="C8" s="88" t="s">
        <v>19</v>
      </c>
      <c r="D8" s="381">
        <v>233.27199999999999</v>
      </c>
      <c r="E8" s="382"/>
      <c r="F8" s="89">
        <v>17401032.069999997</v>
      </c>
      <c r="H8" s="298">
        <v>6</v>
      </c>
      <c r="I8" s="87" t="s">
        <v>3</v>
      </c>
      <c r="J8" s="88" t="s">
        <v>19</v>
      </c>
      <c r="K8" s="381">
        <v>233.27199999999999</v>
      </c>
      <c r="L8" s="382"/>
      <c r="M8" s="89">
        <v>17401032.069999997</v>
      </c>
      <c r="O8" s="298">
        <v>6</v>
      </c>
      <c r="P8" s="87" t="s">
        <v>3</v>
      </c>
      <c r="Q8" s="88" t="s">
        <v>19</v>
      </c>
      <c r="R8" s="381">
        <v>233.27199999999999</v>
      </c>
      <c r="S8" s="382"/>
      <c r="T8" s="89">
        <v>17401032.069999997</v>
      </c>
      <c r="V8" s="298">
        <v>6</v>
      </c>
      <c r="W8" s="87" t="s">
        <v>3</v>
      </c>
      <c r="X8" s="88" t="s">
        <v>19</v>
      </c>
      <c r="Y8" s="381">
        <v>233.27199999999999</v>
      </c>
      <c r="Z8" s="382"/>
      <c r="AA8" s="89">
        <v>17401032.069999997</v>
      </c>
      <c r="AC8" s="298">
        <v>6</v>
      </c>
      <c r="AD8" s="367"/>
      <c r="AE8" s="408"/>
      <c r="AF8" s="377"/>
      <c r="AG8" s="378"/>
      <c r="AH8" s="405"/>
    </row>
    <row r="9" spans="1:85" ht="30.75" thickBot="1" x14ac:dyDescent="0.3">
      <c r="A9" s="299">
        <v>7</v>
      </c>
      <c r="B9" s="90" t="s">
        <v>4</v>
      </c>
      <c r="C9" s="91" t="s">
        <v>19</v>
      </c>
      <c r="D9" s="383">
        <v>4.3680000000000003</v>
      </c>
      <c r="E9" s="384"/>
      <c r="F9" s="92">
        <v>714028.58000000007</v>
      </c>
      <c r="H9" s="299">
        <v>7</v>
      </c>
      <c r="I9" s="90" t="s">
        <v>4</v>
      </c>
      <c r="J9" s="91" t="s">
        <v>19</v>
      </c>
      <c r="K9" s="383">
        <v>4.3680000000000003</v>
      </c>
      <c r="L9" s="384"/>
      <c r="M9" s="92">
        <v>714028.58000000007</v>
      </c>
      <c r="O9" s="299">
        <v>7</v>
      </c>
      <c r="P9" s="90" t="s">
        <v>4</v>
      </c>
      <c r="Q9" s="91" t="s">
        <v>19</v>
      </c>
      <c r="R9" s="383">
        <v>4.3680000000000003</v>
      </c>
      <c r="S9" s="384"/>
      <c r="T9" s="92">
        <v>714028.58000000007</v>
      </c>
      <c r="V9" s="299">
        <v>7</v>
      </c>
      <c r="W9" s="90" t="s">
        <v>4</v>
      </c>
      <c r="X9" s="91" t="s">
        <v>19</v>
      </c>
      <c r="Y9" s="383">
        <v>4.3680000000000003</v>
      </c>
      <c r="Z9" s="384"/>
      <c r="AA9" s="92">
        <v>714028.58000000007</v>
      </c>
      <c r="AC9" s="299">
        <v>7</v>
      </c>
      <c r="AD9" s="368"/>
      <c r="AE9" s="409"/>
      <c r="AF9" s="379"/>
      <c r="AG9" s="380"/>
      <c r="AH9" s="406"/>
    </row>
    <row r="10" spans="1:85" s="311" customFormat="1" ht="27" customHeight="1" thickTop="1" x14ac:dyDescent="0.25">
      <c r="A10" s="309">
        <v>8</v>
      </c>
      <c r="B10" s="310" t="s">
        <v>182</v>
      </c>
      <c r="C10" s="42" t="s">
        <v>29</v>
      </c>
      <c r="D10" s="396" t="s">
        <v>157</v>
      </c>
      <c r="E10" s="397"/>
      <c r="F10" s="43">
        <v>3704032.4099999992</v>
      </c>
      <c r="G10" s="25"/>
      <c r="H10" s="309">
        <v>8</v>
      </c>
      <c r="I10" s="310" t="s">
        <v>182</v>
      </c>
      <c r="J10" s="42" t="s">
        <v>29</v>
      </c>
      <c r="K10" s="396" t="s">
        <v>157</v>
      </c>
      <c r="L10" s="397"/>
      <c r="M10" s="43">
        <v>3704032.4099999992</v>
      </c>
      <c r="N10" s="25"/>
      <c r="O10" s="309">
        <v>8</v>
      </c>
      <c r="P10" s="310" t="s">
        <v>182</v>
      </c>
      <c r="Q10" s="42" t="s">
        <v>29</v>
      </c>
      <c r="R10" s="396" t="s">
        <v>157</v>
      </c>
      <c r="S10" s="397"/>
      <c r="T10" s="43">
        <v>3704032.4099999992</v>
      </c>
      <c r="U10"/>
      <c r="V10" s="309">
        <v>8</v>
      </c>
      <c r="W10" s="310" t="s">
        <v>182</v>
      </c>
      <c r="X10" s="42" t="s">
        <v>29</v>
      </c>
      <c r="Y10" s="398" t="s">
        <v>180</v>
      </c>
      <c r="Z10" s="399"/>
      <c r="AA10" s="43">
        <v>3704032.4099999992</v>
      </c>
      <c r="AC10" s="309">
        <v>8</v>
      </c>
      <c r="AD10" s="310" t="s">
        <v>182</v>
      </c>
      <c r="AE10" s="42" t="s">
        <v>29</v>
      </c>
      <c r="AF10" s="398" t="s">
        <v>180</v>
      </c>
      <c r="AG10" s="399"/>
      <c r="AH10" s="43">
        <v>3704032.4099999992</v>
      </c>
    </row>
    <row r="11" spans="1:85" s="311" customFormat="1" ht="24.75" customHeight="1" x14ac:dyDescent="0.25">
      <c r="A11" s="312">
        <v>9</v>
      </c>
      <c r="B11" s="313" t="s">
        <v>28</v>
      </c>
      <c r="C11" s="40" t="s">
        <v>29</v>
      </c>
      <c r="D11" s="400" t="s">
        <v>158</v>
      </c>
      <c r="E11" s="401"/>
      <c r="F11" s="29">
        <v>15227354.290000003</v>
      </c>
      <c r="G11"/>
      <c r="H11" s="312">
        <v>9</v>
      </c>
      <c r="I11" s="313" t="s">
        <v>28</v>
      </c>
      <c r="J11" s="40" t="s">
        <v>29</v>
      </c>
      <c r="K11" s="400" t="s">
        <v>158</v>
      </c>
      <c r="L11" s="401"/>
      <c r="M11" s="29">
        <v>15227354.290000003</v>
      </c>
      <c r="N11"/>
      <c r="O11" s="312">
        <v>9</v>
      </c>
      <c r="P11" s="313" t="s">
        <v>28</v>
      </c>
      <c r="Q11" s="40" t="s">
        <v>29</v>
      </c>
      <c r="R11" s="400" t="s">
        <v>158</v>
      </c>
      <c r="S11" s="401"/>
      <c r="T11" s="29">
        <v>15227354.290000003</v>
      </c>
      <c r="U11"/>
      <c r="V11" s="312">
        <v>9</v>
      </c>
      <c r="W11" s="313" t="s">
        <v>28</v>
      </c>
      <c r="X11" s="40" t="s">
        <v>29</v>
      </c>
      <c r="Y11" s="402" t="s">
        <v>181</v>
      </c>
      <c r="Z11" s="403"/>
      <c r="AA11" s="29">
        <v>15227354.290000003</v>
      </c>
      <c r="AC11" s="312">
        <v>9</v>
      </c>
      <c r="AD11" s="313" t="s">
        <v>28</v>
      </c>
      <c r="AE11" s="40" t="s">
        <v>29</v>
      </c>
      <c r="AF11" s="402" t="s">
        <v>181</v>
      </c>
      <c r="AG11" s="403"/>
      <c r="AH11" s="29">
        <v>15227354.290000003</v>
      </c>
    </row>
    <row r="12" spans="1:85" s="290" customFormat="1" ht="25.5" customHeight="1" thickBot="1" x14ac:dyDescent="0.3">
      <c r="A12" s="300">
        <v>10</v>
      </c>
      <c r="B12" s="288" t="s">
        <v>17</v>
      </c>
      <c r="C12" s="289" t="s">
        <v>20</v>
      </c>
      <c r="D12" s="391">
        <f>47.6596*100</f>
        <v>4765.96</v>
      </c>
      <c r="E12" s="392"/>
      <c r="F12" s="33">
        <v>1105733.3899999999</v>
      </c>
      <c r="G12"/>
      <c r="H12" s="300">
        <v>10</v>
      </c>
      <c r="I12" s="288" t="s">
        <v>17</v>
      </c>
      <c r="J12" s="289" t="s">
        <v>20</v>
      </c>
      <c r="K12" s="391">
        <f>47.6596*100</f>
        <v>4765.96</v>
      </c>
      <c r="L12" s="392"/>
      <c r="M12" s="33">
        <v>1105733.3899999999</v>
      </c>
      <c r="N12"/>
      <c r="O12" s="300">
        <v>10</v>
      </c>
      <c r="P12" s="288" t="s">
        <v>17</v>
      </c>
      <c r="Q12" s="289" t="s">
        <v>20</v>
      </c>
      <c r="R12" s="391">
        <f>47.6596*100</f>
        <v>4765.96</v>
      </c>
      <c r="S12" s="392"/>
      <c r="T12" s="33">
        <v>1105733.3899999999</v>
      </c>
      <c r="U12"/>
      <c r="V12" s="300">
        <v>10</v>
      </c>
      <c r="W12" s="288" t="s">
        <v>17</v>
      </c>
      <c r="X12" s="289" t="s">
        <v>20</v>
      </c>
      <c r="Y12" s="391">
        <v>4765.96</v>
      </c>
      <c r="Z12" s="392"/>
      <c r="AA12" s="33">
        <v>1105733.3899999999</v>
      </c>
      <c r="AB12"/>
      <c r="AC12" s="300">
        <v>10</v>
      </c>
      <c r="AD12" s="288" t="s">
        <v>17</v>
      </c>
      <c r="AE12" s="289" t="s">
        <v>20</v>
      </c>
      <c r="AF12" s="391">
        <v>4765.96</v>
      </c>
      <c r="AG12" s="392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1">
        <v>11</v>
      </c>
      <c r="B13" s="59" t="s">
        <v>22</v>
      </c>
      <c r="C13" s="60"/>
      <c r="D13" s="269">
        <f>SUM(D3:E9)</f>
        <v>2078.0239999999999</v>
      </c>
      <c r="E13" s="62" t="s">
        <v>19</v>
      </c>
      <c r="F13" s="63">
        <f>SUM(F3:F12)</f>
        <v>129627003.12</v>
      </c>
      <c r="H13" s="301">
        <v>11</v>
      </c>
      <c r="I13" s="59" t="s">
        <v>22</v>
      </c>
      <c r="J13" s="60"/>
      <c r="K13" s="269">
        <f>SUM(K3:L9)</f>
        <v>2078.0239999999999</v>
      </c>
      <c r="L13" s="62" t="s">
        <v>19</v>
      </c>
      <c r="M13" s="63">
        <f>SUM(M3:M12)</f>
        <v>129627003.12</v>
      </c>
      <c r="O13" s="301">
        <v>11</v>
      </c>
      <c r="P13" s="59" t="s">
        <v>22</v>
      </c>
      <c r="Q13" s="60"/>
      <c r="R13" s="269">
        <f>SUM(R3:S9)</f>
        <v>2078.0239999999999</v>
      </c>
      <c r="S13" s="62" t="s">
        <v>19</v>
      </c>
      <c r="T13" s="63">
        <f>SUM(T3:T12)</f>
        <v>129627003.12</v>
      </c>
      <c r="V13" s="301">
        <v>11</v>
      </c>
      <c r="W13" s="59" t="s">
        <v>22</v>
      </c>
      <c r="X13" s="60"/>
      <c r="Y13" s="269">
        <v>2078.0239999999999</v>
      </c>
      <c r="Z13" s="331" t="s">
        <v>19</v>
      </c>
      <c r="AA13" s="63">
        <f>SUM(AA3:AA12)</f>
        <v>129627003.12</v>
      </c>
      <c r="AC13" s="301">
        <v>11</v>
      </c>
      <c r="AD13" s="59" t="s">
        <v>22</v>
      </c>
      <c r="AE13" s="60"/>
      <c r="AF13" s="269">
        <v>2078.0239999999999</v>
      </c>
      <c r="AG13" s="331" t="s">
        <v>19</v>
      </c>
      <c r="AH13" s="63">
        <f>SUM(AH3:AH12)</f>
        <v>182248206.06999996</v>
      </c>
    </row>
    <row r="14" spans="1:85" ht="60.75" thickBot="1" x14ac:dyDescent="0.3">
      <c r="A14" s="302">
        <v>12</v>
      </c>
      <c r="B14" s="58" t="s">
        <v>196</v>
      </c>
      <c r="C14" s="41"/>
      <c r="D14" s="45"/>
      <c r="E14" s="46"/>
      <c r="F14" s="315">
        <v>0</v>
      </c>
      <c r="H14" s="302">
        <v>12</v>
      </c>
      <c r="I14" s="58" t="s">
        <v>210</v>
      </c>
      <c r="J14" s="41"/>
      <c r="K14" s="45"/>
      <c r="L14" s="46"/>
      <c r="M14" s="315">
        <v>2722167.09</v>
      </c>
      <c r="O14" s="302">
        <v>12</v>
      </c>
      <c r="P14" s="58" t="s">
        <v>211</v>
      </c>
      <c r="Q14" s="41"/>
      <c r="R14" s="45"/>
      <c r="S14" s="46"/>
      <c r="T14" s="315">
        <v>9767601.6199999992</v>
      </c>
      <c r="V14" s="302">
        <v>12</v>
      </c>
      <c r="W14" s="58" t="s">
        <v>212</v>
      </c>
      <c r="X14" s="41"/>
      <c r="Y14" s="332"/>
      <c r="Z14" s="333"/>
      <c r="AA14" s="323" t="s">
        <v>191</v>
      </c>
      <c r="AC14" s="302">
        <v>12</v>
      </c>
      <c r="AD14" s="58" t="s">
        <v>213</v>
      </c>
      <c r="AE14" s="41"/>
      <c r="AF14" s="332"/>
      <c r="AG14" s="333"/>
      <c r="AH14" s="323">
        <v>3827212.36</v>
      </c>
    </row>
    <row r="15" spans="1:85" ht="62.25" customHeight="1" thickBot="1" x14ac:dyDescent="0.3">
      <c r="A15" s="301">
        <v>13</v>
      </c>
      <c r="B15" s="59" t="s">
        <v>199</v>
      </c>
      <c r="C15" s="60"/>
      <c r="D15" s="45"/>
      <c r="E15" s="62"/>
      <c r="F15" s="286">
        <v>0</v>
      </c>
      <c r="H15" s="301">
        <v>13</v>
      </c>
      <c r="I15" s="59" t="s">
        <v>199</v>
      </c>
      <c r="J15" s="60"/>
      <c r="K15" s="45"/>
      <c r="L15" s="62"/>
      <c r="M15" s="286">
        <f>2220749.32/1.2*4</f>
        <v>7402497.7333333334</v>
      </c>
      <c r="O15" s="301">
        <v>13</v>
      </c>
      <c r="P15" s="59" t="s">
        <v>199</v>
      </c>
      <c r="Q15" s="60"/>
      <c r="R15" s="45"/>
      <c r="S15" s="62"/>
      <c r="T15" s="286">
        <f>2220749.32/1.2*4</f>
        <v>7402497.7333333334</v>
      </c>
      <c r="V15" s="301">
        <v>13</v>
      </c>
      <c r="W15" s="59" t="s">
        <v>199</v>
      </c>
      <c r="X15" s="60"/>
      <c r="Y15" s="45"/>
      <c r="Z15" s="331"/>
      <c r="AA15" s="286">
        <f>2220749.32/1.2*4</f>
        <v>7402497.7333333334</v>
      </c>
      <c r="AC15" s="301">
        <v>13</v>
      </c>
      <c r="AD15" s="59" t="s">
        <v>199</v>
      </c>
      <c r="AE15" s="60"/>
      <c r="AF15" s="45"/>
      <c r="AG15" s="331"/>
      <c r="AH15" s="286">
        <f>2220749.32/1.2*4</f>
        <v>7402497.7333333334</v>
      </c>
    </row>
    <row r="16" spans="1:85" ht="28.5" customHeight="1" thickBot="1" x14ac:dyDescent="0.3">
      <c r="A16" s="301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1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1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1">
        <v>14</v>
      </c>
      <c r="W16" s="59" t="s">
        <v>22</v>
      </c>
      <c r="X16" s="60"/>
      <c r="Y16" s="45"/>
      <c r="Z16" s="331"/>
      <c r="AA16" s="63">
        <v>140407250.5</v>
      </c>
      <c r="AC16" s="301">
        <v>14</v>
      </c>
      <c r="AD16" s="59" t="s">
        <v>22</v>
      </c>
      <c r="AE16" s="60"/>
      <c r="AF16" s="45"/>
      <c r="AG16" s="331"/>
      <c r="AH16" s="63">
        <f>AH13+AH14+AH15</f>
        <v>193477916.1633333</v>
      </c>
    </row>
    <row r="17" spans="1:34" ht="34.5" customHeight="1" thickBot="1" x14ac:dyDescent="0.3">
      <c r="A17" s="302">
        <v>15</v>
      </c>
      <c r="B17" s="58" t="s">
        <v>23</v>
      </c>
      <c r="C17" s="41"/>
      <c r="D17" s="45"/>
      <c r="E17" s="46"/>
      <c r="F17" s="271">
        <f>F16*0.03</f>
        <v>3888810.0935999998</v>
      </c>
      <c r="H17" s="302">
        <v>15</v>
      </c>
      <c r="I17" s="58" t="s">
        <v>23</v>
      </c>
      <c r="J17" s="41"/>
      <c r="K17" s="45"/>
      <c r="L17" s="46"/>
      <c r="M17" s="271">
        <f>M16*0.03</f>
        <v>4192550.0382999997</v>
      </c>
      <c r="O17" s="302">
        <v>15</v>
      </c>
      <c r="P17" s="58" t="s">
        <v>23</v>
      </c>
      <c r="Q17" s="41"/>
      <c r="R17" s="45"/>
      <c r="S17" s="46"/>
      <c r="T17" s="271">
        <f>T16*0.03</f>
        <v>4403913.0741999997</v>
      </c>
      <c r="V17" s="302">
        <v>15</v>
      </c>
      <c r="W17" s="58" t="s">
        <v>23</v>
      </c>
      <c r="X17" s="41"/>
      <c r="Y17" s="45"/>
      <c r="Z17" s="334"/>
      <c r="AA17" s="271">
        <f>AA16*0.03</f>
        <v>4212217.5149999997</v>
      </c>
      <c r="AC17" s="302">
        <v>15</v>
      </c>
      <c r="AD17" s="58" t="s">
        <v>23</v>
      </c>
      <c r="AE17" s="41"/>
      <c r="AF17" s="45"/>
      <c r="AG17" s="334"/>
      <c r="AH17" s="271">
        <f>AH16*0.03</f>
        <v>5804337.4848999986</v>
      </c>
    </row>
    <row r="18" spans="1:34" ht="28.5" customHeight="1" thickBot="1" x14ac:dyDescent="0.3">
      <c r="A18" s="302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2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2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2">
        <v>16</v>
      </c>
      <c r="W18" s="264" t="s">
        <v>36</v>
      </c>
      <c r="X18" s="265"/>
      <c r="Y18" s="266"/>
      <c r="Z18" s="335"/>
      <c r="AA18" s="47">
        <f>AA16+AA17</f>
        <v>144619468.01499999</v>
      </c>
      <c r="AC18" s="302">
        <v>16</v>
      </c>
      <c r="AD18" s="264" t="s">
        <v>36</v>
      </c>
      <c r="AE18" s="265"/>
      <c r="AF18" s="266"/>
      <c r="AG18" s="335"/>
      <c r="AH18" s="47">
        <f>AH16+AH17</f>
        <v>199282253.64823329</v>
      </c>
    </row>
    <row r="19" spans="1:34" ht="66" customHeight="1" thickBot="1" x14ac:dyDescent="0.3">
      <c r="A19" s="329">
        <v>17</v>
      </c>
      <c r="B19" s="58" t="s">
        <v>194</v>
      </c>
      <c r="C19" s="41"/>
      <c r="D19" s="45"/>
      <c r="E19" s="46"/>
      <c r="F19" s="47">
        <v>0</v>
      </c>
      <c r="H19" s="329">
        <v>17</v>
      </c>
      <c r="I19" s="58" t="s">
        <v>194</v>
      </c>
      <c r="J19" s="41"/>
      <c r="K19" s="45"/>
      <c r="L19" s="46"/>
      <c r="M19" s="47">
        <f>M18*1.033</f>
        <v>148694377.17502722</v>
      </c>
      <c r="O19" s="329">
        <v>17</v>
      </c>
      <c r="P19" s="58" t="s">
        <v>194</v>
      </c>
      <c r="Q19" s="41"/>
      <c r="R19" s="45"/>
      <c r="S19" s="46"/>
      <c r="T19" s="47">
        <f>T18*1.033</f>
        <v>156190649.06060192</v>
      </c>
      <c r="V19" s="329">
        <v>17</v>
      </c>
      <c r="W19" s="281" t="s">
        <v>195</v>
      </c>
      <c r="X19" s="282">
        <v>1.0329999999999999</v>
      </c>
      <c r="Y19" s="340"/>
      <c r="Z19" s="341"/>
      <c r="AA19" s="47">
        <f>AA18*1.033</f>
        <v>149391910.45949498</v>
      </c>
      <c r="AC19" s="329">
        <v>17</v>
      </c>
      <c r="AD19" s="281" t="s">
        <v>195</v>
      </c>
      <c r="AE19" s="282">
        <v>1.0329999999999999</v>
      </c>
      <c r="AF19" s="340"/>
      <c r="AG19" s="341"/>
      <c r="AH19" s="47">
        <f>AH18*1.033</f>
        <v>205858568.01862499</v>
      </c>
    </row>
    <row r="20" spans="1:34" ht="39" customHeight="1" thickBot="1" x14ac:dyDescent="0.3">
      <c r="A20" s="305">
        <v>18</v>
      </c>
      <c r="B20" s="64" t="s">
        <v>190</v>
      </c>
      <c r="C20" s="48"/>
      <c r="D20" s="65"/>
      <c r="E20" s="44"/>
      <c r="F20" s="66">
        <v>159709185.41</v>
      </c>
      <c r="H20" s="305">
        <v>18</v>
      </c>
      <c r="I20" s="64" t="s">
        <v>190</v>
      </c>
      <c r="J20" s="48"/>
      <c r="K20" s="65"/>
      <c r="L20" s="44"/>
      <c r="M20" s="66">
        <v>174949743.41</v>
      </c>
      <c r="O20" s="305">
        <v>18</v>
      </c>
      <c r="P20" s="64" t="s">
        <v>190</v>
      </c>
      <c r="Q20" s="48"/>
      <c r="R20" s="65"/>
      <c r="S20" s="44"/>
      <c r="T20" s="66">
        <v>182489154.27000001</v>
      </c>
      <c r="V20" s="305">
        <v>18</v>
      </c>
      <c r="W20" s="64" t="s">
        <v>190</v>
      </c>
      <c r="X20" s="48"/>
      <c r="Y20" s="393"/>
      <c r="Z20" s="394"/>
      <c r="AA20" s="66">
        <v>174454214.74000001</v>
      </c>
      <c r="AC20" s="305">
        <v>18</v>
      </c>
      <c r="AD20" s="64" t="s">
        <v>215</v>
      </c>
      <c r="AE20" s="48"/>
      <c r="AF20" s="393"/>
      <c r="AG20" s="394"/>
      <c r="AH20" s="66">
        <v>183333334.31999999</v>
      </c>
    </row>
    <row r="21" spans="1:34" ht="25.5" customHeight="1" thickBot="1" x14ac:dyDescent="0.3">
      <c r="A21" s="302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19"/>
      <c r="H21" s="302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19"/>
      <c r="O21" s="302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2">
        <v>19</v>
      </c>
      <c r="W21" s="58" t="s">
        <v>33</v>
      </c>
      <c r="X21" s="41"/>
      <c r="Y21" s="45"/>
      <c r="Z21" s="334"/>
      <c r="AA21" s="47">
        <f>AA20*0.2</f>
        <v>34890842.948000006</v>
      </c>
      <c r="AC21" s="302">
        <v>19</v>
      </c>
      <c r="AD21" s="58" t="s">
        <v>33</v>
      </c>
      <c r="AE21" s="41"/>
      <c r="AF21" s="45"/>
      <c r="AG21" s="334"/>
      <c r="AH21" s="47">
        <f>AH20*0.2</f>
        <v>36666666.864</v>
      </c>
    </row>
    <row r="22" spans="1:34" ht="15.75" thickBot="1" x14ac:dyDescent="0.3">
      <c r="A22" s="301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0"/>
      <c r="H22" s="301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0"/>
      <c r="O22" s="301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1">
        <v>20</v>
      </c>
      <c r="W22" s="59" t="s">
        <v>34</v>
      </c>
      <c r="X22" s="60"/>
      <c r="Y22" s="61"/>
      <c r="Z22" s="331"/>
      <c r="AA22" s="107">
        <f>AA20+AA21</f>
        <v>209345057.68800002</v>
      </c>
      <c r="AC22" s="301">
        <v>20</v>
      </c>
      <c r="AD22" s="59" t="s">
        <v>34</v>
      </c>
      <c r="AE22" s="60"/>
      <c r="AF22" s="61"/>
      <c r="AG22" s="331"/>
      <c r="AH22" s="107">
        <f>AH20+AH21</f>
        <v>220000001.18399999</v>
      </c>
    </row>
    <row r="24" spans="1:34" ht="44.25" customHeight="1" x14ac:dyDescent="0.25">
      <c r="A24" s="35" t="s">
        <v>205</v>
      </c>
      <c r="B24" s="342" t="s">
        <v>203</v>
      </c>
      <c r="C24" s="342">
        <v>121.3</v>
      </c>
      <c r="D24" s="342"/>
      <c r="E24" s="307"/>
      <c r="F24" s="270">
        <v>646623.74</v>
      </c>
      <c r="G24" s="270"/>
      <c r="H24" s="35" t="s">
        <v>205</v>
      </c>
      <c r="I24" s="342" t="s">
        <v>203</v>
      </c>
      <c r="J24" s="342">
        <v>121.3</v>
      </c>
      <c r="K24" s="342"/>
      <c r="L24" s="307"/>
      <c r="M24" s="270">
        <v>646623.74</v>
      </c>
      <c r="N24" s="270"/>
      <c r="O24" s="35" t="s">
        <v>205</v>
      </c>
      <c r="P24" s="342" t="s">
        <v>203</v>
      </c>
      <c r="Q24" s="342">
        <v>121.3</v>
      </c>
      <c r="R24" s="342"/>
      <c r="S24" s="307"/>
      <c r="T24" s="270">
        <v>646623.74</v>
      </c>
      <c r="U24" s="270"/>
      <c r="V24" s="35" t="s">
        <v>205</v>
      </c>
      <c r="W24" s="342" t="s">
        <v>203</v>
      </c>
      <c r="X24" s="342">
        <v>121.3</v>
      </c>
      <c r="Y24" s="342"/>
      <c r="Z24" s="307"/>
      <c r="AA24" s="270">
        <v>646623.74</v>
      </c>
      <c r="AC24" s="35" t="s">
        <v>205</v>
      </c>
      <c r="AD24" s="342" t="s">
        <v>203</v>
      </c>
      <c r="AE24" s="342">
        <v>121.3</v>
      </c>
      <c r="AF24" s="342"/>
      <c r="AG24" s="307"/>
      <c r="AH24" s="270">
        <v>646623.74</v>
      </c>
    </row>
    <row r="25" spans="1:34" ht="44.25" customHeight="1" x14ac:dyDescent="0.25">
      <c r="A25" s="35" t="s">
        <v>205</v>
      </c>
      <c r="B25" s="342" t="s">
        <v>204</v>
      </c>
      <c r="C25" s="342">
        <v>53.09</v>
      </c>
      <c r="D25" s="342"/>
      <c r="E25" s="307"/>
      <c r="F25" s="270">
        <v>455242.52</v>
      </c>
      <c r="G25" s="270"/>
      <c r="H25" s="35" t="s">
        <v>205</v>
      </c>
      <c r="I25" s="342" t="s">
        <v>204</v>
      </c>
      <c r="J25" s="342">
        <v>53.09</v>
      </c>
      <c r="K25" s="342"/>
      <c r="L25" s="307"/>
      <c r="M25" s="270">
        <v>455242.52</v>
      </c>
      <c r="N25" s="270"/>
      <c r="O25" s="35" t="s">
        <v>205</v>
      </c>
      <c r="P25" s="342" t="s">
        <v>204</v>
      </c>
      <c r="Q25" s="342">
        <v>53.09</v>
      </c>
      <c r="R25" s="342"/>
      <c r="S25" s="307"/>
      <c r="T25" s="270">
        <v>455242.52</v>
      </c>
      <c r="U25" s="270"/>
      <c r="V25" s="35" t="s">
        <v>205</v>
      </c>
      <c r="W25" s="342" t="s">
        <v>204</v>
      </c>
      <c r="X25" s="342">
        <v>53.09</v>
      </c>
      <c r="Y25" s="342"/>
      <c r="Z25" s="307"/>
      <c r="AA25" s="270">
        <v>455242.52</v>
      </c>
      <c r="AC25" s="35" t="s">
        <v>205</v>
      </c>
      <c r="AD25" s="342" t="s">
        <v>204</v>
      </c>
      <c r="AE25" s="342">
        <v>53.09</v>
      </c>
      <c r="AF25" s="342"/>
      <c r="AG25" s="307"/>
      <c r="AH25" s="270">
        <v>455242.52</v>
      </c>
    </row>
    <row r="26" spans="1:34" ht="23.25" customHeight="1" x14ac:dyDescent="0.25">
      <c r="A26"/>
      <c r="B26" s="342"/>
      <c r="C26" s="342"/>
      <c r="D26" s="342"/>
      <c r="E26" s="307"/>
      <c r="F26" s="330">
        <f>F22+F24+F25</f>
        <v>192752888.752</v>
      </c>
      <c r="G26" s="270"/>
      <c r="H26"/>
      <c r="I26" s="342"/>
      <c r="J26" s="342"/>
      <c r="K26" s="342"/>
      <c r="L26" s="307"/>
      <c r="M26" s="330">
        <f>M22+M24+M25</f>
        <v>211041558.35200003</v>
      </c>
      <c r="N26" s="270"/>
      <c r="O26"/>
      <c r="P26" s="342"/>
      <c r="Q26" s="342"/>
      <c r="R26" s="342"/>
      <c r="S26" s="307"/>
      <c r="T26" s="330">
        <f>T22+T24+T25</f>
        <v>220088851.38400003</v>
      </c>
      <c r="U26" s="270"/>
      <c r="V26"/>
      <c r="W26" s="342"/>
      <c r="X26" s="342"/>
      <c r="Y26" s="342"/>
      <c r="Z26" s="307"/>
      <c r="AA26" s="330">
        <f>AA22+AA24+AA25</f>
        <v>210446923.94800004</v>
      </c>
      <c r="AC26"/>
      <c r="AD26" s="342"/>
      <c r="AE26" s="342"/>
      <c r="AF26" s="342"/>
      <c r="AG26" s="307"/>
      <c r="AH26" s="330">
        <f>AH22+AH24+AH25</f>
        <v>221101867.44400001</v>
      </c>
    </row>
    <row r="27" spans="1:34" ht="44.25" customHeight="1" x14ac:dyDescent="0.25">
      <c r="A27"/>
      <c r="B27" s="342"/>
      <c r="C27" s="342"/>
      <c r="D27" s="342"/>
      <c r="E27" s="307"/>
      <c r="F27" s="270"/>
      <c r="G27" s="270"/>
      <c r="H27"/>
      <c r="I27" s="342"/>
      <c r="J27" s="342"/>
      <c r="K27" s="342"/>
      <c r="L27" s="307"/>
      <c r="M27" s="270"/>
      <c r="N27" s="270"/>
      <c r="O27"/>
      <c r="P27" s="342"/>
      <c r="Q27" s="342"/>
      <c r="R27" s="342"/>
      <c r="S27" s="307"/>
      <c r="T27" s="270"/>
      <c r="U27" s="270"/>
      <c r="V27"/>
      <c r="W27" s="342"/>
      <c r="X27" s="342"/>
      <c r="Y27" s="307"/>
      <c r="Z27" s="307"/>
      <c r="AA27" s="270"/>
      <c r="AC27"/>
      <c r="AD27" s="342"/>
      <c r="AE27" s="342"/>
      <c r="AF27" s="307"/>
      <c r="AG27" s="307"/>
      <c r="AH27" s="270"/>
    </row>
    <row r="28" spans="1:34" ht="37.5" customHeight="1" x14ac:dyDescent="0.25">
      <c r="A28"/>
      <c r="B28" s="395" t="s">
        <v>185</v>
      </c>
      <c r="C28" s="395"/>
      <c r="D28" s="395"/>
      <c r="E28" s="307"/>
      <c r="F28" s="270">
        <f>F22/D13</f>
        <v>92227.530813888574</v>
      </c>
      <c r="G28" s="270"/>
      <c r="H28"/>
      <c r="I28" s="395" t="s">
        <v>185</v>
      </c>
      <c r="J28" s="395"/>
      <c r="K28" s="395"/>
      <c r="L28" s="307"/>
      <c r="M28" s="270">
        <f>M22/K13</f>
        <v>101028.52137030179</v>
      </c>
      <c r="N28" s="270"/>
      <c r="O28"/>
      <c r="P28" s="395" t="s">
        <v>185</v>
      </c>
      <c r="Q28" s="395"/>
      <c r="R28" s="395"/>
      <c r="S28" s="307"/>
      <c r="T28" s="270">
        <f>T22/R13</f>
        <v>105382.31758824732</v>
      </c>
      <c r="U28" s="270"/>
      <c r="V28"/>
      <c r="W28" s="270"/>
      <c r="X28" s="270"/>
      <c r="Y28" s="307"/>
      <c r="Z28" s="307"/>
      <c r="AA28" s="270">
        <f>AA22/Y13</f>
        <v>100742.36759921927</v>
      </c>
      <c r="AC28"/>
      <c r="AD28" s="270"/>
      <c r="AE28" s="270"/>
      <c r="AF28" s="307"/>
      <c r="AG28" s="307"/>
      <c r="AH28" s="270"/>
    </row>
  </sheetData>
  <mergeCells count="62">
    <mergeCell ref="B28:D28"/>
    <mergeCell ref="I28:K28"/>
    <mergeCell ref="P28:R28"/>
    <mergeCell ref="D12:E12"/>
    <mergeCell ref="K12:L12"/>
    <mergeCell ref="R12:S12"/>
    <mergeCell ref="Y12:Z12"/>
    <mergeCell ref="AF12:AG12"/>
    <mergeCell ref="Y20:Z20"/>
    <mergeCell ref="AF20:AG20"/>
    <mergeCell ref="AF10:AG10"/>
    <mergeCell ref="D11:E11"/>
    <mergeCell ref="K11:L11"/>
    <mergeCell ref="R11:S11"/>
    <mergeCell ref="Y11:Z11"/>
    <mergeCell ref="AF11:AG11"/>
    <mergeCell ref="D9:E9"/>
    <mergeCell ref="K9:L9"/>
    <mergeCell ref="R9:S9"/>
    <mergeCell ref="Y9:Z9"/>
    <mergeCell ref="D10:E10"/>
    <mergeCell ref="K10:L10"/>
    <mergeCell ref="R10:S10"/>
    <mergeCell ref="Y10:Z10"/>
    <mergeCell ref="D7:E7"/>
    <mergeCell ref="K7:L7"/>
    <mergeCell ref="R7:S7"/>
    <mergeCell ref="Y7:Z7"/>
    <mergeCell ref="D8:E8"/>
    <mergeCell ref="K8:L8"/>
    <mergeCell ref="R8:S8"/>
    <mergeCell ref="Y8:Z8"/>
    <mergeCell ref="AF3:AG9"/>
    <mergeCell ref="AH3:AH9"/>
    <mergeCell ref="D4:E4"/>
    <mergeCell ref="K4:L4"/>
    <mergeCell ref="R4:S4"/>
    <mergeCell ref="Y4:Z4"/>
    <mergeCell ref="D5:E5"/>
    <mergeCell ref="K5:L5"/>
    <mergeCell ref="R5:S5"/>
    <mergeCell ref="Y5:Z5"/>
    <mergeCell ref="D3:E3"/>
    <mergeCell ref="K3:L3"/>
    <mergeCell ref="R3:S3"/>
    <mergeCell ref="Y3:Z3"/>
    <mergeCell ref="AD3:AD9"/>
    <mergeCell ref="AE3:AE9"/>
    <mergeCell ref="D6:E6"/>
    <mergeCell ref="K6:L6"/>
    <mergeCell ref="R6:S6"/>
    <mergeCell ref="Y6:Z6"/>
    <mergeCell ref="A1:F1"/>
    <mergeCell ref="H1:M1"/>
    <mergeCell ref="O1:T1"/>
    <mergeCell ref="W1:AA1"/>
    <mergeCell ref="AD1:AH1"/>
    <mergeCell ref="D2:E2"/>
    <mergeCell ref="K2:L2"/>
    <mergeCell ref="R2:S2"/>
    <mergeCell ref="Y2:Z2"/>
    <mergeCell ref="AF2:AG2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D9C-85B8-404F-A1F8-46630AA67FF9}">
  <sheetPr>
    <tabColor rgb="FFFF0000"/>
  </sheetPr>
  <dimension ref="A1:CG28"/>
  <sheetViews>
    <sheetView topLeftCell="G15" zoomScale="80" zoomScaleNormal="80" workbookViewId="0">
      <selection activeCell="I38" sqref="I38"/>
    </sheetView>
  </sheetViews>
  <sheetFormatPr defaultRowHeight="15" x14ac:dyDescent="0.25"/>
  <cols>
    <col min="1" max="1" width="7.5703125" style="306" customWidth="1"/>
    <col min="2" max="2" width="18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3.42578125" customWidth="1"/>
    <col min="8" max="8" width="7.5703125" style="306" customWidth="1"/>
    <col min="9" max="9" width="37.42578125" customWidth="1"/>
    <col min="10" max="10" width="11.5703125" customWidth="1"/>
    <col min="11" max="11" width="8.5703125" customWidth="1"/>
    <col min="12" max="12" width="7.85546875" customWidth="1"/>
    <col min="13" max="13" width="19.28515625" customWidth="1"/>
    <col min="14" max="14" width="2.42578125" customWidth="1"/>
    <col min="15" max="15" width="7.5703125" style="306" customWidth="1"/>
    <col min="16" max="16" width="37.42578125" customWidth="1"/>
    <col min="17" max="17" width="11.5703125" customWidth="1"/>
    <col min="18" max="18" width="8.5703125" customWidth="1"/>
    <col min="19" max="19" width="7.85546875" customWidth="1"/>
    <col min="20" max="20" width="19.28515625" customWidth="1"/>
    <col min="21" max="21" width="3" customWidth="1"/>
    <col min="22" max="22" width="3.140625" style="306" customWidth="1"/>
    <col min="23" max="23" width="34" customWidth="1"/>
    <col min="24" max="24" width="11.5703125" customWidth="1"/>
    <col min="25" max="25" width="8.5703125" customWidth="1"/>
    <col min="26" max="26" width="9.42578125" customWidth="1"/>
    <col min="27" max="27" width="22.28515625" customWidth="1"/>
    <col min="28" max="28" width="4" customWidth="1"/>
    <col min="29" max="29" width="3.140625" style="306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16" t="s">
        <v>209</v>
      </c>
      <c r="B1" s="417"/>
      <c r="C1" s="417"/>
      <c r="D1" s="417"/>
      <c r="E1" s="417"/>
      <c r="F1" s="418"/>
      <c r="G1" s="321"/>
      <c r="H1" s="410" t="s">
        <v>193</v>
      </c>
      <c r="I1" s="411"/>
      <c r="J1" s="411"/>
      <c r="K1" s="411"/>
      <c r="L1" s="411"/>
      <c r="M1" s="412"/>
      <c r="N1" s="321"/>
      <c r="O1" s="410" t="s">
        <v>206</v>
      </c>
      <c r="P1" s="411"/>
      <c r="Q1" s="411"/>
      <c r="R1" s="411"/>
      <c r="S1" s="411"/>
      <c r="T1" s="412"/>
      <c r="V1" s="327"/>
      <c r="W1" s="411" t="s">
        <v>207</v>
      </c>
      <c r="X1" s="411"/>
      <c r="Y1" s="411"/>
      <c r="Z1" s="411"/>
      <c r="AA1" s="412"/>
      <c r="AC1" s="327"/>
      <c r="AD1" s="411" t="s">
        <v>208</v>
      </c>
      <c r="AE1" s="411"/>
      <c r="AF1" s="411"/>
      <c r="AG1" s="411"/>
      <c r="AH1" s="412"/>
    </row>
    <row r="2" spans="1:85" ht="27.75" customHeight="1" thickBot="1" x14ac:dyDescent="0.3">
      <c r="A2" s="296" t="s">
        <v>58</v>
      </c>
      <c r="B2" s="55" t="s">
        <v>69</v>
      </c>
      <c r="C2" s="314" t="s">
        <v>18</v>
      </c>
      <c r="D2" s="362" t="s">
        <v>21</v>
      </c>
      <c r="E2" s="363"/>
      <c r="F2" s="57" t="s">
        <v>32</v>
      </c>
      <c r="H2" s="296" t="s">
        <v>58</v>
      </c>
      <c r="I2" s="55" t="s">
        <v>69</v>
      </c>
      <c r="J2" s="314" t="s">
        <v>18</v>
      </c>
      <c r="K2" s="362" t="s">
        <v>21</v>
      </c>
      <c r="L2" s="363"/>
      <c r="M2" s="57" t="s">
        <v>32</v>
      </c>
      <c r="O2" s="296" t="s">
        <v>58</v>
      </c>
      <c r="P2" s="55" t="s">
        <v>69</v>
      </c>
      <c r="Q2" s="314" t="s">
        <v>18</v>
      </c>
      <c r="R2" s="362" t="s">
        <v>21</v>
      </c>
      <c r="S2" s="363"/>
      <c r="T2" s="57" t="s">
        <v>32</v>
      </c>
      <c r="V2" s="296" t="s">
        <v>58</v>
      </c>
      <c r="W2" s="55" t="s">
        <v>69</v>
      </c>
      <c r="X2" s="314" t="s">
        <v>18</v>
      </c>
      <c r="Y2" s="362" t="s">
        <v>21</v>
      </c>
      <c r="Z2" s="363"/>
      <c r="AA2" s="57" t="s">
        <v>32</v>
      </c>
      <c r="AC2" s="296" t="s">
        <v>58</v>
      </c>
      <c r="AD2" s="55" t="s">
        <v>69</v>
      </c>
      <c r="AE2" s="314" t="s">
        <v>18</v>
      </c>
      <c r="AF2" s="362" t="s">
        <v>21</v>
      </c>
      <c r="AG2" s="363"/>
      <c r="AH2" s="57" t="s">
        <v>32</v>
      </c>
    </row>
    <row r="3" spans="1:85" x14ac:dyDescent="0.25">
      <c r="A3" s="297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v>10022991.91</v>
      </c>
      <c r="H3" s="297">
        <v>1</v>
      </c>
      <c r="I3" s="84" t="s">
        <v>0</v>
      </c>
      <c r="J3" s="85" t="s">
        <v>19</v>
      </c>
      <c r="K3" s="364">
        <f>404.352+9.256</f>
        <v>413.60799999999995</v>
      </c>
      <c r="L3" s="365"/>
      <c r="M3" s="86">
        <v>10022991.91</v>
      </c>
      <c r="O3" s="297">
        <v>1</v>
      </c>
      <c r="P3" s="84" t="s">
        <v>0</v>
      </c>
      <c r="Q3" s="85" t="s">
        <v>19</v>
      </c>
      <c r="R3" s="364">
        <f>404.352+9.256</f>
        <v>413.60799999999995</v>
      </c>
      <c r="S3" s="365"/>
      <c r="T3" s="86">
        <v>10022991.91</v>
      </c>
      <c r="V3" s="297">
        <v>1</v>
      </c>
      <c r="W3" s="84" t="s">
        <v>0</v>
      </c>
      <c r="X3" s="85" t="s">
        <v>19</v>
      </c>
      <c r="Y3" s="364">
        <f>404.352+9.256</f>
        <v>413.60799999999995</v>
      </c>
      <c r="Z3" s="365"/>
      <c r="AA3" s="86">
        <v>10022991.91</v>
      </c>
      <c r="AC3" s="297">
        <v>1</v>
      </c>
      <c r="AD3" s="366" t="s">
        <v>47</v>
      </c>
      <c r="AE3" s="407" t="s">
        <v>19</v>
      </c>
      <c r="AF3" s="375">
        <v>2078.02</v>
      </c>
      <c r="AG3" s="376"/>
      <c r="AH3" s="404">
        <v>162211085.97999999</v>
      </c>
    </row>
    <row r="4" spans="1:85" ht="60" x14ac:dyDescent="0.25">
      <c r="A4" s="298">
        <v>2</v>
      </c>
      <c r="B4" s="87" t="s">
        <v>154</v>
      </c>
      <c r="C4" s="88" t="s">
        <v>19</v>
      </c>
      <c r="D4" s="364">
        <f>676.624+295.152</f>
        <v>971.77600000000007</v>
      </c>
      <c r="E4" s="365"/>
      <c r="F4" s="89">
        <f>28449520.75+12410042.86</f>
        <v>40859563.609999999</v>
      </c>
      <c r="H4" s="298">
        <v>2</v>
      </c>
      <c r="I4" s="87" t="s">
        <v>154</v>
      </c>
      <c r="J4" s="88" t="s">
        <v>19</v>
      </c>
      <c r="K4" s="364">
        <f>676.624+295.152</f>
        <v>971.77600000000007</v>
      </c>
      <c r="L4" s="365"/>
      <c r="M4" s="89">
        <f>28449520.75+12410042.86</f>
        <v>40859563.609999999</v>
      </c>
      <c r="O4" s="298">
        <v>2</v>
      </c>
      <c r="P4" s="87" t="s">
        <v>154</v>
      </c>
      <c r="Q4" s="88" t="s">
        <v>19</v>
      </c>
      <c r="R4" s="364">
        <f>676.624+295.152</f>
        <v>971.77600000000007</v>
      </c>
      <c r="S4" s="365"/>
      <c r="T4" s="89">
        <f>28449520.75+12410042.86</f>
        <v>40859563.609999999</v>
      </c>
      <c r="V4" s="298">
        <v>2</v>
      </c>
      <c r="W4" s="87" t="s">
        <v>154</v>
      </c>
      <c r="X4" s="88" t="s">
        <v>19</v>
      </c>
      <c r="Y4" s="364">
        <f>676.624+295.152</f>
        <v>971.77600000000007</v>
      </c>
      <c r="Z4" s="365"/>
      <c r="AA4" s="89">
        <f>28449520.75+12410042.86</f>
        <v>40859563.609999999</v>
      </c>
      <c r="AC4" s="298">
        <v>2</v>
      </c>
      <c r="AD4" s="367"/>
      <c r="AE4" s="408"/>
      <c r="AF4" s="377"/>
      <c r="AG4" s="378"/>
      <c r="AH4" s="405"/>
    </row>
    <row r="5" spans="1:85" ht="30" x14ac:dyDescent="0.25">
      <c r="A5" s="298">
        <v>3</v>
      </c>
      <c r="B5" s="87" t="s">
        <v>8</v>
      </c>
      <c r="C5" s="88" t="s">
        <v>19</v>
      </c>
      <c r="D5" s="381">
        <v>284.85599999999999</v>
      </c>
      <c r="E5" s="382"/>
      <c r="F5" s="89">
        <v>29847559.98</v>
      </c>
      <c r="H5" s="298">
        <v>3</v>
      </c>
      <c r="I5" s="87" t="s">
        <v>8</v>
      </c>
      <c r="J5" s="88" t="s">
        <v>19</v>
      </c>
      <c r="K5" s="381">
        <v>284.85599999999999</v>
      </c>
      <c r="L5" s="382"/>
      <c r="M5" s="89">
        <v>29847559.98</v>
      </c>
      <c r="O5" s="298">
        <v>3</v>
      </c>
      <c r="P5" s="87" t="s">
        <v>8</v>
      </c>
      <c r="Q5" s="88" t="s">
        <v>19</v>
      </c>
      <c r="R5" s="381">
        <v>284.85599999999999</v>
      </c>
      <c r="S5" s="382"/>
      <c r="T5" s="89">
        <v>29847559.98</v>
      </c>
      <c r="V5" s="298">
        <v>3</v>
      </c>
      <c r="W5" s="87" t="s">
        <v>8</v>
      </c>
      <c r="X5" s="88" t="s">
        <v>19</v>
      </c>
      <c r="Y5" s="381">
        <v>284.85599999999999</v>
      </c>
      <c r="Z5" s="382"/>
      <c r="AA5" s="89">
        <v>29847559.98</v>
      </c>
      <c r="AC5" s="298">
        <v>3</v>
      </c>
      <c r="AD5" s="367"/>
      <c r="AE5" s="408"/>
      <c r="AF5" s="377"/>
      <c r="AG5" s="378"/>
      <c r="AH5" s="405"/>
    </row>
    <row r="6" spans="1:85" x14ac:dyDescent="0.25">
      <c r="A6" s="298">
        <v>4</v>
      </c>
      <c r="B6" s="87" t="s">
        <v>1</v>
      </c>
      <c r="C6" s="88" t="s">
        <v>19</v>
      </c>
      <c r="D6" s="381">
        <v>103.27200000000001</v>
      </c>
      <c r="E6" s="382"/>
      <c r="F6" s="89">
        <v>6218924.8699999992</v>
      </c>
      <c r="H6" s="298">
        <v>4</v>
      </c>
      <c r="I6" s="87" t="s">
        <v>1</v>
      </c>
      <c r="J6" s="88" t="s">
        <v>19</v>
      </c>
      <c r="K6" s="381">
        <v>103.27200000000001</v>
      </c>
      <c r="L6" s="382"/>
      <c r="M6" s="89">
        <v>6218924.8699999992</v>
      </c>
      <c r="O6" s="298">
        <v>4</v>
      </c>
      <c r="P6" s="87" t="s">
        <v>1</v>
      </c>
      <c r="Q6" s="88" t="s">
        <v>19</v>
      </c>
      <c r="R6" s="381">
        <v>103.27200000000001</v>
      </c>
      <c r="S6" s="382"/>
      <c r="T6" s="89">
        <v>6218924.8699999992</v>
      </c>
      <c r="V6" s="298">
        <v>4</v>
      </c>
      <c r="W6" s="87" t="s">
        <v>1</v>
      </c>
      <c r="X6" s="88" t="s">
        <v>19</v>
      </c>
      <c r="Y6" s="381">
        <v>103.27200000000001</v>
      </c>
      <c r="Z6" s="382"/>
      <c r="AA6" s="89">
        <v>6218924.8699999992</v>
      </c>
      <c r="AC6" s="298">
        <v>4</v>
      </c>
      <c r="AD6" s="367"/>
      <c r="AE6" s="408"/>
      <c r="AF6" s="377"/>
      <c r="AG6" s="378"/>
      <c r="AH6" s="405"/>
    </row>
    <row r="7" spans="1:85" ht="30" x14ac:dyDescent="0.25">
      <c r="A7" s="298">
        <v>5</v>
      </c>
      <c r="B7" s="87" t="s">
        <v>2</v>
      </c>
      <c r="C7" s="88" t="s">
        <v>19</v>
      </c>
      <c r="D7" s="381">
        <v>66.872</v>
      </c>
      <c r="E7" s="382"/>
      <c r="F7" s="89">
        <v>4525782.0099999988</v>
      </c>
      <c r="H7" s="298">
        <v>5</v>
      </c>
      <c r="I7" s="87" t="s">
        <v>2</v>
      </c>
      <c r="J7" s="88" t="s">
        <v>19</v>
      </c>
      <c r="K7" s="381">
        <v>66.872</v>
      </c>
      <c r="L7" s="382"/>
      <c r="M7" s="89">
        <v>4525782.0099999988</v>
      </c>
      <c r="O7" s="298">
        <v>5</v>
      </c>
      <c r="P7" s="87" t="s">
        <v>2</v>
      </c>
      <c r="Q7" s="88" t="s">
        <v>19</v>
      </c>
      <c r="R7" s="381">
        <v>66.872</v>
      </c>
      <c r="S7" s="382"/>
      <c r="T7" s="89">
        <v>4525782.0099999988</v>
      </c>
      <c r="V7" s="298">
        <v>5</v>
      </c>
      <c r="W7" s="87" t="s">
        <v>2</v>
      </c>
      <c r="X7" s="88" t="s">
        <v>19</v>
      </c>
      <c r="Y7" s="381">
        <v>66.872</v>
      </c>
      <c r="Z7" s="382"/>
      <c r="AA7" s="89">
        <v>4525782.0099999988</v>
      </c>
      <c r="AC7" s="298">
        <v>5</v>
      </c>
      <c r="AD7" s="367"/>
      <c r="AE7" s="408"/>
      <c r="AF7" s="377"/>
      <c r="AG7" s="378"/>
      <c r="AH7" s="405"/>
    </row>
    <row r="8" spans="1:85" x14ac:dyDescent="0.25">
      <c r="A8" s="298">
        <v>6</v>
      </c>
      <c r="B8" s="87" t="s">
        <v>3</v>
      </c>
      <c r="C8" s="88" t="s">
        <v>19</v>
      </c>
      <c r="D8" s="381">
        <v>233.27199999999999</v>
      </c>
      <c r="E8" s="382"/>
      <c r="F8" s="89">
        <v>17401032.069999997</v>
      </c>
      <c r="H8" s="298">
        <v>6</v>
      </c>
      <c r="I8" s="87" t="s">
        <v>3</v>
      </c>
      <c r="J8" s="88" t="s">
        <v>19</v>
      </c>
      <c r="K8" s="381">
        <v>233.27199999999999</v>
      </c>
      <c r="L8" s="382"/>
      <c r="M8" s="89">
        <v>17401032.069999997</v>
      </c>
      <c r="O8" s="298">
        <v>6</v>
      </c>
      <c r="P8" s="87" t="s">
        <v>3</v>
      </c>
      <c r="Q8" s="88" t="s">
        <v>19</v>
      </c>
      <c r="R8" s="381">
        <v>233.27199999999999</v>
      </c>
      <c r="S8" s="382"/>
      <c r="T8" s="89">
        <v>17401032.069999997</v>
      </c>
      <c r="V8" s="298">
        <v>6</v>
      </c>
      <c r="W8" s="87" t="s">
        <v>3</v>
      </c>
      <c r="X8" s="88" t="s">
        <v>19</v>
      </c>
      <c r="Y8" s="381">
        <v>233.27199999999999</v>
      </c>
      <c r="Z8" s="382"/>
      <c r="AA8" s="89">
        <v>17401032.069999997</v>
      </c>
      <c r="AC8" s="298">
        <v>6</v>
      </c>
      <c r="AD8" s="367"/>
      <c r="AE8" s="408"/>
      <c r="AF8" s="377"/>
      <c r="AG8" s="378"/>
      <c r="AH8" s="405"/>
    </row>
    <row r="9" spans="1:85" ht="30.75" thickBot="1" x14ac:dyDescent="0.3">
      <c r="A9" s="299">
        <v>7</v>
      </c>
      <c r="B9" s="90" t="s">
        <v>4</v>
      </c>
      <c r="C9" s="91" t="s">
        <v>19</v>
      </c>
      <c r="D9" s="383">
        <v>4.3680000000000003</v>
      </c>
      <c r="E9" s="384"/>
      <c r="F9" s="92">
        <v>714028.58000000007</v>
      </c>
      <c r="H9" s="299">
        <v>7</v>
      </c>
      <c r="I9" s="90" t="s">
        <v>4</v>
      </c>
      <c r="J9" s="91" t="s">
        <v>19</v>
      </c>
      <c r="K9" s="383">
        <v>4.3680000000000003</v>
      </c>
      <c r="L9" s="384"/>
      <c r="M9" s="92">
        <v>714028.58000000007</v>
      </c>
      <c r="O9" s="299">
        <v>7</v>
      </c>
      <c r="P9" s="90" t="s">
        <v>4</v>
      </c>
      <c r="Q9" s="91" t="s">
        <v>19</v>
      </c>
      <c r="R9" s="383">
        <v>4.3680000000000003</v>
      </c>
      <c r="S9" s="384"/>
      <c r="T9" s="92">
        <v>714028.58000000007</v>
      </c>
      <c r="V9" s="299">
        <v>7</v>
      </c>
      <c r="W9" s="90" t="s">
        <v>4</v>
      </c>
      <c r="X9" s="91" t="s">
        <v>19</v>
      </c>
      <c r="Y9" s="383">
        <v>4.3680000000000003</v>
      </c>
      <c r="Z9" s="384"/>
      <c r="AA9" s="92">
        <v>714028.58000000007</v>
      </c>
      <c r="AC9" s="299">
        <v>7</v>
      </c>
      <c r="AD9" s="368"/>
      <c r="AE9" s="409"/>
      <c r="AF9" s="379"/>
      <c r="AG9" s="380"/>
      <c r="AH9" s="406"/>
    </row>
    <row r="10" spans="1:85" s="311" customFormat="1" ht="27" customHeight="1" thickTop="1" x14ac:dyDescent="0.25">
      <c r="A10" s="309">
        <v>8</v>
      </c>
      <c r="B10" s="310" t="s">
        <v>182</v>
      </c>
      <c r="C10" s="42" t="s">
        <v>29</v>
      </c>
      <c r="D10" s="396" t="s">
        <v>157</v>
      </c>
      <c r="E10" s="397"/>
      <c r="F10" s="43">
        <v>3704032.4099999992</v>
      </c>
      <c r="G10" s="25"/>
      <c r="H10" s="309">
        <v>8</v>
      </c>
      <c r="I10" s="310" t="s">
        <v>182</v>
      </c>
      <c r="J10" s="42" t="s">
        <v>29</v>
      </c>
      <c r="K10" s="396" t="s">
        <v>157</v>
      </c>
      <c r="L10" s="397"/>
      <c r="M10" s="43">
        <v>3704032.4099999992</v>
      </c>
      <c r="N10" s="25"/>
      <c r="O10" s="309">
        <v>8</v>
      </c>
      <c r="P10" s="310" t="s">
        <v>182</v>
      </c>
      <c r="Q10" s="42" t="s">
        <v>29</v>
      </c>
      <c r="R10" s="396" t="s">
        <v>157</v>
      </c>
      <c r="S10" s="397"/>
      <c r="T10" s="43">
        <v>3704032.4099999992</v>
      </c>
      <c r="U10"/>
      <c r="V10" s="309">
        <v>8</v>
      </c>
      <c r="W10" s="310" t="s">
        <v>182</v>
      </c>
      <c r="X10" s="42" t="s">
        <v>29</v>
      </c>
      <c r="Y10" s="398" t="s">
        <v>180</v>
      </c>
      <c r="Z10" s="399"/>
      <c r="AA10" s="43">
        <v>3704032.4099999992</v>
      </c>
      <c r="AC10" s="309">
        <v>8</v>
      </c>
      <c r="AD10" s="310" t="s">
        <v>182</v>
      </c>
      <c r="AE10" s="42" t="s">
        <v>29</v>
      </c>
      <c r="AF10" s="398" t="s">
        <v>180</v>
      </c>
      <c r="AG10" s="399"/>
      <c r="AH10" s="43">
        <v>3704032.4099999992</v>
      </c>
    </row>
    <row r="11" spans="1:85" s="311" customFormat="1" ht="24.75" customHeight="1" x14ac:dyDescent="0.25">
      <c r="A11" s="312">
        <v>9</v>
      </c>
      <c r="B11" s="313" t="s">
        <v>28</v>
      </c>
      <c r="C11" s="40" t="s">
        <v>29</v>
      </c>
      <c r="D11" s="400" t="s">
        <v>158</v>
      </c>
      <c r="E11" s="401"/>
      <c r="F11" s="29">
        <v>15227354.290000003</v>
      </c>
      <c r="G11"/>
      <c r="H11" s="312">
        <v>9</v>
      </c>
      <c r="I11" s="313" t="s">
        <v>28</v>
      </c>
      <c r="J11" s="40" t="s">
        <v>29</v>
      </c>
      <c r="K11" s="400" t="s">
        <v>158</v>
      </c>
      <c r="L11" s="401"/>
      <c r="M11" s="29">
        <v>15227354.290000003</v>
      </c>
      <c r="N11"/>
      <c r="O11" s="312">
        <v>9</v>
      </c>
      <c r="P11" s="313" t="s">
        <v>28</v>
      </c>
      <c r="Q11" s="40" t="s">
        <v>29</v>
      </c>
      <c r="R11" s="400" t="s">
        <v>158</v>
      </c>
      <c r="S11" s="401"/>
      <c r="T11" s="29">
        <v>15227354.290000003</v>
      </c>
      <c r="U11"/>
      <c r="V11" s="312">
        <v>9</v>
      </c>
      <c r="W11" s="313" t="s">
        <v>28</v>
      </c>
      <c r="X11" s="40" t="s">
        <v>29</v>
      </c>
      <c r="Y11" s="402" t="s">
        <v>181</v>
      </c>
      <c r="Z11" s="403"/>
      <c r="AA11" s="29">
        <v>15227354.290000003</v>
      </c>
      <c r="AC11" s="312">
        <v>9</v>
      </c>
      <c r="AD11" s="313" t="s">
        <v>28</v>
      </c>
      <c r="AE11" s="40" t="s">
        <v>29</v>
      </c>
      <c r="AF11" s="402" t="s">
        <v>181</v>
      </c>
      <c r="AG11" s="403"/>
      <c r="AH11" s="29">
        <v>15227354.290000003</v>
      </c>
    </row>
    <row r="12" spans="1:85" s="290" customFormat="1" ht="25.5" customHeight="1" thickBot="1" x14ac:dyDescent="0.3">
      <c r="A12" s="300">
        <v>10</v>
      </c>
      <c r="B12" s="288" t="s">
        <v>17</v>
      </c>
      <c r="C12" s="289" t="s">
        <v>20</v>
      </c>
      <c r="D12" s="391">
        <f>47.6596*100</f>
        <v>4765.96</v>
      </c>
      <c r="E12" s="392"/>
      <c r="F12" s="33">
        <v>1105733.3899999999</v>
      </c>
      <c r="G12"/>
      <c r="H12" s="300">
        <v>10</v>
      </c>
      <c r="I12" s="288" t="s">
        <v>17</v>
      </c>
      <c r="J12" s="289" t="s">
        <v>20</v>
      </c>
      <c r="K12" s="391">
        <f>47.6596*100</f>
        <v>4765.96</v>
      </c>
      <c r="L12" s="392"/>
      <c r="M12" s="33">
        <v>1105733.3899999999</v>
      </c>
      <c r="N12"/>
      <c r="O12" s="300">
        <v>10</v>
      </c>
      <c r="P12" s="288" t="s">
        <v>17</v>
      </c>
      <c r="Q12" s="289" t="s">
        <v>20</v>
      </c>
      <c r="R12" s="391">
        <f>47.6596*100</f>
        <v>4765.96</v>
      </c>
      <c r="S12" s="392"/>
      <c r="T12" s="33">
        <v>1105733.3899999999</v>
      </c>
      <c r="U12"/>
      <c r="V12" s="300">
        <v>10</v>
      </c>
      <c r="W12" s="288" t="s">
        <v>17</v>
      </c>
      <c r="X12" s="289" t="s">
        <v>20</v>
      </c>
      <c r="Y12" s="391">
        <v>4765.96</v>
      </c>
      <c r="Z12" s="392"/>
      <c r="AA12" s="33">
        <v>1105733.3899999999</v>
      </c>
      <c r="AB12"/>
      <c r="AC12" s="300">
        <v>10</v>
      </c>
      <c r="AD12" s="288" t="s">
        <v>17</v>
      </c>
      <c r="AE12" s="289" t="s">
        <v>20</v>
      </c>
      <c r="AF12" s="391">
        <v>4765.96</v>
      </c>
      <c r="AG12" s="392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1">
        <v>11</v>
      </c>
      <c r="B13" s="59" t="s">
        <v>22</v>
      </c>
      <c r="C13" s="60"/>
      <c r="D13" s="269">
        <f>SUM(D3:E9)</f>
        <v>2078.0239999999999</v>
      </c>
      <c r="E13" s="62" t="s">
        <v>19</v>
      </c>
      <c r="F13" s="63">
        <f>SUM(F3:F12)</f>
        <v>129627003.12</v>
      </c>
      <c r="H13" s="301">
        <v>11</v>
      </c>
      <c r="I13" s="59" t="s">
        <v>22</v>
      </c>
      <c r="J13" s="60"/>
      <c r="K13" s="269">
        <f>SUM(K3:L9)</f>
        <v>2078.0239999999999</v>
      </c>
      <c r="L13" s="62" t="s">
        <v>19</v>
      </c>
      <c r="M13" s="63">
        <f>SUM(M3:M12)</f>
        <v>129627003.12</v>
      </c>
      <c r="O13" s="301">
        <v>11</v>
      </c>
      <c r="P13" s="59" t="s">
        <v>22</v>
      </c>
      <c r="Q13" s="60"/>
      <c r="R13" s="269">
        <f>SUM(R3:S9)</f>
        <v>2078.0239999999999</v>
      </c>
      <c r="S13" s="62" t="s">
        <v>19</v>
      </c>
      <c r="T13" s="63">
        <f>SUM(T3:T12)</f>
        <v>129627003.12</v>
      </c>
      <c r="V13" s="301">
        <v>11</v>
      </c>
      <c r="W13" s="59" t="s">
        <v>22</v>
      </c>
      <c r="X13" s="60"/>
      <c r="Y13" s="269">
        <v>2078.0239999999999</v>
      </c>
      <c r="Z13" s="331" t="s">
        <v>19</v>
      </c>
      <c r="AA13" s="63">
        <f>SUM(AA3:AA12)</f>
        <v>129627003.12</v>
      </c>
      <c r="AC13" s="301">
        <v>11</v>
      </c>
      <c r="AD13" s="59" t="s">
        <v>22</v>
      </c>
      <c r="AE13" s="60"/>
      <c r="AF13" s="269">
        <v>2078.0239999999999</v>
      </c>
      <c r="AG13" s="331" t="s">
        <v>19</v>
      </c>
      <c r="AH13" s="63">
        <f>SUM(AH3:AH12)</f>
        <v>182248206.06999996</v>
      </c>
    </row>
    <row r="14" spans="1:85" ht="60.75" thickBot="1" x14ac:dyDescent="0.3">
      <c r="A14" s="302">
        <v>12</v>
      </c>
      <c r="B14" s="58" t="s">
        <v>196</v>
      </c>
      <c r="C14" s="41"/>
      <c r="D14" s="45"/>
      <c r="E14" s="46"/>
      <c r="F14" s="315">
        <v>0</v>
      </c>
      <c r="H14" s="302">
        <v>12</v>
      </c>
      <c r="I14" s="58" t="s">
        <v>210</v>
      </c>
      <c r="J14" s="41"/>
      <c r="K14" s="45"/>
      <c r="L14" s="46"/>
      <c r="M14" s="315">
        <v>2722167.09</v>
      </c>
      <c r="O14" s="302">
        <v>12</v>
      </c>
      <c r="P14" s="58" t="s">
        <v>211</v>
      </c>
      <c r="Q14" s="41"/>
      <c r="R14" s="45"/>
      <c r="S14" s="46"/>
      <c r="T14" s="315">
        <v>9767601.6199999992</v>
      </c>
      <c r="V14" s="302">
        <v>12</v>
      </c>
      <c r="W14" s="58" t="s">
        <v>212</v>
      </c>
      <c r="X14" s="41"/>
      <c r="Y14" s="332"/>
      <c r="Z14" s="333"/>
      <c r="AA14" s="323" t="s">
        <v>191</v>
      </c>
      <c r="AC14" s="302">
        <v>12</v>
      </c>
      <c r="AD14" s="58" t="s">
        <v>213</v>
      </c>
      <c r="AE14" s="41"/>
      <c r="AF14" s="332"/>
      <c r="AG14" s="333"/>
      <c r="AH14" s="323">
        <v>3827212.36</v>
      </c>
    </row>
    <row r="15" spans="1:85" ht="62.25" customHeight="1" thickBot="1" x14ac:dyDescent="0.3">
      <c r="A15" s="301">
        <v>13</v>
      </c>
      <c r="B15" s="59" t="s">
        <v>199</v>
      </c>
      <c r="C15" s="60"/>
      <c r="D15" s="45"/>
      <c r="E15" s="62"/>
      <c r="F15" s="286">
        <v>0</v>
      </c>
      <c r="H15" s="301">
        <v>13</v>
      </c>
      <c r="I15" s="59" t="s">
        <v>199</v>
      </c>
      <c r="J15" s="60"/>
      <c r="K15" s="45"/>
      <c r="L15" s="62"/>
      <c r="M15" s="286">
        <f>2220749.32/1.2*4</f>
        <v>7402497.7333333334</v>
      </c>
      <c r="O15" s="301">
        <v>13</v>
      </c>
      <c r="P15" s="59" t="s">
        <v>199</v>
      </c>
      <c r="Q15" s="60"/>
      <c r="R15" s="45"/>
      <c r="S15" s="62"/>
      <c r="T15" s="286">
        <f>2220749.32/1.2*4</f>
        <v>7402497.7333333334</v>
      </c>
      <c r="V15" s="301">
        <v>13</v>
      </c>
      <c r="W15" s="59" t="s">
        <v>199</v>
      </c>
      <c r="X15" s="60"/>
      <c r="Y15" s="45"/>
      <c r="Z15" s="331"/>
      <c r="AA15" s="286">
        <f>2220749.32/1.2*4</f>
        <v>7402497.7333333334</v>
      </c>
      <c r="AC15" s="301">
        <v>13</v>
      </c>
      <c r="AD15" s="59" t="s">
        <v>199</v>
      </c>
      <c r="AE15" s="60"/>
      <c r="AF15" s="45"/>
      <c r="AG15" s="331"/>
      <c r="AH15" s="286">
        <f>2220749.32/1.2*4</f>
        <v>7402497.7333333334</v>
      </c>
    </row>
    <row r="16" spans="1:85" ht="28.5" customHeight="1" thickBot="1" x14ac:dyDescent="0.3">
      <c r="A16" s="301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1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1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1">
        <v>14</v>
      </c>
      <c r="W16" s="59" t="s">
        <v>22</v>
      </c>
      <c r="X16" s="60"/>
      <c r="Y16" s="45"/>
      <c r="Z16" s="331"/>
      <c r="AA16" s="63">
        <v>140407250.5</v>
      </c>
      <c r="AC16" s="301">
        <v>14</v>
      </c>
      <c r="AD16" s="59" t="s">
        <v>22</v>
      </c>
      <c r="AE16" s="60"/>
      <c r="AF16" s="45"/>
      <c r="AG16" s="331"/>
      <c r="AH16" s="63">
        <f>AH13+AH14+AH15</f>
        <v>193477916.1633333</v>
      </c>
    </row>
    <row r="17" spans="1:34" ht="34.5" customHeight="1" thickBot="1" x14ac:dyDescent="0.3">
      <c r="A17" s="302">
        <v>15</v>
      </c>
      <c r="B17" s="58" t="s">
        <v>23</v>
      </c>
      <c r="C17" s="41"/>
      <c r="D17" s="45"/>
      <c r="E17" s="46"/>
      <c r="F17" s="271">
        <f>F16*0.03</f>
        <v>3888810.0935999998</v>
      </c>
      <c r="H17" s="302">
        <v>15</v>
      </c>
      <c r="I17" s="58" t="s">
        <v>23</v>
      </c>
      <c r="J17" s="41"/>
      <c r="K17" s="45"/>
      <c r="L17" s="46"/>
      <c r="M17" s="271">
        <f>M16*0.03</f>
        <v>4192550.0382999997</v>
      </c>
      <c r="O17" s="302">
        <v>15</v>
      </c>
      <c r="P17" s="58" t="s">
        <v>23</v>
      </c>
      <c r="Q17" s="41"/>
      <c r="R17" s="45"/>
      <c r="S17" s="46"/>
      <c r="T17" s="271">
        <f>T16*0.03</f>
        <v>4403913.0741999997</v>
      </c>
      <c r="V17" s="302">
        <v>15</v>
      </c>
      <c r="W17" s="58" t="s">
        <v>23</v>
      </c>
      <c r="X17" s="41"/>
      <c r="Y17" s="45"/>
      <c r="Z17" s="334"/>
      <c r="AA17" s="271">
        <f>AA16*0.03</f>
        <v>4212217.5149999997</v>
      </c>
      <c r="AC17" s="302">
        <v>15</v>
      </c>
      <c r="AD17" s="58" t="s">
        <v>23</v>
      </c>
      <c r="AE17" s="41"/>
      <c r="AF17" s="45"/>
      <c r="AG17" s="334"/>
      <c r="AH17" s="271">
        <f>AH16*0.03</f>
        <v>5804337.4848999986</v>
      </c>
    </row>
    <row r="18" spans="1:34" ht="28.5" customHeight="1" thickBot="1" x14ac:dyDescent="0.3">
      <c r="A18" s="302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2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2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2">
        <v>16</v>
      </c>
      <c r="W18" s="264" t="s">
        <v>36</v>
      </c>
      <c r="X18" s="265"/>
      <c r="Y18" s="266"/>
      <c r="Z18" s="335"/>
      <c r="AA18" s="47">
        <f>AA16+AA17</f>
        <v>144619468.01499999</v>
      </c>
      <c r="AC18" s="302">
        <v>16</v>
      </c>
      <c r="AD18" s="264" t="s">
        <v>36</v>
      </c>
      <c r="AE18" s="265"/>
      <c r="AF18" s="266"/>
      <c r="AG18" s="335"/>
      <c r="AH18" s="47">
        <f>AH16+AH17</f>
        <v>199282253.64823329</v>
      </c>
    </row>
    <row r="19" spans="1:34" ht="66" customHeight="1" thickBot="1" x14ac:dyDescent="0.3">
      <c r="A19" s="329">
        <v>17</v>
      </c>
      <c r="B19" s="58" t="s">
        <v>194</v>
      </c>
      <c r="C19" s="41"/>
      <c r="D19" s="45"/>
      <c r="E19" s="46"/>
      <c r="F19" s="47">
        <v>0</v>
      </c>
      <c r="H19" s="329">
        <v>17</v>
      </c>
      <c r="I19" s="58" t="s">
        <v>194</v>
      </c>
      <c r="J19" s="41"/>
      <c r="K19" s="45"/>
      <c r="L19" s="46"/>
      <c r="M19" s="47">
        <f>M18*1.033</f>
        <v>148694377.17502722</v>
      </c>
      <c r="O19" s="329">
        <v>17</v>
      </c>
      <c r="P19" s="58" t="s">
        <v>194</v>
      </c>
      <c r="Q19" s="41"/>
      <c r="R19" s="45"/>
      <c r="S19" s="46"/>
      <c r="T19" s="47">
        <f>T18*1.033</f>
        <v>156190649.06060192</v>
      </c>
      <c r="V19" s="329">
        <v>17</v>
      </c>
      <c r="W19" s="281" t="s">
        <v>195</v>
      </c>
      <c r="X19" s="282">
        <v>1.0329999999999999</v>
      </c>
      <c r="Y19" s="328"/>
      <c r="Z19" s="325"/>
      <c r="AA19" s="47">
        <f>AA18*1.033</f>
        <v>149391910.45949498</v>
      </c>
      <c r="AC19" s="329">
        <v>17</v>
      </c>
      <c r="AD19" s="281" t="s">
        <v>195</v>
      </c>
      <c r="AE19" s="282">
        <v>1.0329999999999999</v>
      </c>
      <c r="AF19" s="328"/>
      <c r="AG19" s="325"/>
      <c r="AH19" s="47">
        <f>AH18*1.033</f>
        <v>205858568.01862499</v>
      </c>
    </row>
    <row r="20" spans="1:34" ht="30.75" customHeight="1" thickBot="1" x14ac:dyDescent="0.3">
      <c r="A20" s="305">
        <v>18</v>
      </c>
      <c r="B20" s="64" t="s">
        <v>190</v>
      </c>
      <c r="C20" s="48"/>
      <c r="D20" s="65"/>
      <c r="E20" s="44"/>
      <c r="F20" s="66">
        <v>159709185.41</v>
      </c>
      <c r="H20" s="305">
        <v>18</v>
      </c>
      <c r="I20" s="64" t="s">
        <v>190</v>
      </c>
      <c r="J20" s="48"/>
      <c r="K20" s="65"/>
      <c r="L20" s="44"/>
      <c r="M20" s="66">
        <v>174949743.41</v>
      </c>
      <c r="O20" s="305">
        <v>18</v>
      </c>
      <c r="P20" s="64" t="s">
        <v>190</v>
      </c>
      <c r="Q20" s="48"/>
      <c r="R20" s="65"/>
      <c r="S20" s="44"/>
      <c r="T20" s="66">
        <v>182489154.27000001</v>
      </c>
      <c r="V20" s="305">
        <v>18</v>
      </c>
      <c r="W20" s="64" t="s">
        <v>190</v>
      </c>
      <c r="X20" s="48"/>
      <c r="Y20" s="393"/>
      <c r="Z20" s="394"/>
      <c r="AA20" s="66">
        <v>174454214.74000001</v>
      </c>
      <c r="AC20" s="305">
        <v>18</v>
      </c>
      <c r="AD20" s="64" t="s">
        <v>214</v>
      </c>
      <c r="AE20" s="48"/>
      <c r="AF20" s="393"/>
      <c r="AG20" s="394"/>
      <c r="AH20" s="66">
        <v>174949743.71000001</v>
      </c>
    </row>
    <row r="21" spans="1:34" ht="25.5" customHeight="1" thickBot="1" x14ac:dyDescent="0.3">
      <c r="A21" s="302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19"/>
      <c r="H21" s="302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19"/>
      <c r="O21" s="302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2">
        <v>19</v>
      </c>
      <c r="W21" s="58" t="s">
        <v>33</v>
      </c>
      <c r="X21" s="41"/>
      <c r="Y21" s="45"/>
      <c r="Z21" s="334"/>
      <c r="AA21" s="47">
        <f>AA20*0.2</f>
        <v>34890842.948000006</v>
      </c>
      <c r="AC21" s="302">
        <v>19</v>
      </c>
      <c r="AD21" s="58" t="s">
        <v>33</v>
      </c>
      <c r="AE21" s="41"/>
      <c r="AF21" s="45"/>
      <c r="AG21" s="334"/>
      <c r="AH21" s="47">
        <f>AH20*0.2</f>
        <v>34989948.742000006</v>
      </c>
    </row>
    <row r="22" spans="1:34" ht="15.75" thickBot="1" x14ac:dyDescent="0.3">
      <c r="A22" s="301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0"/>
      <c r="H22" s="301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0"/>
      <c r="O22" s="301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1">
        <v>20</v>
      </c>
      <c r="W22" s="59" t="s">
        <v>34</v>
      </c>
      <c r="X22" s="60"/>
      <c r="Y22" s="61"/>
      <c r="Z22" s="331"/>
      <c r="AA22" s="107">
        <f>AA20+AA21</f>
        <v>209345057.68800002</v>
      </c>
      <c r="AC22" s="301">
        <v>20</v>
      </c>
      <c r="AD22" s="59" t="s">
        <v>34</v>
      </c>
      <c r="AE22" s="60"/>
      <c r="AF22" s="61"/>
      <c r="AG22" s="331"/>
      <c r="AH22" s="107">
        <f>AH20+AH21</f>
        <v>209939692.45200002</v>
      </c>
    </row>
    <row r="24" spans="1:34" ht="44.25" customHeight="1" x14ac:dyDescent="0.25">
      <c r="A24" s="35" t="s">
        <v>205</v>
      </c>
      <c r="B24" s="326" t="s">
        <v>203</v>
      </c>
      <c r="C24" s="326">
        <f>(25.493+56.46)*10</f>
        <v>819.53</v>
      </c>
      <c r="D24" s="326"/>
      <c r="E24" s="307"/>
      <c r="F24" s="270">
        <v>13705910.09</v>
      </c>
      <c r="G24" s="270"/>
      <c r="H24" s="35" t="s">
        <v>205</v>
      </c>
      <c r="I24" s="339" t="s">
        <v>203</v>
      </c>
      <c r="J24" s="339">
        <f>(25.493+56.46)*10</f>
        <v>819.53</v>
      </c>
      <c r="K24" s="339"/>
      <c r="L24" s="307"/>
      <c r="M24" s="270">
        <v>13705910.09</v>
      </c>
      <c r="N24" s="270"/>
      <c r="O24" s="35" t="s">
        <v>205</v>
      </c>
      <c r="P24" s="339" t="s">
        <v>203</v>
      </c>
      <c r="Q24" s="339">
        <f>(25.493+56.46)*10</f>
        <v>819.53</v>
      </c>
      <c r="R24" s="339"/>
      <c r="S24" s="307"/>
      <c r="T24" s="270">
        <v>13705910.09</v>
      </c>
      <c r="U24" s="270"/>
      <c r="V24" s="35" t="s">
        <v>205</v>
      </c>
      <c r="W24" s="339" t="s">
        <v>203</v>
      </c>
      <c r="X24" s="339">
        <f>(25.493+56.46)*10</f>
        <v>819.53</v>
      </c>
      <c r="Y24" s="339"/>
      <c r="Z24" s="307"/>
      <c r="AA24" s="270">
        <v>13705910.09</v>
      </c>
      <c r="AC24" s="35" t="s">
        <v>205</v>
      </c>
      <c r="AD24" s="339" t="s">
        <v>203</v>
      </c>
      <c r="AE24" s="339">
        <f>(25.493+56.46)*10</f>
        <v>819.53</v>
      </c>
      <c r="AF24" s="339"/>
      <c r="AG24" s="307"/>
      <c r="AH24" s="270">
        <v>13705910.09</v>
      </c>
    </row>
    <row r="25" spans="1:34" ht="44.25" customHeight="1" x14ac:dyDescent="0.25">
      <c r="A25" s="35" t="s">
        <v>205</v>
      </c>
      <c r="B25" s="326" t="s">
        <v>204</v>
      </c>
      <c r="C25" s="326">
        <f>53.09+234.08</f>
        <v>287.17</v>
      </c>
      <c r="D25" s="326"/>
      <c r="E25" s="307"/>
      <c r="F25" s="270">
        <v>2462459.88</v>
      </c>
      <c r="G25" s="270"/>
      <c r="H25" s="35" t="s">
        <v>205</v>
      </c>
      <c r="I25" s="339" t="s">
        <v>204</v>
      </c>
      <c r="J25" s="339">
        <f>53.09+234.08</f>
        <v>287.17</v>
      </c>
      <c r="K25" s="339"/>
      <c r="L25" s="307"/>
      <c r="M25" s="270">
        <v>2462459.88</v>
      </c>
      <c r="N25" s="270"/>
      <c r="O25" s="35" t="s">
        <v>205</v>
      </c>
      <c r="P25" s="339" t="s">
        <v>204</v>
      </c>
      <c r="Q25" s="339">
        <f>53.09+234.08</f>
        <v>287.17</v>
      </c>
      <c r="R25" s="339"/>
      <c r="S25" s="307"/>
      <c r="T25" s="270">
        <v>2462459.88</v>
      </c>
      <c r="U25" s="270"/>
      <c r="V25" s="35" t="s">
        <v>205</v>
      </c>
      <c r="W25" s="339" t="s">
        <v>204</v>
      </c>
      <c r="X25" s="339">
        <f>53.09+234.08</f>
        <v>287.17</v>
      </c>
      <c r="Y25" s="339"/>
      <c r="Z25" s="307"/>
      <c r="AA25" s="270">
        <v>2462459.88</v>
      </c>
      <c r="AC25" s="35" t="s">
        <v>205</v>
      </c>
      <c r="AD25" s="339" t="s">
        <v>204</v>
      </c>
      <c r="AE25" s="339">
        <f>53.09+234.08</f>
        <v>287.17</v>
      </c>
      <c r="AF25" s="339"/>
      <c r="AG25" s="307"/>
      <c r="AH25" s="270">
        <v>2462459.88</v>
      </c>
    </row>
    <row r="26" spans="1:34" ht="23.25" customHeight="1" x14ac:dyDescent="0.25">
      <c r="A26"/>
      <c r="B26" s="326"/>
      <c r="C26" s="326"/>
      <c r="D26" s="326"/>
      <c r="E26" s="307"/>
      <c r="F26" s="330">
        <f>F22+F24+F25</f>
        <v>207819392.46199998</v>
      </c>
      <c r="G26" s="270"/>
      <c r="H26"/>
      <c r="I26" s="339"/>
      <c r="J26" s="339"/>
      <c r="K26" s="339"/>
      <c r="L26" s="307"/>
      <c r="M26" s="330">
        <f>M22+M24+M25</f>
        <v>226108062.06200001</v>
      </c>
      <c r="N26" s="270"/>
      <c r="O26"/>
      <c r="P26" s="339"/>
      <c r="Q26" s="339"/>
      <c r="R26" s="339"/>
      <c r="S26" s="307"/>
      <c r="T26" s="330">
        <f>T22+T24+T25</f>
        <v>235155355.09400001</v>
      </c>
      <c r="U26" s="270"/>
      <c r="V26"/>
      <c r="W26" s="339"/>
      <c r="X26" s="339"/>
      <c r="Y26" s="339"/>
      <c r="Z26" s="307"/>
      <c r="AA26" s="330">
        <f>AA22+AA24+AA25</f>
        <v>225513427.65800002</v>
      </c>
      <c r="AC26"/>
      <c r="AD26" s="339"/>
      <c r="AE26" s="339"/>
      <c r="AF26" s="339"/>
      <c r="AG26" s="307"/>
      <c r="AH26" s="330">
        <f>AH22+AH24+AH25</f>
        <v>226108062.42200002</v>
      </c>
    </row>
    <row r="27" spans="1:34" ht="44.25" customHeight="1" x14ac:dyDescent="0.25">
      <c r="A27"/>
      <c r="B27" s="326"/>
      <c r="C27" s="326"/>
      <c r="D27" s="326"/>
      <c r="E27" s="307"/>
      <c r="F27" s="270"/>
      <c r="G27" s="270"/>
      <c r="H27"/>
      <c r="I27" s="339"/>
      <c r="J27" s="339"/>
      <c r="K27" s="339"/>
      <c r="L27" s="307"/>
      <c r="M27" s="270"/>
      <c r="N27" s="270"/>
      <c r="O27"/>
      <c r="P27" s="339"/>
      <c r="Q27" s="339"/>
      <c r="R27" s="339"/>
      <c r="S27" s="307"/>
      <c r="T27" s="270"/>
      <c r="U27" s="270"/>
      <c r="V27"/>
      <c r="W27" s="326"/>
      <c r="X27" s="326"/>
      <c r="Y27" s="307"/>
      <c r="Z27" s="307"/>
      <c r="AA27" s="270"/>
      <c r="AC27"/>
      <c r="AD27" s="326"/>
      <c r="AE27" s="326"/>
      <c r="AF27" s="307"/>
      <c r="AG27" s="307"/>
      <c r="AH27" s="270"/>
    </row>
    <row r="28" spans="1:34" ht="37.5" customHeight="1" x14ac:dyDescent="0.25">
      <c r="A28"/>
      <c r="B28" s="395" t="s">
        <v>185</v>
      </c>
      <c r="C28" s="395"/>
      <c r="D28" s="395"/>
      <c r="E28" s="307"/>
      <c r="F28" s="270">
        <f>F22/D13</f>
        <v>92227.530813888574</v>
      </c>
      <c r="G28" s="270"/>
      <c r="H28"/>
      <c r="I28" s="395" t="s">
        <v>185</v>
      </c>
      <c r="J28" s="395"/>
      <c r="K28" s="395"/>
      <c r="L28" s="307"/>
      <c r="M28" s="270">
        <f>M22/K13</f>
        <v>101028.52137030179</v>
      </c>
      <c r="N28" s="270"/>
      <c r="O28"/>
      <c r="P28" s="395" t="s">
        <v>185</v>
      </c>
      <c r="Q28" s="395"/>
      <c r="R28" s="395"/>
      <c r="S28" s="307"/>
      <c r="T28" s="270">
        <f>T22/R13</f>
        <v>105382.31758824732</v>
      </c>
      <c r="U28" s="270"/>
      <c r="V28"/>
      <c r="W28" s="270"/>
      <c r="X28" s="270"/>
      <c r="Y28" s="307"/>
      <c r="Z28" s="307"/>
      <c r="AA28" s="270">
        <f>AA22/Y13</f>
        <v>100742.36759921927</v>
      </c>
      <c r="AC28"/>
      <c r="AD28" s="270"/>
      <c r="AE28" s="270"/>
      <c r="AF28" s="307"/>
      <c r="AG28" s="307"/>
      <c r="AH28" s="270">
        <f>AH22/AF13</f>
        <v>101028.52154354331</v>
      </c>
    </row>
  </sheetData>
  <mergeCells count="62">
    <mergeCell ref="K11:L11"/>
    <mergeCell ref="K12:L12"/>
    <mergeCell ref="I28:K28"/>
    <mergeCell ref="O1:T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P28:R28"/>
    <mergeCell ref="A1:F1"/>
    <mergeCell ref="W1:AA1"/>
    <mergeCell ref="AD1:AH1"/>
    <mergeCell ref="D2:E2"/>
    <mergeCell ref="Y2:Z2"/>
    <mergeCell ref="AF2:AG2"/>
    <mergeCell ref="H1:M1"/>
    <mergeCell ref="K2:L2"/>
    <mergeCell ref="D5:E5"/>
    <mergeCell ref="Y5:Z5"/>
    <mergeCell ref="D6:E6"/>
    <mergeCell ref="Y6:Z6"/>
    <mergeCell ref="D3:E3"/>
    <mergeCell ref="Y3:Z3"/>
    <mergeCell ref="D4:E4"/>
    <mergeCell ref="Y4:Z4"/>
    <mergeCell ref="K3:L3"/>
    <mergeCell ref="K4:L4"/>
    <mergeCell ref="K5:L5"/>
    <mergeCell ref="K6:L6"/>
    <mergeCell ref="Y10:Z10"/>
    <mergeCell ref="AF10:AG10"/>
    <mergeCell ref="D7:E7"/>
    <mergeCell ref="Y7:Z7"/>
    <mergeCell ref="D8:E8"/>
    <mergeCell ref="Y8:Z8"/>
    <mergeCell ref="K7:L7"/>
    <mergeCell ref="K8:L8"/>
    <mergeCell ref="K9:L9"/>
    <mergeCell ref="K10:L10"/>
    <mergeCell ref="Y20:Z20"/>
    <mergeCell ref="AF20:AG20"/>
    <mergeCell ref="B28:D28"/>
    <mergeCell ref="AH3:AH9"/>
    <mergeCell ref="AF3:AG9"/>
    <mergeCell ref="AE3:AE9"/>
    <mergeCell ref="AD3:AD9"/>
    <mergeCell ref="D11:E11"/>
    <mergeCell ref="Y11:Z11"/>
    <mergeCell ref="AF11:AG11"/>
    <mergeCell ref="D12:E12"/>
    <mergeCell ref="Y12:Z12"/>
    <mergeCell ref="AF12:AG12"/>
    <mergeCell ref="D9:E9"/>
    <mergeCell ref="Y9:Z9"/>
    <mergeCell ref="D10:E10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F6E4-41FC-41A7-BBF9-FEC3ACFCB500}">
  <sheetPr>
    <tabColor rgb="FFFF0000"/>
  </sheetPr>
  <dimension ref="A1:BT28"/>
  <sheetViews>
    <sheetView zoomScale="80" zoomScaleNormal="80" workbookViewId="0">
      <selection activeCell="Y14" sqref="Y14"/>
    </sheetView>
  </sheetViews>
  <sheetFormatPr defaultRowHeight="15" x14ac:dyDescent="0.25"/>
  <cols>
    <col min="1" max="1" width="3.140625" style="306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6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</cols>
  <sheetData>
    <row r="1" spans="1:72" ht="51.75" customHeight="1" thickBot="1" x14ac:dyDescent="0.3">
      <c r="A1" s="410" t="s">
        <v>193</v>
      </c>
      <c r="B1" s="411"/>
      <c r="C1" s="411"/>
      <c r="D1" s="411"/>
      <c r="E1" s="411"/>
      <c r="F1" s="412"/>
      <c r="G1" s="321"/>
      <c r="I1" s="322"/>
      <c r="J1" s="411" t="s">
        <v>198</v>
      </c>
      <c r="K1" s="411"/>
      <c r="L1" s="411"/>
      <c r="M1" s="411"/>
      <c r="N1" s="412"/>
    </row>
    <row r="2" spans="1:72" ht="27.75" customHeight="1" thickBot="1" x14ac:dyDescent="0.3">
      <c r="A2" s="296" t="s">
        <v>58</v>
      </c>
      <c r="B2" s="55" t="s">
        <v>69</v>
      </c>
      <c r="C2" s="314" t="s">
        <v>18</v>
      </c>
      <c r="D2" s="362" t="s">
        <v>21</v>
      </c>
      <c r="E2" s="363"/>
      <c r="F2" s="57" t="s">
        <v>32</v>
      </c>
      <c r="I2" s="296" t="s">
        <v>58</v>
      </c>
      <c r="J2" s="55" t="s">
        <v>69</v>
      </c>
      <c r="K2" s="314" t="s">
        <v>18</v>
      </c>
      <c r="L2" s="420" t="s">
        <v>21</v>
      </c>
      <c r="M2" s="363"/>
      <c r="N2" s="57" t="s">
        <v>32</v>
      </c>
    </row>
    <row r="3" spans="1:72" x14ac:dyDescent="0.25">
      <c r="A3" s="297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v>10022991.91</v>
      </c>
      <c r="I3" s="297">
        <v>1</v>
      </c>
      <c r="J3" s="84" t="s">
        <v>0</v>
      </c>
      <c r="K3" s="85" t="s">
        <v>19</v>
      </c>
      <c r="L3" s="364">
        <f>404.352+9.256</f>
        <v>413.60799999999995</v>
      </c>
      <c r="M3" s="365"/>
      <c r="N3" s="86">
        <v>10022991.91</v>
      </c>
    </row>
    <row r="4" spans="1:72" ht="30" x14ac:dyDescent="0.25">
      <c r="A4" s="298">
        <v>2</v>
      </c>
      <c r="B4" s="87" t="s">
        <v>154</v>
      </c>
      <c r="C4" s="88" t="s">
        <v>19</v>
      </c>
      <c r="D4" s="364">
        <f>676.624+295.152</f>
        <v>971.77600000000007</v>
      </c>
      <c r="E4" s="365"/>
      <c r="F4" s="89">
        <f>28449520.75+12410042.86</f>
        <v>40859563.609999999</v>
      </c>
      <c r="I4" s="298">
        <v>2</v>
      </c>
      <c r="J4" s="87" t="s">
        <v>154</v>
      </c>
      <c r="K4" s="88" t="s">
        <v>19</v>
      </c>
      <c r="L4" s="364">
        <f>676.624+295.152</f>
        <v>971.77600000000007</v>
      </c>
      <c r="M4" s="365"/>
      <c r="N4" s="89">
        <f>28449520.75+12410042.86</f>
        <v>40859563.609999999</v>
      </c>
    </row>
    <row r="5" spans="1:72" ht="30" x14ac:dyDescent="0.25">
      <c r="A5" s="298">
        <v>3</v>
      </c>
      <c r="B5" s="87" t="s">
        <v>8</v>
      </c>
      <c r="C5" s="88" t="s">
        <v>19</v>
      </c>
      <c r="D5" s="381">
        <v>284.85599999999999</v>
      </c>
      <c r="E5" s="382"/>
      <c r="F5" s="89">
        <v>29847559.98</v>
      </c>
      <c r="I5" s="298">
        <v>3</v>
      </c>
      <c r="J5" s="87" t="s">
        <v>8</v>
      </c>
      <c r="K5" s="88" t="s">
        <v>19</v>
      </c>
      <c r="L5" s="381">
        <v>284.85599999999999</v>
      </c>
      <c r="M5" s="382"/>
      <c r="N5" s="89">
        <v>29847559.98</v>
      </c>
    </row>
    <row r="6" spans="1:72" x14ac:dyDescent="0.25">
      <c r="A6" s="298">
        <v>4</v>
      </c>
      <c r="B6" s="87" t="s">
        <v>1</v>
      </c>
      <c r="C6" s="88" t="s">
        <v>19</v>
      </c>
      <c r="D6" s="381">
        <v>103.27200000000001</v>
      </c>
      <c r="E6" s="382"/>
      <c r="F6" s="89">
        <v>6218924.8699999992</v>
      </c>
      <c r="I6" s="298">
        <v>4</v>
      </c>
      <c r="J6" s="87" t="s">
        <v>1</v>
      </c>
      <c r="K6" s="88" t="s">
        <v>19</v>
      </c>
      <c r="L6" s="381">
        <v>103.27200000000001</v>
      </c>
      <c r="M6" s="382"/>
      <c r="N6" s="89">
        <v>6218924.8699999992</v>
      </c>
    </row>
    <row r="7" spans="1:72" x14ac:dyDescent="0.25">
      <c r="A7" s="298">
        <v>5</v>
      </c>
      <c r="B7" s="87" t="s">
        <v>2</v>
      </c>
      <c r="C7" s="88" t="s">
        <v>19</v>
      </c>
      <c r="D7" s="381">
        <v>66.872</v>
      </c>
      <c r="E7" s="382"/>
      <c r="F7" s="89">
        <v>4525782.0099999988</v>
      </c>
      <c r="I7" s="298">
        <v>5</v>
      </c>
      <c r="J7" s="87" t="s">
        <v>2</v>
      </c>
      <c r="K7" s="88" t="s">
        <v>19</v>
      </c>
      <c r="L7" s="381">
        <v>66.872</v>
      </c>
      <c r="M7" s="382"/>
      <c r="N7" s="89">
        <v>4525782.0099999988</v>
      </c>
    </row>
    <row r="8" spans="1:72" x14ac:dyDescent="0.25">
      <c r="A8" s="298">
        <v>6</v>
      </c>
      <c r="B8" s="87" t="s">
        <v>3</v>
      </c>
      <c r="C8" s="88" t="s">
        <v>19</v>
      </c>
      <c r="D8" s="381">
        <v>233.27199999999999</v>
      </c>
      <c r="E8" s="382"/>
      <c r="F8" s="89">
        <v>17401032.069999997</v>
      </c>
      <c r="I8" s="298">
        <v>6</v>
      </c>
      <c r="J8" s="87" t="s">
        <v>3</v>
      </c>
      <c r="K8" s="88" t="s">
        <v>19</v>
      </c>
      <c r="L8" s="381">
        <v>233.27199999999999</v>
      </c>
      <c r="M8" s="382"/>
      <c r="N8" s="89">
        <v>17401032.069999997</v>
      </c>
    </row>
    <row r="9" spans="1:72" ht="15.75" thickBot="1" x14ac:dyDescent="0.3">
      <c r="A9" s="299">
        <v>7</v>
      </c>
      <c r="B9" s="90" t="s">
        <v>4</v>
      </c>
      <c r="C9" s="91" t="s">
        <v>19</v>
      </c>
      <c r="D9" s="383">
        <v>4.3680000000000003</v>
      </c>
      <c r="E9" s="384"/>
      <c r="F9" s="92">
        <v>714028.58000000007</v>
      </c>
      <c r="I9" s="299">
        <v>7</v>
      </c>
      <c r="J9" s="90" t="s">
        <v>4</v>
      </c>
      <c r="K9" s="91" t="s">
        <v>19</v>
      </c>
      <c r="L9" s="383">
        <v>4.3680000000000003</v>
      </c>
      <c r="M9" s="384"/>
      <c r="N9" s="92">
        <v>714028.58000000007</v>
      </c>
    </row>
    <row r="10" spans="1:72" s="311" customFormat="1" ht="27" customHeight="1" thickTop="1" x14ac:dyDescent="0.25">
      <c r="A10" s="309">
        <v>8</v>
      </c>
      <c r="B10" s="310" t="s">
        <v>182</v>
      </c>
      <c r="C10" s="42" t="s">
        <v>29</v>
      </c>
      <c r="D10" s="396" t="s">
        <v>157</v>
      </c>
      <c r="E10" s="397"/>
      <c r="F10" s="43">
        <v>3704032.4099999992</v>
      </c>
      <c r="G10" s="25"/>
      <c r="H10"/>
      <c r="I10" s="309">
        <v>8</v>
      </c>
      <c r="J10" s="310" t="s">
        <v>182</v>
      </c>
      <c r="K10" s="42" t="s">
        <v>29</v>
      </c>
      <c r="L10" s="421" t="s">
        <v>180</v>
      </c>
      <c r="M10" s="399"/>
      <c r="N10" s="43">
        <v>3704032.4099999992</v>
      </c>
    </row>
    <row r="11" spans="1:72" s="311" customFormat="1" ht="24.75" customHeight="1" x14ac:dyDescent="0.25">
      <c r="A11" s="312">
        <v>9</v>
      </c>
      <c r="B11" s="313" t="s">
        <v>28</v>
      </c>
      <c r="C11" s="40" t="s">
        <v>29</v>
      </c>
      <c r="D11" s="400" t="s">
        <v>158</v>
      </c>
      <c r="E11" s="401"/>
      <c r="F11" s="29">
        <v>15227354.290000003</v>
      </c>
      <c r="G11"/>
      <c r="H11"/>
      <c r="I11" s="312">
        <v>9</v>
      </c>
      <c r="J11" s="313" t="s">
        <v>28</v>
      </c>
      <c r="K11" s="40" t="s">
        <v>29</v>
      </c>
      <c r="L11" s="422" t="s">
        <v>181</v>
      </c>
      <c r="M11" s="403"/>
      <c r="N11" s="29">
        <v>15227354.290000003</v>
      </c>
    </row>
    <row r="12" spans="1:72" s="290" customFormat="1" ht="25.5" customHeight="1" thickBot="1" x14ac:dyDescent="0.3">
      <c r="A12" s="300">
        <v>10</v>
      </c>
      <c r="B12" s="288" t="s">
        <v>17</v>
      </c>
      <c r="C12" s="289" t="s">
        <v>20</v>
      </c>
      <c r="D12" s="391">
        <f>47.6596*100</f>
        <v>4765.96</v>
      </c>
      <c r="E12" s="392"/>
      <c r="F12" s="33">
        <v>1105733.3899999999</v>
      </c>
      <c r="G12"/>
      <c r="H12"/>
      <c r="I12" s="300">
        <v>10</v>
      </c>
      <c r="J12" s="288" t="s">
        <v>17</v>
      </c>
      <c r="K12" s="289" t="s">
        <v>20</v>
      </c>
      <c r="L12" s="423">
        <v>4765.96</v>
      </c>
      <c r="M12" s="392"/>
      <c r="N12" s="33">
        <v>1105733.3899999999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 ht="16.5" thickTop="1" thickBot="1" x14ac:dyDescent="0.3">
      <c r="A13" s="301">
        <v>11</v>
      </c>
      <c r="B13" s="59" t="s">
        <v>22</v>
      </c>
      <c r="C13" s="60"/>
      <c r="D13" s="269">
        <f>SUM(D3:E9)</f>
        <v>2078.0239999999999</v>
      </c>
      <c r="E13" s="62" t="s">
        <v>19</v>
      </c>
      <c r="F13" s="63">
        <f>SUM(F3:F12)</f>
        <v>129627003.12</v>
      </c>
      <c r="I13" s="301">
        <v>11</v>
      </c>
      <c r="J13" s="59" t="s">
        <v>22</v>
      </c>
      <c r="K13" s="60"/>
      <c r="L13" s="291">
        <v>2078.0239999999999</v>
      </c>
      <c r="M13" s="62" t="s">
        <v>19</v>
      </c>
      <c r="N13" s="63">
        <f>SUM(N3:N12)</f>
        <v>129627003.12</v>
      </c>
    </row>
    <row r="14" spans="1:72" ht="30.75" thickBot="1" x14ac:dyDescent="0.3">
      <c r="A14" s="302">
        <v>12</v>
      </c>
      <c r="B14" s="58" t="s">
        <v>196</v>
      </c>
      <c r="C14" s="41"/>
      <c r="D14" s="45"/>
      <c r="E14" s="46"/>
      <c r="F14" s="315">
        <v>2722167.09</v>
      </c>
      <c r="I14" s="302">
        <v>12</v>
      </c>
      <c r="J14" s="58" t="s">
        <v>188</v>
      </c>
      <c r="K14" s="41"/>
      <c r="L14" s="316"/>
      <c r="M14" s="317"/>
      <c r="N14" s="323" t="s">
        <v>191</v>
      </c>
    </row>
    <row r="15" spans="1:72" ht="50.25" customHeight="1" thickBot="1" x14ac:dyDescent="0.3">
      <c r="A15" s="301">
        <v>13</v>
      </c>
      <c r="B15" s="59" t="s">
        <v>192</v>
      </c>
      <c r="C15" s="60"/>
      <c r="D15" s="45"/>
      <c r="E15" s="62"/>
      <c r="F15" s="286">
        <f>2220749.32*4</f>
        <v>8882997.2799999993</v>
      </c>
      <c r="I15" s="301">
        <v>13</v>
      </c>
      <c r="J15" s="59" t="s">
        <v>192</v>
      </c>
      <c r="K15" s="60"/>
      <c r="L15" s="292"/>
      <c r="M15" s="62"/>
      <c r="N15" s="286">
        <f>2220749.32*4</f>
        <v>8882997.2799999993</v>
      </c>
    </row>
    <row r="16" spans="1:72" ht="28.5" customHeight="1" thickBot="1" x14ac:dyDescent="0.3">
      <c r="A16" s="301">
        <v>14</v>
      </c>
      <c r="B16" s="59" t="s">
        <v>22</v>
      </c>
      <c r="C16" s="60"/>
      <c r="D16" s="45"/>
      <c r="E16" s="62"/>
      <c r="F16" s="63">
        <f>F13+F14+F15</f>
        <v>141232167.49000001</v>
      </c>
      <c r="I16" s="301">
        <v>14</v>
      </c>
      <c r="J16" s="59" t="s">
        <v>22</v>
      </c>
      <c r="K16" s="60"/>
      <c r="L16" s="292"/>
      <c r="M16" s="62"/>
      <c r="N16" s="63">
        <v>140407250.5</v>
      </c>
    </row>
    <row r="17" spans="1:14" ht="34.5" customHeight="1" thickBot="1" x14ac:dyDescent="0.3">
      <c r="A17" s="302">
        <v>15</v>
      </c>
      <c r="B17" s="58" t="s">
        <v>23</v>
      </c>
      <c r="C17" s="41"/>
      <c r="D17" s="45"/>
      <c r="E17" s="46"/>
      <c r="F17" s="271">
        <f>F16*0.03</f>
        <v>4236965.0247</v>
      </c>
      <c r="I17" s="302">
        <v>15</v>
      </c>
      <c r="J17" s="58" t="s">
        <v>23</v>
      </c>
      <c r="K17" s="41"/>
      <c r="L17" s="292"/>
      <c r="M17" s="46"/>
      <c r="N17" s="271">
        <f>N16*0.03</f>
        <v>4212217.5149999997</v>
      </c>
    </row>
    <row r="18" spans="1:14" ht="28.5" customHeight="1" thickBot="1" x14ac:dyDescent="0.3">
      <c r="A18" s="302">
        <v>16</v>
      </c>
      <c r="B18" s="58" t="s">
        <v>36</v>
      </c>
      <c r="C18" s="41"/>
      <c r="D18" s="45"/>
      <c r="E18" s="46"/>
      <c r="F18" s="47">
        <f>F16+F17</f>
        <v>145469132.5147</v>
      </c>
      <c r="I18" s="302">
        <v>16</v>
      </c>
      <c r="J18" s="264" t="s">
        <v>36</v>
      </c>
      <c r="K18" s="265"/>
      <c r="L18" s="293"/>
      <c r="M18" s="267"/>
      <c r="N18" s="47">
        <f>N16+N17</f>
        <v>144619468.01499999</v>
      </c>
    </row>
    <row r="19" spans="1:14" ht="50.25" customHeight="1" thickBot="1" x14ac:dyDescent="0.3">
      <c r="A19" s="329">
        <v>17</v>
      </c>
      <c r="B19" s="58" t="s">
        <v>194</v>
      </c>
      <c r="C19" s="41"/>
      <c r="D19" s="45"/>
      <c r="E19" s="46"/>
      <c r="F19" s="47">
        <f>F18*1.033</f>
        <v>150269613.88768509</v>
      </c>
      <c r="I19" s="329">
        <v>17</v>
      </c>
      <c r="J19" s="281" t="s">
        <v>195</v>
      </c>
      <c r="K19" s="282">
        <v>1.0329999999999999</v>
      </c>
      <c r="L19" s="324"/>
      <c r="M19" s="283"/>
      <c r="N19" s="47">
        <f>N18*1.033</f>
        <v>149391910.45949498</v>
      </c>
    </row>
    <row r="20" spans="1:14" ht="30.75" customHeight="1" thickBot="1" x14ac:dyDescent="0.3">
      <c r="A20" s="305">
        <v>18</v>
      </c>
      <c r="B20" s="64" t="s">
        <v>190</v>
      </c>
      <c r="C20" s="48"/>
      <c r="D20" s="65"/>
      <c r="E20" s="44"/>
      <c r="F20" s="66">
        <v>176534045.16</v>
      </c>
      <c r="I20" s="305">
        <v>18</v>
      </c>
      <c r="J20" s="64" t="s">
        <v>190</v>
      </c>
      <c r="K20" s="48"/>
      <c r="L20" s="419"/>
      <c r="M20" s="394"/>
      <c r="N20" s="66">
        <v>176038516.52000001</v>
      </c>
    </row>
    <row r="21" spans="1:14" ht="25.5" customHeight="1" thickBot="1" x14ac:dyDescent="0.3">
      <c r="A21" s="302">
        <v>19</v>
      </c>
      <c r="B21" s="58" t="s">
        <v>33</v>
      </c>
      <c r="C21" s="41"/>
      <c r="D21" s="45"/>
      <c r="E21" s="46"/>
      <c r="F21" s="47">
        <f>F20*0.2</f>
        <v>35306809.031999998</v>
      </c>
      <c r="G21" s="319" t="s">
        <v>189</v>
      </c>
      <c r="I21" s="302">
        <v>19</v>
      </c>
      <c r="J21" s="58" t="s">
        <v>33</v>
      </c>
      <c r="K21" s="41"/>
      <c r="L21" s="292"/>
      <c r="M21" s="46"/>
      <c r="N21" s="47">
        <f>N20*0.2</f>
        <v>35207703.304000005</v>
      </c>
    </row>
    <row r="22" spans="1:14" ht="15.75" thickBot="1" x14ac:dyDescent="0.3">
      <c r="A22" s="301">
        <v>20</v>
      </c>
      <c r="B22" s="59" t="s">
        <v>34</v>
      </c>
      <c r="C22" s="60"/>
      <c r="D22" s="61"/>
      <c r="E22" s="62"/>
      <c r="F22" s="107">
        <f>F20+F21</f>
        <v>211840854.192</v>
      </c>
      <c r="G22" s="320">
        <f>191651022.492*1.15</f>
        <v>220398675.86579999</v>
      </c>
      <c r="I22" s="301">
        <v>20</v>
      </c>
      <c r="J22" s="59" t="s">
        <v>34</v>
      </c>
      <c r="K22" s="60"/>
      <c r="L22" s="295"/>
      <c r="M22" s="62"/>
      <c r="N22" s="107">
        <f>N20+N21</f>
        <v>211246219.824</v>
      </c>
    </row>
    <row r="24" spans="1:14" ht="3.75" customHeight="1" x14ac:dyDescent="0.25">
      <c r="A24"/>
      <c r="B24" s="308"/>
      <c r="C24" s="308"/>
      <c r="D24" s="308"/>
      <c r="E24" s="307"/>
      <c r="F24" s="270"/>
      <c r="G24" s="270"/>
      <c r="H24" s="270"/>
      <c r="I24"/>
      <c r="J24" s="308"/>
      <c r="K24" s="308"/>
      <c r="L24" s="307"/>
      <c r="M24" s="307"/>
      <c r="N24" s="270"/>
    </row>
    <row r="25" spans="1:14" ht="37.5" customHeight="1" x14ac:dyDescent="0.25">
      <c r="A25"/>
      <c r="B25" s="395" t="s">
        <v>185</v>
      </c>
      <c r="C25" s="395"/>
      <c r="D25" s="395"/>
      <c r="E25" s="307"/>
      <c r="F25" s="270">
        <f>F22/D13</f>
        <v>101943.41075560244</v>
      </c>
      <c r="G25" s="270"/>
      <c r="H25" s="270"/>
      <c r="I25"/>
      <c r="J25" s="270"/>
      <c r="K25" s="270"/>
      <c r="L25" s="307"/>
      <c r="M25" s="307"/>
      <c r="N25" s="270">
        <f>N22/L13</f>
        <v>101657.25700184406</v>
      </c>
    </row>
    <row r="28" spans="1:14" x14ac:dyDescent="0.25">
      <c r="B28" t="s">
        <v>197</v>
      </c>
    </row>
  </sheetData>
  <mergeCells count="26">
    <mergeCell ref="A1:F1"/>
    <mergeCell ref="D3:E3"/>
    <mergeCell ref="D8:E8"/>
    <mergeCell ref="D9:E9"/>
    <mergeCell ref="D2:E2"/>
    <mergeCell ref="B25:D25"/>
    <mergeCell ref="D12:E12"/>
    <mergeCell ref="D11:E11"/>
    <mergeCell ref="D10:E10"/>
    <mergeCell ref="D4:E4"/>
    <mergeCell ref="D5:E5"/>
    <mergeCell ref="D6:E6"/>
    <mergeCell ref="D7:E7"/>
    <mergeCell ref="L20:M20"/>
    <mergeCell ref="J1:N1"/>
    <mergeCell ref="L2:M2"/>
    <mergeCell ref="L10:M10"/>
    <mergeCell ref="L11:M11"/>
    <mergeCell ref="L12:M12"/>
    <mergeCell ref="L8:M8"/>
    <mergeCell ref="L9:M9"/>
    <mergeCell ref="L3:M3"/>
    <mergeCell ref="L4:M4"/>
    <mergeCell ref="L5:M5"/>
    <mergeCell ref="L6:M6"/>
    <mergeCell ref="L7:M7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FFB-5A5C-45B4-B3F5-D5A9339411B8}">
  <sheetPr>
    <tabColor rgb="FFFF0000"/>
  </sheetPr>
  <dimension ref="A1:DG27"/>
  <sheetViews>
    <sheetView zoomScale="90" zoomScaleNormal="90" workbookViewId="0">
      <selection activeCell="F27" sqref="F27"/>
    </sheetView>
  </sheetViews>
  <sheetFormatPr defaultRowHeight="15" x14ac:dyDescent="0.25"/>
  <cols>
    <col min="1" max="1" width="3.140625" style="306" customWidth="1"/>
    <col min="2" max="2" width="23.85546875" customWidth="1"/>
    <col min="3" max="3" width="7.28515625" customWidth="1"/>
    <col min="4" max="4" width="8.5703125" customWidth="1"/>
    <col min="5" max="5" width="4.28515625" customWidth="1"/>
    <col min="6" max="6" width="16.28515625" customWidth="1"/>
    <col min="7" max="7" width="8.5703125" customWidth="1"/>
    <col min="8" max="8" width="6.28515625" customWidth="1"/>
    <col min="9" max="9" width="18.28515625" customWidth="1"/>
    <col min="10" max="10" width="8.5703125" customWidth="1"/>
    <col min="11" max="11" width="5.7109375" customWidth="1"/>
    <col min="12" max="12" width="18.140625" customWidth="1"/>
    <col min="13" max="13" width="8.7109375" customWidth="1"/>
    <col min="14" max="14" width="6.28515625" customWidth="1"/>
    <col min="15" max="15" width="18.140625" customWidth="1"/>
    <col min="16" max="16" width="8.85546875" customWidth="1"/>
    <col min="17" max="17" width="6.28515625" customWidth="1"/>
    <col min="18" max="18" width="19.5703125" customWidth="1"/>
    <col min="19" max="19" width="9.5703125" customWidth="1"/>
    <col min="20" max="20" width="5.28515625" customWidth="1"/>
    <col min="21" max="21" width="18.28515625" customWidth="1"/>
    <col min="22" max="22" width="8.7109375" customWidth="1"/>
    <col min="23" max="23" width="6" customWidth="1"/>
    <col min="24" max="24" width="17.7109375" customWidth="1"/>
    <col min="25" max="25" width="8.85546875" customWidth="1"/>
    <col min="26" max="26" width="5.28515625" customWidth="1"/>
    <col min="27" max="27" width="20.85546875" customWidth="1"/>
  </cols>
  <sheetData>
    <row r="1" spans="1:111" ht="51.75" customHeight="1" thickBot="1" x14ac:dyDescent="0.3">
      <c r="A1" s="424" t="s">
        <v>160</v>
      </c>
      <c r="B1" s="425"/>
      <c r="C1" s="425"/>
      <c r="D1" s="425"/>
      <c r="E1" s="425"/>
      <c r="F1" s="426"/>
      <c r="G1" s="424" t="s">
        <v>173</v>
      </c>
      <c r="H1" s="425"/>
      <c r="I1" s="426"/>
      <c r="J1" s="434" t="s">
        <v>174</v>
      </c>
      <c r="K1" s="435"/>
      <c r="L1" s="436"/>
      <c r="M1" s="434" t="s">
        <v>175</v>
      </c>
      <c r="N1" s="435"/>
      <c r="O1" s="436"/>
      <c r="P1" s="434" t="s">
        <v>176</v>
      </c>
      <c r="Q1" s="435"/>
      <c r="R1" s="436"/>
      <c r="S1" s="434" t="s">
        <v>177</v>
      </c>
      <c r="T1" s="435"/>
      <c r="U1" s="436"/>
      <c r="V1" s="434" t="s">
        <v>178</v>
      </c>
      <c r="W1" s="435"/>
      <c r="X1" s="436"/>
      <c r="Y1" s="434" t="s">
        <v>179</v>
      </c>
      <c r="Z1" s="435"/>
      <c r="AA1" s="436"/>
    </row>
    <row r="2" spans="1:111" ht="27.75" customHeight="1" thickBot="1" x14ac:dyDescent="0.3">
      <c r="A2" s="296" t="s">
        <v>58</v>
      </c>
      <c r="B2" s="55" t="s">
        <v>69</v>
      </c>
      <c r="C2" s="314" t="s">
        <v>18</v>
      </c>
      <c r="D2" s="362" t="s">
        <v>21</v>
      </c>
      <c r="E2" s="363"/>
      <c r="F2" s="57" t="s">
        <v>32</v>
      </c>
      <c r="G2" s="420" t="s">
        <v>21</v>
      </c>
      <c r="H2" s="363"/>
      <c r="I2" s="57" t="s">
        <v>32</v>
      </c>
      <c r="J2" s="420" t="s">
        <v>21</v>
      </c>
      <c r="K2" s="363"/>
      <c r="L2" s="57" t="s">
        <v>32</v>
      </c>
      <c r="M2" s="420" t="s">
        <v>21</v>
      </c>
      <c r="N2" s="363"/>
      <c r="O2" s="57" t="s">
        <v>32</v>
      </c>
      <c r="P2" s="420" t="s">
        <v>21</v>
      </c>
      <c r="Q2" s="363"/>
      <c r="R2" s="57" t="s">
        <v>32</v>
      </c>
      <c r="S2" s="420" t="s">
        <v>21</v>
      </c>
      <c r="T2" s="363"/>
      <c r="U2" s="57" t="s">
        <v>32</v>
      </c>
      <c r="V2" s="420" t="s">
        <v>21</v>
      </c>
      <c r="W2" s="363"/>
      <c r="X2" s="57" t="s">
        <v>32</v>
      </c>
      <c r="Y2" s="420" t="s">
        <v>21</v>
      </c>
      <c r="Z2" s="363"/>
      <c r="AA2" s="57" t="s">
        <v>32</v>
      </c>
    </row>
    <row r="3" spans="1:111" x14ac:dyDescent="0.25">
      <c r="A3" s="297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v>10022991.91</v>
      </c>
      <c r="G3" s="427">
        <v>292.42</v>
      </c>
      <c r="H3" s="428"/>
      <c r="I3" s="86">
        <v>7165777.4999999963</v>
      </c>
      <c r="J3" s="431">
        <v>1791.69</v>
      </c>
      <c r="K3" s="376"/>
      <c r="L3" s="404">
        <v>139860049.75999999</v>
      </c>
      <c r="M3" s="431">
        <v>1791.69</v>
      </c>
      <c r="N3" s="376"/>
      <c r="O3" s="404">
        <v>139860049.75999999</v>
      </c>
      <c r="P3" s="431">
        <v>1791.69</v>
      </c>
      <c r="Q3" s="376"/>
      <c r="R3" s="404">
        <v>139860049.75999999</v>
      </c>
      <c r="S3" s="431">
        <v>1791.69</v>
      </c>
      <c r="T3" s="376"/>
      <c r="U3" s="404">
        <v>139860049.75999999</v>
      </c>
      <c r="V3" s="431">
        <v>1791.69</v>
      </c>
      <c r="W3" s="376"/>
      <c r="X3" s="404">
        <v>139860049.75999999</v>
      </c>
      <c r="Y3" s="431">
        <v>1791.69</v>
      </c>
      <c r="Z3" s="376"/>
      <c r="AA3" s="404">
        <v>139860049.75999999</v>
      </c>
    </row>
    <row r="4" spans="1:111" ht="45" x14ac:dyDescent="0.25">
      <c r="A4" s="298">
        <v>2</v>
      </c>
      <c r="B4" s="87" t="s">
        <v>154</v>
      </c>
      <c r="C4" s="88" t="s">
        <v>19</v>
      </c>
      <c r="D4" s="364">
        <f>676.624+295.152</f>
        <v>971.77600000000007</v>
      </c>
      <c r="E4" s="365"/>
      <c r="F4" s="89">
        <f>28449520.75+12410042.86</f>
        <v>40859563.609999999</v>
      </c>
      <c r="G4" s="429">
        <f>941.29+53.14</f>
        <v>994.43</v>
      </c>
      <c r="H4" s="382"/>
      <c r="I4" s="89">
        <f>39932164.78+2234339.1</f>
        <v>42166503.880000003</v>
      </c>
      <c r="J4" s="432"/>
      <c r="K4" s="378"/>
      <c r="L4" s="405"/>
      <c r="M4" s="432"/>
      <c r="N4" s="378"/>
      <c r="O4" s="405"/>
      <c r="P4" s="432"/>
      <c r="Q4" s="378"/>
      <c r="R4" s="405"/>
      <c r="S4" s="432"/>
      <c r="T4" s="378"/>
      <c r="U4" s="405"/>
      <c r="V4" s="432"/>
      <c r="W4" s="378"/>
      <c r="X4" s="405"/>
      <c r="Y4" s="432"/>
      <c r="Z4" s="378"/>
      <c r="AA4" s="405"/>
    </row>
    <row r="5" spans="1:111" ht="30" x14ac:dyDescent="0.25">
      <c r="A5" s="298">
        <v>3</v>
      </c>
      <c r="B5" s="87" t="s">
        <v>8</v>
      </c>
      <c r="C5" s="88" t="s">
        <v>19</v>
      </c>
      <c r="D5" s="381">
        <v>284.85599999999999</v>
      </c>
      <c r="E5" s="382"/>
      <c r="F5" s="89">
        <v>29847559.98</v>
      </c>
      <c r="G5" s="429">
        <v>213.17</v>
      </c>
      <c r="H5" s="382"/>
      <c r="I5" s="89">
        <v>22336213.16</v>
      </c>
      <c r="J5" s="432"/>
      <c r="K5" s="378"/>
      <c r="L5" s="405"/>
      <c r="M5" s="432"/>
      <c r="N5" s="378"/>
      <c r="O5" s="405"/>
      <c r="P5" s="432"/>
      <c r="Q5" s="378"/>
      <c r="R5" s="405"/>
      <c r="S5" s="432"/>
      <c r="T5" s="378"/>
      <c r="U5" s="405"/>
      <c r="V5" s="432"/>
      <c r="W5" s="378"/>
      <c r="X5" s="405"/>
      <c r="Y5" s="432"/>
      <c r="Z5" s="378"/>
      <c r="AA5" s="405"/>
    </row>
    <row r="6" spans="1:111" x14ac:dyDescent="0.25">
      <c r="A6" s="298">
        <v>4</v>
      </c>
      <c r="B6" s="87" t="s">
        <v>1</v>
      </c>
      <c r="C6" s="88" t="s">
        <v>19</v>
      </c>
      <c r="D6" s="381">
        <v>103.27200000000001</v>
      </c>
      <c r="E6" s="382"/>
      <c r="F6" s="89">
        <v>6218924.8699999992</v>
      </c>
      <c r="G6" s="429">
        <v>61.69</v>
      </c>
      <c r="H6" s="382"/>
      <c r="I6" s="89">
        <v>3714903.1500000004</v>
      </c>
      <c r="J6" s="432"/>
      <c r="K6" s="378"/>
      <c r="L6" s="405"/>
      <c r="M6" s="432"/>
      <c r="N6" s="378"/>
      <c r="O6" s="405"/>
      <c r="P6" s="432"/>
      <c r="Q6" s="378"/>
      <c r="R6" s="405"/>
      <c r="S6" s="432"/>
      <c r="T6" s="378"/>
      <c r="U6" s="405"/>
      <c r="V6" s="432"/>
      <c r="W6" s="378"/>
      <c r="X6" s="405"/>
      <c r="Y6" s="432"/>
      <c r="Z6" s="378"/>
      <c r="AA6" s="405"/>
    </row>
    <row r="7" spans="1:111" ht="30" x14ac:dyDescent="0.25">
      <c r="A7" s="298">
        <v>5</v>
      </c>
      <c r="B7" s="87" t="s">
        <v>2</v>
      </c>
      <c r="C7" s="88" t="s">
        <v>19</v>
      </c>
      <c r="D7" s="381">
        <v>66.872</v>
      </c>
      <c r="E7" s="382"/>
      <c r="F7" s="89">
        <v>4525782.0099999988</v>
      </c>
      <c r="G7" s="429">
        <v>41.95</v>
      </c>
      <c r="H7" s="382"/>
      <c r="I7" s="89">
        <v>2839000</v>
      </c>
      <c r="J7" s="432"/>
      <c r="K7" s="378"/>
      <c r="L7" s="405"/>
      <c r="M7" s="432"/>
      <c r="N7" s="378"/>
      <c r="O7" s="405"/>
      <c r="P7" s="432"/>
      <c r="Q7" s="378"/>
      <c r="R7" s="405"/>
      <c r="S7" s="432"/>
      <c r="T7" s="378"/>
      <c r="U7" s="405"/>
      <c r="V7" s="432"/>
      <c r="W7" s="378"/>
      <c r="X7" s="405"/>
      <c r="Y7" s="432"/>
      <c r="Z7" s="378"/>
      <c r="AA7" s="405"/>
    </row>
    <row r="8" spans="1:111" x14ac:dyDescent="0.25">
      <c r="A8" s="298">
        <v>6</v>
      </c>
      <c r="B8" s="87" t="s">
        <v>3</v>
      </c>
      <c r="C8" s="88" t="s">
        <v>19</v>
      </c>
      <c r="D8" s="381">
        <v>233.27199999999999</v>
      </c>
      <c r="E8" s="382"/>
      <c r="F8" s="89">
        <v>17401032.069999997</v>
      </c>
      <c r="G8" s="429">
        <v>182.95</v>
      </c>
      <c r="H8" s="382"/>
      <c r="I8" s="89">
        <v>13647239.470000003</v>
      </c>
      <c r="J8" s="432"/>
      <c r="K8" s="378"/>
      <c r="L8" s="405"/>
      <c r="M8" s="432"/>
      <c r="N8" s="378"/>
      <c r="O8" s="405"/>
      <c r="P8" s="432"/>
      <c r="Q8" s="378"/>
      <c r="R8" s="405"/>
      <c r="S8" s="432"/>
      <c r="T8" s="378"/>
      <c r="U8" s="405"/>
      <c r="V8" s="432"/>
      <c r="W8" s="378"/>
      <c r="X8" s="405"/>
      <c r="Y8" s="432"/>
      <c r="Z8" s="378"/>
      <c r="AA8" s="405"/>
    </row>
    <row r="9" spans="1:111" ht="15.75" thickBot="1" x14ac:dyDescent="0.3">
      <c r="A9" s="299">
        <v>7</v>
      </c>
      <c r="B9" s="90" t="s">
        <v>4</v>
      </c>
      <c r="C9" s="91" t="s">
        <v>19</v>
      </c>
      <c r="D9" s="383">
        <v>4.3680000000000003</v>
      </c>
      <c r="E9" s="384"/>
      <c r="F9" s="92">
        <v>714028.58000000007</v>
      </c>
      <c r="G9" s="430">
        <v>5.08</v>
      </c>
      <c r="H9" s="384"/>
      <c r="I9" s="92">
        <v>831105.78</v>
      </c>
      <c r="J9" s="433"/>
      <c r="K9" s="380"/>
      <c r="L9" s="406"/>
      <c r="M9" s="433"/>
      <c r="N9" s="380"/>
      <c r="O9" s="406"/>
      <c r="P9" s="433"/>
      <c r="Q9" s="380"/>
      <c r="R9" s="406"/>
      <c r="S9" s="433"/>
      <c r="T9" s="380"/>
      <c r="U9" s="406"/>
      <c r="V9" s="433"/>
      <c r="W9" s="380"/>
      <c r="X9" s="406"/>
      <c r="Y9" s="433"/>
      <c r="Z9" s="380"/>
      <c r="AA9" s="406"/>
    </row>
    <row r="10" spans="1:111" s="311" customFormat="1" ht="27" customHeight="1" thickTop="1" x14ac:dyDescent="0.25">
      <c r="A10" s="309">
        <v>8</v>
      </c>
      <c r="B10" s="310" t="s">
        <v>182</v>
      </c>
      <c r="C10" s="42" t="s">
        <v>29</v>
      </c>
      <c r="D10" s="396" t="s">
        <v>157</v>
      </c>
      <c r="E10" s="397"/>
      <c r="F10" s="43">
        <v>3704032.4099999992</v>
      </c>
      <c r="G10" s="421" t="s">
        <v>180</v>
      </c>
      <c r="H10" s="399"/>
      <c r="I10" s="43">
        <v>3807347.4499999997</v>
      </c>
      <c r="J10" s="421" t="s">
        <v>180</v>
      </c>
      <c r="K10" s="399"/>
      <c r="L10" s="43">
        <v>3807347.4499999997</v>
      </c>
      <c r="M10" s="421" t="s">
        <v>180</v>
      </c>
      <c r="N10" s="399"/>
      <c r="O10" s="43">
        <v>3807347.4499999997</v>
      </c>
      <c r="P10" s="421" t="s">
        <v>180</v>
      </c>
      <c r="Q10" s="399"/>
      <c r="R10" s="43">
        <v>3807347.4499999997</v>
      </c>
      <c r="S10" s="421" t="s">
        <v>180</v>
      </c>
      <c r="T10" s="399"/>
      <c r="U10" s="43">
        <v>3807347.4499999997</v>
      </c>
      <c r="V10" s="421" t="s">
        <v>180</v>
      </c>
      <c r="W10" s="399"/>
      <c r="X10" s="43">
        <v>3807347.4499999997</v>
      </c>
      <c r="Y10" s="421" t="s">
        <v>180</v>
      </c>
      <c r="Z10" s="399"/>
      <c r="AA10" s="43">
        <v>3807347.4499999997</v>
      </c>
    </row>
    <row r="11" spans="1:111" s="311" customFormat="1" ht="24.75" customHeight="1" x14ac:dyDescent="0.25">
      <c r="A11" s="312">
        <v>9</v>
      </c>
      <c r="B11" s="313" t="s">
        <v>28</v>
      </c>
      <c r="C11" s="40" t="s">
        <v>29</v>
      </c>
      <c r="D11" s="400" t="s">
        <v>158</v>
      </c>
      <c r="E11" s="401"/>
      <c r="F11" s="29">
        <v>15227354.290000003</v>
      </c>
      <c r="G11" s="422" t="s">
        <v>181</v>
      </c>
      <c r="H11" s="403"/>
      <c r="I11" s="29">
        <v>14168223.84</v>
      </c>
      <c r="J11" s="422" t="s">
        <v>181</v>
      </c>
      <c r="K11" s="403"/>
      <c r="L11" s="29">
        <v>14168223.84</v>
      </c>
      <c r="M11" s="422" t="s">
        <v>181</v>
      </c>
      <c r="N11" s="403"/>
      <c r="O11" s="29">
        <v>14168223.84</v>
      </c>
      <c r="P11" s="422" t="s">
        <v>181</v>
      </c>
      <c r="Q11" s="403"/>
      <c r="R11" s="29">
        <v>14168223.84</v>
      </c>
      <c r="S11" s="422" t="s">
        <v>181</v>
      </c>
      <c r="T11" s="403"/>
      <c r="U11" s="29">
        <v>14168223.84</v>
      </c>
      <c r="V11" s="422" t="s">
        <v>181</v>
      </c>
      <c r="W11" s="403"/>
      <c r="X11" s="29">
        <v>14168223.84</v>
      </c>
      <c r="Y11" s="422" t="s">
        <v>181</v>
      </c>
      <c r="Z11" s="403"/>
      <c r="AA11" s="29">
        <v>14168223.84</v>
      </c>
    </row>
    <row r="12" spans="1:111" s="290" customFormat="1" ht="25.5" customHeight="1" thickBot="1" x14ac:dyDescent="0.3">
      <c r="A12" s="300">
        <v>10</v>
      </c>
      <c r="B12" s="288" t="s">
        <v>17</v>
      </c>
      <c r="C12" s="289" t="s">
        <v>20</v>
      </c>
      <c r="D12" s="391">
        <f>47.6596*100</f>
        <v>4765.96</v>
      </c>
      <c r="E12" s="392"/>
      <c r="F12" s="33">
        <v>1105733.3899999999</v>
      </c>
      <c r="G12" s="423">
        <v>4765.96</v>
      </c>
      <c r="H12" s="392"/>
      <c r="I12" s="33">
        <v>1105733.3899999999</v>
      </c>
      <c r="J12" s="423">
        <v>4765.96</v>
      </c>
      <c r="K12" s="392"/>
      <c r="L12" s="33">
        <v>1105733.3899999999</v>
      </c>
      <c r="M12" s="423">
        <v>4765.96</v>
      </c>
      <c r="N12" s="392"/>
      <c r="O12" s="33">
        <v>1105733.3899999999</v>
      </c>
      <c r="P12" s="423">
        <v>4765.96</v>
      </c>
      <c r="Q12" s="392"/>
      <c r="R12" s="33">
        <v>1105733.3899999999</v>
      </c>
      <c r="S12" s="423">
        <v>4765.96</v>
      </c>
      <c r="T12" s="392"/>
      <c r="U12" s="33">
        <v>1105733.3899999999</v>
      </c>
      <c r="V12" s="423">
        <v>4765.96</v>
      </c>
      <c r="W12" s="392"/>
      <c r="X12" s="33">
        <v>1105733.3899999999</v>
      </c>
      <c r="Y12" s="423">
        <v>4765.96</v>
      </c>
      <c r="Z12" s="392"/>
      <c r="AA12" s="33">
        <v>1105733.3899999999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 ht="16.5" thickTop="1" thickBot="1" x14ac:dyDescent="0.3">
      <c r="A13" s="301">
        <v>11</v>
      </c>
      <c r="B13" s="59" t="s">
        <v>22</v>
      </c>
      <c r="C13" s="60"/>
      <c r="D13" s="269">
        <f>SUM(D3:E9)</f>
        <v>2078.0239999999999</v>
      </c>
      <c r="E13" s="62" t="s">
        <v>19</v>
      </c>
      <c r="F13" s="63">
        <f>SUM(F3:F12)</f>
        <v>129627003.12</v>
      </c>
      <c r="G13" s="291">
        <f>SUM(G3:H9)</f>
        <v>1791.69</v>
      </c>
      <c r="H13" s="62" t="s">
        <v>19</v>
      </c>
      <c r="I13" s="63">
        <f>SUM(I3:I12)</f>
        <v>111782047.62</v>
      </c>
      <c r="J13" s="291">
        <f>SUM(J3:K9)</f>
        <v>1791.69</v>
      </c>
      <c r="K13" s="62" t="s">
        <v>19</v>
      </c>
      <c r="L13" s="63">
        <f>SUM(L3:L12)</f>
        <v>158941354.43999997</v>
      </c>
      <c r="M13" s="291">
        <f>SUM(M3:N9)</f>
        <v>1791.69</v>
      </c>
      <c r="N13" s="62" t="s">
        <v>19</v>
      </c>
      <c r="O13" s="63">
        <f>SUM(O3:O12)</f>
        <v>158941354.43999997</v>
      </c>
      <c r="P13" s="291">
        <f>SUM(P3:Q9)</f>
        <v>1791.69</v>
      </c>
      <c r="Q13" s="62" t="s">
        <v>19</v>
      </c>
      <c r="R13" s="63">
        <f>SUM(R3:R12)</f>
        <v>158941354.43999997</v>
      </c>
      <c r="S13" s="291">
        <f>SUM(S3:T9)</f>
        <v>1791.69</v>
      </c>
      <c r="T13" s="62" t="s">
        <v>19</v>
      </c>
      <c r="U13" s="63">
        <f>SUM(U3:U12)</f>
        <v>158941354.43999997</v>
      </c>
      <c r="V13" s="291">
        <f>SUM(V3:W9)</f>
        <v>1791.69</v>
      </c>
      <c r="W13" s="62" t="s">
        <v>19</v>
      </c>
      <c r="X13" s="63">
        <f>SUM(X3:X12)</f>
        <v>158941354.43999997</v>
      </c>
      <c r="Y13" s="291">
        <f>SUM(Y3:Z9)</f>
        <v>1791.69</v>
      </c>
      <c r="Z13" s="62" t="s">
        <v>19</v>
      </c>
      <c r="AA13" s="63">
        <f>SUM(AA3:AA12)</f>
        <v>158941354.43999997</v>
      </c>
    </row>
    <row r="14" spans="1:111" ht="30.75" thickBot="1" x14ac:dyDescent="0.3">
      <c r="A14" s="302">
        <v>12</v>
      </c>
      <c r="B14" s="58" t="s">
        <v>167</v>
      </c>
      <c r="C14" s="41"/>
      <c r="D14" s="45"/>
      <c r="E14" s="46"/>
      <c r="F14" s="315">
        <v>0</v>
      </c>
      <c r="G14" s="316"/>
      <c r="H14" s="317"/>
      <c r="I14" s="315">
        <v>0</v>
      </c>
      <c r="J14" s="316"/>
      <c r="K14" s="317"/>
      <c r="L14" s="315">
        <v>0</v>
      </c>
      <c r="M14" s="316"/>
      <c r="N14" s="317"/>
      <c r="O14" s="315">
        <v>0</v>
      </c>
      <c r="P14" s="292"/>
      <c r="Q14" s="46"/>
      <c r="R14" s="271">
        <v>9428605.6600000001</v>
      </c>
      <c r="S14" s="292"/>
      <c r="T14" s="46"/>
      <c r="U14" s="271">
        <v>9428605.6600000001</v>
      </c>
      <c r="V14" s="292"/>
      <c r="W14" s="46"/>
      <c r="X14" s="271">
        <v>9428605.6600000001</v>
      </c>
      <c r="Y14" s="292"/>
      <c r="Z14" s="46"/>
      <c r="AA14" s="271">
        <v>9428605.6600000001</v>
      </c>
    </row>
    <row r="15" spans="1:111" ht="21.75" customHeight="1" thickBot="1" x14ac:dyDescent="0.3">
      <c r="A15" s="301">
        <v>13</v>
      </c>
      <c r="B15" s="59" t="s">
        <v>22</v>
      </c>
      <c r="C15" s="60"/>
      <c r="D15" s="45"/>
      <c r="E15" s="62"/>
      <c r="F15" s="286">
        <v>0</v>
      </c>
      <c r="G15" s="292"/>
      <c r="H15" s="62"/>
      <c r="I15" s="286">
        <v>0</v>
      </c>
      <c r="J15" s="292"/>
      <c r="K15" s="62"/>
      <c r="L15" s="286">
        <v>0</v>
      </c>
      <c r="M15" s="292"/>
      <c r="N15" s="62"/>
      <c r="O15" s="286">
        <v>0</v>
      </c>
      <c r="P15" s="292"/>
      <c r="Q15" s="62"/>
      <c r="R15" s="63">
        <f>R13+R14</f>
        <v>168369960.09999996</v>
      </c>
      <c r="S15" s="292"/>
      <c r="T15" s="62"/>
      <c r="U15" s="63">
        <f>U13+U14</f>
        <v>168369960.09999996</v>
      </c>
      <c r="V15" s="292"/>
      <c r="W15" s="62"/>
      <c r="X15" s="63">
        <f>X13+X14</f>
        <v>168369960.09999996</v>
      </c>
      <c r="Y15" s="292"/>
      <c r="Z15" s="62"/>
      <c r="AA15" s="63">
        <f>AA13+AA14</f>
        <v>168369960.09999996</v>
      </c>
    </row>
    <row r="16" spans="1:111" ht="30.75" thickBot="1" x14ac:dyDescent="0.3">
      <c r="A16" s="302">
        <v>14</v>
      </c>
      <c r="B16" s="58" t="s">
        <v>23</v>
      </c>
      <c r="C16" s="41"/>
      <c r="D16" s="45"/>
      <c r="E16" s="46"/>
      <c r="F16" s="271">
        <f>F13*0.03</f>
        <v>3888810.0935999998</v>
      </c>
      <c r="G16" s="292"/>
      <c r="H16" s="46"/>
      <c r="I16" s="271">
        <f>I13*0.03</f>
        <v>3353461.4286000002</v>
      </c>
      <c r="J16" s="292"/>
      <c r="K16" s="46"/>
      <c r="L16" s="271">
        <f>L13*0.03</f>
        <v>4768240.6331999991</v>
      </c>
      <c r="M16" s="292"/>
      <c r="N16" s="46"/>
      <c r="O16" s="271">
        <f>O13*0.03</f>
        <v>4768240.6331999991</v>
      </c>
      <c r="P16" s="292"/>
      <c r="Q16" s="46"/>
      <c r="R16" s="271">
        <f>R15*0.03</f>
        <v>5051098.8029999984</v>
      </c>
      <c r="S16" s="292"/>
      <c r="T16" s="46"/>
      <c r="U16" s="271">
        <f>U15*0.03</f>
        <v>5051098.8029999984</v>
      </c>
      <c r="V16" s="292"/>
      <c r="W16" s="46"/>
      <c r="X16" s="271">
        <f>X15*0.03</f>
        <v>5051098.8029999984</v>
      </c>
      <c r="Y16" s="292"/>
      <c r="Z16" s="46"/>
      <c r="AA16" s="271">
        <f>AA15*0.03</f>
        <v>5051098.8029999984</v>
      </c>
    </row>
    <row r="17" spans="1:35" ht="28.5" customHeight="1" x14ac:dyDescent="0.25">
      <c r="A17" s="303">
        <v>15</v>
      </c>
      <c r="B17" s="264" t="s">
        <v>36</v>
      </c>
      <c r="C17" s="265"/>
      <c r="D17" s="266"/>
      <c r="E17" s="267"/>
      <c r="F17" s="268">
        <f>F13+F16</f>
        <v>133515813.21360001</v>
      </c>
      <c r="G17" s="293"/>
      <c r="H17" s="267"/>
      <c r="I17" s="268">
        <f>I13+I16</f>
        <v>115135509.0486</v>
      </c>
      <c r="J17" s="293"/>
      <c r="K17" s="267"/>
      <c r="L17" s="268">
        <f>L13+L16</f>
        <v>163709595.07319996</v>
      </c>
      <c r="M17" s="293"/>
      <c r="N17" s="267"/>
      <c r="O17" s="268">
        <f>O13+O16</f>
        <v>163709595.07319996</v>
      </c>
      <c r="P17" s="293"/>
      <c r="Q17" s="267"/>
      <c r="R17" s="268">
        <f>R15+R16</f>
        <v>173421058.90299997</v>
      </c>
      <c r="S17" s="293"/>
      <c r="T17" s="267"/>
      <c r="U17" s="268">
        <f>U15+U16</f>
        <v>173421058.90299997</v>
      </c>
      <c r="V17" s="293"/>
      <c r="W17" s="267"/>
      <c r="X17" s="268">
        <f>X15+X16</f>
        <v>173421058.90299997</v>
      </c>
      <c r="Y17" s="293"/>
      <c r="Z17" s="267"/>
      <c r="AA17" s="268">
        <f>AA15+AA16</f>
        <v>173421058.90299997</v>
      </c>
    </row>
    <row r="18" spans="1:35" ht="45" x14ac:dyDescent="0.25">
      <c r="A18" s="304">
        <v>16</v>
      </c>
      <c r="B18" s="281" t="s">
        <v>186</v>
      </c>
      <c r="C18" s="282"/>
      <c r="D18" s="275"/>
      <c r="E18" s="283"/>
      <c r="F18" s="287">
        <v>0</v>
      </c>
      <c r="G18" s="294"/>
      <c r="H18" s="283"/>
      <c r="I18" s="287">
        <v>0</v>
      </c>
      <c r="J18" s="294"/>
      <c r="K18" s="283"/>
      <c r="L18" s="287">
        <v>0</v>
      </c>
      <c r="M18" s="294"/>
      <c r="N18" s="283"/>
      <c r="O18" s="287">
        <v>0</v>
      </c>
      <c r="P18" s="294"/>
      <c r="Q18" s="283"/>
      <c r="R18" s="287">
        <v>0</v>
      </c>
      <c r="S18" s="294"/>
      <c r="T18" s="283"/>
      <c r="U18" s="287">
        <v>0</v>
      </c>
      <c r="V18" s="294"/>
      <c r="W18" s="283"/>
      <c r="X18" s="287">
        <v>183826324.21000001</v>
      </c>
      <c r="Y18" s="294"/>
      <c r="Z18" s="283"/>
      <c r="AA18" s="287">
        <v>183826324.21000001</v>
      </c>
    </row>
    <row r="19" spans="1:35" ht="30.75" customHeight="1" thickBot="1" x14ac:dyDescent="0.3">
      <c r="A19" s="305">
        <v>17</v>
      </c>
      <c r="B19" s="64" t="s">
        <v>150</v>
      </c>
      <c r="C19" s="48"/>
      <c r="D19" s="65"/>
      <c r="E19" s="44"/>
      <c r="F19" s="66">
        <v>159709185.41</v>
      </c>
      <c r="G19" s="419" t="s">
        <v>150</v>
      </c>
      <c r="H19" s="394"/>
      <c r="I19" s="66">
        <v>137606949.4666667</v>
      </c>
      <c r="J19" s="419" t="s">
        <v>164</v>
      </c>
      <c r="K19" s="394"/>
      <c r="L19" s="66">
        <v>137606949.4666667</v>
      </c>
      <c r="M19" s="419" t="s">
        <v>166</v>
      </c>
      <c r="N19" s="394"/>
      <c r="O19" s="66">
        <v>159709185.41</v>
      </c>
      <c r="P19" s="419" t="s">
        <v>164</v>
      </c>
      <c r="Q19" s="394"/>
      <c r="R19" s="66">
        <v>147270803.80000001</v>
      </c>
      <c r="S19" s="419" t="s">
        <v>166</v>
      </c>
      <c r="T19" s="394"/>
      <c r="U19" s="66">
        <v>169413352.53</v>
      </c>
      <c r="V19" s="419" t="s">
        <v>164</v>
      </c>
      <c r="W19" s="394"/>
      <c r="X19" s="66">
        <v>157676066.63</v>
      </c>
      <c r="Y19" s="419" t="s">
        <v>166</v>
      </c>
      <c r="Z19" s="394"/>
      <c r="AA19" s="66">
        <v>179818616.16</v>
      </c>
    </row>
    <row r="20" spans="1:35" ht="25.5" customHeight="1" thickBot="1" x14ac:dyDescent="0.3">
      <c r="A20" s="302">
        <v>18.190000000000001</v>
      </c>
      <c r="B20" s="58" t="s">
        <v>33</v>
      </c>
      <c r="C20" s="41"/>
      <c r="D20" s="45"/>
      <c r="E20" s="46"/>
      <c r="F20" s="47">
        <v>31941837.082000002</v>
      </c>
      <c r="G20" s="292"/>
      <c r="H20" s="46"/>
      <c r="I20" s="47">
        <f>I19*0.2</f>
        <v>27521389.893333342</v>
      </c>
      <c r="J20" s="292"/>
      <c r="K20" s="46"/>
      <c r="L20" s="47">
        <f>L19*0.2</f>
        <v>27521389.893333342</v>
      </c>
      <c r="M20" s="292"/>
      <c r="N20" s="46"/>
      <c r="O20" s="47">
        <f>O19*0.2</f>
        <v>31941837.082000002</v>
      </c>
      <c r="P20" s="292"/>
      <c r="Q20" s="46"/>
      <c r="R20" s="47">
        <f>R19*0.2</f>
        <v>29454160.760000005</v>
      </c>
      <c r="S20" s="292"/>
      <c r="T20" s="46"/>
      <c r="U20" s="47">
        <f>U19*0.2</f>
        <v>33882670.506000005</v>
      </c>
      <c r="V20" s="292"/>
      <c r="W20" s="46"/>
      <c r="X20" s="47">
        <f>X19*0.2</f>
        <v>31535213.326000001</v>
      </c>
      <c r="Y20" s="292"/>
      <c r="Z20" s="46"/>
      <c r="AA20" s="47">
        <f>AA19*0.2</f>
        <v>35963723.232000001</v>
      </c>
    </row>
    <row r="21" spans="1:35" ht="15.75" thickBot="1" x14ac:dyDescent="0.3">
      <c r="A21" s="301">
        <v>19</v>
      </c>
      <c r="B21" s="59" t="s">
        <v>34</v>
      </c>
      <c r="C21" s="60"/>
      <c r="D21" s="61"/>
      <c r="E21" s="62"/>
      <c r="F21" s="107">
        <v>191651022.49200001</v>
      </c>
      <c r="G21" s="295"/>
      <c r="H21" s="62"/>
      <c r="I21" s="107">
        <f>I19+I20</f>
        <v>165128339.36000004</v>
      </c>
      <c r="J21" s="295"/>
      <c r="K21" s="62"/>
      <c r="L21" s="107">
        <f>L19+L20</f>
        <v>165128339.36000004</v>
      </c>
      <c r="M21" s="295"/>
      <c r="N21" s="62"/>
      <c r="O21" s="107">
        <f>O19+O20</f>
        <v>191651022.49199998</v>
      </c>
      <c r="P21" s="295"/>
      <c r="Q21" s="62"/>
      <c r="R21" s="107">
        <f>R19+R20</f>
        <v>176724964.56</v>
      </c>
      <c r="S21" s="295"/>
      <c r="T21" s="62"/>
      <c r="U21" s="107">
        <f>U19+U20</f>
        <v>203296023.03600001</v>
      </c>
      <c r="V21" s="295"/>
      <c r="W21" s="62"/>
      <c r="X21" s="107">
        <f>X19+X20</f>
        <v>189211279.956</v>
      </c>
      <c r="Y21" s="295"/>
      <c r="Z21" s="62"/>
      <c r="AA21" s="107">
        <f>AA19+AA20</f>
        <v>215782339.39199999</v>
      </c>
    </row>
    <row r="23" spans="1:35" ht="35.25" customHeight="1" x14ac:dyDescent="0.25">
      <c r="A23"/>
      <c r="B23" s="395" t="s">
        <v>183</v>
      </c>
      <c r="C23" s="395"/>
      <c r="D23" s="395"/>
      <c r="E23" s="307"/>
      <c r="F23" s="270">
        <v>75700.429999999993</v>
      </c>
      <c r="G23" s="39"/>
      <c r="H23" s="39"/>
      <c r="I23" s="270">
        <v>74204.92</v>
      </c>
      <c r="J23" s="307"/>
      <c r="K23" s="307"/>
      <c r="L23" s="270">
        <v>78736.899999999994</v>
      </c>
      <c r="M23" s="307"/>
      <c r="N23" s="307"/>
      <c r="O23" s="270">
        <v>91383.51</v>
      </c>
      <c r="P23" s="307"/>
      <c r="Q23" s="307"/>
      <c r="R23" s="270">
        <v>79547.56</v>
      </c>
      <c r="S23" s="307"/>
      <c r="T23" s="307"/>
      <c r="U23" s="270">
        <v>91507.75</v>
      </c>
      <c r="V23" s="307"/>
      <c r="W23" s="307"/>
      <c r="X23" s="270">
        <v>84240.866039999994</v>
      </c>
      <c r="Y23" s="307"/>
      <c r="Z23" s="307"/>
      <c r="AA23" s="270">
        <v>96998.215000000011</v>
      </c>
      <c r="AB23" s="307"/>
      <c r="AC23" s="307"/>
      <c r="AD23" s="307"/>
      <c r="AE23" s="307"/>
      <c r="AF23" s="307"/>
      <c r="AG23" s="307"/>
      <c r="AH23" s="307"/>
      <c r="AI23" s="307"/>
    </row>
    <row r="24" spans="1:35" ht="6.75" customHeight="1" x14ac:dyDescent="0.25">
      <c r="A24"/>
      <c r="B24" s="308"/>
      <c r="C24" s="308"/>
      <c r="D24" s="308"/>
      <c r="E24" s="307"/>
      <c r="F24" s="270"/>
      <c r="G24" s="39"/>
      <c r="H24" s="39"/>
      <c r="I24" s="270"/>
      <c r="J24" s="307"/>
      <c r="K24" s="307"/>
      <c r="L24" s="270"/>
      <c r="M24" s="307"/>
      <c r="N24" s="307"/>
      <c r="O24" s="270"/>
      <c r="P24" s="307"/>
      <c r="Q24" s="307"/>
      <c r="R24" s="270"/>
      <c r="S24" s="307"/>
      <c r="T24" s="307"/>
      <c r="U24" s="270"/>
      <c r="V24" s="307"/>
      <c r="W24" s="307"/>
      <c r="X24" s="270"/>
      <c r="Y24" s="307"/>
      <c r="Z24" s="307"/>
      <c r="AA24" s="270"/>
      <c r="AB24" s="307"/>
      <c r="AC24" s="307"/>
      <c r="AD24" s="307"/>
      <c r="AE24" s="307"/>
      <c r="AF24" s="307"/>
      <c r="AG24" s="307"/>
      <c r="AH24" s="307"/>
      <c r="AI24" s="307"/>
    </row>
    <row r="25" spans="1:35" ht="30.75" customHeight="1" x14ac:dyDescent="0.25">
      <c r="A25"/>
      <c r="B25" s="395" t="s">
        <v>184</v>
      </c>
      <c r="C25" s="395"/>
      <c r="D25" s="395"/>
      <c r="E25" s="307"/>
      <c r="F25" s="270">
        <v>89541.29</v>
      </c>
      <c r="G25" s="39"/>
      <c r="H25" s="39"/>
      <c r="I25" s="270">
        <v>89479.08</v>
      </c>
      <c r="J25" s="307"/>
      <c r="K25" s="307"/>
      <c r="L25" s="270">
        <v>89479.08</v>
      </c>
      <c r="M25" s="307"/>
      <c r="N25" s="307"/>
      <c r="O25" s="270">
        <v>103851.09</v>
      </c>
      <c r="P25" s="307"/>
      <c r="Q25" s="307"/>
      <c r="R25" s="270">
        <v>95763.01</v>
      </c>
      <c r="S25" s="307"/>
      <c r="T25" s="307"/>
      <c r="U25" s="270">
        <v>110161.23</v>
      </c>
      <c r="V25" s="307"/>
      <c r="W25" s="307"/>
      <c r="X25" s="270">
        <v>101413.02758999998</v>
      </c>
      <c r="Y25" s="307"/>
      <c r="Z25" s="307"/>
      <c r="AA25" s="270">
        <v>116770.9038</v>
      </c>
      <c r="AB25" s="307"/>
      <c r="AC25" s="307"/>
      <c r="AD25" s="307"/>
      <c r="AE25" s="307"/>
      <c r="AF25" s="307"/>
      <c r="AG25" s="307"/>
      <c r="AH25" s="307"/>
      <c r="AI25" s="307"/>
    </row>
    <row r="26" spans="1:35" ht="3.75" customHeight="1" x14ac:dyDescent="0.25">
      <c r="A26"/>
      <c r="B26" s="308"/>
      <c r="C26" s="308"/>
      <c r="D26" s="308"/>
      <c r="E26" s="307"/>
      <c r="F26" s="270"/>
      <c r="G26" s="39"/>
      <c r="H26" s="39"/>
      <c r="I26" s="270"/>
      <c r="J26" s="307"/>
      <c r="K26" s="307"/>
      <c r="L26" s="270"/>
      <c r="M26" s="307"/>
      <c r="N26" s="307"/>
      <c r="O26" s="270"/>
      <c r="P26" s="307"/>
      <c r="Q26" s="307"/>
      <c r="R26" s="270"/>
      <c r="S26" s="307"/>
      <c r="T26" s="307"/>
      <c r="U26" s="270"/>
      <c r="V26" s="307"/>
      <c r="W26" s="307"/>
      <c r="X26" s="270"/>
      <c r="Y26" s="307"/>
      <c r="Z26" s="307"/>
      <c r="AA26" s="270"/>
      <c r="AB26" s="307"/>
      <c r="AC26" s="307"/>
      <c r="AD26" s="307"/>
      <c r="AE26" s="307"/>
      <c r="AF26" s="307"/>
      <c r="AG26" s="307"/>
      <c r="AH26" s="307"/>
      <c r="AI26" s="307"/>
    </row>
    <row r="27" spans="1:35" ht="37.5" customHeight="1" x14ac:dyDescent="0.25">
      <c r="A27"/>
      <c r="B27" s="395" t="s">
        <v>185</v>
      </c>
      <c r="C27" s="395"/>
      <c r="D27" s="395"/>
      <c r="E27" s="307"/>
      <c r="F27" s="270">
        <f>F21/D13</f>
        <v>92227.530813888588</v>
      </c>
      <c r="G27" s="39"/>
      <c r="H27" s="39"/>
      <c r="I27" s="270">
        <f>I21/G13</f>
        <v>92163.45425827014</v>
      </c>
      <c r="J27" s="307"/>
      <c r="K27" s="307"/>
      <c r="L27" s="270">
        <f>L21/J13</f>
        <v>92163.45425827014</v>
      </c>
      <c r="M27" s="307"/>
      <c r="N27" s="307"/>
      <c r="O27" s="270">
        <f>O21/M13</f>
        <v>106966.6195000251</v>
      </c>
      <c r="P27" s="307"/>
      <c r="Q27" s="307"/>
      <c r="R27" s="270">
        <f>R21/P13</f>
        <v>98635.904961237713</v>
      </c>
      <c r="S27" s="307"/>
      <c r="T27" s="307"/>
      <c r="U27" s="270">
        <f>U21/S13</f>
        <v>113466.07004336688</v>
      </c>
      <c r="V27" s="307"/>
      <c r="W27" s="307"/>
      <c r="X27" s="270">
        <f>X21/V13</f>
        <v>105604.92046950085</v>
      </c>
      <c r="Y27" s="307"/>
      <c r="Z27" s="307"/>
      <c r="AA27" s="270">
        <f>AA21/Y13</f>
        <v>120435.086087437</v>
      </c>
      <c r="AB27" s="307"/>
      <c r="AC27" s="307"/>
      <c r="AD27" s="307"/>
      <c r="AE27" s="307"/>
      <c r="AF27" s="307"/>
      <c r="AG27" s="307"/>
      <c r="AH27" s="307"/>
      <c r="AI27" s="307"/>
    </row>
  </sheetData>
  <mergeCells count="76">
    <mergeCell ref="B27:D27"/>
    <mergeCell ref="Y12:Z12"/>
    <mergeCell ref="Y19:Z19"/>
    <mergeCell ref="B23:D23"/>
    <mergeCell ref="Y1:AA1"/>
    <mergeCell ref="Y2:Z2"/>
    <mergeCell ref="Y3:Z9"/>
    <mergeCell ref="AA3:AA9"/>
    <mergeCell ref="Y10:Z10"/>
    <mergeCell ref="Y11:Z11"/>
    <mergeCell ref="S12:T12"/>
    <mergeCell ref="S19:T19"/>
    <mergeCell ref="V1:X1"/>
    <mergeCell ref="V2:W2"/>
    <mergeCell ref="V3:W9"/>
    <mergeCell ref="X3:X9"/>
    <mergeCell ref="S1:U1"/>
    <mergeCell ref="S2:T2"/>
    <mergeCell ref="S3:T9"/>
    <mergeCell ref="U3:U9"/>
    <mergeCell ref="S10:T10"/>
    <mergeCell ref="P11:Q11"/>
    <mergeCell ref="P12:Q12"/>
    <mergeCell ref="P19:Q19"/>
    <mergeCell ref="V10:W10"/>
    <mergeCell ref="V11:W11"/>
    <mergeCell ref="V12:W12"/>
    <mergeCell ref="V19:W19"/>
    <mergeCell ref="S11:T11"/>
    <mergeCell ref="P1:R1"/>
    <mergeCell ref="P2:Q2"/>
    <mergeCell ref="P3:Q9"/>
    <mergeCell ref="R3:R9"/>
    <mergeCell ref="P10:Q10"/>
    <mergeCell ref="J19:K19"/>
    <mergeCell ref="J3:K9"/>
    <mergeCell ref="L3:L9"/>
    <mergeCell ref="M1:O1"/>
    <mergeCell ref="M2:N2"/>
    <mergeCell ref="M3:N9"/>
    <mergeCell ref="O3:O9"/>
    <mergeCell ref="M10:N10"/>
    <mergeCell ref="M11:N11"/>
    <mergeCell ref="M12:N12"/>
    <mergeCell ref="J10:K10"/>
    <mergeCell ref="J11:K11"/>
    <mergeCell ref="J12:K12"/>
    <mergeCell ref="J1:L1"/>
    <mergeCell ref="J2:K2"/>
    <mergeCell ref="M19:N19"/>
    <mergeCell ref="G10:H10"/>
    <mergeCell ref="G11:H11"/>
    <mergeCell ref="G12:H12"/>
    <mergeCell ref="G19:H19"/>
    <mergeCell ref="A1:F1"/>
    <mergeCell ref="G1:I1"/>
    <mergeCell ref="G2:H2"/>
    <mergeCell ref="G3:H3"/>
    <mergeCell ref="G4:H4"/>
    <mergeCell ref="G5:H5"/>
    <mergeCell ref="G6:H6"/>
    <mergeCell ref="G7:H7"/>
    <mergeCell ref="G8:H8"/>
    <mergeCell ref="G9:H9"/>
    <mergeCell ref="D2:E2"/>
    <mergeCell ref="D3:E3"/>
    <mergeCell ref="D4:E4"/>
    <mergeCell ref="D5:E5"/>
    <mergeCell ref="D6:E6"/>
    <mergeCell ref="D7:E7"/>
    <mergeCell ref="B25:D25"/>
    <mergeCell ref="D8:E8"/>
    <mergeCell ref="D9:E9"/>
    <mergeCell ref="D10:E10"/>
    <mergeCell ref="D11:E11"/>
    <mergeCell ref="D12:E1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97A8-5CAF-4C45-B628-E95FAF3982B1}">
  <dimension ref="A1:P126"/>
  <sheetViews>
    <sheetView topLeftCell="A107" workbookViewId="0">
      <selection activeCell="G22" sqref="G22"/>
    </sheetView>
  </sheetViews>
  <sheetFormatPr defaultRowHeight="15" x14ac:dyDescent="0.25"/>
  <cols>
    <col min="1" max="1" width="7.85546875" customWidth="1"/>
    <col min="2" max="2" width="52.5703125" customWidth="1"/>
    <col min="3" max="3" width="7.7109375" customWidth="1"/>
    <col min="4" max="4" width="9.7109375" customWidth="1"/>
    <col min="5" max="5" width="4.85546875" customWidth="1"/>
    <col min="6" max="6" width="23" customWidth="1"/>
    <col min="7" max="7" width="29.140625" customWidth="1"/>
    <col min="8" max="8" width="22.7109375" customWidth="1"/>
    <col min="9" max="9" width="25.5703125" customWidth="1"/>
  </cols>
  <sheetData>
    <row r="1" spans="1:16" ht="15.75" thickBot="1" x14ac:dyDescent="0.3">
      <c r="A1" s="273" t="s">
        <v>160</v>
      </c>
      <c r="B1" s="273"/>
      <c r="C1" s="274"/>
      <c r="D1" s="274"/>
      <c r="E1" s="274"/>
      <c r="F1" s="274"/>
    </row>
    <row r="2" spans="1:16" ht="14.25" customHeight="1" thickBot="1" x14ac:dyDescent="0.3">
      <c r="A2" s="54" t="s">
        <v>58</v>
      </c>
      <c r="B2" s="55" t="s">
        <v>69</v>
      </c>
      <c r="C2" s="56" t="s">
        <v>18</v>
      </c>
      <c r="D2" s="362" t="s">
        <v>21</v>
      </c>
      <c r="E2" s="363"/>
      <c r="F2" s="57" t="s">
        <v>32</v>
      </c>
    </row>
    <row r="3" spans="1:16" x14ac:dyDescent="0.25">
      <c r="A3" s="81">
        <v>1</v>
      </c>
      <c r="B3" s="84" t="s">
        <v>0</v>
      </c>
      <c r="C3" s="85" t="s">
        <v>19</v>
      </c>
      <c r="D3" s="364">
        <f>404.352+9.256</f>
        <v>413.60799999999995</v>
      </c>
      <c r="E3" s="365"/>
      <c r="F3" s="86">
        <v>10022991.91</v>
      </c>
    </row>
    <row r="4" spans="1:16" x14ac:dyDescent="0.25">
      <c r="A4" s="82">
        <v>2</v>
      </c>
      <c r="B4" s="87" t="s">
        <v>154</v>
      </c>
      <c r="C4" s="88" t="s">
        <v>19</v>
      </c>
      <c r="D4" s="364">
        <f>676.624+295.152</f>
        <v>971.77600000000007</v>
      </c>
      <c r="E4" s="365"/>
      <c r="F4" s="89">
        <f>28449520.75+12410042.86</f>
        <v>40859563.609999999</v>
      </c>
    </row>
    <row r="5" spans="1:16" x14ac:dyDescent="0.25">
      <c r="A5" s="82">
        <v>3</v>
      </c>
      <c r="B5" s="87" t="s">
        <v>8</v>
      </c>
      <c r="C5" s="88" t="s">
        <v>19</v>
      </c>
      <c r="D5" s="381">
        <v>284.85599999999999</v>
      </c>
      <c r="E5" s="382"/>
      <c r="F5" s="89">
        <v>29847559.98</v>
      </c>
    </row>
    <row r="6" spans="1:16" x14ac:dyDescent="0.25">
      <c r="A6" s="82">
        <v>4</v>
      </c>
      <c r="B6" s="87" t="s">
        <v>1</v>
      </c>
      <c r="C6" s="88" t="s">
        <v>19</v>
      </c>
      <c r="D6" s="381">
        <v>103.27200000000001</v>
      </c>
      <c r="E6" s="382"/>
      <c r="F6" s="89">
        <v>6218924.8699999992</v>
      </c>
    </row>
    <row r="7" spans="1:16" x14ac:dyDescent="0.25">
      <c r="A7" s="82">
        <v>5</v>
      </c>
      <c r="B7" s="87" t="s">
        <v>2</v>
      </c>
      <c r="C7" s="88" t="s">
        <v>19</v>
      </c>
      <c r="D7" s="381">
        <v>66.872</v>
      </c>
      <c r="E7" s="382"/>
      <c r="F7" s="89">
        <v>4525782.0099999988</v>
      </c>
    </row>
    <row r="8" spans="1:16" x14ac:dyDescent="0.25">
      <c r="A8" s="82">
        <v>6</v>
      </c>
      <c r="B8" s="87" t="s">
        <v>3</v>
      </c>
      <c r="C8" s="88" t="s">
        <v>19</v>
      </c>
      <c r="D8" s="381">
        <v>233.27199999999999</v>
      </c>
      <c r="E8" s="382"/>
      <c r="F8" s="89">
        <v>17401032.069999997</v>
      </c>
    </row>
    <row r="9" spans="1:16" ht="15.75" thickBot="1" x14ac:dyDescent="0.3">
      <c r="A9" s="83">
        <v>7</v>
      </c>
      <c r="B9" s="90" t="s">
        <v>4</v>
      </c>
      <c r="C9" s="91" t="s">
        <v>19</v>
      </c>
      <c r="D9" s="383">
        <v>4.3680000000000003</v>
      </c>
      <c r="E9" s="384"/>
      <c r="F9" s="92">
        <v>714028.58000000007</v>
      </c>
    </row>
    <row r="10" spans="1:16" ht="15.75" thickTop="1" x14ac:dyDescent="0.25">
      <c r="A10" s="53">
        <v>8</v>
      </c>
      <c r="B10" s="50" t="s">
        <v>131</v>
      </c>
      <c r="C10" s="42" t="s">
        <v>29</v>
      </c>
      <c r="D10" s="396" t="s">
        <v>157</v>
      </c>
      <c r="E10" s="397"/>
      <c r="F10" s="43">
        <v>3704032.4099999992</v>
      </c>
    </row>
    <row r="11" spans="1:16" x14ac:dyDescent="0.25">
      <c r="A11" s="52">
        <v>9</v>
      </c>
      <c r="B11" s="51" t="s">
        <v>28</v>
      </c>
      <c r="C11" s="40" t="s">
        <v>29</v>
      </c>
      <c r="D11" s="400" t="s">
        <v>158</v>
      </c>
      <c r="E11" s="401"/>
      <c r="F11" s="29">
        <v>15227354.290000003</v>
      </c>
    </row>
    <row r="12" spans="1:16" ht="15.75" thickBot="1" x14ac:dyDescent="0.3">
      <c r="A12" s="70">
        <v>10</v>
      </c>
      <c r="B12" s="71" t="s">
        <v>17</v>
      </c>
      <c r="C12" s="72" t="s">
        <v>20</v>
      </c>
      <c r="D12" s="389">
        <f>47.6596*100</f>
        <v>4765.96</v>
      </c>
      <c r="E12" s="390"/>
      <c r="F12" s="73">
        <v>1105733.3899999999</v>
      </c>
    </row>
    <row r="13" spans="1:16" ht="1.5" customHeight="1" thickBot="1" x14ac:dyDescent="0.3">
      <c r="A13" s="74"/>
      <c r="B13" s="75"/>
      <c r="C13" s="76"/>
      <c r="D13" s="77"/>
      <c r="E13" s="77"/>
      <c r="F13" s="78">
        <v>1105733.3899999999</v>
      </c>
    </row>
    <row r="14" spans="1:16" ht="15.75" thickBot="1" x14ac:dyDescent="0.3">
      <c r="A14" s="69">
        <v>11</v>
      </c>
      <c r="B14" s="59" t="s">
        <v>22</v>
      </c>
      <c r="C14" s="60"/>
      <c r="D14" s="269">
        <f>SUM(D3:E9)</f>
        <v>2078.0239999999999</v>
      </c>
      <c r="E14" s="62" t="s">
        <v>19</v>
      </c>
      <c r="F14" s="63">
        <f>SUM(F3:F12)</f>
        <v>129627003.12</v>
      </c>
    </row>
    <row r="15" spans="1:16" ht="15.75" thickBot="1" x14ac:dyDescent="0.3">
      <c r="A15" s="67">
        <v>12</v>
      </c>
      <c r="B15" s="58" t="s">
        <v>23</v>
      </c>
      <c r="C15" s="41"/>
      <c r="D15" s="45"/>
      <c r="E15" s="46"/>
      <c r="F15" s="271">
        <f>F14*0.03</f>
        <v>3888810.0935999998</v>
      </c>
    </row>
    <row r="16" spans="1:16" x14ac:dyDescent="0.25">
      <c r="A16" s="263">
        <v>13</v>
      </c>
      <c r="B16" s="264" t="s">
        <v>36</v>
      </c>
      <c r="C16" s="265"/>
      <c r="D16" s="266"/>
      <c r="E16" s="267"/>
      <c r="F16" s="268">
        <f>F14+F15</f>
        <v>133515813.21360001</v>
      </c>
      <c r="J16" s="106"/>
      <c r="K16" s="106"/>
      <c r="L16" s="106"/>
      <c r="M16" s="106"/>
      <c r="N16" s="106"/>
      <c r="O16" s="106"/>
      <c r="P16" s="106"/>
    </row>
    <row r="17" spans="1:9" ht="15.75" thickBot="1" x14ac:dyDescent="0.3">
      <c r="A17" s="68">
        <v>14</v>
      </c>
      <c r="B17" s="64" t="s">
        <v>150</v>
      </c>
      <c r="C17" s="261"/>
      <c r="D17" s="65"/>
      <c r="E17" s="262"/>
      <c r="F17" s="66">
        <v>159709185.41</v>
      </c>
      <c r="G17" s="437" t="s">
        <v>159</v>
      </c>
      <c r="H17" s="438"/>
      <c r="I17" s="438"/>
    </row>
    <row r="18" spans="1:9" ht="25.5" customHeight="1" thickBot="1" x14ac:dyDescent="0.3">
      <c r="A18" s="67">
        <v>15</v>
      </c>
      <c r="B18" s="58" t="s">
        <v>33</v>
      </c>
      <c r="C18" s="41"/>
      <c r="D18" s="45"/>
      <c r="E18" s="46"/>
      <c r="F18" s="47">
        <v>31941837.082000002</v>
      </c>
      <c r="G18" s="272" t="s">
        <v>151</v>
      </c>
      <c r="H18" s="272" t="s">
        <v>152</v>
      </c>
      <c r="I18" s="272" t="s">
        <v>153</v>
      </c>
    </row>
    <row r="19" spans="1:9" ht="15.75" thickBot="1" x14ac:dyDescent="0.3">
      <c r="A19" s="69">
        <v>16</v>
      </c>
      <c r="B19" s="59" t="s">
        <v>34</v>
      </c>
      <c r="C19" s="60"/>
      <c r="D19" s="61"/>
      <c r="E19" s="62"/>
      <c r="F19" s="107">
        <v>191651022.49199998</v>
      </c>
      <c r="G19" s="270">
        <v>75700.429999999993</v>
      </c>
      <c r="H19" s="270">
        <v>89541.29</v>
      </c>
      <c r="I19" s="270">
        <f>F19/D14</f>
        <v>92227.530813888574</v>
      </c>
    </row>
    <row r="20" spans="1:9" ht="16.5" thickBot="1" x14ac:dyDescent="0.3">
      <c r="A20" s="273" t="s">
        <v>161</v>
      </c>
      <c r="B20" s="273"/>
      <c r="C20" s="274"/>
      <c r="D20" s="274"/>
      <c r="E20" s="274"/>
      <c r="F20" s="274"/>
    </row>
    <row r="21" spans="1:9" ht="20.25" customHeight="1" thickBot="1" x14ac:dyDescent="0.3">
      <c r="A21" s="54" t="s">
        <v>58</v>
      </c>
      <c r="B21" s="55" t="s">
        <v>69</v>
      </c>
      <c r="C21" s="56" t="s">
        <v>18</v>
      </c>
      <c r="D21" s="362" t="s">
        <v>21</v>
      </c>
      <c r="E21" s="363"/>
      <c r="F21" s="57" t="s">
        <v>32</v>
      </c>
    </row>
    <row r="22" spans="1:9" x14ac:dyDescent="0.25">
      <c r="A22" s="81">
        <v>1</v>
      </c>
      <c r="B22" s="84" t="s">
        <v>0</v>
      </c>
      <c r="C22" s="85" t="s">
        <v>19</v>
      </c>
      <c r="D22" s="364">
        <v>292.42</v>
      </c>
      <c r="E22" s="365"/>
      <c r="F22" s="86">
        <v>7165777.4999999963</v>
      </c>
    </row>
    <row r="23" spans="1:9" x14ac:dyDescent="0.25">
      <c r="A23" s="82">
        <v>2</v>
      </c>
      <c r="B23" s="87" t="s">
        <v>154</v>
      </c>
      <c r="C23" s="88" t="s">
        <v>19</v>
      </c>
      <c r="D23" s="364">
        <f>941.29+53.14</f>
        <v>994.43</v>
      </c>
      <c r="E23" s="365"/>
      <c r="F23" s="89">
        <f>39932164.78+2234339.1</f>
        <v>42166503.880000003</v>
      </c>
    </row>
    <row r="24" spans="1:9" x14ac:dyDescent="0.25">
      <c r="A24" s="82">
        <v>3</v>
      </c>
      <c r="B24" s="87" t="s">
        <v>8</v>
      </c>
      <c r="C24" s="88" t="s">
        <v>19</v>
      </c>
      <c r="D24" s="381">
        <v>213.17</v>
      </c>
      <c r="E24" s="382"/>
      <c r="F24" s="89">
        <v>22336213.16</v>
      </c>
    </row>
    <row r="25" spans="1:9" x14ac:dyDescent="0.25">
      <c r="A25" s="82">
        <v>4</v>
      </c>
      <c r="B25" s="87" t="s">
        <v>1</v>
      </c>
      <c r="C25" s="88" t="s">
        <v>19</v>
      </c>
      <c r="D25" s="381">
        <v>61.69</v>
      </c>
      <c r="E25" s="382"/>
      <c r="F25" s="89">
        <v>3714903.1500000004</v>
      </c>
    </row>
    <row r="26" spans="1:9" x14ac:dyDescent="0.25">
      <c r="A26" s="82">
        <v>5</v>
      </c>
      <c r="B26" s="87" t="s">
        <v>2</v>
      </c>
      <c r="C26" s="88" t="s">
        <v>19</v>
      </c>
      <c r="D26" s="381">
        <v>41.95</v>
      </c>
      <c r="E26" s="382"/>
      <c r="F26" s="89">
        <v>2839000</v>
      </c>
    </row>
    <row r="27" spans="1:9" x14ac:dyDescent="0.25">
      <c r="A27" s="82">
        <v>6</v>
      </c>
      <c r="B27" s="87" t="s">
        <v>3</v>
      </c>
      <c r="C27" s="88" t="s">
        <v>19</v>
      </c>
      <c r="D27" s="381">
        <v>182.95</v>
      </c>
      <c r="E27" s="382"/>
      <c r="F27" s="89">
        <v>13647239.470000003</v>
      </c>
    </row>
    <row r="28" spans="1:9" ht="15.75" thickBot="1" x14ac:dyDescent="0.3">
      <c r="A28" s="83">
        <v>7</v>
      </c>
      <c r="B28" s="90" t="s">
        <v>4</v>
      </c>
      <c r="C28" s="91" t="s">
        <v>19</v>
      </c>
      <c r="D28" s="383">
        <v>5.08</v>
      </c>
      <c r="E28" s="384"/>
      <c r="F28" s="92">
        <v>831105.78</v>
      </c>
    </row>
    <row r="29" spans="1:9" ht="15.75" thickTop="1" x14ac:dyDescent="0.25">
      <c r="A29" s="53">
        <v>8</v>
      </c>
      <c r="B29" s="50" t="s">
        <v>131</v>
      </c>
      <c r="C29" s="42" t="s">
        <v>29</v>
      </c>
      <c r="D29" s="439" t="s">
        <v>155</v>
      </c>
      <c r="E29" s="440"/>
      <c r="F29" s="43">
        <v>3807347.4499999997</v>
      </c>
    </row>
    <row r="30" spans="1:9" x14ac:dyDescent="0.25">
      <c r="A30" s="52">
        <v>9</v>
      </c>
      <c r="B30" s="51" t="s">
        <v>28</v>
      </c>
      <c r="C30" s="40" t="s">
        <v>29</v>
      </c>
      <c r="D30" s="402" t="s">
        <v>156</v>
      </c>
      <c r="E30" s="403"/>
      <c r="F30" s="29">
        <v>14168223.84</v>
      </c>
    </row>
    <row r="31" spans="1:9" ht="15.75" thickBot="1" x14ac:dyDescent="0.3">
      <c r="A31" s="70">
        <v>10</v>
      </c>
      <c r="B31" s="71" t="s">
        <v>17</v>
      </c>
      <c r="C31" s="72" t="s">
        <v>20</v>
      </c>
      <c r="D31" s="389">
        <v>4765.96</v>
      </c>
      <c r="E31" s="390"/>
      <c r="F31" s="73">
        <v>1105733.3899999999</v>
      </c>
    </row>
    <row r="32" spans="1:9" ht="1.5" customHeight="1" thickBot="1" x14ac:dyDescent="0.3">
      <c r="A32" s="74"/>
      <c r="B32" s="75"/>
      <c r="C32" s="76"/>
      <c r="D32" s="77"/>
      <c r="E32" s="77"/>
      <c r="F32" s="78">
        <v>1105733.3899999999</v>
      </c>
    </row>
    <row r="33" spans="1:16" ht="15.75" thickBot="1" x14ac:dyDescent="0.3">
      <c r="A33" s="69">
        <v>11</v>
      </c>
      <c r="B33" s="59" t="s">
        <v>22</v>
      </c>
      <c r="C33" s="60"/>
      <c r="D33" s="269">
        <f>SUM(D22:E28)</f>
        <v>1791.69</v>
      </c>
      <c r="E33" s="62" t="s">
        <v>19</v>
      </c>
      <c r="F33" s="63">
        <f>SUM(F22:F31)</f>
        <v>111782047.62</v>
      </c>
    </row>
    <row r="34" spans="1:16" ht="15.75" thickBot="1" x14ac:dyDescent="0.3">
      <c r="A34" s="67">
        <v>12</v>
      </c>
      <c r="B34" s="58" t="s">
        <v>23</v>
      </c>
      <c r="C34" s="41"/>
      <c r="D34" s="45"/>
      <c r="E34" s="46"/>
      <c r="F34" s="271">
        <f>F33*0.03</f>
        <v>3353461.4286000002</v>
      </c>
    </row>
    <row r="35" spans="1:16" x14ac:dyDescent="0.25">
      <c r="A35" s="263">
        <v>13</v>
      </c>
      <c r="B35" s="264" t="s">
        <v>36</v>
      </c>
      <c r="C35" s="265"/>
      <c r="D35" s="266"/>
      <c r="E35" s="267"/>
      <c r="F35" s="268">
        <f>F33+F34</f>
        <v>115135509.0486</v>
      </c>
      <c r="J35" s="106"/>
      <c r="K35" s="106"/>
      <c r="L35" s="106"/>
      <c r="M35" s="106"/>
      <c r="N35" s="106"/>
      <c r="O35" s="106"/>
      <c r="P35" s="106"/>
    </row>
    <row r="36" spans="1:16" ht="15.75" thickBot="1" x14ac:dyDescent="0.3">
      <c r="A36" s="68">
        <v>14</v>
      </c>
      <c r="B36" s="64" t="s">
        <v>150</v>
      </c>
      <c r="C36" s="261"/>
      <c r="D36" s="65"/>
      <c r="E36" s="262"/>
      <c r="F36" s="66">
        <v>137606949.4666667</v>
      </c>
      <c r="G36" s="437" t="s">
        <v>159</v>
      </c>
      <c r="H36" s="438"/>
      <c r="I36" s="438"/>
    </row>
    <row r="37" spans="1:16" ht="25.5" customHeight="1" thickBot="1" x14ac:dyDescent="0.3">
      <c r="A37" s="67">
        <v>15</v>
      </c>
      <c r="B37" s="58" t="s">
        <v>33</v>
      </c>
      <c r="C37" s="41"/>
      <c r="D37" s="45"/>
      <c r="E37" s="46"/>
      <c r="F37" s="47">
        <f>F36*0.2</f>
        <v>27521389.893333342</v>
      </c>
      <c r="G37" s="272" t="s">
        <v>151</v>
      </c>
      <c r="H37" s="272" t="s">
        <v>152</v>
      </c>
      <c r="I37" s="272" t="s">
        <v>153</v>
      </c>
    </row>
    <row r="38" spans="1:16" ht="15.75" thickBot="1" x14ac:dyDescent="0.3">
      <c r="A38" s="69">
        <v>16</v>
      </c>
      <c r="B38" s="59" t="s">
        <v>34</v>
      </c>
      <c r="C38" s="60"/>
      <c r="D38" s="61"/>
      <c r="E38" s="62"/>
      <c r="F38" s="107">
        <f>F36+F37</f>
        <v>165128339.36000004</v>
      </c>
      <c r="G38" s="270">
        <v>74204.92</v>
      </c>
      <c r="H38" s="270">
        <v>89479.08</v>
      </c>
      <c r="I38" s="270">
        <f>F38/D33</f>
        <v>92163.45425827014</v>
      </c>
    </row>
    <row r="39" spans="1:16" ht="15.75" thickBot="1" x14ac:dyDescent="0.3">
      <c r="A39" s="273" t="s">
        <v>162</v>
      </c>
      <c r="B39" s="273"/>
      <c r="C39" s="274"/>
      <c r="D39" s="274"/>
      <c r="E39" s="274"/>
      <c r="F39" s="274"/>
    </row>
    <row r="40" spans="1:16" ht="20.25" customHeight="1" thickBot="1" x14ac:dyDescent="0.3">
      <c r="A40" s="54" t="s">
        <v>58</v>
      </c>
      <c r="B40" s="55" t="s">
        <v>69</v>
      </c>
      <c r="C40" s="56" t="s">
        <v>18</v>
      </c>
      <c r="D40" s="362" t="s">
        <v>21</v>
      </c>
      <c r="E40" s="363"/>
      <c r="F40" s="57" t="s">
        <v>32</v>
      </c>
    </row>
    <row r="41" spans="1:16" ht="36" customHeight="1" thickBot="1" x14ac:dyDescent="0.3">
      <c r="A41" s="276" t="s">
        <v>163</v>
      </c>
      <c r="B41" s="277" t="s">
        <v>47</v>
      </c>
      <c r="C41" s="278" t="s">
        <v>19</v>
      </c>
      <c r="D41" s="441">
        <v>1791.69</v>
      </c>
      <c r="E41" s="442"/>
      <c r="F41" s="279">
        <v>139860049.75999999</v>
      </c>
    </row>
    <row r="42" spans="1:16" ht="15.75" thickTop="1" x14ac:dyDescent="0.25">
      <c r="A42" s="53">
        <v>8</v>
      </c>
      <c r="B42" s="50" t="s">
        <v>131</v>
      </c>
      <c r="C42" s="42" t="s">
        <v>29</v>
      </c>
      <c r="D42" s="439" t="s">
        <v>155</v>
      </c>
      <c r="E42" s="440"/>
      <c r="F42" s="43">
        <v>3807347.4499999997</v>
      </c>
    </row>
    <row r="43" spans="1:16" x14ac:dyDescent="0.25">
      <c r="A43" s="52">
        <v>9</v>
      </c>
      <c r="B43" s="51" t="s">
        <v>28</v>
      </c>
      <c r="C43" s="40" t="s">
        <v>29</v>
      </c>
      <c r="D43" s="402" t="s">
        <v>156</v>
      </c>
      <c r="E43" s="403"/>
      <c r="F43" s="29">
        <v>14168223.84</v>
      </c>
    </row>
    <row r="44" spans="1:16" ht="15.75" thickBot="1" x14ac:dyDescent="0.3">
      <c r="A44" s="70">
        <v>10</v>
      </c>
      <c r="B44" s="71" t="s">
        <v>17</v>
      </c>
      <c r="C44" s="72" t="s">
        <v>20</v>
      </c>
      <c r="D44" s="389">
        <v>4765.96</v>
      </c>
      <c r="E44" s="390"/>
      <c r="F44" s="73">
        <v>1105733.3899999999</v>
      </c>
    </row>
    <row r="45" spans="1:16" ht="1.5" customHeight="1" thickBot="1" x14ac:dyDescent="0.3">
      <c r="A45" s="74"/>
      <c r="B45" s="75"/>
      <c r="C45" s="76"/>
      <c r="D45" s="77"/>
      <c r="E45" s="77"/>
      <c r="F45" s="78">
        <v>1105733.3899999999</v>
      </c>
    </row>
    <row r="46" spans="1:16" ht="15.75" thickBot="1" x14ac:dyDescent="0.3">
      <c r="A46" s="69">
        <v>11</v>
      </c>
      <c r="B46" s="59" t="s">
        <v>22</v>
      </c>
      <c r="C46" s="60"/>
      <c r="D46" s="269">
        <f>SUM(D41:E41)</f>
        <v>1791.69</v>
      </c>
      <c r="E46" s="62" t="s">
        <v>19</v>
      </c>
      <c r="F46" s="63">
        <f>SUM(F41:F44)</f>
        <v>158941354.43999997</v>
      </c>
    </row>
    <row r="47" spans="1:16" ht="15.75" thickBot="1" x14ac:dyDescent="0.3">
      <c r="A47" s="67">
        <v>12</v>
      </c>
      <c r="B47" s="58" t="s">
        <v>23</v>
      </c>
      <c r="C47" s="41"/>
      <c r="D47" s="45"/>
      <c r="E47" s="46"/>
      <c r="F47" s="271">
        <f>F46*0.03</f>
        <v>4768240.6331999991</v>
      </c>
    </row>
    <row r="48" spans="1:16" x14ac:dyDescent="0.25">
      <c r="A48" s="263">
        <v>13</v>
      </c>
      <c r="B48" s="264" t="s">
        <v>36</v>
      </c>
      <c r="C48" s="265"/>
      <c r="D48" s="266"/>
      <c r="E48" s="267"/>
      <c r="F48" s="268">
        <f>F46+F47</f>
        <v>163709595.07319996</v>
      </c>
      <c r="J48" s="106"/>
      <c r="K48" s="106"/>
      <c r="L48" s="106"/>
      <c r="M48" s="106"/>
      <c r="N48" s="106"/>
      <c r="O48" s="106"/>
      <c r="P48" s="106"/>
    </row>
    <row r="49" spans="1:16" ht="15.75" thickBot="1" x14ac:dyDescent="0.3">
      <c r="A49" s="280">
        <v>14</v>
      </c>
      <c r="B49" s="64" t="s">
        <v>164</v>
      </c>
      <c r="C49" s="261"/>
      <c r="D49" s="65"/>
      <c r="E49" s="262"/>
      <c r="F49" s="66">
        <v>137606949.4666667</v>
      </c>
      <c r="G49" s="437" t="s">
        <v>159</v>
      </c>
      <c r="H49" s="438"/>
      <c r="I49" s="438"/>
    </row>
    <row r="50" spans="1:16" ht="25.5" customHeight="1" thickBot="1" x14ac:dyDescent="0.3">
      <c r="A50" s="67">
        <v>15</v>
      </c>
      <c r="B50" s="58" t="s">
        <v>33</v>
      </c>
      <c r="C50" s="41"/>
      <c r="D50" s="45"/>
      <c r="E50" s="46"/>
      <c r="F50" s="47">
        <f>F49*0.2</f>
        <v>27521389.893333342</v>
      </c>
      <c r="G50" s="272" t="s">
        <v>151</v>
      </c>
      <c r="H50" s="272" t="s">
        <v>152</v>
      </c>
      <c r="I50" s="272" t="s">
        <v>153</v>
      </c>
    </row>
    <row r="51" spans="1:16" ht="15.75" thickBot="1" x14ac:dyDescent="0.3">
      <c r="A51" s="69">
        <v>16</v>
      </c>
      <c r="B51" s="59" t="s">
        <v>34</v>
      </c>
      <c r="C51" s="60"/>
      <c r="D51" s="61"/>
      <c r="E51" s="62"/>
      <c r="F51" s="107">
        <f>F49+F50</f>
        <v>165128339.36000004</v>
      </c>
      <c r="G51" s="270">
        <v>78736.899999999994</v>
      </c>
      <c r="H51" s="270">
        <v>89479.08</v>
      </c>
      <c r="I51" s="270">
        <f>F51/D46</f>
        <v>92163.45425827014</v>
      </c>
    </row>
    <row r="52" spans="1:16" ht="15.75" thickBot="1" x14ac:dyDescent="0.3">
      <c r="A52" s="273" t="s">
        <v>165</v>
      </c>
      <c r="B52" s="273"/>
      <c r="C52" s="274"/>
      <c r="D52" s="274"/>
      <c r="E52" s="274"/>
      <c r="F52" s="274"/>
    </row>
    <row r="53" spans="1:16" ht="19.5" customHeight="1" thickBot="1" x14ac:dyDescent="0.3">
      <c r="A53" s="54" t="s">
        <v>58</v>
      </c>
      <c r="B53" s="55" t="s">
        <v>69</v>
      </c>
      <c r="C53" s="56" t="s">
        <v>18</v>
      </c>
      <c r="D53" s="362" t="s">
        <v>21</v>
      </c>
      <c r="E53" s="363"/>
      <c r="F53" s="57" t="s">
        <v>32</v>
      </c>
    </row>
    <row r="54" spans="1:16" ht="36" customHeight="1" thickBot="1" x14ac:dyDescent="0.3">
      <c r="A54" s="276" t="s">
        <v>163</v>
      </c>
      <c r="B54" s="277" t="s">
        <v>47</v>
      </c>
      <c r="C54" s="278" t="s">
        <v>19</v>
      </c>
      <c r="D54" s="441">
        <v>1791.69</v>
      </c>
      <c r="E54" s="442"/>
      <c r="F54" s="279">
        <v>139860049.75999999</v>
      </c>
    </row>
    <row r="55" spans="1:16" ht="15.75" thickTop="1" x14ac:dyDescent="0.25">
      <c r="A55" s="53">
        <v>8</v>
      </c>
      <c r="B55" s="50" t="s">
        <v>131</v>
      </c>
      <c r="C55" s="42" t="s">
        <v>29</v>
      </c>
      <c r="D55" s="439" t="s">
        <v>155</v>
      </c>
      <c r="E55" s="440"/>
      <c r="F55" s="43">
        <v>3807347.4499999997</v>
      </c>
    </row>
    <row r="56" spans="1:16" x14ac:dyDescent="0.25">
      <c r="A56" s="52">
        <v>9</v>
      </c>
      <c r="B56" s="51" t="s">
        <v>28</v>
      </c>
      <c r="C56" s="40" t="s">
        <v>29</v>
      </c>
      <c r="D56" s="402" t="s">
        <v>156</v>
      </c>
      <c r="E56" s="403"/>
      <c r="F56" s="29">
        <v>14168223.84</v>
      </c>
    </row>
    <row r="57" spans="1:16" ht="15.75" thickBot="1" x14ac:dyDescent="0.3">
      <c r="A57" s="70">
        <v>10</v>
      </c>
      <c r="B57" s="71" t="s">
        <v>17</v>
      </c>
      <c r="C57" s="72" t="s">
        <v>20</v>
      </c>
      <c r="D57" s="389">
        <v>4765.96</v>
      </c>
      <c r="E57" s="390"/>
      <c r="F57" s="73">
        <v>1105733.3899999999</v>
      </c>
    </row>
    <row r="58" spans="1:16" ht="1.5" customHeight="1" thickBot="1" x14ac:dyDescent="0.3">
      <c r="A58" s="74"/>
      <c r="B58" s="75"/>
      <c r="C58" s="76"/>
      <c r="D58" s="77"/>
      <c r="E58" s="77"/>
      <c r="F58" s="78">
        <v>1105733.3899999999</v>
      </c>
    </row>
    <row r="59" spans="1:16" ht="15.75" thickBot="1" x14ac:dyDescent="0.3">
      <c r="A59" s="69">
        <v>11</v>
      </c>
      <c r="B59" s="59" t="s">
        <v>22</v>
      </c>
      <c r="C59" s="60"/>
      <c r="D59" s="269">
        <f>SUM(D54:E54)</f>
        <v>1791.69</v>
      </c>
      <c r="E59" s="62" t="s">
        <v>19</v>
      </c>
      <c r="F59" s="63">
        <f>SUM(F54:F57)</f>
        <v>158941354.43999997</v>
      </c>
    </row>
    <row r="60" spans="1:16" ht="15.75" thickBot="1" x14ac:dyDescent="0.3">
      <c r="A60" s="67">
        <v>12</v>
      </c>
      <c r="B60" s="58" t="s">
        <v>23</v>
      </c>
      <c r="C60" s="41"/>
      <c r="D60" s="45"/>
      <c r="E60" s="46"/>
      <c r="F60" s="271">
        <f>F59*0.03</f>
        <v>4768240.6331999991</v>
      </c>
    </row>
    <row r="61" spans="1:16" x14ac:dyDescent="0.25">
      <c r="A61" s="263">
        <v>13</v>
      </c>
      <c r="B61" s="264" t="s">
        <v>36</v>
      </c>
      <c r="C61" s="265"/>
      <c r="D61" s="266"/>
      <c r="E61" s="267"/>
      <c r="F61" s="268">
        <f>F59+F60</f>
        <v>163709595.07319996</v>
      </c>
      <c r="J61" s="106"/>
      <c r="K61" s="106"/>
      <c r="L61" s="106"/>
      <c r="M61" s="106"/>
      <c r="N61" s="106"/>
      <c r="O61" s="106"/>
      <c r="P61" s="106"/>
    </row>
    <row r="62" spans="1:16" ht="15.75" thickBot="1" x14ac:dyDescent="0.3">
      <c r="A62" s="280">
        <v>14</v>
      </c>
      <c r="B62" s="64" t="s">
        <v>166</v>
      </c>
      <c r="C62" s="261"/>
      <c r="D62" s="65"/>
      <c r="E62" s="262"/>
      <c r="F62" s="66">
        <v>159709185.41</v>
      </c>
      <c r="G62" s="437" t="s">
        <v>159</v>
      </c>
      <c r="H62" s="438"/>
      <c r="I62" s="438"/>
    </row>
    <row r="63" spans="1:16" ht="25.5" customHeight="1" thickBot="1" x14ac:dyDescent="0.3">
      <c r="A63" s="67">
        <v>15</v>
      </c>
      <c r="B63" s="58" t="s">
        <v>33</v>
      </c>
      <c r="C63" s="41"/>
      <c r="D63" s="45"/>
      <c r="E63" s="46"/>
      <c r="F63" s="47">
        <f>F62*0.2</f>
        <v>31941837.082000002</v>
      </c>
      <c r="G63" s="272" t="s">
        <v>151</v>
      </c>
      <c r="H63" s="272" t="s">
        <v>152</v>
      </c>
      <c r="I63" s="272" t="s">
        <v>153</v>
      </c>
    </row>
    <row r="64" spans="1:16" ht="15.75" thickBot="1" x14ac:dyDescent="0.3">
      <c r="A64" s="69">
        <v>16</v>
      </c>
      <c r="B64" s="59" t="s">
        <v>34</v>
      </c>
      <c r="C64" s="60"/>
      <c r="D64" s="61"/>
      <c r="E64" s="62"/>
      <c r="F64" s="107">
        <f>F62+F63</f>
        <v>191651022.49199998</v>
      </c>
      <c r="G64" s="270">
        <v>91383.51</v>
      </c>
      <c r="H64" s="270">
        <v>103851.09</v>
      </c>
      <c r="I64" s="270">
        <f>F64/D59</f>
        <v>106966.6195000251</v>
      </c>
    </row>
    <row r="65" spans="1:16" ht="15.75" thickBot="1" x14ac:dyDescent="0.3">
      <c r="A65" s="273" t="s">
        <v>168</v>
      </c>
      <c r="B65" s="273"/>
      <c r="C65" s="274"/>
      <c r="D65" s="274"/>
      <c r="E65" s="274"/>
      <c r="F65" s="274"/>
    </row>
    <row r="66" spans="1:16" ht="20.25" customHeight="1" thickBot="1" x14ac:dyDescent="0.3">
      <c r="A66" s="54" t="s">
        <v>58</v>
      </c>
      <c r="B66" s="55" t="s">
        <v>69</v>
      </c>
      <c r="C66" s="56" t="s">
        <v>18</v>
      </c>
      <c r="D66" s="362" t="s">
        <v>21</v>
      </c>
      <c r="E66" s="363"/>
      <c r="F66" s="57" t="s">
        <v>32</v>
      </c>
    </row>
    <row r="67" spans="1:16" ht="36" customHeight="1" thickBot="1" x14ac:dyDescent="0.3">
      <c r="A67" s="276" t="s">
        <v>163</v>
      </c>
      <c r="B67" s="277" t="s">
        <v>47</v>
      </c>
      <c r="C67" s="278" t="s">
        <v>19</v>
      </c>
      <c r="D67" s="441">
        <v>1791.69</v>
      </c>
      <c r="E67" s="442"/>
      <c r="F67" s="279">
        <v>139860049.75999999</v>
      </c>
    </row>
    <row r="68" spans="1:16" ht="15.75" thickTop="1" x14ac:dyDescent="0.25">
      <c r="A68" s="53">
        <v>8</v>
      </c>
      <c r="B68" s="50" t="s">
        <v>131</v>
      </c>
      <c r="C68" s="42" t="s">
        <v>29</v>
      </c>
      <c r="D68" s="439" t="s">
        <v>155</v>
      </c>
      <c r="E68" s="440"/>
      <c r="F68" s="43">
        <v>3807347.4499999997</v>
      </c>
    </row>
    <row r="69" spans="1:16" x14ac:dyDescent="0.25">
      <c r="A69" s="52">
        <v>9</v>
      </c>
      <c r="B69" s="51" t="s">
        <v>28</v>
      </c>
      <c r="C69" s="40" t="s">
        <v>29</v>
      </c>
      <c r="D69" s="402" t="s">
        <v>156</v>
      </c>
      <c r="E69" s="403"/>
      <c r="F69" s="29">
        <v>14168223.84</v>
      </c>
    </row>
    <row r="70" spans="1:16" ht="15.75" thickBot="1" x14ac:dyDescent="0.3">
      <c r="A70" s="70">
        <v>10</v>
      </c>
      <c r="B70" s="71" t="s">
        <v>17</v>
      </c>
      <c r="C70" s="72" t="s">
        <v>20</v>
      </c>
      <c r="D70" s="389">
        <v>4765.96</v>
      </c>
      <c r="E70" s="390"/>
      <c r="F70" s="73">
        <v>1105733.3899999999</v>
      </c>
    </row>
    <row r="71" spans="1:16" ht="1.5" customHeight="1" thickBot="1" x14ac:dyDescent="0.3">
      <c r="A71" s="74"/>
      <c r="B71" s="75"/>
      <c r="C71" s="76"/>
      <c r="D71" s="77"/>
      <c r="E71" s="77"/>
      <c r="F71" s="78">
        <v>1105733.3899999999</v>
      </c>
    </row>
    <row r="72" spans="1:16" ht="15.75" thickBot="1" x14ac:dyDescent="0.3">
      <c r="A72" s="69">
        <v>11</v>
      </c>
      <c r="B72" s="59" t="s">
        <v>22</v>
      </c>
      <c r="C72" s="60"/>
      <c r="D72" s="269">
        <f>SUM(D67:E67)</f>
        <v>1791.69</v>
      </c>
      <c r="E72" s="62" t="s">
        <v>19</v>
      </c>
      <c r="F72" s="63">
        <f>SUM(F67:F70)</f>
        <v>158941354.43999997</v>
      </c>
    </row>
    <row r="73" spans="1:16" ht="15.75" thickBot="1" x14ac:dyDescent="0.3">
      <c r="A73" s="67">
        <v>12</v>
      </c>
      <c r="B73" s="58" t="s">
        <v>167</v>
      </c>
      <c r="C73" s="41"/>
      <c r="D73" s="45"/>
      <c r="E73" s="46"/>
      <c r="F73" s="271">
        <v>9428605.6600000001</v>
      </c>
    </row>
    <row r="74" spans="1:16" ht="15.75" thickBot="1" x14ac:dyDescent="0.3">
      <c r="A74" s="69">
        <v>13</v>
      </c>
      <c r="B74" s="59" t="s">
        <v>22</v>
      </c>
      <c r="C74" s="60"/>
      <c r="D74" s="45"/>
      <c r="E74" s="62"/>
      <c r="F74" s="63">
        <f>F72+F73</f>
        <v>168369960.09999996</v>
      </c>
    </row>
    <row r="75" spans="1:16" ht="15.75" thickBot="1" x14ac:dyDescent="0.3">
      <c r="A75" s="67">
        <v>14</v>
      </c>
      <c r="B75" s="58" t="s">
        <v>23</v>
      </c>
      <c r="C75" s="41"/>
      <c r="D75" s="45"/>
      <c r="E75" s="46"/>
      <c r="F75" s="271">
        <f>F74*0.03</f>
        <v>5051098.8029999984</v>
      </c>
    </row>
    <row r="76" spans="1:16" x14ac:dyDescent="0.25">
      <c r="A76" s="263">
        <v>15</v>
      </c>
      <c r="B76" s="264" t="s">
        <v>36</v>
      </c>
      <c r="C76" s="265"/>
      <c r="D76" s="266"/>
      <c r="E76" s="267"/>
      <c r="F76" s="268">
        <f>F74+F75</f>
        <v>173421058.90299997</v>
      </c>
      <c r="J76" s="106"/>
      <c r="K76" s="106"/>
      <c r="L76" s="106"/>
      <c r="M76" s="106"/>
      <c r="N76" s="106"/>
      <c r="O76" s="106"/>
      <c r="P76" s="106"/>
    </row>
    <row r="77" spans="1:16" ht="15.75" thickBot="1" x14ac:dyDescent="0.3">
      <c r="A77" s="280">
        <v>16</v>
      </c>
      <c r="B77" s="64" t="s">
        <v>164</v>
      </c>
      <c r="C77" s="261"/>
      <c r="D77" s="65"/>
      <c r="E77" s="262"/>
      <c r="F77" s="66">
        <v>147270803.80000001</v>
      </c>
      <c r="G77" s="437" t="s">
        <v>159</v>
      </c>
      <c r="H77" s="438"/>
      <c r="I77" s="438"/>
    </row>
    <row r="78" spans="1:16" ht="25.5" customHeight="1" thickBot="1" x14ac:dyDescent="0.3">
      <c r="A78" s="67">
        <v>17</v>
      </c>
      <c r="B78" s="58" t="s">
        <v>33</v>
      </c>
      <c r="C78" s="41"/>
      <c r="D78" s="45"/>
      <c r="E78" s="46"/>
      <c r="F78" s="47">
        <f>F77*0.2</f>
        <v>29454160.760000005</v>
      </c>
      <c r="G78" s="272" t="s">
        <v>151</v>
      </c>
      <c r="H78" s="272" t="s">
        <v>152</v>
      </c>
      <c r="I78" s="272" t="s">
        <v>153</v>
      </c>
    </row>
    <row r="79" spans="1:16" ht="15.75" thickBot="1" x14ac:dyDescent="0.3">
      <c r="A79" s="69">
        <v>18</v>
      </c>
      <c r="B79" s="59" t="s">
        <v>34</v>
      </c>
      <c r="C79" s="60"/>
      <c r="D79" s="61"/>
      <c r="E79" s="62"/>
      <c r="F79" s="107">
        <f>F77+F78</f>
        <v>176724964.56</v>
      </c>
      <c r="G79" s="270">
        <v>79547.56</v>
      </c>
      <c r="H79" s="270">
        <v>95763.01</v>
      </c>
      <c r="I79" s="270">
        <f>F79/D72</f>
        <v>98635.904961237713</v>
      </c>
    </row>
    <row r="80" spans="1:16" ht="15.75" thickBot="1" x14ac:dyDescent="0.3">
      <c r="A80" s="273" t="s">
        <v>169</v>
      </c>
      <c r="B80" s="273"/>
      <c r="C80" s="274"/>
      <c r="D80" s="274"/>
      <c r="E80" s="274"/>
      <c r="F80" s="274"/>
    </row>
    <row r="81" spans="1:16" ht="19.5" customHeight="1" thickBot="1" x14ac:dyDescent="0.3">
      <c r="A81" s="54" t="s">
        <v>58</v>
      </c>
      <c r="B81" s="55" t="s">
        <v>69</v>
      </c>
      <c r="C81" s="56" t="s">
        <v>18</v>
      </c>
      <c r="D81" s="362" t="s">
        <v>21</v>
      </c>
      <c r="E81" s="363"/>
      <c r="F81" s="57" t="s">
        <v>32</v>
      </c>
    </row>
    <row r="82" spans="1:16" ht="36" customHeight="1" thickBot="1" x14ac:dyDescent="0.3">
      <c r="A82" s="276" t="s">
        <v>163</v>
      </c>
      <c r="B82" s="277" t="s">
        <v>47</v>
      </c>
      <c r="C82" s="278" t="s">
        <v>19</v>
      </c>
      <c r="D82" s="441">
        <v>1791.69</v>
      </c>
      <c r="E82" s="442"/>
      <c r="F82" s="279">
        <v>139860049.75999999</v>
      </c>
    </row>
    <row r="83" spans="1:16" ht="15.75" thickTop="1" x14ac:dyDescent="0.25">
      <c r="A83" s="53">
        <v>8</v>
      </c>
      <c r="B83" s="50" t="s">
        <v>131</v>
      </c>
      <c r="C83" s="42" t="s">
        <v>29</v>
      </c>
      <c r="D83" s="439" t="s">
        <v>155</v>
      </c>
      <c r="E83" s="440"/>
      <c r="F83" s="43">
        <v>3807347.4499999997</v>
      </c>
    </row>
    <row r="84" spans="1:16" x14ac:dyDescent="0.25">
      <c r="A84" s="52">
        <v>9</v>
      </c>
      <c r="B84" s="51" t="s">
        <v>28</v>
      </c>
      <c r="C84" s="40" t="s">
        <v>29</v>
      </c>
      <c r="D84" s="402" t="s">
        <v>156</v>
      </c>
      <c r="E84" s="403"/>
      <c r="F84" s="29">
        <v>14168223.84</v>
      </c>
    </row>
    <row r="85" spans="1:16" ht="15.75" thickBot="1" x14ac:dyDescent="0.3">
      <c r="A85" s="70">
        <v>10</v>
      </c>
      <c r="B85" s="71" t="s">
        <v>17</v>
      </c>
      <c r="C85" s="72" t="s">
        <v>20</v>
      </c>
      <c r="D85" s="389">
        <v>4765.96</v>
      </c>
      <c r="E85" s="390"/>
      <c r="F85" s="73">
        <v>1105733.3899999999</v>
      </c>
    </row>
    <row r="86" spans="1:16" ht="1.5" customHeight="1" thickBot="1" x14ac:dyDescent="0.3">
      <c r="A86" s="74"/>
      <c r="B86" s="75"/>
      <c r="C86" s="76"/>
      <c r="D86" s="77"/>
      <c r="E86" s="77"/>
      <c r="F86" s="78">
        <v>1105733.3899999999</v>
      </c>
    </row>
    <row r="87" spans="1:16" ht="15.75" thickBot="1" x14ac:dyDescent="0.3">
      <c r="A87" s="69">
        <v>11</v>
      </c>
      <c r="B87" s="59" t="s">
        <v>22</v>
      </c>
      <c r="C87" s="60"/>
      <c r="D87" s="269">
        <f>SUM(D82:E82)</f>
        <v>1791.69</v>
      </c>
      <c r="E87" s="62" t="s">
        <v>19</v>
      </c>
      <c r="F87" s="63">
        <f>SUM(F82:F85)</f>
        <v>158941354.43999997</v>
      </c>
    </row>
    <row r="88" spans="1:16" ht="15.75" thickBot="1" x14ac:dyDescent="0.3">
      <c r="A88" s="67">
        <v>12</v>
      </c>
      <c r="B88" s="58" t="s">
        <v>167</v>
      </c>
      <c r="C88" s="41"/>
      <c r="D88" s="45"/>
      <c r="E88" s="46"/>
      <c r="F88" s="271">
        <v>9428605.6600000001</v>
      </c>
    </row>
    <row r="89" spans="1:16" ht="15.75" thickBot="1" x14ac:dyDescent="0.3">
      <c r="A89" s="69">
        <v>13</v>
      </c>
      <c r="B89" s="59" t="s">
        <v>22</v>
      </c>
      <c r="C89" s="60"/>
      <c r="D89" s="45"/>
      <c r="E89" s="62"/>
      <c r="F89" s="63">
        <f>F87+F88</f>
        <v>168369960.09999996</v>
      </c>
    </row>
    <row r="90" spans="1:16" ht="15.75" thickBot="1" x14ac:dyDescent="0.3">
      <c r="A90" s="67">
        <v>14</v>
      </c>
      <c r="B90" s="58" t="s">
        <v>23</v>
      </c>
      <c r="C90" s="41"/>
      <c r="D90" s="45"/>
      <c r="E90" s="46"/>
      <c r="F90" s="271">
        <f>F89*0.03</f>
        <v>5051098.8029999984</v>
      </c>
    </row>
    <row r="91" spans="1:16" x14ac:dyDescent="0.25">
      <c r="A91" s="263">
        <v>15</v>
      </c>
      <c r="B91" s="264" t="s">
        <v>36</v>
      </c>
      <c r="C91" s="265"/>
      <c r="D91" s="266"/>
      <c r="E91" s="267"/>
      <c r="F91" s="268">
        <f>F89+F90</f>
        <v>173421058.90299997</v>
      </c>
      <c r="J91" s="106"/>
      <c r="K91" s="106"/>
      <c r="L91" s="106"/>
      <c r="M91" s="106"/>
      <c r="N91" s="106"/>
      <c r="O91" s="106"/>
      <c r="P91" s="106"/>
    </row>
    <row r="92" spans="1:16" ht="15.75" thickBot="1" x14ac:dyDescent="0.3">
      <c r="A92" s="280">
        <v>16</v>
      </c>
      <c r="B92" s="64" t="s">
        <v>166</v>
      </c>
      <c r="C92" s="261"/>
      <c r="D92" s="65"/>
      <c r="E92" s="262"/>
      <c r="F92" s="66">
        <v>169413352.53</v>
      </c>
      <c r="G92" s="437" t="s">
        <v>159</v>
      </c>
      <c r="H92" s="438"/>
      <c r="I92" s="438"/>
    </row>
    <row r="93" spans="1:16" ht="25.5" customHeight="1" thickBot="1" x14ac:dyDescent="0.3">
      <c r="A93" s="67">
        <v>17</v>
      </c>
      <c r="B93" s="58" t="s">
        <v>33</v>
      </c>
      <c r="C93" s="41"/>
      <c r="D93" s="45"/>
      <c r="E93" s="46"/>
      <c r="F93" s="47">
        <f>F92*0.2</f>
        <v>33882670.506000005</v>
      </c>
      <c r="G93" s="272" t="s">
        <v>151</v>
      </c>
      <c r="H93" s="272" t="s">
        <v>152</v>
      </c>
      <c r="I93" s="272" t="s">
        <v>153</v>
      </c>
    </row>
    <row r="94" spans="1:16" ht="15.75" thickBot="1" x14ac:dyDescent="0.3">
      <c r="A94" s="69">
        <v>18</v>
      </c>
      <c r="B94" s="59" t="s">
        <v>34</v>
      </c>
      <c r="C94" s="60"/>
      <c r="D94" s="61"/>
      <c r="E94" s="62"/>
      <c r="F94" s="107">
        <f>F92+F93</f>
        <v>203296023.03600001</v>
      </c>
      <c r="G94" s="270">
        <v>91507.75</v>
      </c>
      <c r="H94" s="270">
        <v>110161.23</v>
      </c>
      <c r="I94" s="270">
        <f>F94/D87</f>
        <v>113466.07004336688</v>
      </c>
    </row>
    <row r="95" spans="1:16" ht="15.75" thickBot="1" x14ac:dyDescent="0.3">
      <c r="A95" s="273" t="s">
        <v>170</v>
      </c>
      <c r="B95" s="273"/>
      <c r="C95" s="274"/>
      <c r="D95" s="274"/>
      <c r="E95" s="274"/>
      <c r="F95" s="274"/>
    </row>
    <row r="96" spans="1:16" ht="20.25" customHeight="1" thickBot="1" x14ac:dyDescent="0.3">
      <c r="A96" s="54" t="s">
        <v>58</v>
      </c>
      <c r="B96" s="55" t="s">
        <v>69</v>
      </c>
      <c r="C96" s="56" t="s">
        <v>18</v>
      </c>
      <c r="D96" s="362" t="s">
        <v>21</v>
      </c>
      <c r="E96" s="363"/>
      <c r="F96" s="57" t="s">
        <v>32</v>
      </c>
    </row>
    <row r="97" spans="1:16" ht="36" customHeight="1" thickBot="1" x14ac:dyDescent="0.3">
      <c r="A97" s="276" t="s">
        <v>163</v>
      </c>
      <c r="B97" s="277" t="s">
        <v>47</v>
      </c>
      <c r="C97" s="278" t="s">
        <v>19</v>
      </c>
      <c r="D97" s="441">
        <v>1791.69</v>
      </c>
      <c r="E97" s="442"/>
      <c r="F97" s="279">
        <v>139860049.75999999</v>
      </c>
    </row>
    <row r="98" spans="1:16" ht="15.75" thickTop="1" x14ac:dyDescent="0.25">
      <c r="A98" s="53">
        <v>8</v>
      </c>
      <c r="B98" s="50" t="s">
        <v>131</v>
      </c>
      <c r="C98" s="42" t="s">
        <v>29</v>
      </c>
      <c r="D98" s="439" t="s">
        <v>155</v>
      </c>
      <c r="E98" s="440"/>
      <c r="F98" s="43">
        <v>3807347.4499999997</v>
      </c>
    </row>
    <row r="99" spans="1:16" x14ac:dyDescent="0.25">
      <c r="A99" s="52">
        <v>9</v>
      </c>
      <c r="B99" s="51" t="s">
        <v>28</v>
      </c>
      <c r="C99" s="40" t="s">
        <v>29</v>
      </c>
      <c r="D99" s="402" t="s">
        <v>156</v>
      </c>
      <c r="E99" s="403"/>
      <c r="F99" s="29">
        <v>14168223.84</v>
      </c>
    </row>
    <row r="100" spans="1:16" ht="15.75" thickBot="1" x14ac:dyDescent="0.3">
      <c r="A100" s="70">
        <v>10</v>
      </c>
      <c r="B100" s="71" t="s">
        <v>17</v>
      </c>
      <c r="C100" s="72" t="s">
        <v>20</v>
      </c>
      <c r="D100" s="389">
        <v>4765.96</v>
      </c>
      <c r="E100" s="390"/>
      <c r="F100" s="73">
        <v>1105733.3899999999</v>
      </c>
    </row>
    <row r="101" spans="1:16" ht="1.5" customHeight="1" thickBot="1" x14ac:dyDescent="0.3">
      <c r="A101" s="74"/>
      <c r="B101" s="75"/>
      <c r="C101" s="76"/>
      <c r="D101" s="77"/>
      <c r="E101" s="77"/>
      <c r="F101" s="78">
        <v>1105733.3899999999</v>
      </c>
    </row>
    <row r="102" spans="1:16" ht="15.75" thickBot="1" x14ac:dyDescent="0.3">
      <c r="A102" s="69">
        <v>11</v>
      </c>
      <c r="B102" s="59" t="s">
        <v>22</v>
      </c>
      <c r="C102" s="60"/>
      <c r="D102" s="269">
        <f>SUM(D97:E97)</f>
        <v>1791.69</v>
      </c>
      <c r="E102" s="62" t="s">
        <v>19</v>
      </c>
      <c r="F102" s="63">
        <f>SUM(F97:F100)</f>
        <v>158941354.43999997</v>
      </c>
    </row>
    <row r="103" spans="1:16" ht="15.75" thickBot="1" x14ac:dyDescent="0.3">
      <c r="A103" s="67">
        <v>12</v>
      </c>
      <c r="B103" s="58" t="s">
        <v>167</v>
      </c>
      <c r="C103" s="41"/>
      <c r="D103" s="45"/>
      <c r="E103" s="46"/>
      <c r="F103" s="271">
        <v>9428605.6600000001</v>
      </c>
    </row>
    <row r="104" spans="1:16" ht="15.75" thickBot="1" x14ac:dyDescent="0.3">
      <c r="A104" s="69">
        <v>13</v>
      </c>
      <c r="B104" s="59" t="s">
        <v>22</v>
      </c>
      <c r="C104" s="60"/>
      <c r="D104" s="45"/>
      <c r="E104" s="62"/>
      <c r="F104" s="63">
        <f>F102+F103</f>
        <v>168369960.09999996</v>
      </c>
    </row>
    <row r="105" spans="1:16" ht="15.75" thickBot="1" x14ac:dyDescent="0.3">
      <c r="A105" s="67">
        <v>14</v>
      </c>
      <c r="B105" s="58" t="s">
        <v>23</v>
      </c>
      <c r="C105" s="41"/>
      <c r="D105" s="45"/>
      <c r="E105" s="46"/>
      <c r="F105" s="271">
        <f>F104*0.03</f>
        <v>5051098.8029999984</v>
      </c>
    </row>
    <row r="106" spans="1:16" x14ac:dyDescent="0.25">
      <c r="A106" s="263">
        <v>15</v>
      </c>
      <c r="B106" s="264" t="s">
        <v>36</v>
      </c>
      <c r="C106" s="265"/>
      <c r="D106" s="266"/>
      <c r="E106" s="267"/>
      <c r="F106" s="268">
        <f>F104+F105</f>
        <v>173421058.90299997</v>
      </c>
      <c r="J106" s="106"/>
      <c r="K106" s="106"/>
      <c r="L106" s="106"/>
      <c r="M106" s="106"/>
      <c r="N106" s="106"/>
      <c r="O106" s="106"/>
      <c r="P106" s="106"/>
    </row>
    <row r="107" spans="1:16" x14ac:dyDescent="0.25">
      <c r="A107" s="285">
        <v>16</v>
      </c>
      <c r="B107" s="281" t="s">
        <v>172</v>
      </c>
      <c r="C107" s="282"/>
      <c r="D107" s="275"/>
      <c r="E107" s="283"/>
      <c r="F107" s="284">
        <v>183826324.21000001</v>
      </c>
      <c r="G107" s="437"/>
      <c r="H107" s="438"/>
      <c r="I107" s="438"/>
    </row>
    <row r="108" spans="1:16" ht="15.75" thickBot="1" x14ac:dyDescent="0.3">
      <c r="A108" s="280">
        <v>17</v>
      </c>
      <c r="B108" s="64" t="s">
        <v>164</v>
      </c>
      <c r="C108" s="261"/>
      <c r="D108" s="65"/>
      <c r="E108" s="262"/>
      <c r="F108" s="66">
        <v>157676066.63</v>
      </c>
      <c r="G108" s="437" t="s">
        <v>159</v>
      </c>
      <c r="H108" s="438"/>
      <c r="I108" s="438"/>
    </row>
    <row r="109" spans="1:16" ht="25.5" customHeight="1" thickBot="1" x14ac:dyDescent="0.3">
      <c r="A109" s="67">
        <v>18</v>
      </c>
      <c r="B109" s="58" t="s">
        <v>33</v>
      </c>
      <c r="C109" s="41"/>
      <c r="D109" s="45"/>
      <c r="E109" s="46"/>
      <c r="F109" s="47">
        <f>F108*0.2</f>
        <v>31535213.326000001</v>
      </c>
      <c r="G109" s="272" t="s">
        <v>151</v>
      </c>
      <c r="H109" s="272" t="s">
        <v>152</v>
      </c>
      <c r="I109" s="272" t="s">
        <v>153</v>
      </c>
    </row>
    <row r="110" spans="1:16" ht="15.75" thickBot="1" x14ac:dyDescent="0.3">
      <c r="A110" s="69">
        <v>19</v>
      </c>
      <c r="B110" s="59" t="s">
        <v>34</v>
      </c>
      <c r="C110" s="60"/>
      <c r="D110" s="61"/>
      <c r="E110" s="62"/>
      <c r="F110" s="107">
        <f>F108+F109</f>
        <v>189211279.956</v>
      </c>
      <c r="G110" s="270">
        <v>84240.866039999994</v>
      </c>
      <c r="H110" s="270">
        <v>101413.02758999998</v>
      </c>
      <c r="I110" s="270">
        <f>F110/D102</f>
        <v>105604.92046950085</v>
      </c>
    </row>
    <row r="111" spans="1:16" ht="15.75" thickBot="1" x14ac:dyDescent="0.3">
      <c r="A111" s="273" t="s">
        <v>171</v>
      </c>
      <c r="B111" s="273"/>
      <c r="C111" s="274"/>
      <c r="D111" s="274"/>
      <c r="E111" s="274"/>
      <c r="F111" s="274"/>
    </row>
    <row r="112" spans="1:16" ht="19.5" customHeight="1" thickBot="1" x14ac:dyDescent="0.3">
      <c r="A112" s="54" t="s">
        <v>58</v>
      </c>
      <c r="B112" s="55" t="s">
        <v>69</v>
      </c>
      <c r="C112" s="56" t="s">
        <v>18</v>
      </c>
      <c r="D112" s="362" t="s">
        <v>21</v>
      </c>
      <c r="E112" s="363"/>
      <c r="F112" s="57" t="s">
        <v>32</v>
      </c>
    </row>
    <row r="113" spans="1:16" ht="36" customHeight="1" thickBot="1" x14ac:dyDescent="0.3">
      <c r="A113" s="276" t="s">
        <v>163</v>
      </c>
      <c r="B113" s="277" t="s">
        <v>47</v>
      </c>
      <c r="C113" s="278" t="s">
        <v>19</v>
      </c>
      <c r="D113" s="441">
        <v>1791.69</v>
      </c>
      <c r="E113" s="442"/>
      <c r="F113" s="279">
        <v>139860049.75999999</v>
      </c>
    </row>
    <row r="114" spans="1:16" ht="15.75" thickTop="1" x14ac:dyDescent="0.25">
      <c r="A114" s="53">
        <v>8</v>
      </c>
      <c r="B114" s="50" t="s">
        <v>131</v>
      </c>
      <c r="C114" s="42" t="s">
        <v>29</v>
      </c>
      <c r="D114" s="439" t="s">
        <v>155</v>
      </c>
      <c r="E114" s="440"/>
      <c r="F114" s="43">
        <v>3807347.4499999997</v>
      </c>
    </row>
    <row r="115" spans="1:16" x14ac:dyDescent="0.25">
      <c r="A115" s="52">
        <v>9</v>
      </c>
      <c r="B115" s="51" t="s">
        <v>28</v>
      </c>
      <c r="C115" s="40" t="s">
        <v>29</v>
      </c>
      <c r="D115" s="402" t="s">
        <v>156</v>
      </c>
      <c r="E115" s="403"/>
      <c r="F115" s="29">
        <v>14168223.84</v>
      </c>
    </row>
    <row r="116" spans="1:16" ht="15.75" thickBot="1" x14ac:dyDescent="0.3">
      <c r="A116" s="70">
        <v>10</v>
      </c>
      <c r="B116" s="71" t="s">
        <v>17</v>
      </c>
      <c r="C116" s="72" t="s">
        <v>20</v>
      </c>
      <c r="D116" s="389">
        <v>4765.96</v>
      </c>
      <c r="E116" s="390"/>
      <c r="F116" s="73">
        <v>1105733.3899999999</v>
      </c>
    </row>
    <row r="117" spans="1:16" ht="1.5" customHeight="1" thickBot="1" x14ac:dyDescent="0.3">
      <c r="A117" s="74"/>
      <c r="B117" s="75"/>
      <c r="C117" s="76"/>
      <c r="D117" s="77"/>
      <c r="E117" s="77"/>
      <c r="F117" s="78">
        <v>1105733.3899999999</v>
      </c>
    </row>
    <row r="118" spans="1:16" ht="15.75" thickBot="1" x14ac:dyDescent="0.3">
      <c r="A118" s="69">
        <v>11</v>
      </c>
      <c r="B118" s="59" t="s">
        <v>22</v>
      </c>
      <c r="C118" s="60"/>
      <c r="D118" s="269">
        <f>SUM(D113:E113)</f>
        <v>1791.69</v>
      </c>
      <c r="E118" s="62" t="s">
        <v>19</v>
      </c>
      <c r="F118" s="63">
        <f>SUM(F113:F116)</f>
        <v>158941354.43999997</v>
      </c>
    </row>
    <row r="119" spans="1:16" ht="15.75" thickBot="1" x14ac:dyDescent="0.3">
      <c r="A119" s="67">
        <v>12</v>
      </c>
      <c r="B119" s="58" t="s">
        <v>167</v>
      </c>
      <c r="C119" s="41"/>
      <c r="D119" s="45"/>
      <c r="E119" s="46"/>
      <c r="F119" s="271">
        <v>9428605.6600000001</v>
      </c>
    </row>
    <row r="120" spans="1:16" ht="15.75" thickBot="1" x14ac:dyDescent="0.3">
      <c r="A120" s="69">
        <v>13</v>
      </c>
      <c r="B120" s="59" t="s">
        <v>22</v>
      </c>
      <c r="C120" s="60"/>
      <c r="D120" s="45"/>
      <c r="E120" s="62"/>
      <c r="F120" s="63">
        <f>F118+F119</f>
        <v>168369960.09999996</v>
      </c>
    </row>
    <row r="121" spans="1:16" ht="15.75" thickBot="1" x14ac:dyDescent="0.3">
      <c r="A121" s="67">
        <v>14</v>
      </c>
      <c r="B121" s="58" t="s">
        <v>23</v>
      </c>
      <c r="C121" s="41"/>
      <c r="D121" s="45"/>
      <c r="E121" s="46"/>
      <c r="F121" s="271">
        <f>F120*0.03</f>
        <v>5051098.8029999984</v>
      </c>
    </row>
    <row r="122" spans="1:16" x14ac:dyDescent="0.25">
      <c r="A122" s="263">
        <v>15</v>
      </c>
      <c r="B122" s="264" t="s">
        <v>36</v>
      </c>
      <c r="C122" s="265"/>
      <c r="D122" s="266"/>
      <c r="E122" s="267"/>
      <c r="F122" s="268">
        <f>F120+F121</f>
        <v>173421058.90299997</v>
      </c>
      <c r="J122" s="106"/>
      <c r="K122" s="106"/>
      <c r="L122" s="106"/>
      <c r="M122" s="106"/>
      <c r="N122" s="106"/>
      <c r="O122" s="106"/>
      <c r="P122" s="106"/>
    </row>
    <row r="123" spans="1:16" x14ac:dyDescent="0.25">
      <c r="A123" s="285">
        <v>16</v>
      </c>
      <c r="B123" s="281" t="s">
        <v>172</v>
      </c>
      <c r="C123" s="282"/>
      <c r="D123" s="275"/>
      <c r="E123" s="283"/>
      <c r="F123" s="284">
        <v>183826324.21000001</v>
      </c>
      <c r="G123" s="437"/>
      <c r="H123" s="438"/>
      <c r="I123" s="438"/>
    </row>
    <row r="124" spans="1:16" ht="15.75" thickBot="1" x14ac:dyDescent="0.3">
      <c r="A124" s="280">
        <v>17</v>
      </c>
      <c r="B124" s="64" t="s">
        <v>166</v>
      </c>
      <c r="C124" s="261"/>
      <c r="D124" s="65"/>
      <c r="E124" s="262"/>
      <c r="F124" s="66">
        <v>179818616.16</v>
      </c>
      <c r="G124" s="437" t="s">
        <v>159</v>
      </c>
      <c r="H124" s="438"/>
      <c r="I124" s="438"/>
    </row>
    <row r="125" spans="1:16" ht="25.5" customHeight="1" thickBot="1" x14ac:dyDescent="0.3">
      <c r="A125" s="67">
        <v>18</v>
      </c>
      <c r="B125" s="58" t="s">
        <v>33</v>
      </c>
      <c r="C125" s="41"/>
      <c r="D125" s="45"/>
      <c r="E125" s="46"/>
      <c r="F125" s="47">
        <f>F124*0.2</f>
        <v>35963723.232000001</v>
      </c>
      <c r="G125" s="272" t="s">
        <v>151</v>
      </c>
      <c r="H125" s="272" t="s">
        <v>152</v>
      </c>
      <c r="I125" s="272" t="s">
        <v>153</v>
      </c>
    </row>
    <row r="126" spans="1:16" ht="15.75" thickBot="1" x14ac:dyDescent="0.3">
      <c r="A126" s="69">
        <v>19</v>
      </c>
      <c r="B126" s="59" t="s">
        <v>34</v>
      </c>
      <c r="C126" s="60"/>
      <c r="D126" s="61"/>
      <c r="E126" s="62"/>
      <c r="F126" s="107">
        <f>F124+F125</f>
        <v>215782339.39199999</v>
      </c>
      <c r="G126" s="270">
        <f>G94*1.06</f>
        <v>96998.215000000011</v>
      </c>
      <c r="H126" s="270">
        <f>H94*1.06</f>
        <v>116770.9038</v>
      </c>
      <c r="I126" s="270">
        <f>F126/D118</f>
        <v>120435.086087437</v>
      </c>
    </row>
  </sheetData>
  <mergeCells count="62">
    <mergeCell ref="G123:I123"/>
    <mergeCell ref="G107:I107"/>
    <mergeCell ref="G124:I124"/>
    <mergeCell ref="G108:I108"/>
    <mergeCell ref="D112:E112"/>
    <mergeCell ref="D113:E113"/>
    <mergeCell ref="D114:E114"/>
    <mergeCell ref="D115:E115"/>
    <mergeCell ref="D116:E116"/>
    <mergeCell ref="G92:I92"/>
    <mergeCell ref="D96:E96"/>
    <mergeCell ref="D97:E97"/>
    <mergeCell ref="D98:E98"/>
    <mergeCell ref="D99:E99"/>
    <mergeCell ref="D100:E100"/>
    <mergeCell ref="D81:E81"/>
    <mergeCell ref="D82:E82"/>
    <mergeCell ref="D83:E83"/>
    <mergeCell ref="D84:E84"/>
    <mergeCell ref="D85:E85"/>
    <mergeCell ref="G77:I77"/>
    <mergeCell ref="D53:E53"/>
    <mergeCell ref="D54:E54"/>
    <mergeCell ref="D55:E55"/>
    <mergeCell ref="D56:E56"/>
    <mergeCell ref="D57:E57"/>
    <mergeCell ref="G62:I62"/>
    <mergeCell ref="D66:E66"/>
    <mergeCell ref="D67:E67"/>
    <mergeCell ref="D68:E68"/>
    <mergeCell ref="D69:E69"/>
    <mergeCell ref="D70:E70"/>
    <mergeCell ref="D44:E44"/>
    <mergeCell ref="G49:I49"/>
    <mergeCell ref="D41:E41"/>
    <mergeCell ref="D42:E42"/>
    <mergeCell ref="D43:E43"/>
    <mergeCell ref="D31:E31"/>
    <mergeCell ref="G36:I36"/>
    <mergeCell ref="D40:E40"/>
    <mergeCell ref="D25:E25"/>
    <mergeCell ref="D26:E26"/>
    <mergeCell ref="D27:E27"/>
    <mergeCell ref="D28:E28"/>
    <mergeCell ref="D29:E29"/>
    <mergeCell ref="D30:E30"/>
    <mergeCell ref="G17:I17"/>
    <mergeCell ref="D21:E21"/>
    <mergeCell ref="D22:E22"/>
    <mergeCell ref="D23:E23"/>
    <mergeCell ref="D24:E24"/>
    <mergeCell ref="D12:E1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!расчет по разделам (3)</vt:lpstr>
      <vt:lpstr>свод-компенс без НДС  (2)</vt:lpstr>
      <vt:lpstr>дефлятор 2кв_1кв 26 </vt:lpstr>
      <vt:lpstr>по Грандсмете</vt:lpstr>
      <vt:lpstr>для Андрея на 220 млн</vt:lpstr>
      <vt:lpstr>свод-компенс без НДС </vt:lpstr>
      <vt:lpstr>свод-компенс с НДС</vt:lpstr>
      <vt:lpstr>свод </vt:lpstr>
      <vt:lpstr>свод по ст</vt:lpstr>
      <vt:lpstr>!расчет (2 сценария)</vt:lpstr>
      <vt:lpstr>без настила</vt:lpstr>
      <vt:lpstr>+ЗУ+дефлятор</vt:lpstr>
      <vt:lpstr>!расчет по разделам</vt:lpstr>
      <vt:lpstr>+ЗУ + коэф.инфляции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2025-10-05T16:42:12Z</dcterms:created>
  <dcterms:modified xsi:type="dcterms:W3CDTF">2025-12-02T18:34:10Z</dcterms:modified>
</cp:coreProperties>
</file>