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разные расчеты\смета по КМД\"/>
    </mc:Choice>
  </mc:AlternateContent>
  <xr:revisionPtr revIDLastSave="0" documentId="13_ncr:1_{663E2DD3-5C98-4011-B50F-33A772BADBA3}" xr6:coauthVersionLast="47" xr6:coauthVersionMax="47" xr10:uidLastSave="{00000000-0000-0000-0000-000000000000}"/>
  <bookViews>
    <workbookView xWindow="-120" yWindow="-120" windowWidth="29040" windowHeight="15720" firstSheet="1" activeTab="1" xr2:uid="{FFA86EE9-2D57-4644-A65B-22E051DF5F38}"/>
  </bookViews>
  <sheets>
    <sheet name="!расчет по разделам (3)" sheetId="6" state="hidden" r:id="rId1"/>
    <sheet name="!расчет по разделам" sheetId="4" r:id="rId2"/>
    <sheet name="+ЗУ" sheetId="8" r:id="rId3"/>
    <sheet name="+ЗУ + коэф.инфляции" sheetId="11" r:id="rId4"/>
    <sheet name="расчет дефлятора 2кв_1кв 26г." sheetId="7" r:id="rId5"/>
    <sheet name="Дефл год Базовый Сайт" sheetId="10" r:id="rId6"/>
    <sheet name="расчет по разделам" sheetId="3" state="hidden" r:id="rId7"/>
    <sheet name="с настилом" sheetId="2" state="hidden" r:id="rId8"/>
    <sheet name="без настила" sheetId="1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5" hidden="1">'Дефл год Базовый Сайт'!$A$4:$A$106</definedName>
    <definedName name="ColLastYearFB">[3]ФедД!$AH$17</definedName>
    <definedName name="ColLastYearFB1">[4]Управление!$AF$17</definedName>
    <definedName name="ColThisYearFB">[3]ФедД!$AG$17</definedName>
    <definedName name="PeriodLastYearName">[3]ФедД!$AH$20</definedName>
    <definedName name="PeriodThisYearName">[3]ФедД!$AG$20</definedName>
    <definedName name="short">[5]!short</definedName>
    <definedName name="title">'[6]Огл. Графиков'!$B$2:$B$31</definedName>
    <definedName name="Z_01CA8EBB_0C4C_4010_811F_073E57232CD7_.wvu.FilterData" localSheetId="5" hidden="1">'Дефл год Базовый Сайт'!$A$5:$A$106</definedName>
    <definedName name="Z_0ED5301B_3B9B_4028_A009_D402EF13F98D_.wvu.FilterData" localSheetId="5" hidden="1">'Дефл год Базовый Сайт'!$A$5:$A$100</definedName>
    <definedName name="Z_13B89219_28C6_4883_87AC_E0D1795AD51D_.wvu.FilterData" localSheetId="5" hidden="1">'Дефл год Базовый Сайт'!$A$5:$A$100</definedName>
    <definedName name="Z_268023C0_9BC0_40EB_A535_38BF110897FA_.wvu.FilterData" localSheetId="5" hidden="1">'Дефл год Базовый Сайт'!$A$5:$A$100</definedName>
    <definedName name="Z_3DEEBB3D_1270_47DE_834F_86032DB959D9_.wvu.FilterData" localSheetId="5" hidden="1">'Дефл год Базовый Сайт'!$A$5:$A$100</definedName>
    <definedName name="Z_4E2D07F0_76DB_4630_BC1D_F4D5A502B378_.wvu.FilterData" localSheetId="5" hidden="1">'Дефл год Базовый Сайт'!$A$5:$A$100</definedName>
    <definedName name="Z_572ABAB9_340C_418A_A9AD_B19F14213DA2_.wvu.FilterData" localSheetId="5" hidden="1">'Дефл год Базовый Сайт'!$A$5:$A$100</definedName>
    <definedName name="Z_ABD7BA35_04E1_43E0_AC75_033C3CA6FF3C_.wvu.Cols" localSheetId="5" hidden="1">'Дефл год Базовый Сайт'!#REF!,'Дефл год Базовый Сайт'!#REF!</definedName>
    <definedName name="Z_ABD7BA35_04E1_43E0_AC75_033C3CA6FF3C_.wvu.FilterData" localSheetId="5" hidden="1">'Дефл год Базовый Сайт'!$A$5:$A$100</definedName>
    <definedName name="Z_ABD7BA35_04E1_43E0_AC75_033C3CA6FF3C_.wvu.PrintArea" localSheetId="5" hidden="1">'Дефл год Базовый Сайт'!$A$5:$F$100</definedName>
    <definedName name="Z_C73CA27E_77B2_422A_A773_B235904BACA3_.wvu.Cols" localSheetId="5" hidden="1">'Дефл год Базовый Сайт'!#REF!,'Дефл год Базовый Сайт'!#REF!</definedName>
    <definedName name="Z_C73CA27E_77B2_422A_A773_B235904BACA3_.wvu.FilterData" localSheetId="5" hidden="1">'Дефл год Базовый Сайт'!$A$5:$A$100</definedName>
    <definedName name="Z_C73CA27E_77B2_422A_A773_B235904BACA3_.wvu.PrintArea" localSheetId="5" hidden="1">'Дефл год Базовый Сайт'!$A$5:$F$100</definedName>
    <definedName name="Z_D49940EF_113F_4789_B6E7_8353B816853A_.wvu.Cols" localSheetId="5" hidden="1">'Дефл год Базовый Сайт'!#REF!,'Дефл год Базовый Сайт'!#REF!</definedName>
    <definedName name="Z_D49940EF_113F_4789_B6E7_8353B816853A_.wvu.FilterData" localSheetId="5" hidden="1">'Дефл год Базовый Сайт'!$A$5:$A$100</definedName>
    <definedName name="Z_D49940EF_113F_4789_B6E7_8353B816853A_.wvu.PrintArea" localSheetId="5" hidden="1">'Дефл год Базовый Сайт'!$A$5:$F$100</definedName>
    <definedName name="Z_DCC68DFC_E4AF_484C_822A_D560C6D52926_.wvu.FilterData" localSheetId="5" hidden="1">'Дефл год Базовый Сайт'!$A$5:$A$100</definedName>
    <definedName name="Z_E55F6B6A_DBD3_4117_B149_A082390B8D13_.wvu.Cols" localSheetId="5" hidden="1">'Дефл год Базовый Сайт'!#REF!,'Дефл год Базовый Сайт'!#REF!</definedName>
    <definedName name="Z_E55F6B6A_DBD3_4117_B149_A082390B8D13_.wvu.FilterData" localSheetId="5" hidden="1">'Дефл год Базовый Сайт'!$A$5:$A$100</definedName>
    <definedName name="Z_E55F6B6A_DBD3_4117_B149_A082390B8D13_.wvu.PrintArea" localSheetId="5" hidden="1">'Дефл год Базовый Сайт'!$A$5:$F$100</definedName>
    <definedName name="Z_E9547856_3045_49CA_B3C7_618D2DA21087_.wvu.FilterData" localSheetId="5" hidden="1">'Дефл год Базовый Сайт'!$A$5:$A$100</definedName>
    <definedName name="Z_E9D4ABE5_580B_4EA1_8057_CB16EE65A5F9_.wvu.FilterData" localSheetId="5" hidden="1">'Дефл год Базовый Сайт'!$A$5:$A$100</definedName>
    <definedName name="Z_F49A5623_9435_4BAA_98DE_EAAB0061DE16_.wvu.FilterData" localSheetId="5" hidden="1">'Дефл год Базовый Сайт'!$A$5:$A$100</definedName>
    <definedName name="Вып_ОФ_с_пц">[6]рабочий!$Y$202:$AP$224</definedName>
    <definedName name="Вып_с_новых_ОФ">[6]рабочий!$Y$277:$AP$299</definedName>
    <definedName name="Выход">[4]Управление!$AF$20</definedName>
    <definedName name="год1">#REF!</definedName>
    <definedName name="График">"Диагр. 4"</definedName>
    <definedName name="Дефл_ц_пред_год">'[6]Текущие цены'!$AT$36:$BK$58</definedName>
    <definedName name="Дефлятор_годовой">'[6]Текущие цены'!$Y$4:$AP$27</definedName>
    <definedName name="Дефлятор_цепной">'[6]Текущие цены'!$Y$36:$AP$58</definedName>
    <definedName name="_xlnm.Print_Titles" localSheetId="5">'Дефл год Базовый Сайт'!$5:$6</definedName>
    <definedName name="новые_ОФ_2003">[6]рабочий!$F$305:$W$327</definedName>
    <definedName name="новые_ОФ_2004">[6]рабочий!$F$335:$W$357</definedName>
    <definedName name="новые_ОФ_а_всего">[6]рабочий!$F$767:$V$789</definedName>
    <definedName name="новые_ОФ_всего">[6]рабочий!$F$1331:$V$1353</definedName>
    <definedName name="новые_ОФ_п_всего">[6]рабочий!$F$1293:$V$1315</definedName>
    <definedName name="_xlnm.Print_Area" localSheetId="5">'Дефл год Базовый Сайт'!$A$1:$F$106</definedName>
    <definedName name="окраска_05">[6]окраска!$C$7:$Z$30</definedName>
    <definedName name="окраска_06">[6]окраска!$C$35:$Z$58</definedName>
    <definedName name="окраска_07">[6]окраска!$C$63:$Z$86</definedName>
    <definedName name="окраска_08">[6]окраска!$C$91:$Z$114</definedName>
    <definedName name="окраска_09">[6]окраска!$C$119:$Z$142</definedName>
    <definedName name="окраска_10">[6]окраска!$C$147:$Z$170</definedName>
    <definedName name="окраска_11">[6]окраска!$C$175:$Z$198</definedName>
    <definedName name="окраска_12">[6]окраска!$C$203:$Z$226</definedName>
    <definedName name="окраска_13">[6]окраска!$C$231:$Z$254</definedName>
    <definedName name="окраска_14">[6]окраска!$C$259:$Z$282</definedName>
    <definedName name="окраска_15">[6]окраска!$C$287:$Z$310</definedName>
    <definedName name="ОФ_а_с_пц">[6]рабочий!$CI$121:$CY$143</definedName>
    <definedName name="ПОКАЗАТЕЛИ_ДОЛГОСР.ПРОГНОЗА">'[7]2002(v2)'!#REF!</definedName>
    <definedName name="приб">[4]Управление!$AE$20</definedName>
    <definedName name="прибвб2">[4]Управление!$AF$20</definedName>
    <definedName name="Прогноз_Вып_пц">[6]рабочий!$Y$240:$AP$262</definedName>
    <definedName name="суда">[5]!суда</definedName>
    <definedName name="фо_а_н_пц">[6]рабочий!$AR$240:$BI$263</definedName>
    <definedName name="фо_а_с_пц">[6]рабочий!$AS$202:$BI$224</definedName>
    <definedName name="фо_н_03">[6]рабочий!$X$305:$X$327</definedName>
    <definedName name="фо_н_04">[6]рабочий!$X$335:$X$357</definedName>
    <definedName name="ыяпр">[5]!ыяпр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" i="11" l="1"/>
  <c r="T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V18" i="11" l="1"/>
  <c r="V19" i="11" s="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9" i="8"/>
  <c r="V19" i="8"/>
  <c r="AC16" i="8"/>
  <c r="AA16" i="8"/>
  <c r="AA14" i="8"/>
  <c r="V16" i="8"/>
  <c r="G17" i="8"/>
  <c r="G18" i="8"/>
  <c r="T16" i="8"/>
  <c r="G16" i="8"/>
  <c r="T14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L17" i="8" s="1"/>
  <c r="F3" i="8"/>
  <c r="D3" i="8"/>
  <c r="D13" i="7"/>
  <c r="E8" i="7"/>
  <c r="B6" i="7"/>
  <c r="C5" i="7"/>
  <c r="D5" i="7" s="1"/>
  <c r="D6" i="7" s="1"/>
  <c r="V20" i="11" l="1"/>
  <c r="AC20" i="11"/>
  <c r="N25" i="11"/>
  <c r="N26" i="11" s="1"/>
  <c r="N30" i="11" s="1"/>
  <c r="F19" i="11"/>
  <c r="F20" i="11" s="1"/>
  <c r="F23" i="11" s="1"/>
  <c r="F24" i="11" s="1"/>
  <c r="AC17" i="8"/>
  <c r="AC18" i="8" s="1"/>
  <c r="AC20" i="8" s="1"/>
  <c r="AC21" i="8" s="1"/>
  <c r="AC22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F8" i="7" s="1"/>
  <c r="B7" i="7"/>
  <c r="B8" i="7" s="1"/>
  <c r="V21" i="11" l="1"/>
  <c r="V22" i="11" s="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AC23" i="8"/>
  <c r="AC24" i="8" s="1"/>
  <c r="AC28" i="8" s="1"/>
  <c r="N26" i="8"/>
  <c r="V20" i="8"/>
  <c r="V21" i="8" s="1"/>
  <c r="V22" i="8" s="1"/>
  <c r="V23" i="8" s="1"/>
  <c r="V24" i="8" s="1"/>
  <c r="V28" i="8" s="1"/>
  <c r="F23" i="8"/>
  <c r="F24" i="8" s="1"/>
  <c r="F28" i="8" s="1"/>
  <c r="N23" i="8"/>
  <c r="N24" i="8" s="1"/>
  <c r="N28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6" i="4"/>
  <c r="R14" i="4"/>
  <c r="T16" i="4"/>
  <c r="K14" i="4"/>
  <c r="M16" i="4"/>
  <c r="K4" i="4"/>
  <c r="K3" i="4"/>
  <c r="F23" i="3"/>
  <c r="G16" i="4"/>
  <c r="D14" i="4"/>
  <c r="F13" i="4"/>
  <c r="F12" i="4"/>
  <c r="F10" i="4"/>
  <c r="F9" i="4"/>
  <c r="F8" i="4"/>
  <c r="F7" i="4"/>
  <c r="F6" i="4"/>
  <c r="F5" i="4"/>
  <c r="F4" i="4"/>
  <c r="D4" i="4"/>
  <c r="F3" i="4"/>
  <c r="D3" i="4"/>
  <c r="D16" i="4" s="1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6" i="4"/>
  <c r="F17" i="4" s="1"/>
  <c r="F18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5" i="4"/>
  <c r="M21" i="4"/>
  <c r="F19" i="4"/>
  <c r="F20" i="4" s="1"/>
  <c r="F21" i="4" s="1"/>
  <c r="F22" i="4" s="1"/>
  <c r="F26" i="4" s="1"/>
  <c r="H21" i="3"/>
  <c r="M22" i="4" l="1"/>
  <c r="M26" i="4" s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<sst xmlns="http://schemas.openxmlformats.org/spreadsheetml/2006/main" count="721" uniqueCount="141">
  <si>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</si>
  <si>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</si>
  <si>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</si>
  <si>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</si>
  <si>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</si>
  <si>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</si>
  <si>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</si>
  <si>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</si>
  <si>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</si>
  <si>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</si>
  <si>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</si>
  <si>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</si>
  <si>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</si>
  <si>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</si>
  <si>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</si>
  <si>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</si>
  <si>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</si>
  <si>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</si>
  <si>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</si>
  <si>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</si>
  <si>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</si>
  <si>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</si>
  <si>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</si>
  <si>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</si>
  <si>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</si>
  <si>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</si>
  <si>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</si>
  <si>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</si>
  <si>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</si>
  <si>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</si>
  <si>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</si>
  <si>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</si>
  <si>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</si>
  <si>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</si>
  <si>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</si>
  <si>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</si>
  <si>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</si>
  <si>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</si>
  <si>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</si>
  <si>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</si>
  <si>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</si>
  <si>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</si>
  <si>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</si>
  <si>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</si>
  <si>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</si>
  <si>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</si>
  <si>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</si>
  <si>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</si>
  <si>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</si>
  <si>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</si>
  <si>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</si>
  <si>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</si>
  <si>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</si>
  <si>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</si>
  <si>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</si>
  <si>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</si>
  <si>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</si>
  <si>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</si>
  <si>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</si>
  <si>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</si>
  <si>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</si>
  <si>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</si>
  <si>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</si>
  <si>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</si>
  <si>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</si>
  <si>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</si>
  <si>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</si>
  <si>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</si>
  <si>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</si>
  <si>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</si>
  <si>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</si>
  <si>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</si>
  <si>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</si>
  <si>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</si>
  <si>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</si>
  <si>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</si>
  <si>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</si>
  <si>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0,75</t>
    </r>
  </si>
  <si>
    <t xml:space="preserve">(Берём середины кварталов: май 2025 → февраль 2026 ≈ 9 месяцев = 0,75 года)
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</si>
  <si>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</si>
  <si>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</si>
  <si>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</si>
  <si>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</si>
  <si>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</si>
  <si>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</si>
  <si>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</si>
  <si>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</si>
  <si>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</si>
  <si>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</si>
  <si>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</si>
  <si>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</si>
  <si>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</si>
  <si>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</si>
  <si>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</si>
  <si>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</si>
  <si>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</si>
  <si>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</si>
  <si>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</si>
  <si>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</si>
  <si>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</si>
  <si>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</si>
  <si>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</si>
  <si>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</si>
  <si>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</si>
  <si>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</si>
  <si>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</si>
  <si>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</si>
  <si>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</si>
  <si>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</si>
  <si>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</si>
  <si>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</si>
  <si>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</si>
  <si>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</si>
  <si>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</si>
  <si>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</si>
  <si>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</si>
  <si>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</si>
  <si>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</si>
  <si>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</si>
  <si>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</si>
  <si>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</si>
  <si>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</si>
  <si>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</si>
  <si>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</si>
  <si>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</si>
  <si>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</si>
  <si>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</si>
  <si>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</si>
  <si>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</si>
  <si>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</si>
  <si>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</si>
  <si>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</si>
  <si>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</si>
  <si>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</si>
  <si>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</si>
  <si>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</si>
  <si>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r>
      <t>(1,081)</t>
    </r>
    <r>
      <rPr>
        <b/>
        <vertAlign val="superscript"/>
        <sz val="10"/>
        <color rgb="FFFF0000"/>
        <rFont val="Arial Cyr"/>
        <charset val="204"/>
      </rPr>
      <t>0,75</t>
    </r>
  </si>
  <si>
    <t>(+6%)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</si>
  <si>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</si>
  <si>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</si>
  <si>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 xml:space="preserve">некорректный расчет-стоимость МАТЗАК вычитается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</si>
</sst>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5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279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0" fontId="1" fillId="4" borderId="0" xfId="0" applyFont="1" applyFill="1" applyAlignment="1">
      <alignment horizontal="center"/>
    </xf>
    <xf numFmtId="0" fontId="9" fillId="0" borderId="0" xfId="0" applyFont="1"/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165" fontId="16" fillId="0" borderId="0" xfId="1" applyNumberFormat="1" applyAlignment="1">
      <alignment horizontal="center" vertical="center"/>
    </xf>
    <xf numFmtId="0" fontId="30" fillId="7" borderId="0" xfId="2" applyFont="1" applyFill="1" applyAlignment="1">
      <alignment horizontal="left" vertical="center" wrapText="1"/>
    </xf>
    <xf numFmtId="0" fontId="8" fillId="0" borderId="0" xfId="3"/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!!!&#1050;&#1052;/!%20&#1051;&#1057;&#1056;%20&#1087;&#1086;%20&#1050;&#1052;&#1044;%20+&#1047;&#1059;%20&#1080;%20&#1082;-&#1090;%20&#1080;&#1085;&#1092;&#1083;/&#1055;&#1045;&#1056;&#1045;&#1057;&#1063;&#1045;&#1058;%20+&#1047;&#1059;%20&#1080;%20&#1085;&#1076;&#1077;&#1082;&#1089;&#1099;%20&#1085;&#1072;%203%20&#1082;&#1074;.%202025&#1075;/&#1050;&#1052;_1632-2021-2.1.3-&#1050;&#1052;_&#1047;&#1059;+4%20&#1082;&#1074;.%202025&#1075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Temp/753bbfb8-dd6a-4d54-9746-b2683a913dce_Attachments.zip.dce/6.%20&#1044;&#1077;&#1092;&#1083;&#1103;&#1090;&#1086;&#1088;&#1099;_&#1073;&#1072;&#1079;&#1086;&#1074;&#1099;&#108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дог в Грандсмете"/>
      <sheetName val="Кдог согласовано"/>
      <sheetName val="расчет дефлятора 2кв_4кв 25г."/>
      <sheetName val="расчет дефлятора 3кв_4кв 25г."/>
    </sheetNames>
    <sheetDataSet>
      <sheetData sheetId="0" refreshError="1"/>
      <sheetData sheetId="1" refreshError="1"/>
      <sheetData sheetId="2" refreshError="1"/>
      <sheetData sheetId="3">
        <row r="8">
          <cell r="D8">
            <v>208859301.65000001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ефл год Базовый Сайт"/>
      <sheetName val="Дефл кв Базовый Сайт"/>
      <sheetName val="Лист3 (2)"/>
      <sheetName val="Лист1 (2)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24" t="s">
        <v>44</v>
      </c>
      <c r="N1" s="124" t="s">
        <v>46</v>
      </c>
      <c r="V1" s="124" t="s">
        <v>48</v>
      </c>
    </row>
    <row r="2" spans="1:22" ht="15.75" thickBot="1" x14ac:dyDescent="0.3">
      <c r="A2" s="58" t="s">
        <v>37</v>
      </c>
      <c r="B2" s="59" t="s">
        <v>38</v>
      </c>
      <c r="C2" s="60" t="s">
        <v>18</v>
      </c>
      <c r="D2" s="61" t="s">
        <v>21</v>
      </c>
      <c r="E2" s="62"/>
      <c r="F2" s="63" t="s">
        <v>32</v>
      </c>
      <c r="G2" s="1" t="s">
        <v>24</v>
      </c>
      <c r="H2" s="1"/>
      <c r="I2" s="58" t="s">
        <v>37</v>
      </c>
      <c r="J2" s="59" t="s">
        <v>38</v>
      </c>
      <c r="K2" s="60" t="s">
        <v>18</v>
      </c>
      <c r="L2" s="61" t="s">
        <v>21</v>
      </c>
      <c r="M2" s="62"/>
      <c r="N2" s="63" t="s">
        <v>32</v>
      </c>
      <c r="Q2" s="58" t="s">
        <v>37</v>
      </c>
      <c r="R2" s="59" t="s">
        <v>38</v>
      </c>
      <c r="S2" s="60" t="s">
        <v>18</v>
      </c>
      <c r="T2" s="61" t="s">
        <v>21</v>
      </c>
      <c r="U2" s="62"/>
      <c r="V2" s="63" t="s">
        <v>32</v>
      </c>
    </row>
    <row r="3" spans="1:22" x14ac:dyDescent="0.25">
      <c r="A3" s="89">
        <v>1</v>
      </c>
      <c r="B3" s="92" t="s">
        <v>0</v>
      </c>
      <c r="C3" s="93" t="s">
        <v>19</v>
      </c>
      <c r="D3" s="94">
        <f>404.352+9.256</f>
        <v>413.60799999999995</v>
      </c>
      <c r="E3" s="95"/>
      <c r="F3" s="96">
        <f>40619316.42-G3</f>
        <v>10022991.91</v>
      </c>
      <c r="G3" s="36">
        <v>30596324.510000002</v>
      </c>
      <c r="H3" s="36"/>
      <c r="I3" s="89">
        <v>1</v>
      </c>
      <c r="J3" s="121" t="s">
        <v>47</v>
      </c>
      <c r="K3" s="93" t="s">
        <v>19</v>
      </c>
      <c r="L3" s="94">
        <f>404.352+9.256</f>
        <v>413.60799999999995</v>
      </c>
      <c r="M3" s="95"/>
      <c r="N3" s="115">
        <v>164516389.53999999</v>
      </c>
      <c r="Q3" s="89">
        <v>1</v>
      </c>
      <c r="R3" s="121" t="s">
        <v>47</v>
      </c>
      <c r="S3" s="118" t="s">
        <v>19</v>
      </c>
      <c r="T3" s="126">
        <v>1893.4</v>
      </c>
      <c r="U3" s="127"/>
      <c r="V3" s="115">
        <f>441276518.44-(13211398.08+293476943.2)</f>
        <v>134588177.16000003</v>
      </c>
    </row>
    <row r="4" spans="1:22" ht="30" x14ac:dyDescent="0.25">
      <c r="A4" s="90">
        <v>2</v>
      </c>
      <c r="B4" s="97" t="s">
        <v>25</v>
      </c>
      <c r="C4" s="98" t="s">
        <v>19</v>
      </c>
      <c r="D4" s="99">
        <f>676.624</f>
        <v>676.62400000000002</v>
      </c>
      <c r="E4" s="100"/>
      <c r="F4" s="101">
        <f>77526903.96-G4</f>
        <v>28449520.749999993</v>
      </c>
      <c r="G4" s="36">
        <v>49077383.210000001</v>
      </c>
      <c r="H4" s="36"/>
      <c r="I4" s="90">
        <v>2</v>
      </c>
      <c r="J4" s="122"/>
      <c r="K4" s="98" t="s">
        <v>19</v>
      </c>
      <c r="L4" s="99">
        <f>676.624</f>
        <v>676.62400000000002</v>
      </c>
      <c r="M4" s="100"/>
      <c r="N4" s="116"/>
      <c r="Q4" s="90">
        <v>2</v>
      </c>
      <c r="R4" s="122"/>
      <c r="S4" s="119"/>
      <c r="T4" s="128"/>
      <c r="U4" s="129"/>
      <c r="V4" s="116"/>
    </row>
    <row r="5" spans="1:22" x14ac:dyDescent="0.25">
      <c r="A5" s="90">
        <v>3</v>
      </c>
      <c r="B5" s="97" t="s">
        <v>26</v>
      </c>
      <c r="C5" s="98" t="s">
        <v>19</v>
      </c>
      <c r="D5" s="99">
        <v>295.15199999999999</v>
      </c>
      <c r="E5" s="100"/>
      <c r="F5" s="101">
        <f>35252578.16-G5</f>
        <v>12410042.859999996</v>
      </c>
      <c r="G5" s="36">
        <v>22842535.300000001</v>
      </c>
      <c r="H5" s="36"/>
      <c r="I5" s="90">
        <v>3</v>
      </c>
      <c r="J5" s="122"/>
      <c r="K5" s="98" t="s">
        <v>19</v>
      </c>
      <c r="L5" s="99">
        <v>295.15199999999999</v>
      </c>
      <c r="M5" s="100"/>
      <c r="N5" s="116"/>
      <c r="Q5" s="90">
        <v>3</v>
      </c>
      <c r="R5" s="122"/>
      <c r="S5" s="119"/>
      <c r="T5" s="128"/>
      <c r="U5" s="129"/>
      <c r="V5" s="116"/>
    </row>
    <row r="6" spans="1:22" ht="30" x14ac:dyDescent="0.25">
      <c r="A6" s="90">
        <v>4</v>
      </c>
      <c r="B6" s="97" t="s">
        <v>8</v>
      </c>
      <c r="C6" s="98" t="s">
        <v>19</v>
      </c>
      <c r="D6" s="99">
        <v>284.85599999999999</v>
      </c>
      <c r="E6" s="100"/>
      <c r="F6" s="101">
        <f>54348406.96-G6</f>
        <v>29847559.98</v>
      </c>
      <c r="G6" s="36">
        <v>24500846.98</v>
      </c>
      <c r="H6" s="36"/>
      <c r="I6" s="90">
        <v>4</v>
      </c>
      <c r="J6" s="122"/>
      <c r="K6" s="98" t="s">
        <v>19</v>
      </c>
      <c r="L6" s="99">
        <v>284.85599999999999</v>
      </c>
      <c r="M6" s="100"/>
      <c r="N6" s="116"/>
      <c r="Q6" s="90">
        <v>4</v>
      </c>
      <c r="R6" s="122"/>
      <c r="S6" s="119"/>
      <c r="T6" s="128"/>
      <c r="U6" s="129"/>
      <c r="V6" s="116"/>
    </row>
    <row r="7" spans="1:22" x14ac:dyDescent="0.25">
      <c r="A7" s="90">
        <v>5</v>
      </c>
      <c r="B7" s="97" t="s">
        <v>1</v>
      </c>
      <c r="C7" s="98" t="s">
        <v>19</v>
      </c>
      <c r="D7" s="99">
        <v>103.27200000000001</v>
      </c>
      <c r="E7" s="100"/>
      <c r="F7" s="101">
        <f>14658524.85-G7</f>
        <v>6218924.8699999992</v>
      </c>
      <c r="G7" s="36">
        <v>8439599.9800000004</v>
      </c>
      <c r="H7" s="36"/>
      <c r="I7" s="90">
        <v>5</v>
      </c>
      <c r="J7" s="122"/>
      <c r="K7" s="98" t="s">
        <v>19</v>
      </c>
      <c r="L7" s="99">
        <v>103.27200000000001</v>
      </c>
      <c r="M7" s="100"/>
      <c r="N7" s="116"/>
      <c r="Q7" s="90">
        <v>5</v>
      </c>
      <c r="R7" s="122"/>
      <c r="S7" s="119"/>
      <c r="T7" s="128"/>
      <c r="U7" s="129"/>
      <c r="V7" s="116"/>
    </row>
    <row r="8" spans="1:22" ht="30" x14ac:dyDescent="0.25">
      <c r="A8" s="90">
        <v>6</v>
      </c>
      <c r="B8" s="97" t="s">
        <v>2</v>
      </c>
      <c r="C8" s="98" t="s">
        <v>19</v>
      </c>
      <c r="D8" s="99">
        <v>66.872</v>
      </c>
      <c r="E8" s="100"/>
      <c r="F8" s="101">
        <f>9352168.79-G8</f>
        <v>4525782.0099999988</v>
      </c>
      <c r="G8" s="36">
        <v>4826386.78</v>
      </c>
      <c r="H8" s="36"/>
      <c r="I8" s="90">
        <v>6</v>
      </c>
      <c r="J8" s="122"/>
      <c r="K8" s="98" t="s">
        <v>19</v>
      </c>
      <c r="L8" s="99">
        <v>66.872</v>
      </c>
      <c r="M8" s="100"/>
      <c r="N8" s="116"/>
      <c r="Q8" s="90">
        <v>6</v>
      </c>
      <c r="R8" s="122"/>
      <c r="S8" s="119"/>
      <c r="T8" s="128"/>
      <c r="U8" s="129"/>
      <c r="V8" s="116"/>
    </row>
    <row r="9" spans="1:22" x14ac:dyDescent="0.25">
      <c r="A9" s="90">
        <v>7</v>
      </c>
      <c r="B9" s="97" t="s">
        <v>3</v>
      </c>
      <c r="C9" s="98" t="s">
        <v>19</v>
      </c>
      <c r="D9" s="99">
        <v>233.27199999999999</v>
      </c>
      <c r="E9" s="100"/>
      <c r="F9" s="101">
        <f>34523672.98-G9</f>
        <v>17401032.069999997</v>
      </c>
      <c r="G9" s="36">
        <v>17122640.91</v>
      </c>
      <c r="H9" s="36"/>
      <c r="I9" s="90">
        <v>7</v>
      </c>
      <c r="J9" s="122"/>
      <c r="K9" s="98" t="s">
        <v>19</v>
      </c>
      <c r="L9" s="99">
        <v>233.27199999999999</v>
      </c>
      <c r="M9" s="100"/>
      <c r="N9" s="116"/>
      <c r="Q9" s="90">
        <v>7</v>
      </c>
      <c r="R9" s="122"/>
      <c r="S9" s="119"/>
      <c r="T9" s="128"/>
      <c r="U9" s="129"/>
      <c r="V9" s="116"/>
    </row>
    <row r="10" spans="1:22" ht="15.75" thickBot="1" x14ac:dyDescent="0.3">
      <c r="A10" s="91">
        <v>8</v>
      </c>
      <c r="B10" s="102" t="s">
        <v>4</v>
      </c>
      <c r="C10" s="103" t="s">
        <v>19</v>
      </c>
      <c r="D10" s="104">
        <v>4.3680000000000003</v>
      </c>
      <c r="E10" s="105"/>
      <c r="F10" s="106">
        <f>1043243.99-G10</f>
        <v>714028.58000000007</v>
      </c>
      <c r="G10" s="36">
        <v>329215.40999999997</v>
      </c>
      <c r="H10" s="36"/>
      <c r="I10" s="91">
        <v>8</v>
      </c>
      <c r="J10" s="123"/>
      <c r="K10" s="103" t="s">
        <v>19</v>
      </c>
      <c r="L10" s="104">
        <v>4.3680000000000003</v>
      </c>
      <c r="M10" s="105"/>
      <c r="N10" s="117"/>
      <c r="Q10" s="91">
        <v>8</v>
      </c>
      <c r="R10" s="123"/>
      <c r="S10" s="120"/>
      <c r="T10" s="130"/>
      <c r="U10" s="131"/>
      <c r="V10" s="117"/>
    </row>
    <row r="11" spans="1:22" ht="2.25" customHeight="1" thickTop="1" x14ac:dyDescent="0.25">
      <c r="A11" s="109"/>
      <c r="B11" s="110"/>
      <c r="C11" s="111"/>
      <c r="D11" s="112"/>
      <c r="E11" s="113"/>
      <c r="F11" s="114"/>
      <c r="G11" s="36"/>
      <c r="H11" s="36"/>
      <c r="I11" s="109"/>
      <c r="J11" s="110"/>
      <c r="K11" s="111"/>
      <c r="L11" s="112"/>
      <c r="M11" s="113"/>
      <c r="N11" s="114"/>
      <c r="Q11" s="109"/>
      <c r="R11" s="110"/>
      <c r="S11" s="111"/>
      <c r="T11" s="112"/>
      <c r="U11" s="113"/>
      <c r="V11" s="114"/>
    </row>
    <row r="12" spans="1:22" x14ac:dyDescent="0.25">
      <c r="A12" s="57">
        <v>9</v>
      </c>
      <c r="B12" s="54" t="s">
        <v>27</v>
      </c>
      <c r="C12" s="42" t="s">
        <v>29</v>
      </c>
      <c r="D12" s="49" t="s">
        <v>31</v>
      </c>
      <c r="E12" s="50"/>
      <c r="F12" s="43">
        <f>9769288.11-G12</f>
        <v>3704032.4099999992</v>
      </c>
      <c r="G12" s="36">
        <v>6065255.7000000002</v>
      </c>
      <c r="H12" s="36"/>
      <c r="I12" s="57">
        <v>9</v>
      </c>
      <c r="J12" s="54" t="s">
        <v>27</v>
      </c>
      <c r="K12" s="42" t="s">
        <v>29</v>
      </c>
      <c r="L12" s="49" t="s">
        <v>31</v>
      </c>
      <c r="M12" s="50"/>
      <c r="N12" s="43">
        <f>9769288.11-O12</f>
        <v>9769288.1099999994</v>
      </c>
      <c r="Q12" s="57">
        <v>9</v>
      </c>
      <c r="R12" s="54" t="s">
        <v>27</v>
      </c>
      <c r="S12" s="42" t="s">
        <v>29</v>
      </c>
      <c r="T12" s="49" t="s">
        <v>31</v>
      </c>
      <c r="U12" s="50"/>
      <c r="V12" s="43">
        <f>9769288.11-W12</f>
        <v>9769288.1099999994</v>
      </c>
    </row>
    <row r="13" spans="1:22" x14ac:dyDescent="0.25">
      <c r="A13" s="56">
        <v>10</v>
      </c>
      <c r="B13" s="55" t="s">
        <v>28</v>
      </c>
      <c r="C13" s="40" t="s">
        <v>29</v>
      </c>
      <c r="D13" s="51" t="s">
        <v>30</v>
      </c>
      <c r="E13" s="52"/>
      <c r="F13" s="29">
        <f>22373496.67-G13</f>
        <v>15227354.290000003</v>
      </c>
      <c r="G13" s="36">
        <v>7146142.3799999999</v>
      </c>
      <c r="H13" s="36"/>
      <c r="I13" s="56">
        <v>10</v>
      </c>
      <c r="J13" s="55" t="s">
        <v>28</v>
      </c>
      <c r="K13" s="40" t="s">
        <v>29</v>
      </c>
      <c r="L13" s="51" t="s">
        <v>30</v>
      </c>
      <c r="M13" s="52"/>
      <c r="N13" s="29">
        <f>22373496.67-O13</f>
        <v>22373496.670000002</v>
      </c>
      <c r="Q13" s="56">
        <v>10</v>
      </c>
      <c r="R13" s="55" t="s">
        <v>28</v>
      </c>
      <c r="S13" s="40" t="s">
        <v>29</v>
      </c>
      <c r="T13" s="51" t="s">
        <v>30</v>
      </c>
      <c r="U13" s="52"/>
      <c r="V13" s="29">
        <f>22373496.67-W13</f>
        <v>22373496.670000002</v>
      </c>
    </row>
    <row r="14" spans="1:22" ht="15.75" thickBot="1" x14ac:dyDescent="0.3">
      <c r="A14" s="76">
        <v>11</v>
      </c>
      <c r="B14" s="77" t="s">
        <v>17</v>
      </c>
      <c r="C14" s="78" t="s">
        <v>20</v>
      </c>
      <c r="D14" s="79">
        <f>47.6596*100</f>
        <v>4765.96</v>
      </c>
      <c r="E14" s="80"/>
      <c r="F14" s="81">
        <v>1105733.3899999999</v>
      </c>
      <c r="G14" s="36"/>
      <c r="H14" s="36"/>
      <c r="I14" s="76">
        <v>11</v>
      </c>
      <c r="J14" s="77" t="s">
        <v>17</v>
      </c>
      <c r="K14" s="78" t="s">
        <v>20</v>
      </c>
      <c r="L14" s="79">
        <f>47.6596*100</f>
        <v>4765.96</v>
      </c>
      <c r="M14" s="80"/>
      <c r="N14" s="81">
        <v>1105733.3899999999</v>
      </c>
      <c r="Q14" s="76">
        <v>11</v>
      </c>
      <c r="R14" s="77" t="s">
        <v>17</v>
      </c>
      <c r="S14" s="78" t="s">
        <v>20</v>
      </c>
      <c r="T14" s="79">
        <f>47.6596*100</f>
        <v>4765.96</v>
      </c>
      <c r="U14" s="80"/>
      <c r="V14" s="81">
        <v>1105733.3899999999</v>
      </c>
    </row>
    <row r="15" spans="1:22" ht="6" customHeight="1" thickBot="1" x14ac:dyDescent="0.3">
      <c r="A15" s="82"/>
      <c r="B15" s="83"/>
      <c r="C15" s="84"/>
      <c r="D15" s="85"/>
      <c r="E15" s="85"/>
      <c r="F15" s="86"/>
      <c r="I15" s="82"/>
      <c r="J15" s="83"/>
      <c r="K15" s="84"/>
      <c r="L15" s="85"/>
      <c r="M15" s="85"/>
      <c r="N15" s="86"/>
      <c r="Q15" s="82"/>
      <c r="R15" s="83"/>
      <c r="S15" s="84"/>
      <c r="T15" s="85"/>
      <c r="U15" s="85"/>
      <c r="V15" s="86"/>
    </row>
    <row r="16" spans="1:22" ht="19.5" customHeight="1" thickBot="1" x14ac:dyDescent="0.3">
      <c r="A16" s="75">
        <v>12</v>
      </c>
      <c r="B16" s="65" t="s">
        <v>22</v>
      </c>
      <c r="C16" s="66"/>
      <c r="D16" s="67">
        <f>SUM(D3:E10)</f>
        <v>2078.0239999999999</v>
      </c>
      <c r="E16" s="68" t="s">
        <v>19</v>
      </c>
      <c r="F16" s="69">
        <f>SUM(F3:F14)</f>
        <v>129627003.12</v>
      </c>
      <c r="G16" s="36">
        <f>SUM(G3:G13)</f>
        <v>170946331.15999997</v>
      </c>
      <c r="H16" s="36"/>
      <c r="I16" s="75">
        <v>12</v>
      </c>
      <c r="J16" s="65" t="s">
        <v>22</v>
      </c>
      <c r="K16" s="66"/>
      <c r="L16" s="67">
        <f>SUM(L3:M10)</f>
        <v>2078.0239999999999</v>
      </c>
      <c r="M16" s="68" t="s">
        <v>19</v>
      </c>
      <c r="N16" s="69">
        <f>SUM(N3:N14)</f>
        <v>197764907.70999998</v>
      </c>
      <c r="Q16" s="75">
        <v>12</v>
      </c>
      <c r="R16" s="65" t="s">
        <v>22</v>
      </c>
      <c r="S16" s="66"/>
      <c r="T16" s="67">
        <f>SUM(T3:U10)</f>
        <v>1893.4</v>
      </c>
      <c r="U16" s="68" t="s">
        <v>19</v>
      </c>
      <c r="V16" s="69">
        <f>SUM(V3:V14)</f>
        <v>167836695.33000004</v>
      </c>
    </row>
    <row r="17" spans="1:23" ht="30.75" thickBot="1" x14ac:dyDescent="0.3">
      <c r="A17" s="73">
        <v>13</v>
      </c>
      <c r="B17" s="64" t="s">
        <v>23</v>
      </c>
      <c r="C17" s="41"/>
      <c r="D17" s="45"/>
      <c r="E17" s="46"/>
      <c r="F17" s="47">
        <f>F16*0.03</f>
        <v>3888810.0935999998</v>
      </c>
      <c r="I17" s="73">
        <v>13</v>
      </c>
      <c r="J17" s="64" t="s">
        <v>23</v>
      </c>
      <c r="K17" s="41"/>
      <c r="L17" s="45"/>
      <c r="M17" s="46"/>
      <c r="N17" s="47">
        <f>N16*0.03</f>
        <v>5932947.2312999992</v>
      </c>
      <c r="Q17" s="73">
        <v>13</v>
      </c>
      <c r="R17" s="64" t="s">
        <v>23</v>
      </c>
      <c r="S17" s="41"/>
      <c r="T17" s="45"/>
      <c r="U17" s="46"/>
      <c r="V17" s="47">
        <v>0</v>
      </c>
    </row>
    <row r="18" spans="1:23" ht="30.75" thickBot="1" x14ac:dyDescent="0.3">
      <c r="A18" s="74">
        <v>14</v>
      </c>
      <c r="B18" s="70" t="s">
        <v>36</v>
      </c>
      <c r="C18" s="48"/>
      <c r="D18" s="71"/>
      <c r="E18" s="44"/>
      <c r="F18" s="72">
        <f>F16+F17</f>
        <v>133515813.21360001</v>
      </c>
      <c r="G18" s="36"/>
      <c r="H18" s="36"/>
      <c r="I18" s="74">
        <v>14</v>
      </c>
      <c r="J18" s="70" t="s">
        <v>36</v>
      </c>
      <c r="K18" s="48"/>
      <c r="L18" s="71"/>
      <c r="M18" s="44"/>
      <c r="N18" s="72">
        <f>N16+N17</f>
        <v>203697854.94129997</v>
      </c>
      <c r="Q18" s="74">
        <v>14</v>
      </c>
      <c r="R18" s="70" t="s">
        <v>36</v>
      </c>
      <c r="S18" s="48"/>
      <c r="T18" s="71"/>
      <c r="U18" s="44"/>
      <c r="V18" s="72">
        <f>V16+V17</f>
        <v>167836695.33000004</v>
      </c>
    </row>
    <row r="19" spans="1:23" ht="30.75" thickBot="1" x14ac:dyDescent="0.3">
      <c r="A19" s="73">
        <v>15</v>
      </c>
      <c r="B19" s="64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73">
        <v>15</v>
      </c>
      <c r="J19" s="64" t="s">
        <v>45</v>
      </c>
      <c r="K19" s="41"/>
      <c r="L19" s="45"/>
      <c r="M19" s="46"/>
      <c r="N19" s="47">
        <f>N18*O19</f>
        <v>159709185.41999999</v>
      </c>
      <c r="O19" s="125">
        <v>0.78404942195401961</v>
      </c>
      <c r="Q19" s="73">
        <v>15</v>
      </c>
      <c r="R19" s="64" t="s">
        <v>49</v>
      </c>
      <c r="S19" s="41"/>
      <c r="T19" s="45"/>
      <c r="U19" s="46"/>
      <c r="V19" s="47">
        <f>V18*W19</f>
        <v>155057461.56148869</v>
      </c>
      <c r="W19" s="132">
        <v>0.92385911946499621</v>
      </c>
    </row>
    <row r="20" spans="1:23" ht="19.5" customHeight="1" thickBot="1" x14ac:dyDescent="0.3">
      <c r="A20" s="74">
        <v>16</v>
      </c>
      <c r="B20" s="70" t="s">
        <v>22</v>
      </c>
      <c r="C20" s="48"/>
      <c r="D20" s="71"/>
      <c r="E20" s="44"/>
      <c r="F20" s="72">
        <f>F19</f>
        <v>159709185.41</v>
      </c>
      <c r="I20" s="74">
        <v>16</v>
      </c>
      <c r="J20" s="70" t="s">
        <v>22</v>
      </c>
      <c r="K20" s="48"/>
      <c r="L20" s="71"/>
      <c r="M20" s="44"/>
      <c r="N20" s="72">
        <f>N19</f>
        <v>159709185.41999999</v>
      </c>
      <c r="Q20" s="74">
        <v>16</v>
      </c>
      <c r="R20" s="70" t="s">
        <v>22</v>
      </c>
      <c r="S20" s="48"/>
      <c r="T20" s="71"/>
      <c r="U20" s="44"/>
      <c r="V20" s="72">
        <f>V19</f>
        <v>155057461.56148869</v>
      </c>
    </row>
    <row r="21" spans="1:23" ht="19.5" customHeight="1" thickBot="1" x14ac:dyDescent="0.3">
      <c r="A21" s="73">
        <v>17</v>
      </c>
      <c r="B21" s="64" t="s">
        <v>33</v>
      </c>
      <c r="C21" s="41"/>
      <c r="D21" s="45"/>
      <c r="E21" s="46"/>
      <c r="F21" s="47">
        <f>F20*0.2</f>
        <v>31941837.082000002</v>
      </c>
      <c r="I21" s="73">
        <v>17</v>
      </c>
      <c r="J21" s="64" t="s">
        <v>33</v>
      </c>
      <c r="K21" s="41"/>
      <c r="L21" s="45"/>
      <c r="M21" s="46"/>
      <c r="N21" s="47">
        <f>N20*0.2</f>
        <v>31941837.083999999</v>
      </c>
      <c r="Q21" s="73">
        <v>17</v>
      </c>
      <c r="R21" s="64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75">
        <v>18</v>
      </c>
      <c r="B22" s="65" t="s">
        <v>34</v>
      </c>
      <c r="C22" s="66"/>
      <c r="D22" s="67"/>
      <c r="E22" s="68"/>
      <c r="F22" s="69">
        <f>F20+F21</f>
        <v>191651022.49199998</v>
      </c>
      <c r="I22" s="75">
        <v>18</v>
      </c>
      <c r="J22" s="65" t="s">
        <v>34</v>
      </c>
      <c r="K22" s="66"/>
      <c r="L22" s="67"/>
      <c r="M22" s="68"/>
      <c r="N22" s="69">
        <f>N20+N21</f>
        <v>191651022.50399998</v>
      </c>
      <c r="Q22" s="75">
        <v>18</v>
      </c>
      <c r="R22" s="65" t="s">
        <v>34</v>
      </c>
      <c r="S22" s="66"/>
      <c r="T22" s="67"/>
      <c r="U22" s="68"/>
      <c r="V22" s="69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87" t="s">
        <v>41</v>
      </c>
      <c r="C24" s="88" t="s">
        <v>39</v>
      </c>
      <c r="D24" s="87"/>
      <c r="E24" s="87"/>
      <c r="F24" s="107">
        <v>75700.428816399144</v>
      </c>
      <c r="G24" s="39"/>
      <c r="H24" s="39"/>
      <c r="J24" s="87" t="s">
        <v>41</v>
      </c>
      <c r="K24" s="88" t="s">
        <v>39</v>
      </c>
      <c r="L24" s="87"/>
      <c r="M24" s="87"/>
      <c r="N24" s="107">
        <f>164516389.54/L16</f>
        <v>79169.629195812944</v>
      </c>
      <c r="R24" s="87" t="s">
        <v>41</v>
      </c>
      <c r="S24" s="88" t="s">
        <v>39</v>
      </c>
      <c r="T24" s="87"/>
      <c r="U24" s="87"/>
      <c r="V24" s="107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87" t="s">
        <v>42</v>
      </c>
      <c r="C26" s="88" t="s">
        <v>39</v>
      </c>
      <c r="D26" s="87"/>
      <c r="E26" s="87"/>
      <c r="F26" s="107">
        <v>89541.292052319011</v>
      </c>
      <c r="G26" s="39"/>
      <c r="H26" s="39"/>
      <c r="J26" s="87" t="s">
        <v>42</v>
      </c>
      <c r="K26" s="88" t="s">
        <v>39</v>
      </c>
      <c r="L26" s="87"/>
      <c r="M26" s="87"/>
      <c r="N26" s="107">
        <f>185090075.82/L16</f>
        <v>89070.230093588907</v>
      </c>
      <c r="R26" s="87" t="s">
        <v>42</v>
      </c>
      <c r="S26" s="88" t="s">
        <v>39</v>
      </c>
      <c r="T26" s="87"/>
      <c r="U26" s="87"/>
      <c r="V26" s="107">
        <f>V22/T16</f>
        <v>98272.395623632838</v>
      </c>
    </row>
    <row r="28" spans="1:23" ht="56.25" x14ac:dyDescent="0.25">
      <c r="B28" s="108" t="s">
        <v>43</v>
      </c>
      <c r="C28" s="88" t="s">
        <v>39</v>
      </c>
      <c r="D28" s="87"/>
      <c r="E28" s="87"/>
      <c r="F28" s="107">
        <f>F22/D16</f>
        <v>92227.530813888574</v>
      </c>
      <c r="G28" s="39"/>
      <c r="H28" s="39"/>
      <c r="J28" s="108" t="s">
        <v>43</v>
      </c>
      <c r="K28" s="88" t="s">
        <v>39</v>
      </c>
      <c r="L28" s="87"/>
      <c r="M28" s="87"/>
      <c r="N28" s="107">
        <f>N22/L16</f>
        <v>92227.530819663283</v>
      </c>
      <c r="R28" s="108" t="s">
        <v>43</v>
      </c>
      <c r="S28" s="88" t="s">
        <v>39</v>
      </c>
      <c r="T28" s="87"/>
      <c r="U28" s="87"/>
      <c r="V28" s="107">
        <f>V22/T16</f>
        <v>98272.395623632838</v>
      </c>
    </row>
  </sheetData>
  <mergeCells count="34">
    <mergeCell ref="T12:U12"/>
    <mergeCell ref="D13:E13"/>
    <mergeCell ref="L13:M13"/>
    <mergeCell ref="T13:U13"/>
    <mergeCell ref="D14:E14"/>
    <mergeCell ref="L14:M14"/>
    <mergeCell ref="T14:U14"/>
    <mergeCell ref="L8:M8"/>
    <mergeCell ref="D9:E9"/>
    <mergeCell ref="L9:M9"/>
    <mergeCell ref="D10:E10"/>
    <mergeCell ref="L10:M10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tabSelected="1" topLeftCell="B7" workbookViewId="0">
      <selection activeCell="T1" sqref="T1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0.85546875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71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F1" s="133" t="s">
        <v>51</v>
      </c>
      <c r="G1" s="134"/>
      <c r="H1" s="135"/>
      <c r="I1" s="135"/>
      <c r="J1" s="134"/>
      <c r="K1" s="135"/>
      <c r="L1" s="135"/>
      <c r="M1" s="133" t="s">
        <v>50</v>
      </c>
      <c r="N1" s="170"/>
      <c r="O1" s="135"/>
      <c r="P1" s="135"/>
      <c r="Q1" s="134"/>
      <c r="R1" s="135"/>
      <c r="S1" s="135"/>
      <c r="T1" s="133" t="s">
        <v>52</v>
      </c>
    </row>
    <row r="2" spans="1:20" ht="15.75" thickBot="1" x14ac:dyDescent="0.3">
      <c r="A2" s="58" t="s">
        <v>58</v>
      </c>
      <c r="B2" s="59" t="s">
        <v>73</v>
      </c>
      <c r="C2" s="60" t="s">
        <v>18</v>
      </c>
      <c r="D2" s="61" t="s">
        <v>21</v>
      </c>
      <c r="E2" s="62"/>
      <c r="F2" s="63" t="s">
        <v>32</v>
      </c>
      <c r="G2" s="1" t="s">
        <v>24</v>
      </c>
      <c r="H2" s="58" t="s">
        <v>58</v>
      </c>
      <c r="I2" s="59" t="s">
        <v>73</v>
      </c>
      <c r="J2" s="60" t="s">
        <v>18</v>
      </c>
      <c r="K2" s="61" t="s">
        <v>21</v>
      </c>
      <c r="L2" s="62"/>
      <c r="M2" s="63" t="s">
        <v>32</v>
      </c>
      <c r="O2" s="58" t="s">
        <v>58</v>
      </c>
      <c r="P2" s="59" t="s">
        <v>73</v>
      </c>
      <c r="Q2" s="60" t="s">
        <v>18</v>
      </c>
      <c r="R2" s="61" t="s">
        <v>21</v>
      </c>
      <c r="S2" s="62"/>
      <c r="T2" s="63" t="s">
        <v>32</v>
      </c>
    </row>
    <row r="3" spans="1:20" x14ac:dyDescent="0.25">
      <c r="A3" s="89">
        <v>1</v>
      </c>
      <c r="B3" s="92" t="s">
        <v>0</v>
      </c>
      <c r="C3" s="93" t="s">
        <v>19</v>
      </c>
      <c r="D3" s="94">
        <f>404.352+9.256</f>
        <v>413.60799999999995</v>
      </c>
      <c r="E3" s="95"/>
      <c r="F3" s="96">
        <f>40619316.42-G3</f>
        <v>10022991.91</v>
      </c>
      <c r="G3" s="36">
        <v>30596324.510000002</v>
      </c>
      <c r="H3" s="89">
        <v>1</v>
      </c>
      <c r="I3" s="121" t="s">
        <v>47</v>
      </c>
      <c r="J3" s="93" t="s">
        <v>19</v>
      </c>
      <c r="K3" s="94">
        <f>404.352+9.256</f>
        <v>413.60799999999995</v>
      </c>
      <c r="L3" s="95"/>
      <c r="M3" s="115">
        <v>164516389.53999999</v>
      </c>
      <c r="O3" s="89">
        <v>1</v>
      </c>
      <c r="P3" s="121" t="s">
        <v>47</v>
      </c>
      <c r="Q3" s="118" t="s">
        <v>19</v>
      </c>
      <c r="R3" s="126">
        <v>1893.4</v>
      </c>
      <c r="S3" s="127"/>
      <c r="T3" s="115">
        <v>147799573.72999999</v>
      </c>
    </row>
    <row r="4" spans="1:20" ht="30" x14ac:dyDescent="0.25">
      <c r="A4" s="90">
        <v>2</v>
      </c>
      <c r="B4" s="97" t="s">
        <v>25</v>
      </c>
      <c r="C4" s="98" t="s">
        <v>19</v>
      </c>
      <c r="D4" s="99">
        <f>676.624</f>
        <v>676.62400000000002</v>
      </c>
      <c r="E4" s="100"/>
      <c r="F4" s="101">
        <f>77526903.96-G4</f>
        <v>28449520.749999993</v>
      </c>
      <c r="G4" s="36">
        <v>49077383.210000001</v>
      </c>
      <c r="H4" s="90">
        <v>2</v>
      </c>
      <c r="I4" s="122"/>
      <c r="J4" s="98" t="s">
        <v>19</v>
      </c>
      <c r="K4" s="99">
        <f>676.624</f>
        <v>676.62400000000002</v>
      </c>
      <c r="L4" s="100"/>
      <c r="M4" s="116"/>
      <c r="O4" s="90">
        <v>2</v>
      </c>
      <c r="P4" s="122"/>
      <c r="Q4" s="119"/>
      <c r="R4" s="128"/>
      <c r="S4" s="129"/>
      <c r="T4" s="116"/>
    </row>
    <row r="5" spans="1:20" x14ac:dyDescent="0.25">
      <c r="A5" s="90">
        <v>3</v>
      </c>
      <c r="B5" s="97" t="s">
        <v>26</v>
      </c>
      <c r="C5" s="98" t="s">
        <v>19</v>
      </c>
      <c r="D5" s="99">
        <v>295.15199999999999</v>
      </c>
      <c r="E5" s="100"/>
      <c r="F5" s="101">
        <f>35252578.16-G5</f>
        <v>12410042.859999996</v>
      </c>
      <c r="G5" s="36">
        <v>22842535.300000001</v>
      </c>
      <c r="H5" s="90">
        <v>3</v>
      </c>
      <c r="I5" s="122"/>
      <c r="J5" s="98" t="s">
        <v>19</v>
      </c>
      <c r="K5" s="99">
        <v>295.15199999999999</v>
      </c>
      <c r="L5" s="100"/>
      <c r="M5" s="116"/>
      <c r="O5" s="90">
        <v>3</v>
      </c>
      <c r="P5" s="122"/>
      <c r="Q5" s="119"/>
      <c r="R5" s="128"/>
      <c r="S5" s="129"/>
      <c r="T5" s="116"/>
    </row>
    <row r="6" spans="1:20" ht="30" x14ac:dyDescent="0.25">
      <c r="A6" s="90">
        <v>4</v>
      </c>
      <c r="B6" s="97" t="s">
        <v>8</v>
      </c>
      <c r="C6" s="98" t="s">
        <v>19</v>
      </c>
      <c r="D6" s="99">
        <v>284.85599999999999</v>
      </c>
      <c r="E6" s="100"/>
      <c r="F6" s="101">
        <f>54348406.96-G6</f>
        <v>29847559.98</v>
      </c>
      <c r="G6" s="36">
        <v>24500846.98</v>
      </c>
      <c r="H6" s="90">
        <v>4</v>
      </c>
      <c r="I6" s="122"/>
      <c r="J6" s="98" t="s">
        <v>19</v>
      </c>
      <c r="K6" s="99">
        <v>284.85599999999999</v>
      </c>
      <c r="L6" s="100"/>
      <c r="M6" s="116"/>
      <c r="O6" s="90">
        <v>4</v>
      </c>
      <c r="P6" s="122"/>
      <c r="Q6" s="119"/>
      <c r="R6" s="128"/>
      <c r="S6" s="129"/>
      <c r="T6" s="116"/>
    </row>
    <row r="7" spans="1:20" x14ac:dyDescent="0.25">
      <c r="A7" s="90">
        <v>5</v>
      </c>
      <c r="B7" s="97" t="s">
        <v>1</v>
      </c>
      <c r="C7" s="98" t="s">
        <v>19</v>
      </c>
      <c r="D7" s="99">
        <v>103.27200000000001</v>
      </c>
      <c r="E7" s="100"/>
      <c r="F7" s="101">
        <f>14658524.85-G7</f>
        <v>6218924.8699999992</v>
      </c>
      <c r="G7" s="36">
        <v>8439599.9800000004</v>
      </c>
      <c r="H7" s="90">
        <v>5</v>
      </c>
      <c r="I7" s="122"/>
      <c r="J7" s="98" t="s">
        <v>19</v>
      </c>
      <c r="K7" s="99">
        <v>103.27200000000001</v>
      </c>
      <c r="L7" s="100"/>
      <c r="M7" s="116"/>
      <c r="O7" s="90">
        <v>5</v>
      </c>
      <c r="P7" s="122"/>
      <c r="Q7" s="119"/>
      <c r="R7" s="128"/>
      <c r="S7" s="129"/>
      <c r="T7" s="116"/>
    </row>
    <row r="8" spans="1:20" ht="30" x14ac:dyDescent="0.25">
      <c r="A8" s="90">
        <v>6</v>
      </c>
      <c r="B8" s="97" t="s">
        <v>2</v>
      </c>
      <c r="C8" s="98" t="s">
        <v>19</v>
      </c>
      <c r="D8" s="99">
        <v>66.872</v>
      </c>
      <c r="E8" s="100"/>
      <c r="F8" s="101">
        <f>9352168.79-G8</f>
        <v>4525782.0099999988</v>
      </c>
      <c r="G8" s="36">
        <v>4826386.78</v>
      </c>
      <c r="H8" s="90">
        <v>6</v>
      </c>
      <c r="I8" s="122"/>
      <c r="J8" s="98" t="s">
        <v>19</v>
      </c>
      <c r="K8" s="99">
        <v>66.872</v>
      </c>
      <c r="L8" s="100"/>
      <c r="M8" s="116"/>
      <c r="O8" s="90">
        <v>6</v>
      </c>
      <c r="P8" s="122"/>
      <c r="Q8" s="119"/>
      <c r="R8" s="128"/>
      <c r="S8" s="129"/>
      <c r="T8" s="116"/>
    </row>
    <row r="9" spans="1:20" x14ac:dyDescent="0.25">
      <c r="A9" s="90">
        <v>7</v>
      </c>
      <c r="B9" s="97" t="s">
        <v>3</v>
      </c>
      <c r="C9" s="98" t="s">
        <v>19</v>
      </c>
      <c r="D9" s="99">
        <v>233.27199999999999</v>
      </c>
      <c r="E9" s="100"/>
      <c r="F9" s="101">
        <f>34523672.98-G9</f>
        <v>17401032.069999997</v>
      </c>
      <c r="G9" s="36">
        <v>17122640.91</v>
      </c>
      <c r="H9" s="90">
        <v>7</v>
      </c>
      <c r="I9" s="122"/>
      <c r="J9" s="98" t="s">
        <v>19</v>
      </c>
      <c r="K9" s="99">
        <v>233.27199999999999</v>
      </c>
      <c r="L9" s="100"/>
      <c r="M9" s="116"/>
      <c r="O9" s="90">
        <v>7</v>
      </c>
      <c r="P9" s="122"/>
      <c r="Q9" s="119"/>
      <c r="R9" s="128"/>
      <c r="S9" s="129"/>
      <c r="T9" s="116"/>
    </row>
    <row r="10" spans="1:20" ht="15.75" thickBot="1" x14ac:dyDescent="0.3">
      <c r="A10" s="91">
        <v>8</v>
      </c>
      <c r="B10" s="102" t="s">
        <v>4</v>
      </c>
      <c r="C10" s="103" t="s">
        <v>19</v>
      </c>
      <c r="D10" s="104">
        <v>4.3680000000000003</v>
      </c>
      <c r="E10" s="105"/>
      <c r="F10" s="106">
        <f>1043243.99-G10</f>
        <v>714028.58000000007</v>
      </c>
      <c r="G10" s="36">
        <v>329215.40999999997</v>
      </c>
      <c r="H10" s="91">
        <v>8</v>
      </c>
      <c r="I10" s="123"/>
      <c r="J10" s="103" t="s">
        <v>19</v>
      </c>
      <c r="K10" s="104">
        <v>4.3680000000000003</v>
      </c>
      <c r="L10" s="105"/>
      <c r="M10" s="117"/>
      <c r="O10" s="91">
        <v>8</v>
      </c>
      <c r="P10" s="123"/>
      <c r="Q10" s="120"/>
      <c r="R10" s="130"/>
      <c r="S10" s="131"/>
      <c r="T10" s="117"/>
    </row>
    <row r="11" spans="1:20" ht="2.25" customHeight="1" thickTop="1" x14ac:dyDescent="0.25">
      <c r="A11" s="109"/>
      <c r="B11" s="110"/>
      <c r="C11" s="111"/>
      <c r="D11" s="112"/>
      <c r="E11" s="113"/>
      <c r="F11" s="114"/>
      <c r="G11" s="36"/>
      <c r="H11" s="109"/>
      <c r="I11" s="110"/>
      <c r="J11" s="111"/>
      <c r="K11" s="112"/>
      <c r="L11" s="113"/>
      <c r="M11" s="114"/>
      <c r="O11" s="109"/>
      <c r="P11" s="110"/>
      <c r="Q11" s="111"/>
      <c r="R11" s="112"/>
      <c r="S11" s="113"/>
      <c r="T11" s="114"/>
    </row>
    <row r="12" spans="1:20" x14ac:dyDescent="0.25">
      <c r="A12" s="57">
        <v>9</v>
      </c>
      <c r="B12" s="54" t="s">
        <v>27</v>
      </c>
      <c r="C12" s="42" t="s">
        <v>29</v>
      </c>
      <c r="D12" s="49" t="s">
        <v>31</v>
      </c>
      <c r="E12" s="50"/>
      <c r="F12" s="43">
        <f>9769288.11-G12</f>
        <v>3704032.4099999992</v>
      </c>
      <c r="G12" s="36">
        <v>6065255.7000000002</v>
      </c>
      <c r="H12" s="57">
        <v>9</v>
      </c>
      <c r="I12" s="54" t="s">
        <v>27</v>
      </c>
      <c r="J12" s="42" t="s">
        <v>29</v>
      </c>
      <c r="K12" s="49" t="s">
        <v>31</v>
      </c>
      <c r="L12" s="50"/>
      <c r="M12" s="43">
        <v>3704032.4099999992</v>
      </c>
      <c r="O12" s="57">
        <v>9</v>
      </c>
      <c r="P12" s="54" t="s">
        <v>27</v>
      </c>
      <c r="Q12" s="42" t="s">
        <v>29</v>
      </c>
      <c r="R12" s="49" t="s">
        <v>31</v>
      </c>
      <c r="S12" s="50"/>
      <c r="T12" s="43">
        <v>3704032.4099999992</v>
      </c>
    </row>
    <row r="13" spans="1:20" x14ac:dyDescent="0.25">
      <c r="A13" s="56">
        <v>10</v>
      </c>
      <c r="B13" s="55" t="s">
        <v>28</v>
      </c>
      <c r="C13" s="40" t="s">
        <v>29</v>
      </c>
      <c r="D13" s="51" t="s">
        <v>30</v>
      </c>
      <c r="E13" s="52"/>
      <c r="F13" s="29">
        <f>22373496.67-G13</f>
        <v>15227354.290000003</v>
      </c>
      <c r="G13" s="36">
        <v>7146142.3799999999</v>
      </c>
      <c r="H13" s="56">
        <v>10</v>
      </c>
      <c r="I13" s="55" t="s">
        <v>28</v>
      </c>
      <c r="J13" s="40" t="s">
        <v>29</v>
      </c>
      <c r="K13" s="51" t="s">
        <v>30</v>
      </c>
      <c r="L13" s="52"/>
      <c r="M13" s="29">
        <v>15227354.290000003</v>
      </c>
      <c r="O13" s="56">
        <v>10</v>
      </c>
      <c r="P13" s="55" t="s">
        <v>28</v>
      </c>
      <c r="Q13" s="40" t="s">
        <v>29</v>
      </c>
      <c r="R13" s="51" t="s">
        <v>30</v>
      </c>
      <c r="S13" s="52"/>
      <c r="T13" s="29">
        <v>15227354.290000003</v>
      </c>
    </row>
    <row r="14" spans="1:20" ht="15.75" thickBot="1" x14ac:dyDescent="0.3">
      <c r="A14" s="76">
        <v>11</v>
      </c>
      <c r="B14" s="77" t="s">
        <v>17</v>
      </c>
      <c r="C14" s="78" t="s">
        <v>20</v>
      </c>
      <c r="D14" s="79">
        <f>47.6596*100</f>
        <v>4765.96</v>
      </c>
      <c r="E14" s="80"/>
      <c r="F14" s="81">
        <v>1105733.3899999999</v>
      </c>
      <c r="G14" s="36"/>
      <c r="H14" s="76">
        <v>11</v>
      </c>
      <c r="I14" s="77" t="s">
        <v>17</v>
      </c>
      <c r="J14" s="78" t="s">
        <v>20</v>
      </c>
      <c r="K14" s="79">
        <f>47.6596*100</f>
        <v>4765.96</v>
      </c>
      <c r="L14" s="80"/>
      <c r="M14" s="81">
        <v>1105733.3899999999</v>
      </c>
      <c r="O14" s="76">
        <v>11</v>
      </c>
      <c r="P14" s="77" t="s">
        <v>17</v>
      </c>
      <c r="Q14" s="78" t="s">
        <v>20</v>
      </c>
      <c r="R14" s="79">
        <f>47.6596*100</f>
        <v>4765.96</v>
      </c>
      <c r="S14" s="80"/>
      <c r="T14" s="81">
        <v>1105733.3899999999</v>
      </c>
    </row>
    <row r="15" spans="1:20" ht="6" customHeight="1" thickBot="1" x14ac:dyDescent="0.3">
      <c r="A15" s="82"/>
      <c r="B15" s="83"/>
      <c r="C15" s="84"/>
      <c r="D15" s="85"/>
      <c r="E15" s="85"/>
      <c r="F15" s="86"/>
      <c r="H15" s="82"/>
      <c r="I15" s="83"/>
      <c r="J15" s="84"/>
      <c r="K15" s="85"/>
      <c r="L15" s="85"/>
      <c r="M15" s="86"/>
      <c r="O15" s="82"/>
      <c r="P15" s="83"/>
      <c r="Q15" s="84"/>
      <c r="R15" s="85"/>
      <c r="S15" s="85"/>
      <c r="T15" s="86"/>
    </row>
    <row r="16" spans="1:20" ht="19.5" customHeight="1" thickBot="1" x14ac:dyDescent="0.3">
      <c r="A16" s="75">
        <v>12</v>
      </c>
      <c r="B16" s="65" t="s">
        <v>22</v>
      </c>
      <c r="C16" s="66"/>
      <c r="D16" s="67">
        <f>SUM(D3:E10)</f>
        <v>2078.0239999999999</v>
      </c>
      <c r="E16" s="68" t="s">
        <v>19</v>
      </c>
      <c r="F16" s="69">
        <f>SUM(F3:F14)</f>
        <v>129627003.12</v>
      </c>
      <c r="G16" s="36">
        <f>SUM(G3:G13)</f>
        <v>170946331.15999997</v>
      </c>
      <c r="H16" s="75">
        <v>12</v>
      </c>
      <c r="I16" s="65" t="s">
        <v>22</v>
      </c>
      <c r="J16" s="66"/>
      <c r="K16" s="67">
        <f>SUM(K3:L10)</f>
        <v>2078.0239999999999</v>
      </c>
      <c r="L16" s="68" t="s">
        <v>19</v>
      </c>
      <c r="M16" s="69">
        <f>SUM(M3:M14)</f>
        <v>184553509.62999997</v>
      </c>
      <c r="O16" s="75">
        <v>12</v>
      </c>
      <c r="P16" s="65" t="s">
        <v>22</v>
      </c>
      <c r="Q16" s="66"/>
      <c r="R16" s="67">
        <f>SUM(R3:S10)</f>
        <v>1893.4</v>
      </c>
      <c r="S16" s="68" t="s">
        <v>19</v>
      </c>
      <c r="T16" s="69">
        <f>SUM(T3:T14)</f>
        <v>167836693.81999996</v>
      </c>
    </row>
    <row r="17" spans="1:21" ht="30.75" thickBot="1" x14ac:dyDescent="0.3">
      <c r="A17" s="73">
        <v>13</v>
      </c>
      <c r="B17" s="64" t="s">
        <v>23</v>
      </c>
      <c r="C17" s="41"/>
      <c r="D17" s="45"/>
      <c r="E17" s="46"/>
      <c r="F17" s="47">
        <f>F16*0.03</f>
        <v>3888810.0935999998</v>
      </c>
      <c r="H17" s="73">
        <v>13</v>
      </c>
      <c r="I17" s="64" t="s">
        <v>23</v>
      </c>
      <c r="J17" s="41"/>
      <c r="K17" s="45"/>
      <c r="L17" s="46"/>
      <c r="M17" s="47">
        <f>M16*0.03</f>
        <v>5536605.2888999991</v>
      </c>
      <c r="O17" s="73">
        <v>13</v>
      </c>
      <c r="P17" s="64" t="s">
        <v>23</v>
      </c>
      <c r="Q17" s="41"/>
      <c r="R17" s="45"/>
      <c r="S17" s="46"/>
      <c r="T17" s="47">
        <f>T16*0.03</f>
        <v>5035100.8145999983</v>
      </c>
    </row>
    <row r="18" spans="1:21" ht="30.75" thickBot="1" x14ac:dyDescent="0.3">
      <c r="A18" s="74">
        <v>14</v>
      </c>
      <c r="B18" s="70" t="s">
        <v>36</v>
      </c>
      <c r="C18" s="48"/>
      <c r="D18" s="71"/>
      <c r="E18" s="44"/>
      <c r="F18" s="72">
        <f>F16+F17</f>
        <v>133515813.21360001</v>
      </c>
      <c r="G18" s="36"/>
      <c r="H18" s="74">
        <v>14</v>
      </c>
      <c r="I18" s="70" t="s">
        <v>36</v>
      </c>
      <c r="J18" s="48"/>
      <c r="K18" s="71"/>
      <c r="L18" s="44"/>
      <c r="M18" s="72">
        <f>M16+M17</f>
        <v>190090114.91889995</v>
      </c>
      <c r="O18" s="74">
        <v>14</v>
      </c>
      <c r="P18" s="70" t="s">
        <v>36</v>
      </c>
      <c r="Q18" s="48"/>
      <c r="R18" s="71"/>
      <c r="S18" s="44"/>
      <c r="T18" s="72">
        <f>T16+T17</f>
        <v>172871794.63459995</v>
      </c>
    </row>
    <row r="19" spans="1:21" ht="31.5" thickBot="1" x14ac:dyDescent="0.3">
      <c r="A19" s="73">
        <v>15</v>
      </c>
      <c r="B19" s="64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73">
        <v>15</v>
      </c>
      <c r="I19" s="64" t="s">
        <v>57</v>
      </c>
      <c r="J19" s="41"/>
      <c r="K19" s="45"/>
      <c r="L19" s="46"/>
      <c r="M19" s="47">
        <f>M18*N19</f>
        <v>159709185.41666669</v>
      </c>
      <c r="N19" s="172">
        <v>0.84017617373110121</v>
      </c>
      <c r="O19" s="73">
        <v>15</v>
      </c>
      <c r="P19" s="64" t="s">
        <v>56</v>
      </c>
      <c r="Q19" s="41"/>
      <c r="R19" s="45"/>
      <c r="S19" s="46"/>
      <c r="T19" s="47">
        <f>T18*U19</f>
        <v>159709185.40833336</v>
      </c>
      <c r="U19" s="173">
        <v>0.92385912777681012</v>
      </c>
    </row>
    <row r="20" spans="1:21" ht="19.5" customHeight="1" thickBot="1" x14ac:dyDescent="0.3">
      <c r="A20" s="74">
        <v>16</v>
      </c>
      <c r="B20" s="70" t="s">
        <v>22</v>
      </c>
      <c r="C20" s="48"/>
      <c r="D20" s="71"/>
      <c r="E20" s="44"/>
      <c r="F20" s="72">
        <f>F19</f>
        <v>159709185.41</v>
      </c>
      <c r="H20" s="74">
        <v>16</v>
      </c>
      <c r="I20" s="70" t="s">
        <v>22</v>
      </c>
      <c r="J20" s="48"/>
      <c r="K20" s="71"/>
      <c r="L20" s="44"/>
      <c r="M20" s="72">
        <f>M19</f>
        <v>159709185.41666669</v>
      </c>
      <c r="O20" s="74">
        <v>16</v>
      </c>
      <c r="P20" s="70" t="s">
        <v>22</v>
      </c>
      <c r="Q20" s="48"/>
      <c r="R20" s="71"/>
      <c r="S20" s="44"/>
      <c r="T20" s="72">
        <f>T19</f>
        <v>159709185.40833336</v>
      </c>
    </row>
    <row r="21" spans="1:21" ht="19.5" customHeight="1" thickBot="1" x14ac:dyDescent="0.3">
      <c r="A21" s="73">
        <v>17</v>
      </c>
      <c r="B21" s="64" t="s">
        <v>33</v>
      </c>
      <c r="C21" s="41"/>
      <c r="D21" s="45"/>
      <c r="E21" s="46"/>
      <c r="F21" s="47">
        <f>F20*0.2</f>
        <v>31941837.082000002</v>
      </c>
      <c r="H21" s="73">
        <v>17</v>
      </c>
      <c r="I21" s="64" t="s">
        <v>33</v>
      </c>
      <c r="J21" s="41"/>
      <c r="K21" s="45"/>
      <c r="L21" s="46"/>
      <c r="M21" s="47">
        <f>M20*0.2</f>
        <v>31941837.08333334</v>
      </c>
      <c r="O21" s="73">
        <v>17</v>
      </c>
      <c r="P21" s="64" t="s">
        <v>33</v>
      </c>
      <c r="Q21" s="41"/>
      <c r="R21" s="45"/>
      <c r="S21" s="46"/>
      <c r="T21" s="47">
        <f>T20*0.2</f>
        <v>31941837.081666674</v>
      </c>
    </row>
    <row r="22" spans="1:21" ht="19.5" customHeight="1" thickBot="1" x14ac:dyDescent="0.3">
      <c r="A22" s="75">
        <v>18</v>
      </c>
      <c r="B22" s="65" t="s">
        <v>34</v>
      </c>
      <c r="C22" s="66"/>
      <c r="D22" s="67"/>
      <c r="E22" s="68"/>
      <c r="F22" s="136">
        <f>F20+F21</f>
        <v>191651022.49199998</v>
      </c>
      <c r="H22" s="75">
        <v>18</v>
      </c>
      <c r="I22" s="65" t="s">
        <v>34</v>
      </c>
      <c r="J22" s="66"/>
      <c r="K22" s="67"/>
      <c r="L22" s="68"/>
      <c r="M22" s="136">
        <f>M20+M21-0.01</f>
        <v>191651022.49000004</v>
      </c>
      <c r="O22" s="75">
        <v>18</v>
      </c>
      <c r="P22" s="65" t="s">
        <v>34</v>
      </c>
      <c r="Q22" s="66"/>
      <c r="R22" s="67"/>
      <c r="S22" s="68"/>
      <c r="T22" s="136">
        <f>T20+T21</f>
        <v>191651022.49000004</v>
      </c>
    </row>
    <row r="23" spans="1:21" x14ac:dyDescent="0.25">
      <c r="C23"/>
      <c r="G23" s="39"/>
      <c r="J23"/>
      <c r="Q23"/>
    </row>
    <row r="24" spans="1:21" ht="35.25" customHeight="1" x14ac:dyDescent="0.25">
      <c r="B24" s="137" t="s">
        <v>53</v>
      </c>
      <c r="C24" s="137"/>
      <c r="D24" s="137"/>
      <c r="E24" s="87"/>
      <c r="F24" s="107">
        <v>75700.428816399144</v>
      </c>
      <c r="G24" s="39"/>
      <c r="I24" s="137" t="s">
        <v>53</v>
      </c>
      <c r="J24" s="137"/>
      <c r="K24" s="137"/>
      <c r="L24" s="87"/>
      <c r="M24" s="107">
        <v>79819.72</v>
      </c>
      <c r="P24" s="137" t="s">
        <v>53</v>
      </c>
      <c r="Q24" s="137"/>
      <c r="R24" s="137"/>
      <c r="S24" s="87"/>
      <c r="T24" s="107">
        <v>86540.18</v>
      </c>
    </row>
    <row r="25" spans="1:21" ht="30.75" customHeight="1" x14ac:dyDescent="0.25">
      <c r="B25" s="137" t="s">
        <v>54</v>
      </c>
      <c r="C25" s="137"/>
      <c r="D25" s="137"/>
      <c r="E25" s="87"/>
      <c r="F25" s="107">
        <v>89541.292052319011</v>
      </c>
      <c r="G25" s="39"/>
      <c r="I25" s="137" t="s">
        <v>54</v>
      </c>
      <c r="J25" s="137"/>
      <c r="K25" s="137"/>
      <c r="L25" s="87"/>
      <c r="M25" s="107">
        <f>185090075.82/K16</f>
        <v>89070.230093588907</v>
      </c>
      <c r="P25" s="137" t="s">
        <v>54</v>
      </c>
      <c r="Q25" s="137"/>
      <c r="R25" s="137"/>
      <c r="S25" s="87"/>
      <c r="T25" s="107">
        <v>98272.4</v>
      </c>
    </row>
    <row r="26" spans="1:21" ht="37.5" customHeight="1" x14ac:dyDescent="0.25">
      <c r="B26" s="137" t="s">
        <v>55</v>
      </c>
      <c r="C26" s="137"/>
      <c r="D26" s="137"/>
      <c r="E26" s="87"/>
      <c r="F26" s="107">
        <f>F22/D16</f>
        <v>92227.530813888574</v>
      </c>
      <c r="G26" s="39"/>
      <c r="I26" s="137" t="s">
        <v>55</v>
      </c>
      <c r="J26" s="137"/>
      <c r="K26" s="137"/>
      <c r="L26" s="87"/>
      <c r="M26" s="107">
        <f>M22/K16</f>
        <v>92227.530812926154</v>
      </c>
      <c r="P26" s="137" t="s">
        <v>55</v>
      </c>
      <c r="Q26" s="137"/>
      <c r="R26" s="137"/>
      <c r="S26" s="87"/>
      <c r="T26" s="107">
        <f>T22/R16</f>
        <v>101220.56749234184</v>
      </c>
    </row>
  </sheetData>
  <mergeCells count="43">
    <mergeCell ref="P25:R25"/>
    <mergeCell ref="P26:R26"/>
    <mergeCell ref="R14:S14"/>
    <mergeCell ref="Q3:Q10"/>
    <mergeCell ref="R3:S10"/>
    <mergeCell ref="B24:D24"/>
    <mergeCell ref="B25:D25"/>
    <mergeCell ref="B26:D26"/>
    <mergeCell ref="I24:K24"/>
    <mergeCell ref="I25:K25"/>
    <mergeCell ref="I26:K26"/>
    <mergeCell ref="P24:R24"/>
    <mergeCell ref="T3:T10"/>
    <mergeCell ref="K12:L12"/>
    <mergeCell ref="K13:L13"/>
    <mergeCell ref="K14:L14"/>
    <mergeCell ref="M3:M10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D8:E8"/>
    <mergeCell ref="D9:E9"/>
    <mergeCell ref="D10:E10"/>
    <mergeCell ref="D12:E12"/>
    <mergeCell ref="D13:E13"/>
    <mergeCell ref="D14:E14"/>
    <mergeCell ref="D2:E2"/>
    <mergeCell ref="D3:E3"/>
    <mergeCell ref="D4:E4"/>
    <mergeCell ref="D5:E5"/>
    <mergeCell ref="D6:E6"/>
    <mergeCell ref="D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28"/>
  <sheetViews>
    <sheetView topLeftCell="O1" workbookViewId="0">
      <selection activeCell="V27" sqref="V27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33" t="s">
        <v>51</v>
      </c>
      <c r="G1" s="134"/>
      <c r="H1" s="134"/>
      <c r="I1" s="135"/>
      <c r="J1" s="135"/>
      <c r="K1" s="134"/>
      <c r="L1" s="135"/>
      <c r="M1" s="135"/>
      <c r="N1" s="133" t="s">
        <v>50</v>
      </c>
      <c r="O1" s="135"/>
      <c r="P1" s="135"/>
      <c r="Q1" s="135"/>
      <c r="R1" s="135"/>
      <c r="S1" s="175" t="s">
        <v>74</v>
      </c>
      <c r="T1" s="135"/>
      <c r="U1" s="135"/>
      <c r="V1" s="133" t="s">
        <v>71</v>
      </c>
      <c r="X1" s="135"/>
      <c r="Y1" s="135"/>
      <c r="Z1" s="134"/>
      <c r="AA1" s="135"/>
      <c r="AB1" s="135"/>
      <c r="AC1" s="133" t="s">
        <v>71</v>
      </c>
    </row>
    <row r="2" spans="1:31" ht="15.75" thickBot="1" x14ac:dyDescent="0.3">
      <c r="A2" s="58" t="s">
        <v>58</v>
      </c>
      <c r="B2" s="59" t="s">
        <v>38</v>
      </c>
      <c r="C2" s="60" t="s">
        <v>18</v>
      </c>
      <c r="D2" s="61" t="s">
        <v>21</v>
      </c>
      <c r="E2" s="62"/>
      <c r="F2" s="63" t="s">
        <v>32</v>
      </c>
      <c r="G2" s="1" t="s">
        <v>24</v>
      </c>
      <c r="H2" s="1"/>
      <c r="I2" s="58" t="s">
        <v>58</v>
      </c>
      <c r="J2" s="59" t="s">
        <v>38</v>
      </c>
      <c r="K2" s="60" t="s">
        <v>18</v>
      </c>
      <c r="L2" s="61" t="s">
        <v>21</v>
      </c>
      <c r="M2" s="62"/>
      <c r="N2" s="63" t="s">
        <v>32</v>
      </c>
      <c r="Q2" s="58" t="s">
        <v>58</v>
      </c>
      <c r="R2" s="59" t="s">
        <v>73</v>
      </c>
      <c r="S2" s="60" t="s">
        <v>18</v>
      </c>
      <c r="T2" s="61" t="s">
        <v>21</v>
      </c>
      <c r="U2" s="62"/>
      <c r="V2" s="63" t="s">
        <v>32</v>
      </c>
      <c r="X2" s="58" t="s">
        <v>58</v>
      </c>
      <c r="Y2" s="59" t="s">
        <v>73</v>
      </c>
      <c r="Z2" s="60" t="s">
        <v>18</v>
      </c>
      <c r="AA2" s="61" t="s">
        <v>21</v>
      </c>
      <c r="AB2" s="62"/>
      <c r="AC2" s="63" t="s">
        <v>32</v>
      </c>
    </row>
    <row r="3" spans="1:31" x14ac:dyDescent="0.25">
      <c r="A3" s="89">
        <v>1</v>
      </c>
      <c r="B3" s="92" t="s">
        <v>0</v>
      </c>
      <c r="C3" s="93" t="s">
        <v>19</v>
      </c>
      <c r="D3" s="94">
        <f>404.352+9.256</f>
        <v>413.60799999999995</v>
      </c>
      <c r="E3" s="95"/>
      <c r="F3" s="96">
        <f>40619316.42-G3</f>
        <v>10022991.91</v>
      </c>
      <c r="G3" s="36">
        <v>30596324.510000002</v>
      </c>
      <c r="H3" s="36"/>
      <c r="I3" s="89">
        <v>1</v>
      </c>
      <c r="J3" s="121" t="s">
        <v>47</v>
      </c>
      <c r="K3" s="93" t="s">
        <v>19</v>
      </c>
      <c r="L3" s="94">
        <f>404.352+9.256</f>
        <v>413.60799999999995</v>
      </c>
      <c r="M3" s="95"/>
      <c r="N3" s="115">
        <v>164516389.53999999</v>
      </c>
      <c r="Q3" s="89">
        <v>1</v>
      </c>
      <c r="R3" s="121" t="s">
        <v>47</v>
      </c>
      <c r="S3" s="118" t="s">
        <v>19</v>
      </c>
      <c r="T3" s="126">
        <v>1893.4</v>
      </c>
      <c r="U3" s="127"/>
      <c r="V3" s="115">
        <v>147799573.72999999</v>
      </c>
      <c r="X3" s="89">
        <v>1</v>
      </c>
      <c r="Y3" s="121" t="s">
        <v>47</v>
      </c>
      <c r="Z3" s="118" t="s">
        <v>19</v>
      </c>
      <c r="AA3" s="126">
        <v>1893.4</v>
      </c>
      <c r="AB3" s="127"/>
      <c r="AC3" s="115">
        <v>147799573.72999999</v>
      </c>
    </row>
    <row r="4" spans="1:31" ht="30" x14ac:dyDescent="0.25">
      <c r="A4" s="90">
        <v>2</v>
      </c>
      <c r="B4" s="97" t="s">
        <v>25</v>
      </c>
      <c r="C4" s="98" t="s">
        <v>19</v>
      </c>
      <c r="D4" s="99">
        <f>676.624</f>
        <v>676.62400000000002</v>
      </c>
      <c r="E4" s="100"/>
      <c r="F4" s="101">
        <f>77526903.96-G4</f>
        <v>28449520.749999993</v>
      </c>
      <c r="G4" s="36">
        <v>49077383.210000001</v>
      </c>
      <c r="H4" s="36"/>
      <c r="I4" s="90">
        <v>2</v>
      </c>
      <c r="J4" s="122"/>
      <c r="K4" s="98" t="s">
        <v>19</v>
      </c>
      <c r="L4" s="99">
        <f>676.624</f>
        <v>676.62400000000002</v>
      </c>
      <c r="M4" s="100"/>
      <c r="N4" s="116"/>
      <c r="Q4" s="90">
        <v>2</v>
      </c>
      <c r="R4" s="122"/>
      <c r="S4" s="119"/>
      <c r="T4" s="128"/>
      <c r="U4" s="129"/>
      <c r="V4" s="116"/>
      <c r="X4" s="90">
        <v>2</v>
      </c>
      <c r="Y4" s="122"/>
      <c r="Z4" s="119"/>
      <c r="AA4" s="128"/>
      <c r="AB4" s="129"/>
      <c r="AC4" s="116"/>
    </row>
    <row r="5" spans="1:31" x14ac:dyDescent="0.25">
      <c r="A5" s="90">
        <v>3</v>
      </c>
      <c r="B5" s="97" t="s">
        <v>26</v>
      </c>
      <c r="C5" s="98" t="s">
        <v>19</v>
      </c>
      <c r="D5" s="99">
        <v>295.15199999999999</v>
      </c>
      <c r="E5" s="100"/>
      <c r="F5" s="101">
        <f>35252578.16-G5</f>
        <v>12410042.859999996</v>
      </c>
      <c r="G5" s="36">
        <v>22842535.300000001</v>
      </c>
      <c r="H5" s="36"/>
      <c r="I5" s="90">
        <v>3</v>
      </c>
      <c r="J5" s="122"/>
      <c r="K5" s="98" t="s">
        <v>19</v>
      </c>
      <c r="L5" s="99">
        <v>295.15199999999999</v>
      </c>
      <c r="M5" s="100"/>
      <c r="N5" s="116"/>
      <c r="Q5" s="90">
        <v>3</v>
      </c>
      <c r="R5" s="122"/>
      <c r="S5" s="119"/>
      <c r="T5" s="128"/>
      <c r="U5" s="129"/>
      <c r="V5" s="116"/>
      <c r="X5" s="90">
        <v>3</v>
      </c>
      <c r="Y5" s="122"/>
      <c r="Z5" s="119"/>
      <c r="AA5" s="128"/>
      <c r="AB5" s="129"/>
      <c r="AC5" s="116"/>
    </row>
    <row r="6" spans="1:31" ht="30" x14ac:dyDescent="0.25">
      <c r="A6" s="90">
        <v>4</v>
      </c>
      <c r="B6" s="97" t="s">
        <v>8</v>
      </c>
      <c r="C6" s="98" t="s">
        <v>19</v>
      </c>
      <c r="D6" s="99">
        <v>284.85599999999999</v>
      </c>
      <c r="E6" s="100"/>
      <c r="F6" s="101">
        <f>54348406.96-G6</f>
        <v>29847559.98</v>
      </c>
      <c r="G6" s="36">
        <v>24500846.98</v>
      </c>
      <c r="H6" s="36"/>
      <c r="I6" s="90">
        <v>4</v>
      </c>
      <c r="J6" s="122"/>
      <c r="K6" s="98" t="s">
        <v>19</v>
      </c>
      <c r="L6" s="99">
        <v>284.85599999999999</v>
      </c>
      <c r="M6" s="100"/>
      <c r="N6" s="116"/>
      <c r="Q6" s="90">
        <v>4</v>
      </c>
      <c r="R6" s="122"/>
      <c r="S6" s="119"/>
      <c r="T6" s="128"/>
      <c r="U6" s="129"/>
      <c r="V6" s="116"/>
      <c r="X6" s="90">
        <v>4</v>
      </c>
      <c r="Y6" s="122"/>
      <c r="Z6" s="119"/>
      <c r="AA6" s="128"/>
      <c r="AB6" s="129"/>
      <c r="AC6" s="116"/>
    </row>
    <row r="7" spans="1:31" x14ac:dyDescent="0.25">
      <c r="A7" s="90">
        <v>5</v>
      </c>
      <c r="B7" s="97" t="s">
        <v>1</v>
      </c>
      <c r="C7" s="98" t="s">
        <v>19</v>
      </c>
      <c r="D7" s="99">
        <v>103.27200000000001</v>
      </c>
      <c r="E7" s="100"/>
      <c r="F7" s="101">
        <f>14658524.85-G7</f>
        <v>6218924.8699999992</v>
      </c>
      <c r="G7" s="36">
        <v>8439599.9800000004</v>
      </c>
      <c r="H7" s="36"/>
      <c r="I7" s="90">
        <v>5</v>
      </c>
      <c r="J7" s="122"/>
      <c r="K7" s="98" t="s">
        <v>19</v>
      </c>
      <c r="L7" s="99">
        <v>103.27200000000001</v>
      </c>
      <c r="M7" s="100"/>
      <c r="N7" s="116"/>
      <c r="Q7" s="90">
        <v>5</v>
      </c>
      <c r="R7" s="122"/>
      <c r="S7" s="119"/>
      <c r="T7" s="128"/>
      <c r="U7" s="129"/>
      <c r="V7" s="116"/>
      <c r="X7" s="90">
        <v>5</v>
      </c>
      <c r="Y7" s="122"/>
      <c r="Z7" s="119"/>
      <c r="AA7" s="128"/>
      <c r="AB7" s="129"/>
      <c r="AC7" s="116"/>
    </row>
    <row r="8" spans="1:31" ht="30" x14ac:dyDescent="0.25">
      <c r="A8" s="90">
        <v>6</v>
      </c>
      <c r="B8" s="97" t="s">
        <v>2</v>
      </c>
      <c r="C8" s="98" t="s">
        <v>19</v>
      </c>
      <c r="D8" s="99">
        <v>66.872</v>
      </c>
      <c r="E8" s="100"/>
      <c r="F8" s="101">
        <f>9352168.79-G8</f>
        <v>4525782.0099999988</v>
      </c>
      <c r="G8" s="36">
        <v>4826386.78</v>
      </c>
      <c r="H8" s="36"/>
      <c r="I8" s="90">
        <v>6</v>
      </c>
      <c r="J8" s="122"/>
      <c r="K8" s="98" t="s">
        <v>19</v>
      </c>
      <c r="L8" s="99">
        <v>66.872</v>
      </c>
      <c r="M8" s="100"/>
      <c r="N8" s="116"/>
      <c r="Q8" s="90">
        <v>6</v>
      </c>
      <c r="R8" s="122"/>
      <c r="S8" s="119"/>
      <c r="T8" s="128"/>
      <c r="U8" s="129"/>
      <c r="V8" s="116"/>
      <c r="X8" s="90">
        <v>6</v>
      </c>
      <c r="Y8" s="122"/>
      <c r="Z8" s="119"/>
      <c r="AA8" s="128"/>
      <c r="AB8" s="129"/>
      <c r="AC8" s="116"/>
    </row>
    <row r="9" spans="1:31" x14ac:dyDescent="0.25">
      <c r="A9" s="90">
        <v>7</v>
      </c>
      <c r="B9" s="97" t="s">
        <v>3</v>
      </c>
      <c r="C9" s="98" t="s">
        <v>19</v>
      </c>
      <c r="D9" s="99">
        <v>233.27199999999999</v>
      </c>
      <c r="E9" s="100"/>
      <c r="F9" s="101">
        <f>34523672.98-G9</f>
        <v>17401032.069999997</v>
      </c>
      <c r="G9" s="36">
        <v>17122640.91</v>
      </c>
      <c r="H9" s="36"/>
      <c r="I9" s="90">
        <v>7</v>
      </c>
      <c r="J9" s="122"/>
      <c r="K9" s="98" t="s">
        <v>19</v>
      </c>
      <c r="L9" s="99">
        <v>233.27199999999999</v>
      </c>
      <c r="M9" s="100"/>
      <c r="N9" s="116"/>
      <c r="Q9" s="90">
        <v>7</v>
      </c>
      <c r="R9" s="122"/>
      <c r="S9" s="119"/>
      <c r="T9" s="128"/>
      <c r="U9" s="129"/>
      <c r="V9" s="116"/>
      <c r="X9" s="90">
        <v>7</v>
      </c>
      <c r="Y9" s="122"/>
      <c r="Z9" s="119"/>
      <c r="AA9" s="128"/>
      <c r="AB9" s="129"/>
      <c r="AC9" s="116"/>
    </row>
    <row r="10" spans="1:31" ht="15.75" thickBot="1" x14ac:dyDescent="0.3">
      <c r="A10" s="91">
        <v>8</v>
      </c>
      <c r="B10" s="102" t="s">
        <v>4</v>
      </c>
      <c r="C10" s="103" t="s">
        <v>19</v>
      </c>
      <c r="D10" s="104">
        <v>4.3680000000000003</v>
      </c>
      <c r="E10" s="105"/>
      <c r="F10" s="106">
        <f>1043243.99-G10</f>
        <v>714028.58000000007</v>
      </c>
      <c r="G10" s="36">
        <v>329215.40999999997</v>
      </c>
      <c r="H10" s="36"/>
      <c r="I10" s="91">
        <v>8</v>
      </c>
      <c r="J10" s="123"/>
      <c r="K10" s="103" t="s">
        <v>19</v>
      </c>
      <c r="L10" s="104">
        <v>4.3680000000000003</v>
      </c>
      <c r="M10" s="105"/>
      <c r="N10" s="117"/>
      <c r="Q10" s="91">
        <v>8</v>
      </c>
      <c r="R10" s="123"/>
      <c r="S10" s="120"/>
      <c r="T10" s="130"/>
      <c r="U10" s="131"/>
      <c r="V10" s="117"/>
      <c r="X10" s="91">
        <v>8</v>
      </c>
      <c r="Y10" s="123"/>
      <c r="Z10" s="120"/>
      <c r="AA10" s="130"/>
      <c r="AB10" s="131"/>
      <c r="AC10" s="117"/>
    </row>
    <row r="11" spans="1:31" ht="2.25" customHeight="1" thickTop="1" x14ac:dyDescent="0.25">
      <c r="A11" s="109"/>
      <c r="B11" s="110"/>
      <c r="C11" s="111"/>
      <c r="D11" s="112"/>
      <c r="E11" s="113"/>
      <c r="F11" s="114"/>
      <c r="G11" s="36"/>
      <c r="H11" s="36"/>
      <c r="I11" s="109"/>
      <c r="J11" s="110"/>
      <c r="K11" s="111"/>
      <c r="L11" s="112"/>
      <c r="M11" s="113"/>
      <c r="N11" s="114"/>
      <c r="Q11" s="109"/>
      <c r="R11" s="110"/>
      <c r="S11" s="111"/>
      <c r="T11" s="112"/>
      <c r="U11" s="113"/>
      <c r="V11" s="114"/>
      <c r="X11" s="109"/>
      <c r="Y11" s="110"/>
      <c r="Z11" s="111"/>
      <c r="AA11" s="112"/>
      <c r="AB11" s="113"/>
      <c r="AC11" s="114"/>
    </row>
    <row r="12" spans="1:31" x14ac:dyDescent="0.25">
      <c r="A12" s="57">
        <v>9</v>
      </c>
      <c r="B12" s="54" t="s">
        <v>27</v>
      </c>
      <c r="C12" s="42" t="s">
        <v>29</v>
      </c>
      <c r="D12" s="49" t="s">
        <v>31</v>
      </c>
      <c r="E12" s="50"/>
      <c r="F12" s="43">
        <f>9769288.11-G12</f>
        <v>3704032.4099999992</v>
      </c>
      <c r="G12" s="36">
        <v>6065255.7000000002</v>
      </c>
      <c r="H12" s="36"/>
      <c r="I12" s="57">
        <v>9</v>
      </c>
      <c r="J12" s="54" t="s">
        <v>27</v>
      </c>
      <c r="K12" s="42" t="s">
        <v>29</v>
      </c>
      <c r="L12" s="49" t="s">
        <v>31</v>
      </c>
      <c r="M12" s="50"/>
      <c r="N12" s="43">
        <f>9769288.11-O12</f>
        <v>9769288.1099999994</v>
      </c>
      <c r="Q12" s="57">
        <v>9</v>
      </c>
      <c r="R12" s="54" t="s">
        <v>27</v>
      </c>
      <c r="S12" s="42" t="s">
        <v>29</v>
      </c>
      <c r="T12" s="49" t="s">
        <v>31</v>
      </c>
      <c r="U12" s="50"/>
      <c r="V12" s="43">
        <v>3704032.4099999992</v>
      </c>
      <c r="X12" s="57">
        <v>9</v>
      </c>
      <c r="Y12" s="54" t="s">
        <v>27</v>
      </c>
      <c r="Z12" s="42" t="s">
        <v>29</v>
      </c>
      <c r="AA12" s="49" t="s">
        <v>31</v>
      </c>
      <c r="AB12" s="50"/>
      <c r="AC12" s="43">
        <v>3704032.4099999992</v>
      </c>
    </row>
    <row r="13" spans="1:31" x14ac:dyDescent="0.25">
      <c r="A13" s="56">
        <v>10</v>
      </c>
      <c r="B13" s="55" t="s">
        <v>28</v>
      </c>
      <c r="C13" s="40" t="s">
        <v>29</v>
      </c>
      <c r="D13" s="51" t="s">
        <v>30</v>
      </c>
      <c r="E13" s="52"/>
      <c r="F13" s="29">
        <f>22373496.67-G13</f>
        <v>15227354.290000003</v>
      </c>
      <c r="G13" s="36">
        <v>7146142.3799999999</v>
      </c>
      <c r="H13" s="36"/>
      <c r="I13" s="56">
        <v>10</v>
      </c>
      <c r="J13" s="55" t="s">
        <v>28</v>
      </c>
      <c r="K13" s="40" t="s">
        <v>29</v>
      </c>
      <c r="L13" s="51" t="s">
        <v>30</v>
      </c>
      <c r="M13" s="52"/>
      <c r="N13" s="29">
        <f>22373496.67-O13</f>
        <v>22373496.670000002</v>
      </c>
      <c r="Q13" s="56">
        <v>10</v>
      </c>
      <c r="R13" s="55" t="s">
        <v>28</v>
      </c>
      <c r="S13" s="40" t="s">
        <v>29</v>
      </c>
      <c r="T13" s="51" t="s">
        <v>30</v>
      </c>
      <c r="U13" s="52"/>
      <c r="V13" s="29">
        <v>15227354.290000003</v>
      </c>
      <c r="X13" s="56">
        <v>10</v>
      </c>
      <c r="Y13" s="55" t="s">
        <v>28</v>
      </c>
      <c r="Z13" s="40" t="s">
        <v>29</v>
      </c>
      <c r="AA13" s="51" t="s">
        <v>30</v>
      </c>
      <c r="AB13" s="52"/>
      <c r="AC13" s="29">
        <v>15227354.290000003</v>
      </c>
    </row>
    <row r="14" spans="1:31" ht="15.75" thickBot="1" x14ac:dyDescent="0.3">
      <c r="A14" s="76">
        <v>11</v>
      </c>
      <c r="B14" s="77" t="s">
        <v>17</v>
      </c>
      <c r="C14" s="78" t="s">
        <v>20</v>
      </c>
      <c r="D14" s="79">
        <f>47.6596*100</f>
        <v>4765.96</v>
      </c>
      <c r="E14" s="80"/>
      <c r="F14" s="81">
        <v>1105733.3899999999</v>
      </c>
      <c r="G14" s="36"/>
      <c r="H14" s="36"/>
      <c r="I14" s="76">
        <v>11</v>
      </c>
      <c r="J14" s="77" t="s">
        <v>17</v>
      </c>
      <c r="K14" s="78" t="s">
        <v>20</v>
      </c>
      <c r="L14" s="79">
        <f>47.6596*100</f>
        <v>4765.96</v>
      </c>
      <c r="M14" s="80"/>
      <c r="N14" s="81">
        <v>1105733.3899999999</v>
      </c>
      <c r="Q14" s="76">
        <v>11</v>
      </c>
      <c r="R14" s="77" t="s">
        <v>17</v>
      </c>
      <c r="S14" s="78" t="s">
        <v>20</v>
      </c>
      <c r="T14" s="79">
        <f>47.6596*100</f>
        <v>4765.96</v>
      </c>
      <c r="U14" s="80"/>
      <c r="V14" s="81">
        <v>1105733.3899999999</v>
      </c>
      <c r="X14" s="76">
        <v>11</v>
      </c>
      <c r="Y14" s="77" t="s">
        <v>17</v>
      </c>
      <c r="Z14" s="78" t="s">
        <v>20</v>
      </c>
      <c r="AA14" s="79">
        <f>47.6596*100</f>
        <v>4765.96</v>
      </c>
      <c r="AB14" s="80"/>
      <c r="AC14" s="81">
        <v>1105733.3899999999</v>
      </c>
    </row>
    <row r="15" spans="1:31" ht="6" customHeight="1" thickBot="1" x14ac:dyDescent="0.3">
      <c r="A15" s="82"/>
      <c r="B15" s="83"/>
      <c r="C15" s="84"/>
      <c r="D15" s="85"/>
      <c r="E15" s="85"/>
      <c r="F15" s="86"/>
      <c r="I15" s="82"/>
      <c r="J15" s="83"/>
      <c r="K15" s="84"/>
      <c r="L15" s="85"/>
      <c r="M15" s="85"/>
      <c r="N15" s="86"/>
      <c r="Q15" s="82"/>
      <c r="R15" s="83"/>
      <c r="S15" s="84"/>
      <c r="T15" s="85"/>
      <c r="U15" s="85"/>
      <c r="V15" s="86"/>
      <c r="X15" s="82"/>
      <c r="Y15" s="83"/>
      <c r="Z15" s="84"/>
      <c r="AA15" s="85"/>
      <c r="AB15" s="85"/>
      <c r="AC15" s="86"/>
    </row>
    <row r="16" spans="1:31" ht="19.5" customHeight="1" thickBot="1" x14ac:dyDescent="0.3">
      <c r="A16" s="75">
        <v>12</v>
      </c>
      <c r="B16" s="65" t="s">
        <v>22</v>
      </c>
      <c r="C16" s="66"/>
      <c r="D16" s="67">
        <f>SUM(D3:E10)</f>
        <v>2078.0239999999999</v>
      </c>
      <c r="E16" s="68" t="s">
        <v>19</v>
      </c>
      <c r="F16" s="69">
        <f>SUM(F3:F14)</f>
        <v>129627003.12</v>
      </c>
      <c r="G16" s="36">
        <f>SUM(G3:G13)</f>
        <v>170946331.15999997</v>
      </c>
      <c r="H16" s="36"/>
      <c r="I16" s="75">
        <v>12</v>
      </c>
      <c r="J16" s="65" t="s">
        <v>22</v>
      </c>
      <c r="K16" s="66"/>
      <c r="L16" s="67">
        <f>SUM(L3:M10)</f>
        <v>2078.0239999999999</v>
      </c>
      <c r="M16" s="68" t="s">
        <v>19</v>
      </c>
      <c r="N16" s="69">
        <f>SUM(N3:N14)</f>
        <v>197764907.70999998</v>
      </c>
      <c r="Q16" s="75">
        <v>12</v>
      </c>
      <c r="R16" s="65" t="s">
        <v>22</v>
      </c>
      <c r="S16" s="66"/>
      <c r="T16" s="67">
        <f>SUM(T3:U10)</f>
        <v>1893.4</v>
      </c>
      <c r="U16" s="68" t="s">
        <v>19</v>
      </c>
      <c r="V16" s="69">
        <f>SUM(V3:V14)</f>
        <v>167836693.81999996</v>
      </c>
      <c r="X16" s="75">
        <v>12</v>
      </c>
      <c r="Y16" s="65" t="s">
        <v>22</v>
      </c>
      <c r="Z16" s="66"/>
      <c r="AA16" s="67">
        <f>SUM(AA3:AB10)</f>
        <v>1893.4</v>
      </c>
      <c r="AB16" s="68" t="s">
        <v>19</v>
      </c>
      <c r="AC16" s="69">
        <f>SUM(AC3:AC14)</f>
        <v>167836693.81999996</v>
      </c>
      <c r="AE16" s="25"/>
    </row>
    <row r="17" spans="1:31" ht="60" customHeight="1" thickBot="1" x14ac:dyDescent="0.3">
      <c r="A17" s="75">
        <v>12</v>
      </c>
      <c r="B17" s="65" t="s">
        <v>22</v>
      </c>
      <c r="C17" s="66"/>
      <c r="D17" s="67">
        <f>SUM(D3:E10)</f>
        <v>2078.0239999999999</v>
      </c>
      <c r="E17" s="68" t="s">
        <v>19</v>
      </c>
      <c r="F17" s="69">
        <f>SUM(F3:F14)</f>
        <v>129627003.12</v>
      </c>
      <c r="G17" s="36">
        <f>SUM(G3:G13)</f>
        <v>170946331.15999997</v>
      </c>
      <c r="H17" s="36"/>
      <c r="I17" s="75">
        <v>12</v>
      </c>
      <c r="J17" s="65" t="s">
        <v>22</v>
      </c>
      <c r="K17" s="66"/>
      <c r="L17" s="67">
        <f>SUM(L3:M10)</f>
        <v>2078.0239999999999</v>
      </c>
      <c r="M17" s="68" t="s">
        <v>19</v>
      </c>
      <c r="N17" s="69">
        <f>SUM(N3:N14)</f>
        <v>197764907.70999998</v>
      </c>
      <c r="Q17" s="75">
        <v>12</v>
      </c>
      <c r="R17" s="65" t="s">
        <v>72</v>
      </c>
      <c r="S17" s="261" t="s">
        <v>140</v>
      </c>
      <c r="T17" s="67"/>
      <c r="U17" s="68"/>
      <c r="V17" s="69">
        <v>9941805.3699999992</v>
      </c>
      <c r="X17" s="75">
        <v>12</v>
      </c>
      <c r="Y17" s="65" t="s">
        <v>72</v>
      </c>
      <c r="Z17" s="174" t="s">
        <v>75</v>
      </c>
      <c r="AA17" s="67"/>
      <c r="AB17" s="68"/>
      <c r="AC17" s="69">
        <f>AC16*0.021</f>
        <v>3524570.5702199996</v>
      </c>
      <c r="AE17" s="25"/>
    </row>
    <row r="18" spans="1:31" ht="19.5" customHeight="1" thickBot="1" x14ac:dyDescent="0.3">
      <c r="A18" s="75">
        <v>12</v>
      </c>
      <c r="B18" s="65" t="s">
        <v>22</v>
      </c>
      <c r="C18" s="66"/>
      <c r="D18" s="67">
        <f>SUM(D4:E11)</f>
        <v>1664.4159999999999</v>
      </c>
      <c r="E18" s="68" t="s">
        <v>19</v>
      </c>
      <c r="F18" s="69">
        <f>SUM(F4:F15)</f>
        <v>119604011.20999999</v>
      </c>
      <c r="G18" s="36">
        <f>SUM(G4:G14)</f>
        <v>140350006.65000001</v>
      </c>
      <c r="H18" s="36"/>
      <c r="I18" s="75">
        <v>12</v>
      </c>
      <c r="J18" s="65" t="s">
        <v>22</v>
      </c>
      <c r="K18" s="66"/>
      <c r="L18" s="67">
        <f>SUM(L4:M11)</f>
        <v>1664.4159999999999</v>
      </c>
      <c r="M18" s="68" t="s">
        <v>19</v>
      </c>
      <c r="N18" s="69">
        <f>SUM(N4:N15)</f>
        <v>33248518.170000002</v>
      </c>
      <c r="Q18" s="75">
        <v>12</v>
      </c>
      <c r="R18" s="65" t="s">
        <v>22</v>
      </c>
      <c r="S18" s="66"/>
      <c r="T18" s="67"/>
      <c r="U18" s="68"/>
      <c r="V18" s="69">
        <f>V16+V17</f>
        <v>177778499.18999997</v>
      </c>
      <c r="X18" s="75">
        <v>12</v>
      </c>
      <c r="Y18" s="65" t="s">
        <v>22</v>
      </c>
      <c r="Z18" s="66"/>
      <c r="AA18" s="67"/>
      <c r="AB18" s="68"/>
      <c r="AC18" s="69">
        <f>AC16+AC17</f>
        <v>171361264.39021996</v>
      </c>
      <c r="AE18" s="25"/>
    </row>
    <row r="19" spans="1:31" ht="30.75" thickBot="1" x14ac:dyDescent="0.3">
      <c r="A19" s="73">
        <v>13</v>
      </c>
      <c r="B19" s="64" t="s">
        <v>23</v>
      </c>
      <c r="C19" s="41"/>
      <c r="D19" s="45"/>
      <c r="E19" s="46"/>
      <c r="F19" s="47">
        <f>F16*0.03</f>
        <v>3888810.0935999998</v>
      </c>
      <c r="I19" s="73">
        <v>13</v>
      </c>
      <c r="J19" s="64" t="s">
        <v>23</v>
      </c>
      <c r="K19" s="41"/>
      <c r="L19" s="45"/>
      <c r="M19" s="46"/>
      <c r="N19" s="47">
        <f>N16*0.03</f>
        <v>5932947.2312999992</v>
      </c>
      <c r="Q19" s="73">
        <v>13</v>
      </c>
      <c r="R19" s="64" t="s">
        <v>23</v>
      </c>
      <c r="S19" s="41"/>
      <c r="T19" s="45"/>
      <c r="U19" s="46"/>
      <c r="V19" s="47">
        <f>V18*0.03</f>
        <v>5333354.9756999984</v>
      </c>
      <c r="X19" s="73">
        <v>13</v>
      </c>
      <c r="Y19" s="64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74">
        <v>14</v>
      </c>
      <c r="B20" s="70" t="s">
        <v>36</v>
      </c>
      <c r="C20" s="48"/>
      <c r="D20" s="71"/>
      <c r="E20" s="44"/>
      <c r="F20" s="72">
        <f>F16+F19</f>
        <v>133515813.21360001</v>
      </c>
      <c r="G20" s="36"/>
      <c r="H20" s="36"/>
      <c r="I20" s="74">
        <v>14</v>
      </c>
      <c r="J20" s="70" t="s">
        <v>36</v>
      </c>
      <c r="K20" s="48"/>
      <c r="L20" s="71"/>
      <c r="M20" s="44"/>
      <c r="N20" s="72">
        <f>N16+N19</f>
        <v>203697854.94129997</v>
      </c>
      <c r="Q20" s="74">
        <v>14</v>
      </c>
      <c r="R20" s="70" t="s">
        <v>36</v>
      </c>
      <c r="S20" s="48"/>
      <c r="T20" s="71"/>
      <c r="U20" s="44"/>
      <c r="V20" s="72">
        <f>V18+V19</f>
        <v>183111854.16569996</v>
      </c>
      <c r="X20" s="74">
        <v>14</v>
      </c>
      <c r="Y20" s="70" t="s">
        <v>36</v>
      </c>
      <c r="Z20" s="48"/>
      <c r="AA20" s="71"/>
      <c r="AB20" s="44"/>
      <c r="AC20" s="72">
        <f>AC18+AC19</f>
        <v>176502102.32192656</v>
      </c>
    </row>
    <row r="21" spans="1:31" ht="31.5" thickBot="1" x14ac:dyDescent="0.3">
      <c r="A21" s="73">
        <v>15</v>
      </c>
      <c r="B21" s="64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73">
        <v>15</v>
      </c>
      <c r="J21" s="64" t="s">
        <v>57</v>
      </c>
      <c r="K21" s="41"/>
      <c r="L21" s="45"/>
      <c r="M21" s="46"/>
      <c r="N21" s="47">
        <f>N20*O21</f>
        <v>159709185.41999999</v>
      </c>
      <c r="O21" s="125">
        <v>0.78404942195401961</v>
      </c>
      <c r="Q21" s="73">
        <v>15</v>
      </c>
      <c r="R21" s="64" t="s">
        <v>56</v>
      </c>
      <c r="S21" s="41"/>
      <c r="T21" s="45"/>
      <c r="U21" s="46"/>
      <c r="V21" s="47">
        <f>V20*W21</f>
        <v>169927259.53333333</v>
      </c>
      <c r="W21" s="173">
        <v>0.92799704479844469</v>
      </c>
      <c r="X21" s="73">
        <v>15</v>
      </c>
      <c r="Y21" s="64" t="s">
        <v>56</v>
      </c>
      <c r="Z21" s="41"/>
      <c r="AA21" s="45"/>
      <c r="AB21" s="46"/>
      <c r="AC21" s="47">
        <f>AC20*AD21</f>
        <v>163307831.25</v>
      </c>
      <c r="AD21" s="173">
        <v>0.92524581351523394</v>
      </c>
    </row>
    <row r="22" spans="1:31" ht="19.5" customHeight="1" thickBot="1" x14ac:dyDescent="0.3">
      <c r="A22" s="74">
        <v>16</v>
      </c>
      <c r="B22" s="70" t="s">
        <v>22</v>
      </c>
      <c r="C22" s="48"/>
      <c r="D22" s="71"/>
      <c r="E22" s="44"/>
      <c r="F22" s="72">
        <f>F21</f>
        <v>159709185.41</v>
      </c>
      <c r="I22" s="74">
        <v>16</v>
      </c>
      <c r="J22" s="70" t="s">
        <v>22</v>
      </c>
      <c r="K22" s="48"/>
      <c r="L22" s="71"/>
      <c r="M22" s="44"/>
      <c r="N22" s="72">
        <f>N21</f>
        <v>159709185.41999999</v>
      </c>
      <c r="Q22" s="74">
        <v>16</v>
      </c>
      <c r="R22" s="70" t="s">
        <v>22</v>
      </c>
      <c r="S22" s="48"/>
      <c r="T22" s="71"/>
      <c r="U22" s="44"/>
      <c r="V22" s="72">
        <f>V21</f>
        <v>169927259.53333333</v>
      </c>
      <c r="X22" s="74">
        <v>16</v>
      </c>
      <c r="Y22" s="70" t="s">
        <v>22</v>
      </c>
      <c r="Z22" s="48"/>
      <c r="AA22" s="71"/>
      <c r="AB22" s="44"/>
      <c r="AC22" s="72">
        <f>AC21</f>
        <v>163307831.25</v>
      </c>
    </row>
    <row r="23" spans="1:31" ht="19.5" customHeight="1" thickBot="1" x14ac:dyDescent="0.3">
      <c r="A23" s="73">
        <v>17</v>
      </c>
      <c r="B23" s="64" t="s">
        <v>33</v>
      </c>
      <c r="C23" s="41"/>
      <c r="D23" s="45"/>
      <c r="E23" s="46"/>
      <c r="F23" s="47">
        <f>F22*0.2</f>
        <v>31941837.082000002</v>
      </c>
      <c r="I23" s="73">
        <v>17</v>
      </c>
      <c r="J23" s="64" t="s">
        <v>33</v>
      </c>
      <c r="K23" s="41"/>
      <c r="L23" s="45"/>
      <c r="M23" s="46"/>
      <c r="N23" s="47">
        <f>N22*0.2</f>
        <v>31941837.083999999</v>
      </c>
      <c r="Q23" s="73">
        <v>17</v>
      </c>
      <c r="R23" s="64" t="s">
        <v>33</v>
      </c>
      <c r="S23" s="41"/>
      <c r="T23" s="45"/>
      <c r="U23" s="46"/>
      <c r="V23" s="47">
        <f>V22*0.2</f>
        <v>33985451.906666666</v>
      </c>
      <c r="X23" s="73">
        <v>17</v>
      </c>
      <c r="Y23" s="64" t="s">
        <v>33</v>
      </c>
      <c r="Z23" s="41"/>
      <c r="AA23" s="45"/>
      <c r="AB23" s="46"/>
      <c r="AC23" s="47">
        <f>AC22*0.2</f>
        <v>32661566.25</v>
      </c>
    </row>
    <row r="24" spans="1:31" ht="19.5" customHeight="1" thickBot="1" x14ac:dyDescent="0.3">
      <c r="A24" s="75">
        <v>18</v>
      </c>
      <c r="B24" s="65" t="s">
        <v>34</v>
      </c>
      <c r="C24" s="66"/>
      <c r="D24" s="67"/>
      <c r="E24" s="68"/>
      <c r="F24" s="136">
        <f>F22+F23</f>
        <v>191651022.49199998</v>
      </c>
      <c r="I24" s="75">
        <v>18</v>
      </c>
      <c r="J24" s="65" t="s">
        <v>34</v>
      </c>
      <c r="K24" s="66"/>
      <c r="L24" s="67"/>
      <c r="M24" s="68"/>
      <c r="N24" s="136">
        <f>N22+N23-0.01</f>
        <v>191651022.49399999</v>
      </c>
      <c r="Q24" s="75">
        <v>18</v>
      </c>
      <c r="R24" s="65" t="s">
        <v>34</v>
      </c>
      <c r="S24" s="66"/>
      <c r="T24" s="67"/>
      <c r="U24" s="68"/>
      <c r="V24" s="136">
        <f>V22+V23</f>
        <v>203912711.44</v>
      </c>
      <c r="X24" s="75">
        <v>18</v>
      </c>
      <c r="Y24" s="65" t="s">
        <v>34</v>
      </c>
      <c r="Z24" s="66"/>
      <c r="AA24" s="67"/>
      <c r="AB24" s="68"/>
      <c r="AC24" s="136">
        <f>AC22+AC23</f>
        <v>195969397.5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137" t="s">
        <v>53</v>
      </c>
      <c r="C26" s="137"/>
      <c r="D26" s="137"/>
      <c r="E26" s="87"/>
      <c r="F26" s="107">
        <v>75700.428816399144</v>
      </c>
      <c r="G26" s="39"/>
      <c r="H26" s="39"/>
      <c r="J26" s="137" t="s">
        <v>53</v>
      </c>
      <c r="K26" s="137"/>
      <c r="L26" s="137"/>
      <c r="M26" s="87"/>
      <c r="N26" s="107">
        <f>164516389.54/L16</f>
        <v>79169.629195812944</v>
      </c>
      <c r="R26" s="137" t="s">
        <v>53</v>
      </c>
      <c r="S26" s="137"/>
      <c r="T26" s="137"/>
      <c r="U26" s="87"/>
      <c r="V26" s="107">
        <v>92775.03</v>
      </c>
      <c r="Y26" s="137" t="s">
        <v>53</v>
      </c>
      <c r="Z26" s="137"/>
      <c r="AA26" s="137"/>
      <c r="AB26" s="87"/>
      <c r="AC26" s="107">
        <v>88490.15</v>
      </c>
    </row>
    <row r="27" spans="1:31" ht="30.75" customHeight="1" x14ac:dyDescent="0.25">
      <c r="B27" s="137" t="s">
        <v>54</v>
      </c>
      <c r="C27" s="137"/>
      <c r="D27" s="137"/>
      <c r="E27" s="87"/>
      <c r="F27" s="107">
        <v>89541.292052319011</v>
      </c>
      <c r="G27" s="39"/>
      <c r="H27" s="39"/>
      <c r="J27" s="137" t="s">
        <v>54</v>
      </c>
      <c r="K27" s="137"/>
      <c r="L27" s="137"/>
      <c r="M27" s="87"/>
      <c r="N27" s="107">
        <f>185090075.82/L16</f>
        <v>89070.230093588907</v>
      </c>
      <c r="R27" s="137" t="s">
        <v>54</v>
      </c>
      <c r="S27" s="137"/>
      <c r="T27" s="137"/>
      <c r="U27" s="87"/>
      <c r="V27" s="107">
        <v>104559.79</v>
      </c>
      <c r="Y27" s="137" t="s">
        <v>54</v>
      </c>
      <c r="Z27" s="137"/>
      <c r="AA27" s="137"/>
      <c r="AB27" s="87"/>
      <c r="AC27" s="107">
        <v>100486.79</v>
      </c>
    </row>
    <row r="28" spans="1:31" ht="37.5" customHeight="1" x14ac:dyDescent="0.25">
      <c r="B28" s="137" t="s">
        <v>55</v>
      </c>
      <c r="C28" s="137"/>
      <c r="D28" s="137"/>
      <c r="E28" s="87"/>
      <c r="F28" s="107">
        <f>F24/D16</f>
        <v>92227.530813888574</v>
      </c>
      <c r="G28" s="39"/>
      <c r="H28" s="39"/>
      <c r="J28" s="137" t="s">
        <v>55</v>
      </c>
      <c r="K28" s="137"/>
      <c r="L28" s="137"/>
      <c r="M28" s="87"/>
      <c r="N28" s="107">
        <f>N24/L16</f>
        <v>92227.530814851038</v>
      </c>
      <c r="R28" s="137" t="s">
        <v>55</v>
      </c>
      <c r="S28" s="137"/>
      <c r="T28" s="137"/>
      <c r="U28" s="87"/>
      <c r="V28" s="107">
        <f>V24/T16</f>
        <v>107696.58362733707</v>
      </c>
      <c r="Y28" s="137" t="s">
        <v>55</v>
      </c>
      <c r="Z28" s="137"/>
      <c r="AA28" s="137"/>
      <c r="AB28" s="87"/>
      <c r="AC28" s="107">
        <f>AC24/AA16</f>
        <v>103501.31905566705</v>
      </c>
    </row>
  </sheetData>
  <mergeCells count="54">
    <mergeCell ref="AC3:AC10"/>
    <mergeCell ref="AA12:AB12"/>
    <mergeCell ref="AA13:AB13"/>
    <mergeCell ref="AA14:AB14"/>
    <mergeCell ref="Y26:AA26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D13:E13"/>
    <mergeCell ref="L13:M13"/>
    <mergeCell ref="T13:U13"/>
    <mergeCell ref="D14:E14"/>
    <mergeCell ref="L14:M14"/>
    <mergeCell ref="T14:U14"/>
    <mergeCell ref="L8:M8"/>
    <mergeCell ref="D9:E9"/>
    <mergeCell ref="L9:M9"/>
    <mergeCell ref="D10:E10"/>
    <mergeCell ref="L10:M10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" workbookViewId="0">
      <selection activeCell="AE23" sqref="AE23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33" t="s">
        <v>51</v>
      </c>
      <c r="G1" s="134"/>
      <c r="H1" s="134"/>
      <c r="I1" s="135"/>
      <c r="J1" s="135"/>
      <c r="K1" s="134"/>
      <c r="L1" s="135"/>
      <c r="M1" s="135"/>
      <c r="N1" s="133" t="s">
        <v>50</v>
      </c>
      <c r="O1" s="135"/>
      <c r="P1" s="135"/>
      <c r="Q1" s="135"/>
      <c r="R1" s="135"/>
      <c r="S1" s="175" t="str">
        <f>S17</f>
        <v>некорректный расчет</v>
      </c>
      <c r="T1" s="135"/>
      <c r="U1" s="135"/>
      <c r="V1" s="133" t="s">
        <v>71</v>
      </c>
      <c r="X1" s="135"/>
      <c r="Y1" s="135"/>
      <c r="Z1" s="134"/>
      <c r="AA1" s="135"/>
      <c r="AB1" s="135"/>
      <c r="AC1" s="133" t="s">
        <v>139</v>
      </c>
    </row>
    <row r="2" spans="1:31" ht="15.75" thickBot="1" x14ac:dyDescent="0.3">
      <c r="A2" s="58" t="s">
        <v>58</v>
      </c>
      <c r="B2" s="59" t="s">
        <v>38</v>
      </c>
      <c r="C2" s="60" t="s">
        <v>18</v>
      </c>
      <c r="D2" s="61" t="s">
        <v>21</v>
      </c>
      <c r="E2" s="62"/>
      <c r="F2" s="63" t="s">
        <v>32</v>
      </c>
      <c r="G2" s="1" t="s">
        <v>24</v>
      </c>
      <c r="H2" s="1"/>
      <c r="I2" s="58" t="s">
        <v>58</v>
      </c>
      <c r="J2" s="59" t="s">
        <v>38</v>
      </c>
      <c r="K2" s="60" t="s">
        <v>18</v>
      </c>
      <c r="L2" s="61" t="s">
        <v>21</v>
      </c>
      <c r="M2" s="62"/>
      <c r="N2" s="63" t="s">
        <v>32</v>
      </c>
      <c r="Q2" s="58" t="s">
        <v>58</v>
      </c>
      <c r="R2" s="59" t="s">
        <v>73</v>
      </c>
      <c r="S2" s="60" t="s">
        <v>18</v>
      </c>
      <c r="T2" s="61" t="s">
        <v>21</v>
      </c>
      <c r="U2" s="62"/>
      <c r="V2" s="63" t="s">
        <v>32</v>
      </c>
      <c r="X2" s="58" t="s">
        <v>58</v>
      </c>
      <c r="Y2" s="59" t="s">
        <v>73</v>
      </c>
      <c r="Z2" s="60" t="s">
        <v>18</v>
      </c>
      <c r="AA2" s="61" t="s">
        <v>21</v>
      </c>
      <c r="AB2" s="62"/>
      <c r="AC2" s="63" t="s">
        <v>32</v>
      </c>
    </row>
    <row r="3" spans="1:31" x14ac:dyDescent="0.25">
      <c r="A3" s="89">
        <v>1</v>
      </c>
      <c r="B3" s="92" t="s">
        <v>0</v>
      </c>
      <c r="C3" s="93" t="s">
        <v>19</v>
      </c>
      <c r="D3" s="94">
        <f>404.352+9.256</f>
        <v>413.60799999999995</v>
      </c>
      <c r="E3" s="95"/>
      <c r="F3" s="96">
        <f>40619316.42-G3</f>
        <v>10022991.91</v>
      </c>
      <c r="G3" s="36">
        <v>30596324.510000002</v>
      </c>
      <c r="H3" s="36"/>
      <c r="I3" s="89">
        <v>1</v>
      </c>
      <c r="J3" s="121" t="s">
        <v>47</v>
      </c>
      <c r="K3" s="93" t="s">
        <v>19</v>
      </c>
      <c r="L3" s="94">
        <f>404.352+9.256</f>
        <v>413.60799999999995</v>
      </c>
      <c r="M3" s="95"/>
      <c r="N3" s="115">
        <v>164516389.53999999</v>
      </c>
      <c r="Q3" s="89">
        <v>1</v>
      </c>
      <c r="R3" s="121" t="s">
        <v>47</v>
      </c>
      <c r="S3" s="118" t="s">
        <v>19</v>
      </c>
      <c r="T3" s="126">
        <v>1893.4</v>
      </c>
      <c r="U3" s="127"/>
      <c r="V3" s="115">
        <v>147799573.72999999</v>
      </c>
      <c r="X3" s="89">
        <v>1</v>
      </c>
      <c r="Y3" s="121" t="s">
        <v>47</v>
      </c>
      <c r="Z3" s="118" t="s">
        <v>19</v>
      </c>
      <c r="AA3" s="126">
        <v>1893.4</v>
      </c>
      <c r="AB3" s="127"/>
      <c r="AC3" s="115">
        <v>147799573.72999999</v>
      </c>
    </row>
    <row r="4" spans="1:31" ht="30" x14ac:dyDescent="0.25">
      <c r="A4" s="90">
        <v>2</v>
      </c>
      <c r="B4" s="97" t="s">
        <v>25</v>
      </c>
      <c r="C4" s="98" t="s">
        <v>19</v>
      </c>
      <c r="D4" s="99">
        <f>676.624</f>
        <v>676.62400000000002</v>
      </c>
      <c r="E4" s="100"/>
      <c r="F4" s="101">
        <f>77526903.96-G4</f>
        <v>28449520.749999993</v>
      </c>
      <c r="G4" s="36">
        <v>49077383.210000001</v>
      </c>
      <c r="H4" s="36"/>
      <c r="I4" s="90">
        <v>2</v>
      </c>
      <c r="J4" s="122"/>
      <c r="K4" s="98" t="s">
        <v>19</v>
      </c>
      <c r="L4" s="99">
        <f>676.624</f>
        <v>676.62400000000002</v>
      </c>
      <c r="M4" s="100"/>
      <c r="N4" s="116"/>
      <c r="Q4" s="90">
        <v>2</v>
      </c>
      <c r="R4" s="122"/>
      <c r="S4" s="119"/>
      <c r="T4" s="128"/>
      <c r="U4" s="129"/>
      <c r="V4" s="116"/>
      <c r="X4" s="90">
        <v>2</v>
      </c>
      <c r="Y4" s="122"/>
      <c r="Z4" s="119"/>
      <c r="AA4" s="128"/>
      <c r="AB4" s="129"/>
      <c r="AC4" s="116"/>
    </row>
    <row r="5" spans="1:31" x14ac:dyDescent="0.25">
      <c r="A5" s="90">
        <v>3</v>
      </c>
      <c r="B5" s="97" t="s">
        <v>26</v>
      </c>
      <c r="C5" s="98" t="s">
        <v>19</v>
      </c>
      <c r="D5" s="99">
        <v>295.15199999999999</v>
      </c>
      <c r="E5" s="100"/>
      <c r="F5" s="101">
        <f>35252578.16-G5</f>
        <v>12410042.859999996</v>
      </c>
      <c r="G5" s="36">
        <v>22842535.300000001</v>
      </c>
      <c r="H5" s="36"/>
      <c r="I5" s="90">
        <v>3</v>
      </c>
      <c r="J5" s="122"/>
      <c r="K5" s="98" t="s">
        <v>19</v>
      </c>
      <c r="L5" s="99">
        <v>295.15199999999999</v>
      </c>
      <c r="M5" s="100"/>
      <c r="N5" s="116"/>
      <c r="Q5" s="90">
        <v>3</v>
      </c>
      <c r="R5" s="122"/>
      <c r="S5" s="119"/>
      <c r="T5" s="128"/>
      <c r="U5" s="129"/>
      <c r="V5" s="116"/>
      <c r="X5" s="90">
        <v>3</v>
      </c>
      <c r="Y5" s="122"/>
      <c r="Z5" s="119"/>
      <c r="AA5" s="128"/>
      <c r="AB5" s="129"/>
      <c r="AC5" s="116"/>
    </row>
    <row r="6" spans="1:31" ht="30" x14ac:dyDescent="0.25">
      <c r="A6" s="90">
        <v>4</v>
      </c>
      <c r="B6" s="97" t="s">
        <v>8</v>
      </c>
      <c r="C6" s="98" t="s">
        <v>19</v>
      </c>
      <c r="D6" s="99">
        <v>284.85599999999999</v>
      </c>
      <c r="E6" s="100"/>
      <c r="F6" s="101">
        <f>54348406.96-G6</f>
        <v>29847559.98</v>
      </c>
      <c r="G6" s="36">
        <v>24500846.98</v>
      </c>
      <c r="H6" s="36"/>
      <c r="I6" s="90">
        <v>4</v>
      </c>
      <c r="J6" s="122"/>
      <c r="K6" s="98" t="s">
        <v>19</v>
      </c>
      <c r="L6" s="99">
        <v>284.85599999999999</v>
      </c>
      <c r="M6" s="100"/>
      <c r="N6" s="116"/>
      <c r="Q6" s="90">
        <v>4</v>
      </c>
      <c r="R6" s="122"/>
      <c r="S6" s="119"/>
      <c r="T6" s="128"/>
      <c r="U6" s="129"/>
      <c r="V6" s="116"/>
      <c r="X6" s="90">
        <v>4</v>
      </c>
      <c r="Y6" s="122"/>
      <c r="Z6" s="119"/>
      <c r="AA6" s="128"/>
      <c r="AB6" s="129"/>
      <c r="AC6" s="116"/>
    </row>
    <row r="7" spans="1:31" x14ac:dyDescent="0.25">
      <c r="A7" s="90">
        <v>5</v>
      </c>
      <c r="B7" s="97" t="s">
        <v>1</v>
      </c>
      <c r="C7" s="98" t="s">
        <v>19</v>
      </c>
      <c r="D7" s="99">
        <v>103.27200000000001</v>
      </c>
      <c r="E7" s="100"/>
      <c r="F7" s="101">
        <f>14658524.85-G7</f>
        <v>6218924.8699999992</v>
      </c>
      <c r="G7" s="36">
        <v>8439599.9800000004</v>
      </c>
      <c r="H7" s="36"/>
      <c r="I7" s="90">
        <v>5</v>
      </c>
      <c r="J7" s="122"/>
      <c r="K7" s="98" t="s">
        <v>19</v>
      </c>
      <c r="L7" s="99">
        <v>103.27200000000001</v>
      </c>
      <c r="M7" s="100"/>
      <c r="N7" s="116"/>
      <c r="Q7" s="90">
        <v>5</v>
      </c>
      <c r="R7" s="122"/>
      <c r="S7" s="119"/>
      <c r="T7" s="128"/>
      <c r="U7" s="129"/>
      <c r="V7" s="116"/>
      <c r="X7" s="90">
        <v>5</v>
      </c>
      <c r="Y7" s="122"/>
      <c r="Z7" s="119"/>
      <c r="AA7" s="128"/>
      <c r="AB7" s="129"/>
      <c r="AC7" s="116"/>
    </row>
    <row r="8" spans="1:31" ht="30" x14ac:dyDescent="0.25">
      <c r="A8" s="90">
        <v>6</v>
      </c>
      <c r="B8" s="97" t="s">
        <v>2</v>
      </c>
      <c r="C8" s="98" t="s">
        <v>19</v>
      </c>
      <c r="D8" s="99">
        <v>66.872</v>
      </c>
      <c r="E8" s="100"/>
      <c r="F8" s="101">
        <f>9352168.79-G8</f>
        <v>4525782.0099999988</v>
      </c>
      <c r="G8" s="36">
        <v>4826386.78</v>
      </c>
      <c r="H8" s="36"/>
      <c r="I8" s="90">
        <v>6</v>
      </c>
      <c r="J8" s="122"/>
      <c r="K8" s="98" t="s">
        <v>19</v>
      </c>
      <c r="L8" s="99">
        <v>66.872</v>
      </c>
      <c r="M8" s="100"/>
      <c r="N8" s="116"/>
      <c r="Q8" s="90">
        <v>6</v>
      </c>
      <c r="R8" s="122"/>
      <c r="S8" s="119"/>
      <c r="T8" s="128"/>
      <c r="U8" s="129"/>
      <c r="V8" s="116"/>
      <c r="X8" s="90">
        <v>6</v>
      </c>
      <c r="Y8" s="122"/>
      <c r="Z8" s="119"/>
      <c r="AA8" s="128"/>
      <c r="AB8" s="129"/>
      <c r="AC8" s="116"/>
    </row>
    <row r="9" spans="1:31" x14ac:dyDescent="0.25">
      <c r="A9" s="90">
        <v>7</v>
      </c>
      <c r="B9" s="97" t="s">
        <v>3</v>
      </c>
      <c r="C9" s="98" t="s">
        <v>19</v>
      </c>
      <c r="D9" s="99">
        <v>233.27199999999999</v>
      </c>
      <c r="E9" s="100"/>
      <c r="F9" s="101">
        <f>34523672.98-G9</f>
        <v>17401032.069999997</v>
      </c>
      <c r="G9" s="36">
        <v>17122640.91</v>
      </c>
      <c r="H9" s="36"/>
      <c r="I9" s="90">
        <v>7</v>
      </c>
      <c r="J9" s="122"/>
      <c r="K9" s="98" t="s">
        <v>19</v>
      </c>
      <c r="L9" s="99">
        <v>233.27199999999999</v>
      </c>
      <c r="M9" s="100"/>
      <c r="N9" s="116"/>
      <c r="Q9" s="90">
        <v>7</v>
      </c>
      <c r="R9" s="122"/>
      <c r="S9" s="119"/>
      <c r="T9" s="128"/>
      <c r="U9" s="129"/>
      <c r="V9" s="116"/>
      <c r="X9" s="90">
        <v>7</v>
      </c>
      <c r="Y9" s="122"/>
      <c r="Z9" s="119"/>
      <c r="AA9" s="128"/>
      <c r="AB9" s="129"/>
      <c r="AC9" s="116"/>
    </row>
    <row r="10" spans="1:31" ht="15.75" thickBot="1" x14ac:dyDescent="0.3">
      <c r="A10" s="91">
        <v>8</v>
      </c>
      <c r="B10" s="102" t="s">
        <v>4</v>
      </c>
      <c r="C10" s="103" t="s">
        <v>19</v>
      </c>
      <c r="D10" s="104">
        <v>4.3680000000000003</v>
      </c>
      <c r="E10" s="105"/>
      <c r="F10" s="106">
        <f>1043243.99-G10</f>
        <v>714028.58000000007</v>
      </c>
      <c r="G10" s="36">
        <v>329215.40999999997</v>
      </c>
      <c r="H10" s="36"/>
      <c r="I10" s="91">
        <v>8</v>
      </c>
      <c r="J10" s="123"/>
      <c r="K10" s="103" t="s">
        <v>19</v>
      </c>
      <c r="L10" s="104">
        <v>4.3680000000000003</v>
      </c>
      <c r="M10" s="105"/>
      <c r="N10" s="117"/>
      <c r="Q10" s="91">
        <v>8</v>
      </c>
      <c r="R10" s="123"/>
      <c r="S10" s="120"/>
      <c r="T10" s="130"/>
      <c r="U10" s="131"/>
      <c r="V10" s="117"/>
      <c r="X10" s="91">
        <v>8</v>
      </c>
      <c r="Y10" s="123"/>
      <c r="Z10" s="120"/>
      <c r="AA10" s="130"/>
      <c r="AB10" s="131"/>
      <c r="AC10" s="117"/>
    </row>
    <row r="11" spans="1:31" ht="2.25" customHeight="1" thickTop="1" x14ac:dyDescent="0.25">
      <c r="A11" s="109"/>
      <c r="B11" s="110"/>
      <c r="C11" s="111"/>
      <c r="D11" s="112"/>
      <c r="E11" s="113"/>
      <c r="F11" s="114"/>
      <c r="G11" s="36"/>
      <c r="H11" s="36"/>
      <c r="I11" s="109"/>
      <c r="J11" s="110"/>
      <c r="K11" s="111"/>
      <c r="L11" s="112"/>
      <c r="M11" s="113"/>
      <c r="N11" s="114"/>
      <c r="Q11" s="109"/>
      <c r="R11" s="110"/>
      <c r="S11" s="111"/>
      <c r="T11" s="112"/>
      <c r="U11" s="113"/>
      <c r="V11" s="114"/>
      <c r="X11" s="109"/>
      <c r="Y11" s="110"/>
      <c r="Z11" s="111"/>
      <c r="AA11" s="112"/>
      <c r="AB11" s="113"/>
      <c r="AC11" s="114"/>
    </row>
    <row r="12" spans="1:31" x14ac:dyDescent="0.25">
      <c r="A12" s="57">
        <v>9</v>
      </c>
      <c r="B12" s="54" t="s">
        <v>27</v>
      </c>
      <c r="C12" s="42" t="s">
        <v>29</v>
      </c>
      <c r="D12" s="49" t="s">
        <v>31</v>
      </c>
      <c r="E12" s="50"/>
      <c r="F12" s="43">
        <f>9769288.11-G12</f>
        <v>3704032.4099999992</v>
      </c>
      <c r="G12" s="36">
        <v>6065255.7000000002</v>
      </c>
      <c r="H12" s="36"/>
      <c r="I12" s="57">
        <v>9</v>
      </c>
      <c r="J12" s="54" t="s">
        <v>27</v>
      </c>
      <c r="K12" s="42" t="s">
        <v>29</v>
      </c>
      <c r="L12" s="49" t="s">
        <v>31</v>
      </c>
      <c r="M12" s="50"/>
      <c r="N12" s="43">
        <f>9769288.11-O12</f>
        <v>9769288.1099999994</v>
      </c>
      <c r="Q12" s="57">
        <v>9</v>
      </c>
      <c r="R12" s="54" t="s">
        <v>27</v>
      </c>
      <c r="S12" s="42" t="s">
        <v>29</v>
      </c>
      <c r="T12" s="49" t="s">
        <v>31</v>
      </c>
      <c r="U12" s="50"/>
      <c r="V12" s="43">
        <v>3704032.4099999992</v>
      </c>
      <c r="X12" s="57">
        <v>9</v>
      </c>
      <c r="Y12" s="54" t="s">
        <v>27</v>
      </c>
      <c r="Z12" s="42" t="s">
        <v>29</v>
      </c>
      <c r="AA12" s="49" t="s">
        <v>31</v>
      </c>
      <c r="AB12" s="50"/>
      <c r="AC12" s="43">
        <v>3704032.4099999992</v>
      </c>
    </row>
    <row r="13" spans="1:31" x14ac:dyDescent="0.25">
      <c r="A13" s="56">
        <v>10</v>
      </c>
      <c r="B13" s="55" t="s">
        <v>28</v>
      </c>
      <c r="C13" s="40" t="s">
        <v>29</v>
      </c>
      <c r="D13" s="51" t="s">
        <v>30</v>
      </c>
      <c r="E13" s="52"/>
      <c r="F13" s="29">
        <f>22373496.67-G13</f>
        <v>15227354.290000003</v>
      </c>
      <c r="G13" s="36">
        <v>7146142.3799999999</v>
      </c>
      <c r="H13" s="36"/>
      <c r="I13" s="56">
        <v>10</v>
      </c>
      <c r="J13" s="55" t="s">
        <v>28</v>
      </c>
      <c r="K13" s="40" t="s">
        <v>29</v>
      </c>
      <c r="L13" s="51" t="s">
        <v>30</v>
      </c>
      <c r="M13" s="52"/>
      <c r="N13" s="29">
        <f>22373496.67-O13</f>
        <v>22373496.670000002</v>
      </c>
      <c r="Q13" s="56">
        <v>10</v>
      </c>
      <c r="R13" s="55" t="s">
        <v>28</v>
      </c>
      <c r="S13" s="40" t="s">
        <v>29</v>
      </c>
      <c r="T13" s="51" t="s">
        <v>30</v>
      </c>
      <c r="U13" s="52"/>
      <c r="V13" s="29">
        <v>15227354.290000003</v>
      </c>
      <c r="X13" s="56">
        <v>10</v>
      </c>
      <c r="Y13" s="55" t="s">
        <v>28</v>
      </c>
      <c r="Z13" s="40" t="s">
        <v>29</v>
      </c>
      <c r="AA13" s="51" t="s">
        <v>30</v>
      </c>
      <c r="AB13" s="52"/>
      <c r="AC13" s="29">
        <v>15227354.290000003</v>
      </c>
    </row>
    <row r="14" spans="1:31" ht="15.75" thickBot="1" x14ac:dyDescent="0.3">
      <c r="A14" s="76">
        <v>11</v>
      </c>
      <c r="B14" s="77" t="s">
        <v>17</v>
      </c>
      <c r="C14" s="78" t="s">
        <v>20</v>
      </c>
      <c r="D14" s="79">
        <f>47.6596*100</f>
        <v>4765.96</v>
      </c>
      <c r="E14" s="80"/>
      <c r="F14" s="81">
        <v>1105733.3899999999</v>
      </c>
      <c r="G14" s="36"/>
      <c r="H14" s="36"/>
      <c r="I14" s="76">
        <v>11</v>
      </c>
      <c r="J14" s="77" t="s">
        <v>17</v>
      </c>
      <c r="K14" s="78" t="s">
        <v>20</v>
      </c>
      <c r="L14" s="79">
        <f>47.6596*100</f>
        <v>4765.96</v>
      </c>
      <c r="M14" s="80"/>
      <c r="N14" s="81">
        <v>1105733.3899999999</v>
      </c>
      <c r="Q14" s="76">
        <v>11</v>
      </c>
      <c r="R14" s="77" t="s">
        <v>17</v>
      </c>
      <c r="S14" s="78" t="s">
        <v>20</v>
      </c>
      <c r="T14" s="79">
        <f>47.6596*100</f>
        <v>4765.96</v>
      </c>
      <c r="U14" s="80"/>
      <c r="V14" s="81">
        <v>1105733.3899999999</v>
      </c>
      <c r="X14" s="76">
        <v>11</v>
      </c>
      <c r="Y14" s="77" t="s">
        <v>17</v>
      </c>
      <c r="Z14" s="78" t="s">
        <v>20</v>
      </c>
      <c r="AA14" s="79">
        <f>47.6596*100</f>
        <v>4765.96</v>
      </c>
      <c r="AB14" s="80"/>
      <c r="AC14" s="81">
        <v>1105733.3899999999</v>
      </c>
    </row>
    <row r="15" spans="1:31" ht="6" customHeight="1" thickBot="1" x14ac:dyDescent="0.3">
      <c r="A15" s="82"/>
      <c r="B15" s="83"/>
      <c r="C15" s="84"/>
      <c r="D15" s="85"/>
      <c r="E15" s="85"/>
      <c r="F15" s="86"/>
      <c r="I15" s="82"/>
      <c r="J15" s="83"/>
      <c r="K15" s="84"/>
      <c r="L15" s="85"/>
      <c r="M15" s="85"/>
      <c r="N15" s="86"/>
      <c r="Q15" s="82"/>
      <c r="R15" s="83"/>
      <c r="S15" s="84"/>
      <c r="T15" s="85"/>
      <c r="U15" s="85"/>
      <c r="V15" s="86"/>
      <c r="X15" s="82"/>
      <c r="Y15" s="83"/>
      <c r="Z15" s="84"/>
      <c r="AA15" s="85"/>
      <c r="AB15" s="85"/>
      <c r="AC15" s="86"/>
    </row>
    <row r="16" spans="1:31" ht="19.5" customHeight="1" thickBot="1" x14ac:dyDescent="0.3">
      <c r="A16" s="75">
        <v>12</v>
      </c>
      <c r="B16" s="65" t="s">
        <v>22</v>
      </c>
      <c r="C16" s="66"/>
      <c r="D16" s="67">
        <f>SUM(D3:E10)</f>
        <v>2078.0239999999999</v>
      </c>
      <c r="E16" s="68" t="s">
        <v>19</v>
      </c>
      <c r="F16" s="69">
        <f>SUM(F3:F14)</f>
        <v>129627003.12</v>
      </c>
      <c r="G16" s="36">
        <f>SUM(G3:G13)</f>
        <v>170946331.15999997</v>
      </c>
      <c r="H16" s="36"/>
      <c r="I16" s="75">
        <v>12</v>
      </c>
      <c r="J16" s="65" t="s">
        <v>22</v>
      </c>
      <c r="K16" s="66"/>
      <c r="L16" s="67">
        <f>SUM(L3:M10)</f>
        <v>2078.0239999999999</v>
      </c>
      <c r="M16" s="68" t="s">
        <v>19</v>
      </c>
      <c r="N16" s="69">
        <f>SUM(N3:N14)</f>
        <v>197764907.70999998</v>
      </c>
      <c r="Q16" s="75">
        <v>12</v>
      </c>
      <c r="R16" s="65" t="s">
        <v>22</v>
      </c>
      <c r="S16" s="66"/>
      <c r="T16" s="67">
        <f>SUM(T3:U10)</f>
        <v>1893.4</v>
      </c>
      <c r="U16" s="68" t="s">
        <v>19</v>
      </c>
      <c r="V16" s="69">
        <f>SUM(V3:V14)</f>
        <v>167836693.81999996</v>
      </c>
      <c r="X16" s="75">
        <v>12</v>
      </c>
      <c r="Y16" s="65" t="s">
        <v>22</v>
      </c>
      <c r="Z16" s="66"/>
      <c r="AA16" s="67">
        <f>SUM(AA3:AB10)</f>
        <v>1893.4</v>
      </c>
      <c r="AB16" s="68" t="s">
        <v>19</v>
      </c>
      <c r="AC16" s="69">
        <f>SUM(AC3:AC14)</f>
        <v>167836693.81999996</v>
      </c>
      <c r="AE16" s="25"/>
    </row>
    <row r="17" spans="1:31" ht="19.5" customHeight="1" thickBot="1" x14ac:dyDescent="0.3">
      <c r="A17" s="75">
        <v>12</v>
      </c>
      <c r="B17" s="65" t="s">
        <v>22</v>
      </c>
      <c r="C17" s="66"/>
      <c r="D17" s="67">
        <f>SUM(D3:E10)</f>
        <v>2078.0239999999999</v>
      </c>
      <c r="E17" s="68" t="s">
        <v>19</v>
      </c>
      <c r="F17" s="69">
        <f>SUM(F3:F14)</f>
        <v>129627003.12</v>
      </c>
      <c r="G17" s="36">
        <f>SUM(G3:G13)</f>
        <v>170946331.15999997</v>
      </c>
      <c r="H17" s="36"/>
      <c r="I17" s="75">
        <v>12</v>
      </c>
      <c r="J17" s="65" t="s">
        <v>22</v>
      </c>
      <c r="K17" s="66"/>
      <c r="L17" s="67">
        <f>SUM(L3:M10)</f>
        <v>2078.0239999999999</v>
      </c>
      <c r="M17" s="68" t="s">
        <v>19</v>
      </c>
      <c r="N17" s="69">
        <f>SUM(N3:N14)</f>
        <v>197764907.70999998</v>
      </c>
      <c r="Q17" s="75">
        <v>12</v>
      </c>
      <c r="R17" s="65" t="s">
        <v>72</v>
      </c>
      <c r="S17" s="174" t="s">
        <v>74</v>
      </c>
      <c r="T17" s="67"/>
      <c r="U17" s="68"/>
      <c r="V17" s="69">
        <v>9941805.3699999992</v>
      </c>
      <c r="X17" s="75">
        <v>12</v>
      </c>
      <c r="Y17" s="65" t="s">
        <v>72</v>
      </c>
      <c r="Z17" s="174" t="s">
        <v>75</v>
      </c>
      <c r="AA17" s="67"/>
      <c r="AB17" s="68"/>
      <c r="AC17" s="69">
        <f>AC16*0.021</f>
        <v>3524570.5702199996</v>
      </c>
      <c r="AE17" s="25"/>
    </row>
    <row r="18" spans="1:31" ht="19.5" customHeight="1" thickBot="1" x14ac:dyDescent="0.3">
      <c r="A18" s="75">
        <v>12</v>
      </c>
      <c r="B18" s="65" t="s">
        <v>22</v>
      </c>
      <c r="C18" s="66"/>
      <c r="D18" s="67">
        <f>SUM(D4:E11)</f>
        <v>1664.4159999999999</v>
      </c>
      <c r="E18" s="68" t="s">
        <v>19</v>
      </c>
      <c r="F18" s="69">
        <f>SUM(F4:F15)</f>
        <v>119604011.20999999</v>
      </c>
      <c r="G18" s="36">
        <f>SUM(G4:G14)</f>
        <v>140350006.65000001</v>
      </c>
      <c r="H18" s="36"/>
      <c r="I18" s="75">
        <v>12</v>
      </c>
      <c r="J18" s="65" t="s">
        <v>22</v>
      </c>
      <c r="K18" s="66"/>
      <c r="L18" s="67">
        <f>SUM(L4:M11)</f>
        <v>1664.4159999999999</v>
      </c>
      <c r="M18" s="68" t="s">
        <v>19</v>
      </c>
      <c r="N18" s="69">
        <f>SUM(N4:N15)</f>
        <v>33248518.170000002</v>
      </c>
      <c r="Q18" s="75">
        <v>12</v>
      </c>
      <c r="R18" s="65" t="s">
        <v>22</v>
      </c>
      <c r="S18" s="66"/>
      <c r="T18" s="67"/>
      <c r="U18" s="68"/>
      <c r="V18" s="69">
        <f>V16+V17</f>
        <v>177778499.18999997</v>
      </c>
      <c r="X18" s="75">
        <v>12</v>
      </c>
      <c r="Y18" s="65" t="s">
        <v>22</v>
      </c>
      <c r="Z18" s="66"/>
      <c r="AA18" s="67"/>
      <c r="AB18" s="68"/>
      <c r="AC18" s="69">
        <f>AC16+AC17</f>
        <v>171361264.39021996</v>
      </c>
      <c r="AE18" s="25"/>
    </row>
    <row r="19" spans="1:31" ht="30.75" thickBot="1" x14ac:dyDescent="0.3">
      <c r="A19" s="73">
        <v>13</v>
      </c>
      <c r="B19" s="64" t="s">
        <v>23</v>
      </c>
      <c r="C19" s="41"/>
      <c r="D19" s="45"/>
      <c r="E19" s="46"/>
      <c r="F19" s="47">
        <f>F16*0.03</f>
        <v>3888810.0935999998</v>
      </c>
      <c r="I19" s="73">
        <v>13</v>
      </c>
      <c r="J19" s="64" t="s">
        <v>23</v>
      </c>
      <c r="K19" s="41"/>
      <c r="L19" s="45"/>
      <c r="M19" s="46"/>
      <c r="N19" s="47">
        <f>N16*0.03</f>
        <v>5932947.2312999992</v>
      </c>
      <c r="Q19" s="73">
        <v>13</v>
      </c>
      <c r="R19" s="64" t="s">
        <v>23</v>
      </c>
      <c r="S19" s="41"/>
      <c r="T19" s="45"/>
      <c r="U19" s="46"/>
      <c r="V19" s="47">
        <f>V18*0.03</f>
        <v>5333354.9756999984</v>
      </c>
      <c r="X19" s="73">
        <v>13</v>
      </c>
      <c r="Y19" s="64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74">
        <v>14</v>
      </c>
      <c r="B20" s="70" t="s">
        <v>36</v>
      </c>
      <c r="C20" s="48"/>
      <c r="D20" s="71"/>
      <c r="E20" s="44"/>
      <c r="F20" s="72">
        <f>F16+F19</f>
        <v>133515813.21360001</v>
      </c>
      <c r="G20" s="36"/>
      <c r="H20" s="36"/>
      <c r="I20" s="74">
        <v>14</v>
      </c>
      <c r="J20" s="70" t="s">
        <v>36</v>
      </c>
      <c r="K20" s="48"/>
      <c r="L20" s="71"/>
      <c r="M20" s="44"/>
      <c r="N20" s="72">
        <f>N16+N19</f>
        <v>203697854.94129997</v>
      </c>
      <c r="Q20" s="74">
        <v>14</v>
      </c>
      <c r="R20" s="268" t="s">
        <v>36</v>
      </c>
      <c r="S20" s="269"/>
      <c r="T20" s="270"/>
      <c r="U20" s="271"/>
      <c r="V20" s="272">
        <f>V18+V19</f>
        <v>183111854.16569996</v>
      </c>
      <c r="X20" s="260">
        <v>14</v>
      </c>
      <c r="Y20" s="53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74"/>
      <c r="B21" s="70"/>
      <c r="C21" s="48"/>
      <c r="D21" s="71"/>
      <c r="E21" s="44"/>
      <c r="F21" s="72"/>
      <c r="I21" s="74"/>
      <c r="J21" s="70"/>
      <c r="K21" s="48"/>
      <c r="L21" s="71"/>
      <c r="M21" s="44"/>
      <c r="N21" s="72"/>
      <c r="Q21" s="273"/>
      <c r="R21" s="274" t="s">
        <v>138</v>
      </c>
      <c r="S21" s="275"/>
      <c r="T21" s="276"/>
      <c r="U21" s="277"/>
      <c r="V21" s="278">
        <f>V20*0.06</f>
        <v>10986711.249941997</v>
      </c>
      <c r="X21" s="262"/>
      <c r="Y21" s="263" t="s">
        <v>138</v>
      </c>
      <c r="Z21" s="264"/>
      <c r="AA21" s="265"/>
      <c r="AB21" s="266"/>
      <c r="AC21" s="267">
        <f>AC20*0.06</f>
        <v>10590126.139315594</v>
      </c>
    </row>
    <row r="22" spans="1:31" ht="19.5" customHeight="1" thickBot="1" x14ac:dyDescent="0.3">
      <c r="A22" s="74">
        <v>16</v>
      </c>
      <c r="B22" s="70" t="s">
        <v>22</v>
      </c>
      <c r="C22" s="48"/>
      <c r="D22" s="71"/>
      <c r="E22" s="44"/>
      <c r="F22" s="72">
        <f>F21</f>
        <v>0</v>
      </c>
      <c r="I22" s="74">
        <v>16</v>
      </c>
      <c r="J22" s="70" t="s">
        <v>22</v>
      </c>
      <c r="K22" s="48"/>
      <c r="L22" s="71"/>
      <c r="M22" s="44"/>
      <c r="N22" s="72">
        <f>N21</f>
        <v>0</v>
      </c>
      <c r="Q22" s="74">
        <v>16</v>
      </c>
      <c r="R22" s="65" t="s">
        <v>22</v>
      </c>
      <c r="S22" s="66"/>
      <c r="T22" s="67"/>
      <c r="U22" s="68"/>
      <c r="V22" s="69">
        <f>V20+V21</f>
        <v>194098565.41564196</v>
      </c>
      <c r="X22" s="73">
        <v>16</v>
      </c>
      <c r="Y22" s="64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73">
        <v>15</v>
      </c>
      <c r="B23" s="64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73">
        <v>15</v>
      </c>
      <c r="J23" s="64" t="s">
        <v>57</v>
      </c>
      <c r="K23" s="41"/>
      <c r="L23" s="45"/>
      <c r="M23" s="46"/>
      <c r="N23" s="47">
        <f>N20*O23</f>
        <v>159709185.41999999</v>
      </c>
      <c r="O23" s="125">
        <v>0.78404942195401961</v>
      </c>
      <c r="Q23" s="73">
        <v>15</v>
      </c>
      <c r="R23" s="64" t="s">
        <v>56</v>
      </c>
      <c r="S23" s="41"/>
      <c r="T23" s="45"/>
      <c r="U23" s="46"/>
      <c r="V23" s="47">
        <f>V22*W23</f>
        <v>180845636.55000001</v>
      </c>
      <c r="W23" s="173">
        <v>0.93172062432680958</v>
      </c>
      <c r="X23" s="73">
        <v>15</v>
      </c>
      <c r="Y23" s="64" t="s">
        <v>56</v>
      </c>
      <c r="Z23" s="41"/>
      <c r="AA23" s="45"/>
      <c r="AB23" s="46"/>
      <c r="AC23" s="47">
        <f>AC22*AD23</f>
        <v>173828188.01666665</v>
      </c>
      <c r="AD23" s="173">
        <v>0.92910426823355052</v>
      </c>
    </row>
    <row r="24" spans="1:31" ht="19.5" customHeight="1" thickBot="1" x14ac:dyDescent="0.3">
      <c r="A24" s="74">
        <v>16</v>
      </c>
      <c r="B24" s="70" t="s">
        <v>22</v>
      </c>
      <c r="C24" s="48"/>
      <c r="D24" s="71"/>
      <c r="E24" s="44"/>
      <c r="F24" s="72">
        <f>F23</f>
        <v>159709185.41</v>
      </c>
      <c r="I24" s="74">
        <v>16</v>
      </c>
      <c r="J24" s="70" t="s">
        <v>22</v>
      </c>
      <c r="K24" s="48"/>
      <c r="L24" s="71"/>
      <c r="M24" s="44"/>
      <c r="N24" s="72">
        <f>N23</f>
        <v>159709185.41999999</v>
      </c>
      <c r="Q24" s="74">
        <v>16</v>
      </c>
      <c r="R24" s="64" t="s">
        <v>22</v>
      </c>
      <c r="S24" s="41"/>
      <c r="T24" s="45"/>
      <c r="U24" s="46"/>
      <c r="V24" s="47">
        <f>V23</f>
        <v>180845636.55000001</v>
      </c>
      <c r="X24" s="73">
        <v>16</v>
      </c>
      <c r="Y24" s="64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73">
        <v>17</v>
      </c>
      <c r="B25" s="64" t="s">
        <v>33</v>
      </c>
      <c r="C25" s="41"/>
      <c r="D25" s="45"/>
      <c r="E25" s="46"/>
      <c r="F25" s="47">
        <f>F24*0.2</f>
        <v>31941837.082000002</v>
      </c>
      <c r="I25" s="73">
        <v>17</v>
      </c>
      <c r="J25" s="64" t="s">
        <v>33</v>
      </c>
      <c r="K25" s="41"/>
      <c r="L25" s="45"/>
      <c r="M25" s="46"/>
      <c r="N25" s="47">
        <f>N24*0.2</f>
        <v>31941837.083999999</v>
      </c>
      <c r="Q25" s="73">
        <v>17</v>
      </c>
      <c r="R25" s="64" t="s">
        <v>33</v>
      </c>
      <c r="S25" s="41"/>
      <c r="T25" s="45"/>
      <c r="U25" s="46"/>
      <c r="V25" s="47">
        <f>V24*0.2</f>
        <v>36169127.310000002</v>
      </c>
      <c r="X25" s="73">
        <v>17</v>
      </c>
      <c r="Y25" s="64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75">
        <v>18</v>
      </c>
      <c r="B26" s="65" t="s">
        <v>34</v>
      </c>
      <c r="C26" s="66"/>
      <c r="D26" s="67"/>
      <c r="E26" s="68"/>
      <c r="F26" s="136">
        <f>F24+F25</f>
        <v>191651022.49199998</v>
      </c>
      <c r="I26" s="75">
        <v>18</v>
      </c>
      <c r="J26" s="65" t="s">
        <v>34</v>
      </c>
      <c r="K26" s="66"/>
      <c r="L26" s="67"/>
      <c r="M26" s="68"/>
      <c r="N26" s="136">
        <f>N24+N25-0.01</f>
        <v>191651022.49399999</v>
      </c>
      <c r="Q26" s="75">
        <v>18</v>
      </c>
      <c r="R26" s="65" t="s">
        <v>34</v>
      </c>
      <c r="S26" s="66"/>
      <c r="T26" s="67"/>
      <c r="U26" s="68"/>
      <c r="V26" s="136">
        <f>V24+V25</f>
        <v>217014763.86000001</v>
      </c>
      <c r="X26" s="75">
        <v>18</v>
      </c>
      <c r="Y26" s="65" t="s">
        <v>34</v>
      </c>
      <c r="Z26" s="66"/>
      <c r="AA26" s="67"/>
      <c r="AB26" s="68"/>
      <c r="AC26" s="136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137" t="s">
        <v>53</v>
      </c>
      <c r="C28" s="137"/>
      <c r="D28" s="137"/>
      <c r="E28" s="87"/>
      <c r="F28" s="107">
        <v>75700.428816399144</v>
      </c>
      <c r="G28" s="39"/>
      <c r="H28" s="39"/>
      <c r="J28" s="137" t="s">
        <v>53</v>
      </c>
      <c r="K28" s="137"/>
      <c r="L28" s="137"/>
      <c r="M28" s="87"/>
      <c r="N28" s="107">
        <f>164516389.54/L16</f>
        <v>79169.629195812944</v>
      </c>
      <c r="R28" s="137" t="s">
        <v>53</v>
      </c>
      <c r="S28" s="137"/>
      <c r="T28" s="137"/>
      <c r="U28" s="87"/>
      <c r="V28" s="107">
        <v>98736.12</v>
      </c>
      <c r="Y28" s="137" t="s">
        <v>53</v>
      </c>
      <c r="Z28" s="137"/>
      <c r="AA28" s="137"/>
      <c r="AB28" s="87"/>
      <c r="AC28" s="107">
        <v>94190.720000000001</v>
      </c>
    </row>
    <row r="29" spans="1:31" ht="30.75" customHeight="1" x14ac:dyDescent="0.25">
      <c r="B29" s="137" t="s">
        <v>54</v>
      </c>
      <c r="C29" s="137"/>
      <c r="D29" s="137"/>
      <c r="E29" s="87"/>
      <c r="F29" s="107">
        <v>89541.292052319011</v>
      </c>
      <c r="G29" s="39"/>
      <c r="H29" s="39"/>
      <c r="J29" s="137" t="s">
        <v>54</v>
      </c>
      <c r="K29" s="137"/>
      <c r="L29" s="137"/>
      <c r="M29" s="87"/>
      <c r="N29" s="107">
        <f>185090075.82/L16</f>
        <v>89070.230093588907</v>
      </c>
      <c r="R29" s="137" t="s">
        <v>54</v>
      </c>
      <c r="S29" s="137"/>
      <c r="T29" s="137"/>
      <c r="U29" s="87"/>
      <c r="V29" s="107">
        <v>101698.21</v>
      </c>
      <c r="Y29" s="137" t="s">
        <v>54</v>
      </c>
      <c r="Z29" s="137"/>
      <c r="AA29" s="137"/>
      <c r="AB29" s="87"/>
      <c r="AC29" s="107">
        <v>106960.11</v>
      </c>
    </row>
    <row r="30" spans="1:31" ht="37.5" customHeight="1" x14ac:dyDescent="0.25">
      <c r="B30" s="137" t="s">
        <v>55</v>
      </c>
      <c r="C30" s="137"/>
      <c r="D30" s="137"/>
      <c r="E30" s="87"/>
      <c r="F30" s="107">
        <f>F26/D16</f>
        <v>92227.530813888574</v>
      </c>
      <c r="G30" s="39"/>
      <c r="H30" s="39"/>
      <c r="J30" s="137" t="s">
        <v>55</v>
      </c>
      <c r="K30" s="137"/>
      <c r="L30" s="137"/>
      <c r="M30" s="87"/>
      <c r="N30" s="107">
        <f>N26/L16</f>
        <v>92227.530814851038</v>
      </c>
      <c r="R30" s="137" t="s">
        <v>55</v>
      </c>
      <c r="S30" s="137"/>
      <c r="T30" s="137"/>
      <c r="U30" s="87"/>
      <c r="V30" s="107">
        <f>V26/T16</f>
        <v>114616.43807964509</v>
      </c>
      <c r="Y30" s="137" t="s">
        <v>55</v>
      </c>
      <c r="Z30" s="137"/>
      <c r="AA30" s="137"/>
      <c r="AB30" s="87"/>
      <c r="AC30" s="107">
        <f>AC26/AA16</f>
        <v>110168.91603464665</v>
      </c>
    </row>
  </sheetData>
  <mergeCells count="54"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  <mergeCell ref="D13:E13"/>
    <mergeCell ref="L13:M13"/>
    <mergeCell ref="T13:U13"/>
    <mergeCell ref="AA13:AB13"/>
    <mergeCell ref="D14:E14"/>
    <mergeCell ref="L14:M14"/>
    <mergeCell ref="T14:U14"/>
    <mergeCell ref="AA14:AB14"/>
    <mergeCell ref="D10:E10"/>
    <mergeCell ref="L10:M10"/>
    <mergeCell ref="D12:E12"/>
    <mergeCell ref="L12:M12"/>
    <mergeCell ref="T12:U12"/>
    <mergeCell ref="AA12:AB12"/>
    <mergeCell ref="D7:E7"/>
    <mergeCell ref="L7:M7"/>
    <mergeCell ref="D8:E8"/>
    <mergeCell ref="L8:M8"/>
    <mergeCell ref="D9:E9"/>
    <mergeCell ref="L9:M9"/>
    <mergeCell ref="D4:E4"/>
    <mergeCell ref="L4:M4"/>
    <mergeCell ref="D5:E5"/>
    <mergeCell ref="L5:M5"/>
    <mergeCell ref="D6:E6"/>
    <mergeCell ref="L6:M6"/>
    <mergeCell ref="T3:U10"/>
    <mergeCell ref="V3:V10"/>
    <mergeCell ref="Y3:Y10"/>
    <mergeCell ref="Z3:Z10"/>
    <mergeCell ref="AA3:AB10"/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zoomScale="115" zoomScaleNormal="115" zoomScaleSheetLayoutView="120" workbookViewId="0">
      <selection activeCell="E3" sqref="E3"/>
    </sheetView>
  </sheetViews>
  <sheetFormatPr defaultColWidth="11.42578125" defaultRowHeight="12.75" x14ac:dyDescent="0.2"/>
  <cols>
    <col min="1" max="1" width="40.7109375" style="154" customWidth="1"/>
    <col min="2" max="2" width="17.85546875" style="154" customWidth="1"/>
    <col min="3" max="4" width="17.7109375" style="154" customWidth="1"/>
    <col min="5" max="5" width="17.28515625" style="154" customWidth="1"/>
    <col min="6" max="6" width="22.7109375" style="154" customWidth="1"/>
    <col min="7" max="7" width="15.7109375" style="154" customWidth="1"/>
    <col min="8" max="10" width="11.42578125" style="154"/>
    <col min="11" max="11" width="15" style="154" bestFit="1" customWidth="1"/>
    <col min="12" max="256" width="11.42578125" style="154"/>
    <col min="257" max="257" width="40.7109375" style="154" customWidth="1"/>
    <col min="258" max="258" width="17.85546875" style="154" customWidth="1"/>
    <col min="259" max="259" width="17.7109375" style="154" customWidth="1"/>
    <col min="260" max="260" width="16.140625" style="154" customWidth="1"/>
    <col min="261" max="261" width="17.28515625" style="154" customWidth="1"/>
    <col min="262" max="262" width="22.7109375" style="154" customWidth="1"/>
    <col min="263" max="263" width="15.7109375" style="154" customWidth="1"/>
    <col min="264" max="266" width="11.42578125" style="154"/>
    <col min="267" max="267" width="15" style="154" bestFit="1" customWidth="1"/>
    <col min="268" max="512" width="11.42578125" style="154"/>
    <col min="513" max="513" width="40.7109375" style="154" customWidth="1"/>
    <col min="514" max="514" width="17.85546875" style="154" customWidth="1"/>
    <col min="515" max="515" width="17.7109375" style="154" customWidth="1"/>
    <col min="516" max="516" width="16.140625" style="154" customWidth="1"/>
    <col min="517" max="517" width="17.28515625" style="154" customWidth="1"/>
    <col min="518" max="518" width="22.7109375" style="154" customWidth="1"/>
    <col min="519" max="519" width="15.7109375" style="154" customWidth="1"/>
    <col min="520" max="522" width="11.42578125" style="154"/>
    <col min="523" max="523" width="15" style="154" bestFit="1" customWidth="1"/>
    <col min="524" max="768" width="11.42578125" style="154"/>
    <col min="769" max="769" width="40.7109375" style="154" customWidth="1"/>
    <col min="770" max="770" width="17.85546875" style="154" customWidth="1"/>
    <col min="771" max="771" width="17.7109375" style="154" customWidth="1"/>
    <col min="772" max="772" width="16.140625" style="154" customWidth="1"/>
    <col min="773" max="773" width="17.28515625" style="154" customWidth="1"/>
    <col min="774" max="774" width="22.7109375" style="154" customWidth="1"/>
    <col min="775" max="775" width="15.7109375" style="154" customWidth="1"/>
    <col min="776" max="778" width="11.42578125" style="154"/>
    <col min="779" max="779" width="15" style="154" bestFit="1" customWidth="1"/>
    <col min="780" max="1024" width="11.42578125" style="154"/>
    <col min="1025" max="1025" width="40.7109375" style="154" customWidth="1"/>
    <col min="1026" max="1026" width="17.85546875" style="154" customWidth="1"/>
    <col min="1027" max="1027" width="17.7109375" style="154" customWidth="1"/>
    <col min="1028" max="1028" width="16.140625" style="154" customWidth="1"/>
    <col min="1029" max="1029" width="17.28515625" style="154" customWidth="1"/>
    <col min="1030" max="1030" width="22.7109375" style="154" customWidth="1"/>
    <col min="1031" max="1031" width="15.7109375" style="154" customWidth="1"/>
    <col min="1032" max="1034" width="11.42578125" style="154"/>
    <col min="1035" max="1035" width="15" style="154" bestFit="1" customWidth="1"/>
    <col min="1036" max="1280" width="11.42578125" style="154"/>
    <col min="1281" max="1281" width="40.7109375" style="154" customWidth="1"/>
    <col min="1282" max="1282" width="17.85546875" style="154" customWidth="1"/>
    <col min="1283" max="1283" width="17.7109375" style="154" customWidth="1"/>
    <col min="1284" max="1284" width="16.140625" style="154" customWidth="1"/>
    <col min="1285" max="1285" width="17.28515625" style="154" customWidth="1"/>
    <col min="1286" max="1286" width="22.7109375" style="154" customWidth="1"/>
    <col min="1287" max="1287" width="15.7109375" style="154" customWidth="1"/>
    <col min="1288" max="1290" width="11.42578125" style="154"/>
    <col min="1291" max="1291" width="15" style="154" bestFit="1" customWidth="1"/>
    <col min="1292" max="1536" width="11.42578125" style="154"/>
    <col min="1537" max="1537" width="40.7109375" style="154" customWidth="1"/>
    <col min="1538" max="1538" width="17.85546875" style="154" customWidth="1"/>
    <col min="1539" max="1539" width="17.7109375" style="154" customWidth="1"/>
    <col min="1540" max="1540" width="16.140625" style="154" customWidth="1"/>
    <col min="1541" max="1541" width="17.28515625" style="154" customWidth="1"/>
    <col min="1542" max="1542" width="22.7109375" style="154" customWidth="1"/>
    <col min="1543" max="1543" width="15.7109375" style="154" customWidth="1"/>
    <col min="1544" max="1546" width="11.42578125" style="154"/>
    <col min="1547" max="1547" width="15" style="154" bestFit="1" customWidth="1"/>
    <col min="1548" max="1792" width="11.42578125" style="154"/>
    <col min="1793" max="1793" width="40.7109375" style="154" customWidth="1"/>
    <col min="1794" max="1794" width="17.85546875" style="154" customWidth="1"/>
    <col min="1795" max="1795" width="17.7109375" style="154" customWidth="1"/>
    <col min="1796" max="1796" width="16.140625" style="154" customWidth="1"/>
    <col min="1797" max="1797" width="17.28515625" style="154" customWidth="1"/>
    <col min="1798" max="1798" width="22.7109375" style="154" customWidth="1"/>
    <col min="1799" max="1799" width="15.7109375" style="154" customWidth="1"/>
    <col min="1800" max="1802" width="11.42578125" style="154"/>
    <col min="1803" max="1803" width="15" style="154" bestFit="1" customWidth="1"/>
    <col min="1804" max="2048" width="11.42578125" style="154"/>
    <col min="2049" max="2049" width="40.7109375" style="154" customWidth="1"/>
    <col min="2050" max="2050" width="17.85546875" style="154" customWidth="1"/>
    <col min="2051" max="2051" width="17.7109375" style="154" customWidth="1"/>
    <col min="2052" max="2052" width="16.140625" style="154" customWidth="1"/>
    <col min="2053" max="2053" width="17.28515625" style="154" customWidth="1"/>
    <col min="2054" max="2054" width="22.7109375" style="154" customWidth="1"/>
    <col min="2055" max="2055" width="15.7109375" style="154" customWidth="1"/>
    <col min="2056" max="2058" width="11.42578125" style="154"/>
    <col min="2059" max="2059" width="15" style="154" bestFit="1" customWidth="1"/>
    <col min="2060" max="2304" width="11.42578125" style="154"/>
    <col min="2305" max="2305" width="40.7109375" style="154" customWidth="1"/>
    <col min="2306" max="2306" width="17.85546875" style="154" customWidth="1"/>
    <col min="2307" max="2307" width="17.7109375" style="154" customWidth="1"/>
    <col min="2308" max="2308" width="16.140625" style="154" customWidth="1"/>
    <col min="2309" max="2309" width="17.28515625" style="154" customWidth="1"/>
    <col min="2310" max="2310" width="22.7109375" style="154" customWidth="1"/>
    <col min="2311" max="2311" width="15.7109375" style="154" customWidth="1"/>
    <col min="2312" max="2314" width="11.42578125" style="154"/>
    <col min="2315" max="2315" width="15" style="154" bestFit="1" customWidth="1"/>
    <col min="2316" max="2560" width="11.42578125" style="154"/>
    <col min="2561" max="2561" width="40.7109375" style="154" customWidth="1"/>
    <col min="2562" max="2562" width="17.85546875" style="154" customWidth="1"/>
    <col min="2563" max="2563" width="17.7109375" style="154" customWidth="1"/>
    <col min="2564" max="2564" width="16.140625" style="154" customWidth="1"/>
    <col min="2565" max="2565" width="17.28515625" style="154" customWidth="1"/>
    <col min="2566" max="2566" width="22.7109375" style="154" customWidth="1"/>
    <col min="2567" max="2567" width="15.7109375" style="154" customWidth="1"/>
    <col min="2568" max="2570" width="11.42578125" style="154"/>
    <col min="2571" max="2571" width="15" style="154" bestFit="1" customWidth="1"/>
    <col min="2572" max="2816" width="11.42578125" style="154"/>
    <col min="2817" max="2817" width="40.7109375" style="154" customWidth="1"/>
    <col min="2818" max="2818" width="17.85546875" style="154" customWidth="1"/>
    <col min="2819" max="2819" width="17.7109375" style="154" customWidth="1"/>
    <col min="2820" max="2820" width="16.140625" style="154" customWidth="1"/>
    <col min="2821" max="2821" width="17.28515625" style="154" customWidth="1"/>
    <col min="2822" max="2822" width="22.7109375" style="154" customWidth="1"/>
    <col min="2823" max="2823" width="15.7109375" style="154" customWidth="1"/>
    <col min="2824" max="2826" width="11.42578125" style="154"/>
    <col min="2827" max="2827" width="15" style="154" bestFit="1" customWidth="1"/>
    <col min="2828" max="3072" width="11.42578125" style="154"/>
    <col min="3073" max="3073" width="40.7109375" style="154" customWidth="1"/>
    <col min="3074" max="3074" width="17.85546875" style="154" customWidth="1"/>
    <col min="3075" max="3075" width="17.7109375" style="154" customWidth="1"/>
    <col min="3076" max="3076" width="16.140625" style="154" customWidth="1"/>
    <col min="3077" max="3077" width="17.28515625" style="154" customWidth="1"/>
    <col min="3078" max="3078" width="22.7109375" style="154" customWidth="1"/>
    <col min="3079" max="3079" width="15.7109375" style="154" customWidth="1"/>
    <col min="3080" max="3082" width="11.42578125" style="154"/>
    <col min="3083" max="3083" width="15" style="154" bestFit="1" customWidth="1"/>
    <col min="3084" max="3328" width="11.42578125" style="154"/>
    <col min="3329" max="3329" width="40.7109375" style="154" customWidth="1"/>
    <col min="3330" max="3330" width="17.85546875" style="154" customWidth="1"/>
    <col min="3331" max="3331" width="17.7109375" style="154" customWidth="1"/>
    <col min="3332" max="3332" width="16.140625" style="154" customWidth="1"/>
    <col min="3333" max="3333" width="17.28515625" style="154" customWidth="1"/>
    <col min="3334" max="3334" width="22.7109375" style="154" customWidth="1"/>
    <col min="3335" max="3335" width="15.7109375" style="154" customWidth="1"/>
    <col min="3336" max="3338" width="11.42578125" style="154"/>
    <col min="3339" max="3339" width="15" style="154" bestFit="1" customWidth="1"/>
    <col min="3340" max="3584" width="11.42578125" style="154"/>
    <col min="3585" max="3585" width="40.7109375" style="154" customWidth="1"/>
    <col min="3586" max="3586" width="17.85546875" style="154" customWidth="1"/>
    <col min="3587" max="3587" width="17.7109375" style="154" customWidth="1"/>
    <col min="3588" max="3588" width="16.140625" style="154" customWidth="1"/>
    <col min="3589" max="3589" width="17.28515625" style="154" customWidth="1"/>
    <col min="3590" max="3590" width="22.7109375" style="154" customWidth="1"/>
    <col min="3591" max="3591" width="15.7109375" style="154" customWidth="1"/>
    <col min="3592" max="3594" width="11.42578125" style="154"/>
    <col min="3595" max="3595" width="15" style="154" bestFit="1" customWidth="1"/>
    <col min="3596" max="3840" width="11.42578125" style="154"/>
    <col min="3841" max="3841" width="40.7109375" style="154" customWidth="1"/>
    <col min="3842" max="3842" width="17.85546875" style="154" customWidth="1"/>
    <col min="3843" max="3843" width="17.7109375" style="154" customWidth="1"/>
    <col min="3844" max="3844" width="16.140625" style="154" customWidth="1"/>
    <col min="3845" max="3845" width="17.28515625" style="154" customWidth="1"/>
    <col min="3846" max="3846" width="22.7109375" style="154" customWidth="1"/>
    <col min="3847" max="3847" width="15.7109375" style="154" customWidth="1"/>
    <col min="3848" max="3850" width="11.42578125" style="154"/>
    <col min="3851" max="3851" width="15" style="154" bestFit="1" customWidth="1"/>
    <col min="3852" max="4096" width="11.42578125" style="154"/>
    <col min="4097" max="4097" width="40.7109375" style="154" customWidth="1"/>
    <col min="4098" max="4098" width="17.85546875" style="154" customWidth="1"/>
    <col min="4099" max="4099" width="17.7109375" style="154" customWidth="1"/>
    <col min="4100" max="4100" width="16.140625" style="154" customWidth="1"/>
    <col min="4101" max="4101" width="17.28515625" style="154" customWidth="1"/>
    <col min="4102" max="4102" width="22.7109375" style="154" customWidth="1"/>
    <col min="4103" max="4103" width="15.7109375" style="154" customWidth="1"/>
    <col min="4104" max="4106" width="11.42578125" style="154"/>
    <col min="4107" max="4107" width="15" style="154" bestFit="1" customWidth="1"/>
    <col min="4108" max="4352" width="11.42578125" style="154"/>
    <col min="4353" max="4353" width="40.7109375" style="154" customWidth="1"/>
    <col min="4354" max="4354" width="17.85546875" style="154" customWidth="1"/>
    <col min="4355" max="4355" width="17.7109375" style="154" customWidth="1"/>
    <col min="4356" max="4356" width="16.140625" style="154" customWidth="1"/>
    <col min="4357" max="4357" width="17.28515625" style="154" customWidth="1"/>
    <col min="4358" max="4358" width="22.7109375" style="154" customWidth="1"/>
    <col min="4359" max="4359" width="15.7109375" style="154" customWidth="1"/>
    <col min="4360" max="4362" width="11.42578125" style="154"/>
    <col min="4363" max="4363" width="15" style="154" bestFit="1" customWidth="1"/>
    <col min="4364" max="4608" width="11.42578125" style="154"/>
    <col min="4609" max="4609" width="40.7109375" style="154" customWidth="1"/>
    <col min="4610" max="4610" width="17.85546875" style="154" customWidth="1"/>
    <col min="4611" max="4611" width="17.7109375" style="154" customWidth="1"/>
    <col min="4612" max="4612" width="16.140625" style="154" customWidth="1"/>
    <col min="4613" max="4613" width="17.28515625" style="154" customWidth="1"/>
    <col min="4614" max="4614" width="22.7109375" style="154" customWidth="1"/>
    <col min="4615" max="4615" width="15.7109375" style="154" customWidth="1"/>
    <col min="4616" max="4618" width="11.42578125" style="154"/>
    <col min="4619" max="4619" width="15" style="154" bestFit="1" customWidth="1"/>
    <col min="4620" max="4864" width="11.42578125" style="154"/>
    <col min="4865" max="4865" width="40.7109375" style="154" customWidth="1"/>
    <col min="4866" max="4866" width="17.85546875" style="154" customWidth="1"/>
    <col min="4867" max="4867" width="17.7109375" style="154" customWidth="1"/>
    <col min="4868" max="4868" width="16.140625" style="154" customWidth="1"/>
    <col min="4869" max="4869" width="17.28515625" style="154" customWidth="1"/>
    <col min="4870" max="4870" width="22.7109375" style="154" customWidth="1"/>
    <col min="4871" max="4871" width="15.7109375" style="154" customWidth="1"/>
    <col min="4872" max="4874" width="11.42578125" style="154"/>
    <col min="4875" max="4875" width="15" style="154" bestFit="1" customWidth="1"/>
    <col min="4876" max="5120" width="11.42578125" style="154"/>
    <col min="5121" max="5121" width="40.7109375" style="154" customWidth="1"/>
    <col min="5122" max="5122" width="17.85546875" style="154" customWidth="1"/>
    <col min="5123" max="5123" width="17.7109375" style="154" customWidth="1"/>
    <col min="5124" max="5124" width="16.140625" style="154" customWidth="1"/>
    <col min="5125" max="5125" width="17.28515625" style="154" customWidth="1"/>
    <col min="5126" max="5126" width="22.7109375" style="154" customWidth="1"/>
    <col min="5127" max="5127" width="15.7109375" style="154" customWidth="1"/>
    <col min="5128" max="5130" width="11.42578125" style="154"/>
    <col min="5131" max="5131" width="15" style="154" bestFit="1" customWidth="1"/>
    <col min="5132" max="5376" width="11.42578125" style="154"/>
    <col min="5377" max="5377" width="40.7109375" style="154" customWidth="1"/>
    <col min="5378" max="5378" width="17.85546875" style="154" customWidth="1"/>
    <col min="5379" max="5379" width="17.7109375" style="154" customWidth="1"/>
    <col min="5380" max="5380" width="16.140625" style="154" customWidth="1"/>
    <col min="5381" max="5381" width="17.28515625" style="154" customWidth="1"/>
    <col min="5382" max="5382" width="22.7109375" style="154" customWidth="1"/>
    <col min="5383" max="5383" width="15.7109375" style="154" customWidth="1"/>
    <col min="5384" max="5386" width="11.42578125" style="154"/>
    <col min="5387" max="5387" width="15" style="154" bestFit="1" customWidth="1"/>
    <col min="5388" max="5632" width="11.42578125" style="154"/>
    <col min="5633" max="5633" width="40.7109375" style="154" customWidth="1"/>
    <col min="5634" max="5634" width="17.85546875" style="154" customWidth="1"/>
    <col min="5635" max="5635" width="17.7109375" style="154" customWidth="1"/>
    <col min="5636" max="5636" width="16.140625" style="154" customWidth="1"/>
    <col min="5637" max="5637" width="17.28515625" style="154" customWidth="1"/>
    <col min="5638" max="5638" width="22.7109375" style="154" customWidth="1"/>
    <col min="5639" max="5639" width="15.7109375" style="154" customWidth="1"/>
    <col min="5640" max="5642" width="11.42578125" style="154"/>
    <col min="5643" max="5643" width="15" style="154" bestFit="1" customWidth="1"/>
    <col min="5644" max="5888" width="11.42578125" style="154"/>
    <col min="5889" max="5889" width="40.7109375" style="154" customWidth="1"/>
    <col min="5890" max="5890" width="17.85546875" style="154" customWidth="1"/>
    <col min="5891" max="5891" width="17.7109375" style="154" customWidth="1"/>
    <col min="5892" max="5892" width="16.140625" style="154" customWidth="1"/>
    <col min="5893" max="5893" width="17.28515625" style="154" customWidth="1"/>
    <col min="5894" max="5894" width="22.7109375" style="154" customWidth="1"/>
    <col min="5895" max="5895" width="15.7109375" style="154" customWidth="1"/>
    <col min="5896" max="5898" width="11.42578125" style="154"/>
    <col min="5899" max="5899" width="15" style="154" bestFit="1" customWidth="1"/>
    <col min="5900" max="6144" width="11.42578125" style="154"/>
    <col min="6145" max="6145" width="40.7109375" style="154" customWidth="1"/>
    <col min="6146" max="6146" width="17.85546875" style="154" customWidth="1"/>
    <col min="6147" max="6147" width="17.7109375" style="154" customWidth="1"/>
    <col min="6148" max="6148" width="16.140625" style="154" customWidth="1"/>
    <col min="6149" max="6149" width="17.28515625" style="154" customWidth="1"/>
    <col min="6150" max="6150" width="22.7109375" style="154" customWidth="1"/>
    <col min="6151" max="6151" width="15.7109375" style="154" customWidth="1"/>
    <col min="6152" max="6154" width="11.42578125" style="154"/>
    <col min="6155" max="6155" width="15" style="154" bestFit="1" customWidth="1"/>
    <col min="6156" max="6400" width="11.42578125" style="154"/>
    <col min="6401" max="6401" width="40.7109375" style="154" customWidth="1"/>
    <col min="6402" max="6402" width="17.85546875" style="154" customWidth="1"/>
    <col min="6403" max="6403" width="17.7109375" style="154" customWidth="1"/>
    <col min="6404" max="6404" width="16.140625" style="154" customWidth="1"/>
    <col min="6405" max="6405" width="17.28515625" style="154" customWidth="1"/>
    <col min="6406" max="6406" width="22.7109375" style="154" customWidth="1"/>
    <col min="6407" max="6407" width="15.7109375" style="154" customWidth="1"/>
    <col min="6408" max="6410" width="11.42578125" style="154"/>
    <col min="6411" max="6411" width="15" style="154" bestFit="1" customWidth="1"/>
    <col min="6412" max="6656" width="11.42578125" style="154"/>
    <col min="6657" max="6657" width="40.7109375" style="154" customWidth="1"/>
    <col min="6658" max="6658" width="17.85546875" style="154" customWidth="1"/>
    <col min="6659" max="6659" width="17.7109375" style="154" customWidth="1"/>
    <col min="6660" max="6660" width="16.140625" style="154" customWidth="1"/>
    <col min="6661" max="6661" width="17.28515625" style="154" customWidth="1"/>
    <col min="6662" max="6662" width="22.7109375" style="154" customWidth="1"/>
    <col min="6663" max="6663" width="15.7109375" style="154" customWidth="1"/>
    <col min="6664" max="6666" width="11.42578125" style="154"/>
    <col min="6667" max="6667" width="15" style="154" bestFit="1" customWidth="1"/>
    <col min="6668" max="6912" width="11.42578125" style="154"/>
    <col min="6913" max="6913" width="40.7109375" style="154" customWidth="1"/>
    <col min="6914" max="6914" width="17.85546875" style="154" customWidth="1"/>
    <col min="6915" max="6915" width="17.7109375" style="154" customWidth="1"/>
    <col min="6916" max="6916" width="16.140625" style="154" customWidth="1"/>
    <col min="6917" max="6917" width="17.28515625" style="154" customWidth="1"/>
    <col min="6918" max="6918" width="22.7109375" style="154" customWidth="1"/>
    <col min="6919" max="6919" width="15.7109375" style="154" customWidth="1"/>
    <col min="6920" max="6922" width="11.42578125" style="154"/>
    <col min="6923" max="6923" width="15" style="154" bestFit="1" customWidth="1"/>
    <col min="6924" max="7168" width="11.42578125" style="154"/>
    <col min="7169" max="7169" width="40.7109375" style="154" customWidth="1"/>
    <col min="7170" max="7170" width="17.85546875" style="154" customWidth="1"/>
    <col min="7171" max="7171" width="17.7109375" style="154" customWidth="1"/>
    <col min="7172" max="7172" width="16.140625" style="154" customWidth="1"/>
    <col min="7173" max="7173" width="17.28515625" style="154" customWidth="1"/>
    <col min="7174" max="7174" width="22.7109375" style="154" customWidth="1"/>
    <col min="7175" max="7175" width="15.7109375" style="154" customWidth="1"/>
    <col min="7176" max="7178" width="11.42578125" style="154"/>
    <col min="7179" max="7179" width="15" style="154" bestFit="1" customWidth="1"/>
    <col min="7180" max="7424" width="11.42578125" style="154"/>
    <col min="7425" max="7425" width="40.7109375" style="154" customWidth="1"/>
    <col min="7426" max="7426" width="17.85546875" style="154" customWidth="1"/>
    <col min="7427" max="7427" width="17.7109375" style="154" customWidth="1"/>
    <col min="7428" max="7428" width="16.140625" style="154" customWidth="1"/>
    <col min="7429" max="7429" width="17.28515625" style="154" customWidth="1"/>
    <col min="7430" max="7430" width="22.7109375" style="154" customWidth="1"/>
    <col min="7431" max="7431" width="15.7109375" style="154" customWidth="1"/>
    <col min="7432" max="7434" width="11.42578125" style="154"/>
    <col min="7435" max="7435" width="15" style="154" bestFit="1" customWidth="1"/>
    <col min="7436" max="7680" width="11.42578125" style="154"/>
    <col min="7681" max="7681" width="40.7109375" style="154" customWidth="1"/>
    <col min="7682" max="7682" width="17.85546875" style="154" customWidth="1"/>
    <col min="7683" max="7683" width="17.7109375" style="154" customWidth="1"/>
    <col min="7684" max="7684" width="16.140625" style="154" customWidth="1"/>
    <col min="7685" max="7685" width="17.28515625" style="154" customWidth="1"/>
    <col min="7686" max="7686" width="22.7109375" style="154" customWidth="1"/>
    <col min="7687" max="7687" width="15.7109375" style="154" customWidth="1"/>
    <col min="7688" max="7690" width="11.42578125" style="154"/>
    <col min="7691" max="7691" width="15" style="154" bestFit="1" customWidth="1"/>
    <col min="7692" max="7936" width="11.42578125" style="154"/>
    <col min="7937" max="7937" width="40.7109375" style="154" customWidth="1"/>
    <col min="7938" max="7938" width="17.85546875" style="154" customWidth="1"/>
    <col min="7939" max="7939" width="17.7109375" style="154" customWidth="1"/>
    <col min="7940" max="7940" width="16.140625" style="154" customWidth="1"/>
    <col min="7941" max="7941" width="17.28515625" style="154" customWidth="1"/>
    <col min="7942" max="7942" width="22.7109375" style="154" customWidth="1"/>
    <col min="7943" max="7943" width="15.7109375" style="154" customWidth="1"/>
    <col min="7944" max="7946" width="11.42578125" style="154"/>
    <col min="7947" max="7947" width="15" style="154" bestFit="1" customWidth="1"/>
    <col min="7948" max="8192" width="11.42578125" style="154"/>
    <col min="8193" max="8193" width="40.7109375" style="154" customWidth="1"/>
    <col min="8194" max="8194" width="17.85546875" style="154" customWidth="1"/>
    <col min="8195" max="8195" width="17.7109375" style="154" customWidth="1"/>
    <col min="8196" max="8196" width="16.140625" style="154" customWidth="1"/>
    <col min="8197" max="8197" width="17.28515625" style="154" customWidth="1"/>
    <col min="8198" max="8198" width="22.7109375" style="154" customWidth="1"/>
    <col min="8199" max="8199" width="15.7109375" style="154" customWidth="1"/>
    <col min="8200" max="8202" width="11.42578125" style="154"/>
    <col min="8203" max="8203" width="15" style="154" bestFit="1" customWidth="1"/>
    <col min="8204" max="8448" width="11.42578125" style="154"/>
    <col min="8449" max="8449" width="40.7109375" style="154" customWidth="1"/>
    <col min="8450" max="8450" width="17.85546875" style="154" customWidth="1"/>
    <col min="8451" max="8451" width="17.7109375" style="154" customWidth="1"/>
    <col min="8452" max="8452" width="16.140625" style="154" customWidth="1"/>
    <col min="8453" max="8453" width="17.28515625" style="154" customWidth="1"/>
    <col min="8454" max="8454" width="22.7109375" style="154" customWidth="1"/>
    <col min="8455" max="8455" width="15.7109375" style="154" customWidth="1"/>
    <col min="8456" max="8458" width="11.42578125" style="154"/>
    <col min="8459" max="8459" width="15" style="154" bestFit="1" customWidth="1"/>
    <col min="8460" max="8704" width="11.42578125" style="154"/>
    <col min="8705" max="8705" width="40.7109375" style="154" customWidth="1"/>
    <col min="8706" max="8706" width="17.85546875" style="154" customWidth="1"/>
    <col min="8707" max="8707" width="17.7109375" style="154" customWidth="1"/>
    <col min="8708" max="8708" width="16.140625" style="154" customWidth="1"/>
    <col min="8709" max="8709" width="17.28515625" style="154" customWidth="1"/>
    <col min="8710" max="8710" width="22.7109375" style="154" customWidth="1"/>
    <col min="8711" max="8711" width="15.7109375" style="154" customWidth="1"/>
    <col min="8712" max="8714" width="11.42578125" style="154"/>
    <col min="8715" max="8715" width="15" style="154" bestFit="1" customWidth="1"/>
    <col min="8716" max="8960" width="11.42578125" style="154"/>
    <col min="8961" max="8961" width="40.7109375" style="154" customWidth="1"/>
    <col min="8962" max="8962" width="17.85546875" style="154" customWidth="1"/>
    <col min="8963" max="8963" width="17.7109375" style="154" customWidth="1"/>
    <col min="8964" max="8964" width="16.140625" style="154" customWidth="1"/>
    <col min="8965" max="8965" width="17.28515625" style="154" customWidth="1"/>
    <col min="8966" max="8966" width="22.7109375" style="154" customWidth="1"/>
    <col min="8967" max="8967" width="15.7109375" style="154" customWidth="1"/>
    <col min="8968" max="8970" width="11.42578125" style="154"/>
    <col min="8971" max="8971" width="15" style="154" bestFit="1" customWidth="1"/>
    <col min="8972" max="9216" width="11.42578125" style="154"/>
    <col min="9217" max="9217" width="40.7109375" style="154" customWidth="1"/>
    <col min="9218" max="9218" width="17.85546875" style="154" customWidth="1"/>
    <col min="9219" max="9219" width="17.7109375" style="154" customWidth="1"/>
    <col min="9220" max="9220" width="16.140625" style="154" customWidth="1"/>
    <col min="9221" max="9221" width="17.28515625" style="154" customWidth="1"/>
    <col min="9222" max="9222" width="22.7109375" style="154" customWidth="1"/>
    <col min="9223" max="9223" width="15.7109375" style="154" customWidth="1"/>
    <col min="9224" max="9226" width="11.42578125" style="154"/>
    <col min="9227" max="9227" width="15" style="154" bestFit="1" customWidth="1"/>
    <col min="9228" max="9472" width="11.42578125" style="154"/>
    <col min="9473" max="9473" width="40.7109375" style="154" customWidth="1"/>
    <col min="9474" max="9474" width="17.85546875" style="154" customWidth="1"/>
    <col min="9475" max="9475" width="17.7109375" style="154" customWidth="1"/>
    <col min="9476" max="9476" width="16.140625" style="154" customWidth="1"/>
    <col min="9477" max="9477" width="17.28515625" style="154" customWidth="1"/>
    <col min="9478" max="9478" width="22.7109375" style="154" customWidth="1"/>
    <col min="9479" max="9479" width="15.7109375" style="154" customWidth="1"/>
    <col min="9480" max="9482" width="11.42578125" style="154"/>
    <col min="9483" max="9483" width="15" style="154" bestFit="1" customWidth="1"/>
    <col min="9484" max="9728" width="11.42578125" style="154"/>
    <col min="9729" max="9729" width="40.7109375" style="154" customWidth="1"/>
    <col min="9730" max="9730" width="17.85546875" style="154" customWidth="1"/>
    <col min="9731" max="9731" width="17.7109375" style="154" customWidth="1"/>
    <col min="9732" max="9732" width="16.140625" style="154" customWidth="1"/>
    <col min="9733" max="9733" width="17.28515625" style="154" customWidth="1"/>
    <col min="9734" max="9734" width="22.7109375" style="154" customWidth="1"/>
    <col min="9735" max="9735" width="15.7109375" style="154" customWidth="1"/>
    <col min="9736" max="9738" width="11.42578125" style="154"/>
    <col min="9739" max="9739" width="15" style="154" bestFit="1" customWidth="1"/>
    <col min="9740" max="9984" width="11.42578125" style="154"/>
    <col min="9985" max="9985" width="40.7109375" style="154" customWidth="1"/>
    <col min="9986" max="9986" width="17.85546875" style="154" customWidth="1"/>
    <col min="9987" max="9987" width="17.7109375" style="154" customWidth="1"/>
    <col min="9988" max="9988" width="16.140625" style="154" customWidth="1"/>
    <col min="9989" max="9989" width="17.28515625" style="154" customWidth="1"/>
    <col min="9990" max="9990" width="22.7109375" style="154" customWidth="1"/>
    <col min="9991" max="9991" width="15.7109375" style="154" customWidth="1"/>
    <col min="9992" max="9994" width="11.42578125" style="154"/>
    <col min="9995" max="9995" width="15" style="154" bestFit="1" customWidth="1"/>
    <col min="9996" max="10240" width="11.42578125" style="154"/>
    <col min="10241" max="10241" width="40.7109375" style="154" customWidth="1"/>
    <col min="10242" max="10242" width="17.85546875" style="154" customWidth="1"/>
    <col min="10243" max="10243" width="17.7109375" style="154" customWidth="1"/>
    <col min="10244" max="10244" width="16.140625" style="154" customWidth="1"/>
    <col min="10245" max="10245" width="17.28515625" style="154" customWidth="1"/>
    <col min="10246" max="10246" width="22.7109375" style="154" customWidth="1"/>
    <col min="10247" max="10247" width="15.7109375" style="154" customWidth="1"/>
    <col min="10248" max="10250" width="11.42578125" style="154"/>
    <col min="10251" max="10251" width="15" style="154" bestFit="1" customWidth="1"/>
    <col min="10252" max="10496" width="11.42578125" style="154"/>
    <col min="10497" max="10497" width="40.7109375" style="154" customWidth="1"/>
    <col min="10498" max="10498" width="17.85546875" style="154" customWidth="1"/>
    <col min="10499" max="10499" width="17.7109375" style="154" customWidth="1"/>
    <col min="10500" max="10500" width="16.140625" style="154" customWidth="1"/>
    <col min="10501" max="10501" width="17.28515625" style="154" customWidth="1"/>
    <col min="10502" max="10502" width="22.7109375" style="154" customWidth="1"/>
    <col min="10503" max="10503" width="15.7109375" style="154" customWidth="1"/>
    <col min="10504" max="10506" width="11.42578125" style="154"/>
    <col min="10507" max="10507" width="15" style="154" bestFit="1" customWidth="1"/>
    <col min="10508" max="10752" width="11.42578125" style="154"/>
    <col min="10753" max="10753" width="40.7109375" style="154" customWidth="1"/>
    <col min="10754" max="10754" width="17.85546875" style="154" customWidth="1"/>
    <col min="10755" max="10755" width="17.7109375" style="154" customWidth="1"/>
    <col min="10756" max="10756" width="16.140625" style="154" customWidth="1"/>
    <col min="10757" max="10757" width="17.28515625" style="154" customWidth="1"/>
    <col min="10758" max="10758" width="22.7109375" style="154" customWidth="1"/>
    <col min="10759" max="10759" width="15.7109375" style="154" customWidth="1"/>
    <col min="10760" max="10762" width="11.42578125" style="154"/>
    <col min="10763" max="10763" width="15" style="154" bestFit="1" customWidth="1"/>
    <col min="10764" max="11008" width="11.42578125" style="154"/>
    <col min="11009" max="11009" width="40.7109375" style="154" customWidth="1"/>
    <col min="11010" max="11010" width="17.85546875" style="154" customWidth="1"/>
    <col min="11011" max="11011" width="17.7109375" style="154" customWidth="1"/>
    <col min="11012" max="11012" width="16.140625" style="154" customWidth="1"/>
    <col min="11013" max="11013" width="17.28515625" style="154" customWidth="1"/>
    <col min="11014" max="11014" width="22.7109375" style="154" customWidth="1"/>
    <col min="11015" max="11015" width="15.7109375" style="154" customWidth="1"/>
    <col min="11016" max="11018" width="11.42578125" style="154"/>
    <col min="11019" max="11019" width="15" style="154" bestFit="1" customWidth="1"/>
    <col min="11020" max="11264" width="11.42578125" style="154"/>
    <col min="11265" max="11265" width="40.7109375" style="154" customWidth="1"/>
    <col min="11266" max="11266" width="17.85546875" style="154" customWidth="1"/>
    <col min="11267" max="11267" width="17.7109375" style="154" customWidth="1"/>
    <col min="11268" max="11268" width="16.140625" style="154" customWidth="1"/>
    <col min="11269" max="11269" width="17.28515625" style="154" customWidth="1"/>
    <col min="11270" max="11270" width="22.7109375" style="154" customWidth="1"/>
    <col min="11271" max="11271" width="15.7109375" style="154" customWidth="1"/>
    <col min="11272" max="11274" width="11.42578125" style="154"/>
    <col min="11275" max="11275" width="15" style="154" bestFit="1" customWidth="1"/>
    <col min="11276" max="11520" width="11.42578125" style="154"/>
    <col min="11521" max="11521" width="40.7109375" style="154" customWidth="1"/>
    <col min="11522" max="11522" width="17.85546875" style="154" customWidth="1"/>
    <col min="11523" max="11523" width="17.7109375" style="154" customWidth="1"/>
    <col min="11524" max="11524" width="16.140625" style="154" customWidth="1"/>
    <col min="11525" max="11525" width="17.28515625" style="154" customWidth="1"/>
    <col min="11526" max="11526" width="22.7109375" style="154" customWidth="1"/>
    <col min="11527" max="11527" width="15.7109375" style="154" customWidth="1"/>
    <col min="11528" max="11530" width="11.42578125" style="154"/>
    <col min="11531" max="11531" width="15" style="154" bestFit="1" customWidth="1"/>
    <col min="11532" max="11776" width="11.42578125" style="154"/>
    <col min="11777" max="11777" width="40.7109375" style="154" customWidth="1"/>
    <col min="11778" max="11778" width="17.85546875" style="154" customWidth="1"/>
    <col min="11779" max="11779" width="17.7109375" style="154" customWidth="1"/>
    <col min="11780" max="11780" width="16.140625" style="154" customWidth="1"/>
    <col min="11781" max="11781" width="17.28515625" style="154" customWidth="1"/>
    <col min="11782" max="11782" width="22.7109375" style="154" customWidth="1"/>
    <col min="11783" max="11783" width="15.7109375" style="154" customWidth="1"/>
    <col min="11784" max="11786" width="11.42578125" style="154"/>
    <col min="11787" max="11787" width="15" style="154" bestFit="1" customWidth="1"/>
    <col min="11788" max="12032" width="11.42578125" style="154"/>
    <col min="12033" max="12033" width="40.7109375" style="154" customWidth="1"/>
    <col min="12034" max="12034" width="17.85546875" style="154" customWidth="1"/>
    <col min="12035" max="12035" width="17.7109375" style="154" customWidth="1"/>
    <col min="12036" max="12036" width="16.140625" style="154" customWidth="1"/>
    <col min="12037" max="12037" width="17.28515625" style="154" customWidth="1"/>
    <col min="12038" max="12038" width="22.7109375" style="154" customWidth="1"/>
    <col min="12039" max="12039" width="15.7109375" style="154" customWidth="1"/>
    <col min="12040" max="12042" width="11.42578125" style="154"/>
    <col min="12043" max="12043" width="15" style="154" bestFit="1" customWidth="1"/>
    <col min="12044" max="12288" width="11.42578125" style="154"/>
    <col min="12289" max="12289" width="40.7109375" style="154" customWidth="1"/>
    <col min="12290" max="12290" width="17.85546875" style="154" customWidth="1"/>
    <col min="12291" max="12291" width="17.7109375" style="154" customWidth="1"/>
    <col min="12292" max="12292" width="16.140625" style="154" customWidth="1"/>
    <col min="12293" max="12293" width="17.28515625" style="154" customWidth="1"/>
    <col min="12294" max="12294" width="22.7109375" style="154" customWidth="1"/>
    <col min="12295" max="12295" width="15.7109375" style="154" customWidth="1"/>
    <col min="12296" max="12298" width="11.42578125" style="154"/>
    <col min="12299" max="12299" width="15" style="154" bestFit="1" customWidth="1"/>
    <col min="12300" max="12544" width="11.42578125" style="154"/>
    <col min="12545" max="12545" width="40.7109375" style="154" customWidth="1"/>
    <col min="12546" max="12546" width="17.85546875" style="154" customWidth="1"/>
    <col min="12547" max="12547" width="17.7109375" style="154" customWidth="1"/>
    <col min="12548" max="12548" width="16.140625" style="154" customWidth="1"/>
    <col min="12549" max="12549" width="17.28515625" style="154" customWidth="1"/>
    <col min="12550" max="12550" width="22.7109375" style="154" customWidth="1"/>
    <col min="12551" max="12551" width="15.7109375" style="154" customWidth="1"/>
    <col min="12552" max="12554" width="11.42578125" style="154"/>
    <col min="12555" max="12555" width="15" style="154" bestFit="1" customWidth="1"/>
    <col min="12556" max="12800" width="11.42578125" style="154"/>
    <col min="12801" max="12801" width="40.7109375" style="154" customWidth="1"/>
    <col min="12802" max="12802" width="17.85546875" style="154" customWidth="1"/>
    <col min="12803" max="12803" width="17.7109375" style="154" customWidth="1"/>
    <col min="12804" max="12804" width="16.140625" style="154" customWidth="1"/>
    <col min="12805" max="12805" width="17.28515625" style="154" customWidth="1"/>
    <col min="12806" max="12806" width="22.7109375" style="154" customWidth="1"/>
    <col min="12807" max="12807" width="15.7109375" style="154" customWidth="1"/>
    <col min="12808" max="12810" width="11.42578125" style="154"/>
    <col min="12811" max="12811" width="15" style="154" bestFit="1" customWidth="1"/>
    <col min="12812" max="13056" width="11.42578125" style="154"/>
    <col min="13057" max="13057" width="40.7109375" style="154" customWidth="1"/>
    <col min="13058" max="13058" width="17.85546875" style="154" customWidth="1"/>
    <col min="13059" max="13059" width="17.7109375" style="154" customWidth="1"/>
    <col min="13060" max="13060" width="16.140625" style="154" customWidth="1"/>
    <col min="13061" max="13061" width="17.28515625" style="154" customWidth="1"/>
    <col min="13062" max="13062" width="22.7109375" style="154" customWidth="1"/>
    <col min="13063" max="13063" width="15.7109375" style="154" customWidth="1"/>
    <col min="13064" max="13066" width="11.42578125" style="154"/>
    <col min="13067" max="13067" width="15" style="154" bestFit="1" customWidth="1"/>
    <col min="13068" max="13312" width="11.42578125" style="154"/>
    <col min="13313" max="13313" width="40.7109375" style="154" customWidth="1"/>
    <col min="13314" max="13314" width="17.85546875" style="154" customWidth="1"/>
    <col min="13315" max="13315" width="17.7109375" style="154" customWidth="1"/>
    <col min="13316" max="13316" width="16.140625" style="154" customWidth="1"/>
    <col min="13317" max="13317" width="17.28515625" style="154" customWidth="1"/>
    <col min="13318" max="13318" width="22.7109375" style="154" customWidth="1"/>
    <col min="13319" max="13319" width="15.7109375" style="154" customWidth="1"/>
    <col min="13320" max="13322" width="11.42578125" style="154"/>
    <col min="13323" max="13323" width="15" style="154" bestFit="1" customWidth="1"/>
    <col min="13324" max="13568" width="11.42578125" style="154"/>
    <col min="13569" max="13569" width="40.7109375" style="154" customWidth="1"/>
    <col min="13570" max="13570" width="17.85546875" style="154" customWidth="1"/>
    <col min="13571" max="13571" width="17.7109375" style="154" customWidth="1"/>
    <col min="13572" max="13572" width="16.140625" style="154" customWidth="1"/>
    <col min="13573" max="13573" width="17.28515625" style="154" customWidth="1"/>
    <col min="13574" max="13574" width="22.7109375" style="154" customWidth="1"/>
    <col min="13575" max="13575" width="15.7109375" style="154" customWidth="1"/>
    <col min="13576" max="13578" width="11.42578125" style="154"/>
    <col min="13579" max="13579" width="15" style="154" bestFit="1" customWidth="1"/>
    <col min="13580" max="13824" width="11.42578125" style="154"/>
    <col min="13825" max="13825" width="40.7109375" style="154" customWidth="1"/>
    <col min="13826" max="13826" width="17.85546875" style="154" customWidth="1"/>
    <col min="13827" max="13827" width="17.7109375" style="154" customWidth="1"/>
    <col min="13828" max="13828" width="16.140625" style="154" customWidth="1"/>
    <col min="13829" max="13829" width="17.28515625" style="154" customWidth="1"/>
    <col min="13830" max="13830" width="22.7109375" style="154" customWidth="1"/>
    <col min="13831" max="13831" width="15.7109375" style="154" customWidth="1"/>
    <col min="13832" max="13834" width="11.42578125" style="154"/>
    <col min="13835" max="13835" width="15" style="154" bestFit="1" customWidth="1"/>
    <col min="13836" max="14080" width="11.42578125" style="154"/>
    <col min="14081" max="14081" width="40.7109375" style="154" customWidth="1"/>
    <col min="14082" max="14082" width="17.85546875" style="154" customWidth="1"/>
    <col min="14083" max="14083" width="17.7109375" style="154" customWidth="1"/>
    <col min="14084" max="14084" width="16.140625" style="154" customWidth="1"/>
    <col min="14085" max="14085" width="17.28515625" style="154" customWidth="1"/>
    <col min="14086" max="14086" width="22.7109375" style="154" customWidth="1"/>
    <col min="14087" max="14087" width="15.7109375" style="154" customWidth="1"/>
    <col min="14088" max="14090" width="11.42578125" style="154"/>
    <col min="14091" max="14091" width="15" style="154" bestFit="1" customWidth="1"/>
    <col min="14092" max="14336" width="11.42578125" style="154"/>
    <col min="14337" max="14337" width="40.7109375" style="154" customWidth="1"/>
    <col min="14338" max="14338" width="17.85546875" style="154" customWidth="1"/>
    <col min="14339" max="14339" width="17.7109375" style="154" customWidth="1"/>
    <col min="14340" max="14340" width="16.140625" style="154" customWidth="1"/>
    <col min="14341" max="14341" width="17.28515625" style="154" customWidth="1"/>
    <col min="14342" max="14342" width="22.7109375" style="154" customWidth="1"/>
    <col min="14343" max="14343" width="15.7109375" style="154" customWidth="1"/>
    <col min="14344" max="14346" width="11.42578125" style="154"/>
    <col min="14347" max="14347" width="15" style="154" bestFit="1" customWidth="1"/>
    <col min="14348" max="14592" width="11.42578125" style="154"/>
    <col min="14593" max="14593" width="40.7109375" style="154" customWidth="1"/>
    <col min="14594" max="14594" width="17.85546875" style="154" customWidth="1"/>
    <col min="14595" max="14595" width="17.7109375" style="154" customWidth="1"/>
    <col min="14596" max="14596" width="16.140625" style="154" customWidth="1"/>
    <col min="14597" max="14597" width="17.28515625" style="154" customWidth="1"/>
    <col min="14598" max="14598" width="22.7109375" style="154" customWidth="1"/>
    <col min="14599" max="14599" width="15.7109375" style="154" customWidth="1"/>
    <col min="14600" max="14602" width="11.42578125" style="154"/>
    <col min="14603" max="14603" width="15" style="154" bestFit="1" customWidth="1"/>
    <col min="14604" max="14848" width="11.42578125" style="154"/>
    <col min="14849" max="14849" width="40.7109375" style="154" customWidth="1"/>
    <col min="14850" max="14850" width="17.85546875" style="154" customWidth="1"/>
    <col min="14851" max="14851" width="17.7109375" style="154" customWidth="1"/>
    <col min="14852" max="14852" width="16.140625" style="154" customWidth="1"/>
    <col min="14853" max="14853" width="17.28515625" style="154" customWidth="1"/>
    <col min="14854" max="14854" width="22.7109375" style="154" customWidth="1"/>
    <col min="14855" max="14855" width="15.7109375" style="154" customWidth="1"/>
    <col min="14856" max="14858" width="11.42578125" style="154"/>
    <col min="14859" max="14859" width="15" style="154" bestFit="1" customWidth="1"/>
    <col min="14860" max="15104" width="11.42578125" style="154"/>
    <col min="15105" max="15105" width="40.7109375" style="154" customWidth="1"/>
    <col min="15106" max="15106" width="17.85546875" style="154" customWidth="1"/>
    <col min="15107" max="15107" width="17.7109375" style="154" customWidth="1"/>
    <col min="15108" max="15108" width="16.140625" style="154" customWidth="1"/>
    <col min="15109" max="15109" width="17.28515625" style="154" customWidth="1"/>
    <col min="15110" max="15110" width="22.7109375" style="154" customWidth="1"/>
    <col min="15111" max="15111" width="15.7109375" style="154" customWidth="1"/>
    <col min="15112" max="15114" width="11.42578125" style="154"/>
    <col min="15115" max="15115" width="15" style="154" bestFit="1" customWidth="1"/>
    <col min="15116" max="15360" width="11.42578125" style="154"/>
    <col min="15361" max="15361" width="40.7109375" style="154" customWidth="1"/>
    <col min="15362" max="15362" width="17.85546875" style="154" customWidth="1"/>
    <col min="15363" max="15363" width="17.7109375" style="154" customWidth="1"/>
    <col min="15364" max="15364" width="16.140625" style="154" customWidth="1"/>
    <col min="15365" max="15365" width="17.28515625" style="154" customWidth="1"/>
    <col min="15366" max="15366" width="22.7109375" style="154" customWidth="1"/>
    <col min="15367" max="15367" width="15.7109375" style="154" customWidth="1"/>
    <col min="15368" max="15370" width="11.42578125" style="154"/>
    <col min="15371" max="15371" width="15" style="154" bestFit="1" customWidth="1"/>
    <col min="15372" max="15616" width="11.42578125" style="154"/>
    <col min="15617" max="15617" width="40.7109375" style="154" customWidth="1"/>
    <col min="15618" max="15618" width="17.85546875" style="154" customWidth="1"/>
    <col min="15619" max="15619" width="17.7109375" style="154" customWidth="1"/>
    <col min="15620" max="15620" width="16.140625" style="154" customWidth="1"/>
    <col min="15621" max="15621" width="17.28515625" style="154" customWidth="1"/>
    <col min="15622" max="15622" width="22.7109375" style="154" customWidth="1"/>
    <col min="15623" max="15623" width="15.7109375" style="154" customWidth="1"/>
    <col min="15624" max="15626" width="11.42578125" style="154"/>
    <col min="15627" max="15627" width="15" style="154" bestFit="1" customWidth="1"/>
    <col min="15628" max="15872" width="11.42578125" style="154"/>
    <col min="15873" max="15873" width="40.7109375" style="154" customWidth="1"/>
    <col min="15874" max="15874" width="17.85546875" style="154" customWidth="1"/>
    <col min="15875" max="15875" width="17.7109375" style="154" customWidth="1"/>
    <col min="15876" max="15876" width="16.140625" style="154" customWidth="1"/>
    <col min="15877" max="15877" width="17.28515625" style="154" customWidth="1"/>
    <col min="15878" max="15878" width="22.7109375" style="154" customWidth="1"/>
    <col min="15879" max="15879" width="15.7109375" style="154" customWidth="1"/>
    <col min="15880" max="15882" width="11.42578125" style="154"/>
    <col min="15883" max="15883" width="15" style="154" bestFit="1" customWidth="1"/>
    <col min="15884" max="16128" width="11.42578125" style="154"/>
    <col min="16129" max="16129" width="40.7109375" style="154" customWidth="1"/>
    <col min="16130" max="16130" width="17.85546875" style="154" customWidth="1"/>
    <col min="16131" max="16131" width="17.7109375" style="154" customWidth="1"/>
    <col min="16132" max="16132" width="16.140625" style="154" customWidth="1"/>
    <col min="16133" max="16133" width="17.28515625" style="154" customWidth="1"/>
    <col min="16134" max="16134" width="22.7109375" style="154" customWidth="1"/>
    <col min="16135" max="16135" width="15.7109375" style="154" customWidth="1"/>
    <col min="16136" max="16138" width="11.42578125" style="154"/>
    <col min="16139" max="16139" width="15" style="154" bestFit="1" customWidth="1"/>
    <col min="16140" max="16384" width="11.42578125" style="154"/>
  </cols>
  <sheetData>
    <row r="1" spans="1:14" s="140" customFormat="1" ht="25.5" customHeight="1" x14ac:dyDescent="0.2">
      <c r="A1" s="138" t="s">
        <v>69</v>
      </c>
      <c r="B1" s="138"/>
      <c r="C1" s="138"/>
      <c r="D1" s="138"/>
      <c r="E1" s="169" t="s">
        <v>70</v>
      </c>
      <c r="F1" s="139"/>
      <c r="G1" s="139"/>
    </row>
    <row r="2" spans="1:14" s="140" customFormat="1" x14ac:dyDescent="0.2"/>
    <row r="3" spans="1:14" s="142" customFormat="1" ht="63.75" x14ac:dyDescent="0.2">
      <c r="A3" s="141" t="s">
        <v>59</v>
      </c>
      <c r="B3" s="141" t="s">
        <v>60</v>
      </c>
      <c r="C3" s="141" t="s">
        <v>61</v>
      </c>
      <c r="D3" s="141" t="s">
        <v>62</v>
      </c>
      <c r="E3" s="140"/>
      <c r="F3" s="140"/>
      <c r="G3" s="140"/>
    </row>
    <row r="4" spans="1:14" s="142" customFormat="1" x14ac:dyDescent="0.2">
      <c r="A4" s="141">
        <v>1</v>
      </c>
      <c r="B4" s="141">
        <v>2</v>
      </c>
      <c r="C4" s="141">
        <v>3</v>
      </c>
      <c r="D4" s="141">
        <v>4</v>
      </c>
      <c r="E4" s="140"/>
      <c r="F4" s="140"/>
      <c r="G4" s="140"/>
    </row>
    <row r="5" spans="1:14" s="140" customFormat="1" x14ac:dyDescent="0.2">
      <c r="A5" s="143" t="s">
        <v>63</v>
      </c>
      <c r="B5" s="144">
        <v>163307831.25</v>
      </c>
      <c r="C5" s="145">
        <f>D17</f>
        <v>1.06</v>
      </c>
      <c r="D5" s="146">
        <f>B5*C5</f>
        <v>173106301.125</v>
      </c>
    </row>
    <row r="6" spans="1:14" s="140" customFormat="1" x14ac:dyDescent="0.2">
      <c r="A6" s="147" t="s">
        <v>64</v>
      </c>
      <c r="B6" s="144">
        <f>SUM(B5:B5)</f>
        <v>163307831.25</v>
      </c>
      <c r="C6" s="144"/>
      <c r="D6" s="144">
        <f>SUM(D5:D5)</f>
        <v>173106301.125</v>
      </c>
    </row>
    <row r="7" spans="1:14" s="140" customFormat="1" x14ac:dyDescent="0.2">
      <c r="A7" s="148" t="s">
        <v>65</v>
      </c>
      <c r="B7" s="144">
        <f>B6*0.2</f>
        <v>32661566.25</v>
      </c>
      <c r="C7" s="144"/>
      <c r="D7" s="144">
        <f>D6*0.2</f>
        <v>34621260.225000001</v>
      </c>
    </row>
    <row r="8" spans="1:14" s="152" customFormat="1" x14ac:dyDescent="0.2">
      <c r="A8" s="147" t="s">
        <v>66</v>
      </c>
      <c r="B8" s="149">
        <f>B6+B7</f>
        <v>195969397.5</v>
      </c>
      <c r="C8" s="149"/>
      <c r="D8" s="150">
        <f>D6+D7</f>
        <v>207727561.34999999</v>
      </c>
      <c r="E8" s="151">
        <f>'[1]расчет дефлятора 3кв_4кв 25г.'!D8</f>
        <v>208859301.65000001</v>
      </c>
      <c r="F8" s="151">
        <f>E8-D8</f>
        <v>1131740.3000000119</v>
      </c>
      <c r="G8" s="140"/>
    </row>
    <row r="10" spans="1:14" ht="15" x14ac:dyDescent="0.25">
      <c r="A10" s="153" t="s">
        <v>67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ht="15" x14ac:dyDescent="0.25">
      <c r="A11" s="153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  <row r="12" spans="1:14" x14ac:dyDescent="0.2">
      <c r="A12" s="155" t="s">
        <v>135</v>
      </c>
      <c r="B12" s="155"/>
      <c r="C12" s="155"/>
      <c r="D12" s="155"/>
      <c r="E12" s="155"/>
      <c r="F12" s="155"/>
      <c r="G12" s="155"/>
      <c r="H12" s="156"/>
      <c r="I12" s="156"/>
      <c r="J12" s="156"/>
      <c r="K12" s="156"/>
    </row>
    <row r="13" spans="1:14" ht="19.5" x14ac:dyDescent="0.35">
      <c r="A13" s="155" t="s">
        <v>68</v>
      </c>
      <c r="B13" s="155"/>
      <c r="C13" s="157">
        <v>108.1</v>
      </c>
      <c r="D13" s="158">
        <f>C13/100</f>
        <v>1.081</v>
      </c>
      <c r="E13" s="155"/>
      <c r="F13" s="155"/>
      <c r="G13" s="159"/>
      <c r="H13" s="156"/>
      <c r="I13" s="160"/>
    </row>
    <row r="14" spans="1:14" ht="8.25" customHeight="1" x14ac:dyDescent="0.2">
      <c r="D14" s="161"/>
      <c r="G14" s="156"/>
      <c r="H14" s="156"/>
      <c r="I14" s="160"/>
    </row>
    <row r="15" spans="1:14" x14ac:dyDescent="0.2">
      <c r="A15" s="154" t="s">
        <v>76</v>
      </c>
      <c r="C15" s="176" t="s">
        <v>78</v>
      </c>
      <c r="D15" s="176"/>
      <c r="E15" s="176"/>
      <c r="F15" s="176"/>
      <c r="G15" s="156"/>
      <c r="H15" s="156"/>
      <c r="I15" s="160"/>
    </row>
    <row r="16" spans="1:14" ht="6" customHeight="1" x14ac:dyDescent="0.2">
      <c r="D16" s="161"/>
      <c r="G16" s="156"/>
      <c r="H16" s="156"/>
      <c r="I16" s="160"/>
    </row>
    <row r="17" spans="1:9" s="168" customFormat="1" ht="25.5" customHeight="1" x14ac:dyDescent="0.25">
      <c r="A17" s="162" t="s">
        <v>77</v>
      </c>
      <c r="B17" s="163"/>
      <c r="C17" s="164" t="s">
        <v>136</v>
      </c>
      <c r="D17" s="177">
        <v>1.06</v>
      </c>
      <c r="E17" s="165" t="s">
        <v>137</v>
      </c>
      <c r="F17" s="161"/>
      <c r="G17" s="166"/>
      <c r="H17" s="166"/>
      <c r="I17" s="167"/>
    </row>
    <row r="18" spans="1:9" ht="14.25" customHeight="1" x14ac:dyDescent="0.2">
      <c r="A18" s="140"/>
      <c r="G18" s="156"/>
      <c r="H18" s="156"/>
      <c r="I18" s="160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sheetPr>
    <tabColor theme="2" tint="-0.249977111117893"/>
  </sheetPr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79" customWidth="1"/>
    <col min="2" max="6" width="16.140625" style="179" customWidth="1"/>
    <col min="7" max="16384" width="8.85546875" style="179"/>
  </cols>
  <sheetData>
    <row r="1" spans="1:6" x14ac:dyDescent="0.25">
      <c r="A1" s="178" t="s">
        <v>79</v>
      </c>
      <c r="B1" s="178"/>
      <c r="C1" s="178"/>
      <c r="D1" s="178"/>
      <c r="E1" s="178"/>
      <c r="F1" s="178"/>
    </row>
    <row r="2" spans="1:6" ht="45" customHeight="1" x14ac:dyDescent="0.25">
      <c r="A2" s="178"/>
      <c r="B2" s="178"/>
      <c r="C2" s="178"/>
      <c r="D2" s="178"/>
      <c r="E2" s="178"/>
      <c r="F2" s="178"/>
    </row>
    <row r="3" spans="1:6" ht="52.5" customHeight="1" x14ac:dyDescent="0.25">
      <c r="A3" s="180" t="s">
        <v>80</v>
      </c>
      <c r="B3" s="180"/>
      <c r="C3" s="180"/>
      <c r="D3" s="180"/>
      <c r="E3" s="180"/>
      <c r="F3" s="180"/>
    </row>
    <row r="4" spans="1:6" s="182" customFormat="1" ht="19.5" customHeight="1" thickBot="1" x14ac:dyDescent="0.35">
      <c r="A4" s="181" t="s">
        <v>81</v>
      </c>
      <c r="B4" s="181"/>
      <c r="C4" s="181"/>
      <c r="D4" s="181"/>
      <c r="E4" s="181"/>
      <c r="F4" s="181"/>
    </row>
    <row r="5" spans="1:6" ht="19.5" customHeight="1" x14ac:dyDescent="0.25">
      <c r="A5" s="183"/>
      <c r="B5" s="184">
        <v>2024</v>
      </c>
      <c r="C5" s="185">
        <v>2025</v>
      </c>
      <c r="D5" s="185">
        <v>2026</v>
      </c>
      <c r="E5" s="185">
        <v>2027</v>
      </c>
      <c r="F5" s="186">
        <v>2028</v>
      </c>
    </row>
    <row r="6" spans="1:6" ht="19.5" customHeight="1" thickBot="1" x14ac:dyDescent="0.3">
      <c r="A6" s="187"/>
      <c r="B6" s="188" t="s">
        <v>82</v>
      </c>
      <c r="C6" s="189" t="s">
        <v>83</v>
      </c>
      <c r="D6" s="190" t="s">
        <v>84</v>
      </c>
      <c r="E6" s="190"/>
      <c r="F6" s="191"/>
    </row>
    <row r="7" spans="1:6" ht="15.75" customHeight="1" x14ac:dyDescent="0.25">
      <c r="A7" s="192" t="s">
        <v>85</v>
      </c>
      <c r="B7" s="193"/>
      <c r="C7" s="194"/>
      <c r="D7" s="194"/>
      <c r="E7" s="194"/>
      <c r="F7" s="195"/>
    </row>
    <row r="8" spans="1:6" ht="20.100000000000001" customHeight="1" x14ac:dyDescent="0.25">
      <c r="A8" s="196" t="s">
        <v>86</v>
      </c>
      <c r="B8" s="197">
        <v>110.66</v>
      </c>
      <c r="C8" s="198">
        <v>102.8</v>
      </c>
      <c r="D8" s="198">
        <v>106.1</v>
      </c>
      <c r="E8" s="198">
        <v>104.93</v>
      </c>
      <c r="F8" s="199">
        <v>104.28</v>
      </c>
    </row>
    <row r="9" spans="1:6" ht="20.100000000000001" customHeight="1" x14ac:dyDescent="0.25">
      <c r="A9" s="200" t="s">
        <v>87</v>
      </c>
      <c r="B9" s="201">
        <v>112.07</v>
      </c>
      <c r="C9" s="202">
        <v>103.02</v>
      </c>
      <c r="D9" s="202">
        <v>106.1</v>
      </c>
      <c r="E9" s="202">
        <v>105.11</v>
      </c>
      <c r="F9" s="203">
        <v>104.28</v>
      </c>
    </row>
    <row r="10" spans="1:6" ht="20.100000000000001" customHeight="1" x14ac:dyDescent="0.25">
      <c r="A10" s="204" t="s">
        <v>88</v>
      </c>
      <c r="B10" s="201">
        <v>110.43</v>
      </c>
      <c r="C10" s="202">
        <v>106.25</v>
      </c>
      <c r="D10" s="202">
        <v>104.9</v>
      </c>
      <c r="E10" s="202">
        <v>104.39</v>
      </c>
      <c r="F10" s="203">
        <v>104.12</v>
      </c>
    </row>
    <row r="11" spans="1:6" ht="20.100000000000001" customHeight="1" x14ac:dyDescent="0.25">
      <c r="A11" s="205" t="s">
        <v>89</v>
      </c>
      <c r="B11" s="206"/>
      <c r="C11" s="207"/>
      <c r="D11" s="207"/>
      <c r="E11" s="207"/>
      <c r="F11" s="208"/>
    </row>
    <row r="12" spans="1:6" ht="20.100000000000001" customHeight="1" x14ac:dyDescent="0.25">
      <c r="A12" s="196" t="s">
        <v>86</v>
      </c>
      <c r="B12" s="197">
        <v>116.59</v>
      </c>
      <c r="C12" s="198">
        <v>89.94</v>
      </c>
      <c r="D12" s="198">
        <v>107.78</v>
      </c>
      <c r="E12" s="198">
        <v>105.6</v>
      </c>
      <c r="F12" s="199">
        <v>104.59</v>
      </c>
    </row>
    <row r="13" spans="1:6" s="210" customFormat="1" ht="20.100000000000001" customHeight="1" x14ac:dyDescent="0.25">
      <c r="A13" s="209" t="s">
        <v>87</v>
      </c>
      <c r="B13" s="201">
        <v>117.68</v>
      </c>
      <c r="C13" s="202">
        <v>93.35</v>
      </c>
      <c r="D13" s="202">
        <v>107.24</v>
      </c>
      <c r="E13" s="202">
        <v>106.04</v>
      </c>
      <c r="F13" s="203">
        <v>104.7</v>
      </c>
    </row>
    <row r="14" spans="1:6" ht="20.100000000000001" customHeight="1" x14ac:dyDescent="0.25">
      <c r="A14" s="205" t="s">
        <v>90</v>
      </c>
      <c r="B14" s="206"/>
      <c r="C14" s="207"/>
      <c r="D14" s="207"/>
      <c r="E14" s="207"/>
      <c r="F14" s="208"/>
    </row>
    <row r="15" spans="1:6" ht="20.100000000000001" customHeight="1" x14ac:dyDescent="0.25">
      <c r="A15" s="196" t="s">
        <v>86</v>
      </c>
      <c r="B15" s="197">
        <v>115.66</v>
      </c>
      <c r="C15" s="198">
        <v>87.47</v>
      </c>
      <c r="D15" s="198">
        <v>108.31</v>
      </c>
      <c r="E15" s="198">
        <v>105.84</v>
      </c>
      <c r="F15" s="199">
        <v>104.67</v>
      </c>
    </row>
    <row r="16" spans="1:6" s="210" customFormat="1" ht="20.100000000000001" customHeight="1" x14ac:dyDescent="0.25">
      <c r="A16" s="211" t="s">
        <v>87</v>
      </c>
      <c r="B16" s="201">
        <v>117.51</v>
      </c>
      <c r="C16" s="202">
        <v>91.4</v>
      </c>
      <c r="D16" s="202">
        <v>107.68</v>
      </c>
      <c r="E16" s="202">
        <v>106.3</v>
      </c>
      <c r="F16" s="203">
        <v>104.78</v>
      </c>
    </row>
    <row r="17" spans="1:6" ht="20.100000000000001" customHeight="1" x14ac:dyDescent="0.25">
      <c r="A17" s="205" t="s">
        <v>91</v>
      </c>
      <c r="B17" s="206"/>
      <c r="C17" s="207"/>
      <c r="D17" s="207"/>
      <c r="E17" s="207"/>
      <c r="F17" s="208"/>
    </row>
    <row r="18" spans="1:6" ht="20.100000000000001" customHeight="1" x14ac:dyDescent="0.25">
      <c r="A18" s="196" t="s">
        <v>86</v>
      </c>
      <c r="B18" s="197">
        <v>83.1</v>
      </c>
      <c r="C18" s="198">
        <v>81.06</v>
      </c>
      <c r="D18" s="198">
        <v>101.91</v>
      </c>
      <c r="E18" s="198">
        <v>105.35</v>
      </c>
      <c r="F18" s="199">
        <v>103.41</v>
      </c>
    </row>
    <row r="19" spans="1:6" ht="20.100000000000001" customHeight="1" x14ac:dyDescent="0.25">
      <c r="A19" s="200" t="s">
        <v>87</v>
      </c>
      <c r="B19" s="201">
        <v>99.65</v>
      </c>
      <c r="C19" s="202">
        <v>88.11</v>
      </c>
      <c r="D19" s="202">
        <v>100.43</v>
      </c>
      <c r="E19" s="202">
        <v>105.55</v>
      </c>
      <c r="F19" s="203">
        <v>103.51</v>
      </c>
    </row>
    <row r="20" spans="1:6" ht="20.100000000000001" customHeight="1" x14ac:dyDescent="0.25">
      <c r="A20" s="204" t="s">
        <v>92</v>
      </c>
      <c r="B20" s="201"/>
      <c r="C20" s="202"/>
      <c r="D20" s="202"/>
      <c r="E20" s="202"/>
      <c r="F20" s="203"/>
    </row>
    <row r="21" spans="1:6" ht="20.100000000000001" customHeight="1" x14ac:dyDescent="0.25">
      <c r="A21" s="200" t="s">
        <v>87</v>
      </c>
      <c r="B21" s="201">
        <v>99.56</v>
      </c>
      <c r="C21" s="212">
        <v>103.19</v>
      </c>
      <c r="D21" s="212">
        <v>101.49</v>
      </c>
      <c r="E21" s="212">
        <v>104.35</v>
      </c>
      <c r="F21" s="213">
        <v>102.68</v>
      </c>
    </row>
    <row r="22" spans="1:6" ht="20.100000000000001" customHeight="1" x14ac:dyDescent="0.25">
      <c r="A22" s="205" t="s">
        <v>93</v>
      </c>
      <c r="B22" s="206"/>
      <c r="C22" s="207"/>
      <c r="D22" s="207"/>
      <c r="E22" s="207"/>
      <c r="F22" s="208"/>
    </row>
    <row r="23" spans="1:6" ht="20.100000000000001" customHeight="1" x14ac:dyDescent="0.25">
      <c r="A23" s="196" t="s">
        <v>86</v>
      </c>
      <c r="B23" s="197">
        <v>119.17</v>
      </c>
      <c r="C23" s="198">
        <v>87.91</v>
      </c>
      <c r="D23" s="198">
        <v>108.72</v>
      </c>
      <c r="E23" s="198">
        <v>105.87</v>
      </c>
      <c r="F23" s="199">
        <v>104.76</v>
      </c>
    </row>
    <row r="24" spans="1:6" s="210" customFormat="1" ht="20.100000000000001" customHeight="1" x14ac:dyDescent="0.25">
      <c r="A24" s="209" t="s">
        <v>87</v>
      </c>
      <c r="B24" s="214">
        <v>118.33</v>
      </c>
      <c r="C24" s="212">
        <v>91.62</v>
      </c>
      <c r="D24" s="212">
        <v>108.13</v>
      </c>
      <c r="E24" s="212">
        <v>106.34</v>
      </c>
      <c r="F24" s="213">
        <v>104.86</v>
      </c>
    </row>
    <row r="25" spans="1:6" ht="20.100000000000001" customHeight="1" x14ac:dyDescent="0.25">
      <c r="A25" s="215" t="s">
        <v>94</v>
      </c>
      <c r="B25" s="216"/>
      <c r="C25" s="217"/>
      <c r="D25" s="217"/>
      <c r="E25" s="217"/>
      <c r="F25" s="218"/>
    </row>
    <row r="26" spans="1:6" ht="20.100000000000001" customHeight="1" x14ac:dyDescent="0.25">
      <c r="A26" s="196" t="s">
        <v>86</v>
      </c>
      <c r="B26" s="197">
        <v>121.48</v>
      </c>
      <c r="C26" s="198">
        <v>105.37</v>
      </c>
      <c r="D26" s="198">
        <v>104.38</v>
      </c>
      <c r="E26" s="198">
        <v>104.08</v>
      </c>
      <c r="F26" s="199">
        <v>104.06</v>
      </c>
    </row>
    <row r="27" spans="1:6" ht="20.100000000000001" customHeight="1" x14ac:dyDescent="0.25">
      <c r="A27" s="200" t="s">
        <v>87</v>
      </c>
      <c r="B27" s="214">
        <v>119.31</v>
      </c>
      <c r="C27" s="212">
        <v>108.14</v>
      </c>
      <c r="D27" s="212">
        <v>104.38</v>
      </c>
      <c r="E27" s="212">
        <v>104.19</v>
      </c>
      <c r="F27" s="213">
        <v>104.07</v>
      </c>
    </row>
    <row r="28" spans="1:6" ht="20.100000000000001" customHeight="1" x14ac:dyDescent="0.25">
      <c r="A28" s="219" t="s">
        <v>95</v>
      </c>
      <c r="B28" s="206"/>
      <c r="C28" s="207"/>
      <c r="D28" s="207"/>
      <c r="E28" s="207"/>
      <c r="F28" s="220"/>
    </row>
    <row r="29" spans="1:6" ht="20.100000000000001" customHeight="1" x14ac:dyDescent="0.25">
      <c r="A29" s="196" t="s">
        <v>86</v>
      </c>
      <c r="B29" s="197">
        <v>132.13999999999999</v>
      </c>
      <c r="C29" s="198">
        <v>105.63</v>
      </c>
      <c r="D29" s="198">
        <v>104.49</v>
      </c>
      <c r="E29" s="198">
        <v>104.14</v>
      </c>
      <c r="F29" s="199">
        <v>104.13</v>
      </c>
    </row>
    <row r="30" spans="1:6" ht="20.100000000000001" customHeight="1" thickBot="1" x14ac:dyDescent="0.3">
      <c r="A30" s="221" t="s">
        <v>87</v>
      </c>
      <c r="B30" s="222">
        <v>125.72</v>
      </c>
      <c r="C30" s="223">
        <v>107.68</v>
      </c>
      <c r="D30" s="223">
        <v>104.34</v>
      </c>
      <c r="E30" s="223">
        <v>104.21</v>
      </c>
      <c r="F30" s="224">
        <v>104.12</v>
      </c>
    </row>
    <row r="31" spans="1:6" ht="20.100000000000001" customHeight="1" x14ac:dyDescent="0.25">
      <c r="A31" s="225" t="s">
        <v>96</v>
      </c>
      <c r="B31" s="226"/>
      <c r="C31" s="227"/>
      <c r="D31" s="227"/>
      <c r="E31" s="227"/>
      <c r="F31" s="228"/>
    </row>
    <row r="32" spans="1:6" ht="20.100000000000001" customHeight="1" x14ac:dyDescent="0.25">
      <c r="A32" s="196" t="s">
        <v>86</v>
      </c>
      <c r="B32" s="197">
        <v>97.25</v>
      </c>
      <c r="C32" s="198">
        <v>104.58</v>
      </c>
      <c r="D32" s="198">
        <v>104.06</v>
      </c>
      <c r="E32" s="198">
        <v>103.89</v>
      </c>
      <c r="F32" s="199">
        <v>103.84</v>
      </c>
    </row>
    <row r="33" spans="1:6" ht="20.100000000000001" customHeight="1" x14ac:dyDescent="0.25">
      <c r="A33" s="229" t="s">
        <v>87</v>
      </c>
      <c r="B33" s="214">
        <v>104.29</v>
      </c>
      <c r="C33" s="212">
        <v>109.5</v>
      </c>
      <c r="D33" s="212">
        <v>104.21</v>
      </c>
      <c r="E33" s="212">
        <v>104.04</v>
      </c>
      <c r="F33" s="213">
        <v>103.94</v>
      </c>
    </row>
    <row r="34" spans="1:6" ht="20.100000000000001" customHeight="1" x14ac:dyDescent="0.25">
      <c r="A34" s="215" t="s">
        <v>97</v>
      </c>
      <c r="B34" s="230"/>
      <c r="C34" s="231"/>
      <c r="D34" s="231"/>
      <c r="E34" s="231"/>
      <c r="F34" s="218"/>
    </row>
    <row r="35" spans="1:6" ht="20.100000000000001" customHeight="1" x14ac:dyDescent="0.25">
      <c r="A35" s="196" t="s">
        <v>86</v>
      </c>
      <c r="B35" s="197">
        <v>107.25</v>
      </c>
      <c r="C35" s="198">
        <v>105.41</v>
      </c>
      <c r="D35" s="198">
        <v>104.849</v>
      </c>
      <c r="E35" s="198">
        <v>104.28</v>
      </c>
      <c r="F35" s="199">
        <v>104.12</v>
      </c>
    </row>
    <row r="36" spans="1:6" ht="20.100000000000001" customHeight="1" x14ac:dyDescent="0.25">
      <c r="A36" s="200" t="s">
        <v>87</v>
      </c>
      <c r="B36" s="214">
        <v>111.22</v>
      </c>
      <c r="C36" s="212">
        <v>104.63</v>
      </c>
      <c r="D36" s="212">
        <v>104.88</v>
      </c>
      <c r="E36" s="212">
        <v>104.38</v>
      </c>
      <c r="F36" s="213">
        <v>104.08</v>
      </c>
    </row>
    <row r="37" spans="1:6" ht="30" x14ac:dyDescent="0.25">
      <c r="A37" s="219" t="s">
        <v>98</v>
      </c>
      <c r="B37" s="206"/>
      <c r="C37" s="207"/>
      <c r="D37" s="207"/>
      <c r="E37" s="207"/>
      <c r="F37" s="220"/>
    </row>
    <row r="38" spans="1:6" ht="20.100000000000001" customHeight="1" x14ac:dyDescent="0.25">
      <c r="A38" s="196" t="s">
        <v>86</v>
      </c>
      <c r="B38" s="197">
        <v>110.07</v>
      </c>
      <c r="C38" s="198">
        <v>112.16</v>
      </c>
      <c r="D38" s="198">
        <v>104.56</v>
      </c>
      <c r="E38" s="198">
        <v>104.06</v>
      </c>
      <c r="F38" s="199">
        <v>103.88</v>
      </c>
    </row>
    <row r="39" spans="1:6" ht="20.100000000000001" customHeight="1" x14ac:dyDescent="0.25">
      <c r="A39" s="200" t="s">
        <v>87</v>
      </c>
      <c r="B39" s="214">
        <v>109.05</v>
      </c>
      <c r="C39" s="212">
        <v>111.13</v>
      </c>
      <c r="D39" s="212">
        <v>104.76</v>
      </c>
      <c r="E39" s="212">
        <v>104.14</v>
      </c>
      <c r="F39" s="213">
        <v>103.89</v>
      </c>
    </row>
    <row r="40" spans="1:6" ht="30" x14ac:dyDescent="0.25">
      <c r="A40" s="219" t="s">
        <v>99</v>
      </c>
      <c r="B40" s="206"/>
      <c r="C40" s="207"/>
      <c r="D40" s="207"/>
      <c r="E40" s="207"/>
      <c r="F40" s="220"/>
    </row>
    <row r="41" spans="1:6" ht="20.100000000000001" customHeight="1" x14ac:dyDescent="0.25">
      <c r="A41" s="196" t="s">
        <v>86</v>
      </c>
      <c r="B41" s="197">
        <v>111.16</v>
      </c>
      <c r="C41" s="198">
        <v>109.2</v>
      </c>
      <c r="D41" s="198">
        <v>104.43</v>
      </c>
      <c r="E41" s="198">
        <v>104.13</v>
      </c>
      <c r="F41" s="199">
        <v>103.85</v>
      </c>
    </row>
    <row r="42" spans="1:6" ht="20.100000000000001" customHeight="1" x14ac:dyDescent="0.25">
      <c r="A42" s="229" t="s">
        <v>87</v>
      </c>
      <c r="B42" s="214">
        <v>108.13</v>
      </c>
      <c r="C42" s="212">
        <v>106.06</v>
      </c>
      <c r="D42" s="212">
        <v>104.17</v>
      </c>
      <c r="E42" s="212">
        <v>104</v>
      </c>
      <c r="F42" s="213">
        <v>103.85</v>
      </c>
    </row>
    <row r="43" spans="1:6" ht="30" x14ac:dyDescent="0.25">
      <c r="A43" s="219" t="s">
        <v>100</v>
      </c>
      <c r="B43" s="206"/>
      <c r="C43" s="207"/>
      <c r="D43" s="207"/>
      <c r="E43" s="207"/>
      <c r="F43" s="220"/>
    </row>
    <row r="44" spans="1:6" ht="20.100000000000001" customHeight="1" x14ac:dyDescent="0.25">
      <c r="A44" s="196" t="s">
        <v>86</v>
      </c>
      <c r="B44" s="197">
        <v>114.3</v>
      </c>
      <c r="C44" s="198">
        <v>104.31</v>
      </c>
      <c r="D44" s="198">
        <v>104.64</v>
      </c>
      <c r="E44" s="198">
        <v>104.08</v>
      </c>
      <c r="F44" s="199">
        <v>103.87</v>
      </c>
    </row>
    <row r="45" spans="1:6" ht="20.100000000000001" customHeight="1" x14ac:dyDescent="0.25">
      <c r="A45" s="229" t="s">
        <v>87</v>
      </c>
      <c r="B45" s="214">
        <v>115.88</v>
      </c>
      <c r="C45" s="212">
        <v>103.74</v>
      </c>
      <c r="D45" s="212">
        <v>104.78</v>
      </c>
      <c r="E45" s="212">
        <v>103.95</v>
      </c>
      <c r="F45" s="213">
        <v>103.91</v>
      </c>
    </row>
    <row r="46" spans="1:6" ht="20.100000000000001" customHeight="1" x14ac:dyDescent="0.25">
      <c r="A46" s="232" t="s">
        <v>101</v>
      </c>
      <c r="B46" s="216"/>
      <c r="C46" s="217"/>
      <c r="D46" s="217"/>
      <c r="E46" s="217"/>
      <c r="F46" s="233"/>
    </row>
    <row r="47" spans="1:6" ht="20.100000000000001" customHeight="1" x14ac:dyDescent="0.25">
      <c r="A47" s="196" t="s">
        <v>86</v>
      </c>
      <c r="B47" s="197">
        <v>113.7</v>
      </c>
      <c r="C47" s="198">
        <v>103.62</v>
      </c>
      <c r="D47" s="198">
        <v>104.04</v>
      </c>
      <c r="E47" s="198">
        <v>104</v>
      </c>
      <c r="F47" s="199">
        <v>104.02</v>
      </c>
    </row>
    <row r="48" spans="1:6" ht="20.100000000000001" customHeight="1" x14ac:dyDescent="0.25">
      <c r="A48" s="200" t="s">
        <v>87</v>
      </c>
      <c r="B48" s="214">
        <v>115.17</v>
      </c>
      <c r="C48" s="212">
        <v>101.18</v>
      </c>
      <c r="D48" s="212">
        <v>103.98</v>
      </c>
      <c r="E48" s="212">
        <v>103.9</v>
      </c>
      <c r="F48" s="213">
        <v>103.86</v>
      </c>
    </row>
    <row r="49" spans="1:6" ht="20.100000000000001" customHeight="1" x14ac:dyDescent="0.25">
      <c r="A49" s="219" t="s">
        <v>102</v>
      </c>
      <c r="B49" s="206"/>
      <c r="C49" s="207"/>
      <c r="D49" s="207"/>
      <c r="E49" s="207"/>
      <c r="F49" s="220"/>
    </row>
    <row r="50" spans="1:6" ht="20.100000000000001" customHeight="1" x14ac:dyDescent="0.25">
      <c r="A50" s="196" t="s">
        <v>86</v>
      </c>
      <c r="B50" s="197">
        <v>112.64</v>
      </c>
      <c r="C50" s="198">
        <v>94.68</v>
      </c>
      <c r="D50" s="198">
        <v>104.19</v>
      </c>
      <c r="E50" s="198">
        <v>103.9</v>
      </c>
      <c r="F50" s="199">
        <v>103.78</v>
      </c>
    </row>
    <row r="51" spans="1:6" ht="20.100000000000001" customHeight="1" x14ac:dyDescent="0.25">
      <c r="A51" s="229" t="s">
        <v>87</v>
      </c>
      <c r="B51" s="214">
        <v>116.42</v>
      </c>
      <c r="C51" s="212">
        <v>95.847999999999999</v>
      </c>
      <c r="D51" s="212">
        <v>104.649</v>
      </c>
      <c r="E51" s="212">
        <v>104.13</v>
      </c>
      <c r="F51" s="213">
        <v>103.8</v>
      </c>
    </row>
    <row r="52" spans="1:6" ht="45" x14ac:dyDescent="0.25">
      <c r="A52" s="219" t="s">
        <v>103</v>
      </c>
      <c r="B52" s="206"/>
      <c r="C52" s="207"/>
      <c r="D52" s="207"/>
      <c r="E52" s="207"/>
      <c r="F52" s="220"/>
    </row>
    <row r="53" spans="1:6" ht="20.100000000000001" customHeight="1" x14ac:dyDescent="0.25">
      <c r="A53" s="196" t="s">
        <v>86</v>
      </c>
      <c r="B53" s="197">
        <v>107.88</v>
      </c>
      <c r="C53" s="198">
        <v>107.42</v>
      </c>
      <c r="D53" s="198">
        <v>104.62</v>
      </c>
      <c r="E53" s="198">
        <v>104.349</v>
      </c>
      <c r="F53" s="199">
        <v>104.146</v>
      </c>
    </row>
    <row r="54" spans="1:6" ht="20.100000000000001" customHeight="1" thickBot="1" x14ac:dyDescent="0.3">
      <c r="A54" s="221" t="s">
        <v>87</v>
      </c>
      <c r="B54" s="222">
        <v>105.88</v>
      </c>
      <c r="C54" s="223">
        <v>104.15</v>
      </c>
      <c r="D54" s="223">
        <v>104.01</v>
      </c>
      <c r="E54" s="223">
        <v>103.92</v>
      </c>
      <c r="F54" s="224">
        <v>103.75</v>
      </c>
    </row>
    <row r="55" spans="1:6" ht="17.25" customHeight="1" x14ac:dyDescent="0.25">
      <c r="A55" s="225" t="s">
        <v>104</v>
      </c>
      <c r="B55" s="226"/>
      <c r="C55" s="227"/>
      <c r="D55" s="227"/>
      <c r="E55" s="227"/>
      <c r="F55" s="228"/>
    </row>
    <row r="56" spans="1:6" ht="20.100000000000001" customHeight="1" x14ac:dyDescent="0.25">
      <c r="A56" s="196" t="s">
        <v>86</v>
      </c>
      <c r="B56" s="197">
        <v>108.8</v>
      </c>
      <c r="C56" s="198">
        <v>109.72</v>
      </c>
      <c r="D56" s="198">
        <v>104.5</v>
      </c>
      <c r="E56" s="198">
        <v>104.21</v>
      </c>
      <c r="F56" s="199">
        <v>103.92</v>
      </c>
    </row>
    <row r="57" spans="1:6" ht="20.100000000000001" customHeight="1" x14ac:dyDescent="0.25">
      <c r="A57" s="200" t="s">
        <v>87</v>
      </c>
      <c r="B57" s="214">
        <v>112.64</v>
      </c>
      <c r="C57" s="212">
        <v>108.08</v>
      </c>
      <c r="D57" s="212">
        <v>104.28</v>
      </c>
      <c r="E57" s="212">
        <v>104.21</v>
      </c>
      <c r="F57" s="213">
        <v>104.02</v>
      </c>
    </row>
    <row r="58" spans="1:6" ht="15.75" x14ac:dyDescent="0.25">
      <c r="A58" s="219" t="s">
        <v>105</v>
      </c>
      <c r="B58" s="206"/>
      <c r="C58" s="207"/>
      <c r="D58" s="207"/>
      <c r="E58" s="207"/>
      <c r="F58" s="220"/>
    </row>
    <row r="59" spans="1:6" ht="20.100000000000001" customHeight="1" x14ac:dyDescent="0.25">
      <c r="A59" s="196" t="s">
        <v>86</v>
      </c>
      <c r="B59" s="197">
        <v>107.92</v>
      </c>
      <c r="C59" s="198">
        <v>94.72</v>
      </c>
      <c r="D59" s="198">
        <v>105.24</v>
      </c>
      <c r="E59" s="198">
        <v>104.88</v>
      </c>
      <c r="F59" s="199">
        <v>104.91</v>
      </c>
    </row>
    <row r="60" spans="1:6" ht="20.100000000000001" customHeight="1" x14ac:dyDescent="0.25">
      <c r="A60" s="229" t="s">
        <v>87</v>
      </c>
      <c r="B60" s="214">
        <v>108.17</v>
      </c>
      <c r="C60" s="212">
        <v>94.14</v>
      </c>
      <c r="D60" s="212">
        <v>104.88</v>
      </c>
      <c r="E60" s="212">
        <v>105.21</v>
      </c>
      <c r="F60" s="213">
        <v>104.88</v>
      </c>
    </row>
    <row r="61" spans="1:6" ht="30" x14ac:dyDescent="0.25">
      <c r="A61" s="232" t="s">
        <v>106</v>
      </c>
      <c r="B61" s="216"/>
      <c r="C61" s="217"/>
      <c r="D61" s="217"/>
      <c r="E61" s="217"/>
      <c r="F61" s="233"/>
    </row>
    <row r="62" spans="1:6" ht="20.100000000000001" customHeight="1" x14ac:dyDescent="0.25">
      <c r="A62" s="196" t="s">
        <v>86</v>
      </c>
      <c r="B62" s="197">
        <v>106.09</v>
      </c>
      <c r="C62" s="198">
        <v>116.32</v>
      </c>
      <c r="D62" s="198">
        <v>104.06</v>
      </c>
      <c r="E62" s="198">
        <v>104.2</v>
      </c>
      <c r="F62" s="199">
        <v>104.27</v>
      </c>
    </row>
    <row r="63" spans="1:6" ht="20.100000000000001" customHeight="1" x14ac:dyDescent="0.25">
      <c r="A63" s="200" t="s">
        <v>87</v>
      </c>
      <c r="B63" s="214">
        <v>111.44</v>
      </c>
      <c r="C63" s="212">
        <v>120.04900000000001</v>
      </c>
      <c r="D63" s="212">
        <v>102.98</v>
      </c>
      <c r="E63" s="212">
        <v>104.28</v>
      </c>
      <c r="F63" s="213">
        <v>103.94</v>
      </c>
    </row>
    <row r="64" spans="1:6" ht="30" x14ac:dyDescent="0.25">
      <c r="A64" s="219" t="s">
        <v>107</v>
      </c>
      <c r="B64" s="206"/>
      <c r="C64" s="207"/>
      <c r="D64" s="207"/>
      <c r="E64" s="207"/>
      <c r="F64" s="220"/>
    </row>
    <row r="65" spans="1:6" ht="20.100000000000001" customHeight="1" x14ac:dyDescent="0.25">
      <c r="A65" s="196" t="s">
        <v>86</v>
      </c>
      <c r="B65" s="197">
        <v>103.62</v>
      </c>
      <c r="C65" s="198">
        <v>101.84</v>
      </c>
      <c r="D65" s="198">
        <v>105.66</v>
      </c>
      <c r="E65" s="198">
        <v>104.44</v>
      </c>
      <c r="F65" s="199">
        <v>103.93</v>
      </c>
    </row>
    <row r="66" spans="1:6" ht="20.100000000000001" customHeight="1" x14ac:dyDescent="0.25">
      <c r="A66" s="229" t="s">
        <v>87</v>
      </c>
      <c r="B66" s="214">
        <v>114.25</v>
      </c>
      <c r="C66" s="212">
        <v>102.69</v>
      </c>
      <c r="D66" s="212">
        <v>105.44</v>
      </c>
      <c r="E66" s="212">
        <v>104.22</v>
      </c>
      <c r="F66" s="213">
        <v>103.86</v>
      </c>
    </row>
    <row r="67" spans="1:6" ht="20.100000000000001" customHeight="1" x14ac:dyDescent="0.25">
      <c r="A67" s="232" t="s">
        <v>108</v>
      </c>
      <c r="B67" s="216"/>
      <c r="C67" s="217"/>
      <c r="D67" s="217"/>
      <c r="E67" s="217"/>
      <c r="F67" s="233"/>
    </row>
    <row r="68" spans="1:6" ht="20.100000000000001" customHeight="1" x14ac:dyDescent="0.25">
      <c r="A68" s="196" t="s">
        <v>86</v>
      </c>
      <c r="B68" s="197">
        <v>109.75</v>
      </c>
      <c r="C68" s="198">
        <v>106.8</v>
      </c>
      <c r="D68" s="198">
        <v>105.67</v>
      </c>
      <c r="E68" s="198">
        <v>104.54</v>
      </c>
      <c r="F68" s="199">
        <v>104.39</v>
      </c>
    </row>
    <row r="69" spans="1:6" ht="20.100000000000001" customHeight="1" x14ac:dyDescent="0.25">
      <c r="A69" s="200" t="s">
        <v>87</v>
      </c>
      <c r="B69" s="214">
        <v>109.56</v>
      </c>
      <c r="C69" s="212">
        <v>106.81</v>
      </c>
      <c r="D69" s="212">
        <v>106.3</v>
      </c>
      <c r="E69" s="212">
        <v>104.89</v>
      </c>
      <c r="F69" s="213">
        <v>104.56</v>
      </c>
    </row>
    <row r="70" spans="1:6" ht="20.100000000000001" customHeight="1" x14ac:dyDescent="0.25">
      <c r="A70" s="219" t="s">
        <v>109</v>
      </c>
      <c r="B70" s="206"/>
      <c r="C70" s="207"/>
      <c r="D70" s="207"/>
      <c r="E70" s="207"/>
      <c r="F70" s="220"/>
    </row>
    <row r="71" spans="1:6" ht="20.100000000000001" customHeight="1" x14ac:dyDescent="0.25">
      <c r="A71" s="196" t="s">
        <v>86</v>
      </c>
      <c r="B71" s="197">
        <v>109.41</v>
      </c>
      <c r="C71" s="198">
        <v>105.63</v>
      </c>
      <c r="D71" s="198">
        <v>103.98</v>
      </c>
      <c r="E71" s="234">
        <v>103.95</v>
      </c>
      <c r="F71" s="235">
        <v>103.89</v>
      </c>
    </row>
    <row r="72" spans="1:6" ht="31.5" x14ac:dyDescent="0.25">
      <c r="A72" s="205" t="s">
        <v>110</v>
      </c>
      <c r="B72" s="236"/>
      <c r="C72" s="237"/>
      <c r="D72" s="237"/>
      <c r="E72" s="237"/>
      <c r="F72" s="208"/>
    </row>
    <row r="73" spans="1:6" ht="20.100000000000001" customHeight="1" x14ac:dyDescent="0.25">
      <c r="A73" s="196" t="s">
        <v>86</v>
      </c>
      <c r="B73" s="197">
        <v>108.22</v>
      </c>
      <c r="C73" s="198">
        <v>115.27</v>
      </c>
      <c r="D73" s="198">
        <v>113.2</v>
      </c>
      <c r="E73" s="198">
        <v>109.15</v>
      </c>
      <c r="F73" s="199">
        <v>104.946</v>
      </c>
    </row>
    <row r="74" spans="1:6" ht="20.100000000000001" customHeight="1" x14ac:dyDescent="0.25">
      <c r="A74" s="200" t="s">
        <v>87</v>
      </c>
      <c r="B74" s="214">
        <v>105.947</v>
      </c>
      <c r="C74" s="212">
        <v>114.37</v>
      </c>
      <c r="D74" s="212">
        <v>113.16</v>
      </c>
      <c r="E74" s="212">
        <v>109.06</v>
      </c>
      <c r="F74" s="213">
        <v>104.93</v>
      </c>
    </row>
    <row r="75" spans="1:6" ht="31.5" x14ac:dyDescent="0.25">
      <c r="A75" s="205" t="s">
        <v>111</v>
      </c>
      <c r="B75" s="236"/>
      <c r="C75" s="237"/>
      <c r="D75" s="237"/>
      <c r="E75" s="237"/>
      <c r="F75" s="208"/>
    </row>
    <row r="76" spans="1:6" ht="20.100000000000001" customHeight="1" x14ac:dyDescent="0.25">
      <c r="A76" s="196" t="s">
        <v>86</v>
      </c>
      <c r="B76" s="197">
        <v>108.02</v>
      </c>
      <c r="C76" s="198">
        <v>106.27</v>
      </c>
      <c r="D76" s="198">
        <v>104.36</v>
      </c>
      <c r="E76" s="198">
        <v>104.09</v>
      </c>
      <c r="F76" s="199">
        <v>104.04</v>
      </c>
    </row>
    <row r="77" spans="1:6" ht="20.100000000000001" customHeight="1" thickBot="1" x14ac:dyDescent="0.3">
      <c r="A77" s="221" t="s">
        <v>87</v>
      </c>
      <c r="B77" s="222">
        <v>104.89</v>
      </c>
      <c r="C77" s="223">
        <v>104.79</v>
      </c>
      <c r="D77" s="223">
        <v>104.2</v>
      </c>
      <c r="E77" s="223">
        <v>104.148</v>
      </c>
      <c r="F77" s="224">
        <v>104.04</v>
      </c>
    </row>
    <row r="78" spans="1:6" ht="20.100000000000001" customHeight="1" x14ac:dyDescent="0.25">
      <c r="A78" s="192" t="s">
        <v>112</v>
      </c>
      <c r="B78" s="238"/>
      <c r="C78" s="239"/>
      <c r="D78" s="239"/>
      <c r="E78" s="239"/>
      <c r="F78" s="240"/>
    </row>
    <row r="79" spans="1:6" ht="20.100000000000001" customHeight="1" x14ac:dyDescent="0.25">
      <c r="A79" s="196" t="s">
        <v>86</v>
      </c>
      <c r="B79" s="197">
        <v>108.28</v>
      </c>
      <c r="C79" s="198">
        <v>109.53</v>
      </c>
      <c r="D79" s="198">
        <v>104.92</v>
      </c>
      <c r="E79" s="198">
        <v>104.44</v>
      </c>
      <c r="F79" s="199">
        <v>104.44</v>
      </c>
    </row>
    <row r="80" spans="1:6" ht="20.100000000000001" customHeight="1" x14ac:dyDescent="0.25">
      <c r="A80" s="205" t="s">
        <v>113</v>
      </c>
      <c r="B80" s="236"/>
      <c r="C80" s="237"/>
      <c r="D80" s="237"/>
      <c r="E80" s="237"/>
      <c r="F80" s="208"/>
    </row>
    <row r="81" spans="1:6" ht="20.100000000000001" customHeight="1" x14ac:dyDescent="0.25">
      <c r="A81" s="196" t="s">
        <v>86</v>
      </c>
      <c r="B81" s="241">
        <v>106.9</v>
      </c>
      <c r="C81" s="198">
        <v>110.96</v>
      </c>
      <c r="D81" s="198">
        <v>104.58</v>
      </c>
      <c r="E81" s="198">
        <v>104.48</v>
      </c>
      <c r="F81" s="199">
        <v>104.33</v>
      </c>
    </row>
    <row r="82" spans="1:6" ht="20.100000000000001" customHeight="1" x14ac:dyDescent="0.25">
      <c r="A82" s="205" t="s">
        <v>114</v>
      </c>
      <c r="B82" s="236"/>
      <c r="C82" s="237"/>
      <c r="D82" s="237"/>
      <c r="E82" s="237"/>
      <c r="F82" s="208"/>
    </row>
    <row r="83" spans="1:6" ht="20.100000000000001" customHeight="1" x14ac:dyDescent="0.25">
      <c r="A83" s="196" t="s">
        <v>86</v>
      </c>
      <c r="B83" s="241">
        <v>109.89</v>
      </c>
      <c r="C83" s="198">
        <v>107.72</v>
      </c>
      <c r="D83" s="198">
        <v>105.36</v>
      </c>
      <c r="E83" s="198">
        <v>104.4</v>
      </c>
      <c r="F83" s="199">
        <v>104.58</v>
      </c>
    </row>
    <row r="84" spans="1:6" ht="20.100000000000001" customHeight="1" x14ac:dyDescent="0.25">
      <c r="A84" s="242" t="s">
        <v>115</v>
      </c>
      <c r="B84" s="214">
        <v>109.33</v>
      </c>
      <c r="C84" s="212">
        <v>107.79</v>
      </c>
      <c r="D84" s="212">
        <v>105.08</v>
      </c>
      <c r="E84" s="212">
        <v>104.4</v>
      </c>
      <c r="F84" s="213">
        <v>104.48</v>
      </c>
    </row>
    <row r="85" spans="1:6" ht="16.5" customHeight="1" x14ac:dyDescent="0.25">
      <c r="A85" s="205" t="s">
        <v>116</v>
      </c>
      <c r="B85" s="243"/>
      <c r="C85" s="244"/>
      <c r="D85" s="244"/>
      <c r="E85" s="244"/>
      <c r="F85" s="245"/>
    </row>
    <row r="86" spans="1:6" ht="20.100000000000001" customHeight="1" x14ac:dyDescent="0.25">
      <c r="A86" s="196" t="s">
        <v>117</v>
      </c>
      <c r="B86" s="241">
        <v>113.86</v>
      </c>
      <c r="C86" s="198">
        <v>108.8</v>
      </c>
      <c r="D86" s="198">
        <v>105.54</v>
      </c>
      <c r="E86" s="198">
        <v>105.2</v>
      </c>
      <c r="F86" s="199">
        <v>104.65</v>
      </c>
    </row>
    <row r="87" spans="1:6" ht="20.100000000000001" customHeight="1" x14ac:dyDescent="0.25">
      <c r="A87" s="246" t="s">
        <v>118</v>
      </c>
      <c r="B87" s="201">
        <v>113.46</v>
      </c>
      <c r="C87" s="202">
        <v>104.55</v>
      </c>
      <c r="D87" s="202">
        <v>105.69</v>
      </c>
      <c r="E87" s="202">
        <v>104.87</v>
      </c>
      <c r="F87" s="203">
        <v>104.79</v>
      </c>
    </row>
    <row r="88" spans="1:6" ht="20.100000000000001" customHeight="1" x14ac:dyDescent="0.25">
      <c r="A88" s="247" t="s">
        <v>119</v>
      </c>
      <c r="B88" s="214">
        <v>121.23</v>
      </c>
      <c r="C88" s="212">
        <v>109.28</v>
      </c>
      <c r="D88" s="212">
        <v>107.04</v>
      </c>
      <c r="E88" s="212">
        <v>105.44</v>
      </c>
      <c r="F88" s="213">
        <v>105.38</v>
      </c>
    </row>
    <row r="89" spans="1:6" ht="20.100000000000001" customHeight="1" x14ac:dyDescent="0.25">
      <c r="A89" s="215" t="s">
        <v>120</v>
      </c>
      <c r="B89" s="248"/>
      <c r="C89" s="249"/>
      <c r="D89" s="249"/>
      <c r="E89" s="249"/>
      <c r="F89" s="250"/>
    </row>
    <row r="90" spans="1:6" ht="20.100000000000001" customHeight="1" x14ac:dyDescent="0.25">
      <c r="A90" s="196" t="s">
        <v>86</v>
      </c>
      <c r="B90" s="197">
        <v>108.14</v>
      </c>
      <c r="C90" s="198">
        <v>107.4</v>
      </c>
      <c r="D90" s="198">
        <v>105.5</v>
      </c>
      <c r="E90" s="198">
        <v>104.1</v>
      </c>
      <c r="F90" s="199">
        <v>104.1</v>
      </c>
    </row>
    <row r="91" spans="1:6" ht="20.100000000000001" customHeight="1" x14ac:dyDescent="0.25">
      <c r="A91" s="229" t="s">
        <v>121</v>
      </c>
      <c r="B91" s="214">
        <v>108.22</v>
      </c>
      <c r="C91" s="212"/>
      <c r="D91" s="212"/>
      <c r="E91" s="212"/>
      <c r="F91" s="213"/>
    </row>
    <row r="92" spans="1:6" ht="20.100000000000001" customHeight="1" x14ac:dyDescent="0.25">
      <c r="A92" s="215" t="s">
        <v>122</v>
      </c>
      <c r="B92" s="248"/>
      <c r="C92" s="249"/>
      <c r="D92" s="249"/>
      <c r="E92" s="249"/>
      <c r="F92" s="250"/>
    </row>
    <row r="93" spans="1:6" ht="20.100000000000001" customHeight="1" x14ac:dyDescent="0.25">
      <c r="A93" s="196" t="s">
        <v>86</v>
      </c>
      <c r="B93" s="241">
        <v>107.81</v>
      </c>
      <c r="C93" s="259">
        <v>108.06</v>
      </c>
      <c r="D93" s="198">
        <v>105.41</v>
      </c>
      <c r="E93" s="198">
        <v>104.54</v>
      </c>
      <c r="F93" s="199">
        <v>104.28</v>
      </c>
    </row>
    <row r="94" spans="1:6" ht="20.100000000000001" customHeight="1" x14ac:dyDescent="0.25">
      <c r="A94" s="229" t="s">
        <v>87</v>
      </c>
      <c r="B94" s="214">
        <v>107.87</v>
      </c>
      <c r="C94" s="212">
        <v>107.87</v>
      </c>
      <c r="D94" s="212">
        <v>105.42</v>
      </c>
      <c r="E94" s="212">
        <v>104.44</v>
      </c>
      <c r="F94" s="213">
        <v>104.28</v>
      </c>
    </row>
    <row r="95" spans="1:6" ht="20.100000000000001" customHeight="1" x14ac:dyDescent="0.25">
      <c r="A95" s="205" t="s">
        <v>123</v>
      </c>
      <c r="B95" s="243"/>
      <c r="C95" s="244"/>
      <c r="D95" s="244"/>
      <c r="E95" s="244"/>
      <c r="F95" s="245"/>
    </row>
    <row r="96" spans="1:6" ht="20.100000000000001" customHeight="1" x14ac:dyDescent="0.25">
      <c r="A96" s="196" t="s">
        <v>124</v>
      </c>
      <c r="B96" s="197">
        <v>107.57</v>
      </c>
      <c r="C96" s="198">
        <v>108.01</v>
      </c>
      <c r="D96" s="198">
        <v>104.64</v>
      </c>
      <c r="E96" s="198">
        <v>104</v>
      </c>
      <c r="F96" s="199">
        <v>104</v>
      </c>
    </row>
    <row r="97" spans="1:6" ht="20.100000000000001" customHeight="1" x14ac:dyDescent="0.25">
      <c r="A97" s="200" t="s">
        <v>125</v>
      </c>
      <c r="B97" s="201">
        <v>107.85</v>
      </c>
      <c r="C97" s="202">
        <v>107.81</v>
      </c>
      <c r="D97" s="202">
        <v>104.42</v>
      </c>
      <c r="E97" s="202">
        <v>103.64</v>
      </c>
      <c r="F97" s="203">
        <v>103.74</v>
      </c>
    </row>
    <row r="98" spans="1:6" ht="20.100000000000001" customHeight="1" x14ac:dyDescent="0.25">
      <c r="A98" s="196" t="s">
        <v>126</v>
      </c>
      <c r="B98" s="197">
        <v>110.24</v>
      </c>
      <c r="C98" s="198">
        <v>112.03</v>
      </c>
      <c r="D98" s="198">
        <v>106.94</v>
      </c>
      <c r="E98" s="198">
        <v>104.81</v>
      </c>
      <c r="F98" s="199">
        <v>104</v>
      </c>
    </row>
    <row r="99" spans="1:6" ht="20.100000000000001" customHeight="1" thickBot="1" x14ac:dyDescent="0.3">
      <c r="A99" s="221" t="s">
        <v>127</v>
      </c>
      <c r="B99" s="222">
        <v>109.97</v>
      </c>
      <c r="C99" s="223">
        <v>112.03</v>
      </c>
      <c r="D99" s="223">
        <v>106.94</v>
      </c>
      <c r="E99" s="223">
        <v>104.95</v>
      </c>
      <c r="F99" s="224">
        <v>104.61</v>
      </c>
    </row>
    <row r="100" spans="1:6" ht="15" customHeight="1" x14ac:dyDescent="0.25">
      <c r="A100" s="251" t="s">
        <v>128</v>
      </c>
      <c r="B100" s="252"/>
      <c r="C100" s="252"/>
      <c r="D100" s="252"/>
      <c r="E100" s="252"/>
      <c r="F100" s="252"/>
    </row>
    <row r="101" spans="1:6" ht="14.25" customHeight="1" x14ac:dyDescent="0.25">
      <c r="A101" s="253" t="s">
        <v>129</v>
      </c>
      <c r="B101" s="254"/>
      <c r="C101" s="254"/>
      <c r="D101" s="254"/>
      <c r="E101" s="254"/>
      <c r="F101" s="254"/>
    </row>
    <row r="102" spans="1:6" ht="27" customHeight="1" x14ac:dyDescent="0.25">
      <c r="A102" s="255" t="s">
        <v>130</v>
      </c>
      <c r="B102" s="256"/>
      <c r="C102" s="256"/>
      <c r="D102" s="256"/>
      <c r="E102" s="256"/>
      <c r="F102" s="256"/>
    </row>
    <row r="103" spans="1:6" ht="15.75" x14ac:dyDescent="0.25">
      <c r="A103" s="251" t="s">
        <v>131</v>
      </c>
      <c r="B103" s="257"/>
      <c r="C103" s="257"/>
      <c r="D103" s="257"/>
      <c r="E103" s="257"/>
      <c r="F103" s="257"/>
    </row>
    <row r="104" spans="1:6" ht="15.75" x14ac:dyDescent="0.25">
      <c r="A104" s="251" t="s">
        <v>132</v>
      </c>
      <c r="B104" s="257"/>
      <c r="C104" s="257"/>
      <c r="D104" s="257"/>
      <c r="E104" s="257"/>
      <c r="F104" s="257"/>
    </row>
    <row r="105" spans="1:6" ht="15.75" x14ac:dyDescent="0.25">
      <c r="A105" s="251" t="s">
        <v>133</v>
      </c>
      <c r="B105" s="258"/>
      <c r="C105" s="258"/>
      <c r="D105" s="258"/>
      <c r="E105" s="258"/>
      <c r="F105" s="258"/>
    </row>
    <row r="106" spans="1:6" ht="15" customHeight="1" x14ac:dyDescent="0.25">
      <c r="A106" s="251" t="s">
        <v>134</v>
      </c>
      <c r="B106" s="254"/>
      <c r="C106" s="254"/>
      <c r="D106" s="254"/>
      <c r="E106" s="254"/>
      <c r="F106" s="254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topLeftCell="A3"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8" t="s">
        <v>37</v>
      </c>
      <c r="B2" s="59" t="s">
        <v>38</v>
      </c>
      <c r="C2" s="60" t="s">
        <v>18</v>
      </c>
      <c r="D2" s="61" t="s">
        <v>21</v>
      </c>
      <c r="E2" s="62"/>
      <c r="F2" s="63" t="s">
        <v>32</v>
      </c>
      <c r="G2" s="1" t="s">
        <v>24</v>
      </c>
    </row>
    <row r="3" spans="1:8" x14ac:dyDescent="0.25">
      <c r="A3" s="89">
        <v>1</v>
      </c>
      <c r="B3" s="92" t="s">
        <v>0</v>
      </c>
      <c r="C3" s="93" t="s">
        <v>19</v>
      </c>
      <c r="D3" s="94">
        <f>404.352+9.256</f>
        <v>413.60799999999995</v>
      </c>
      <c r="E3" s="95"/>
      <c r="F3" s="96">
        <f>40619316.42-G3</f>
        <v>10022991.91</v>
      </c>
      <c r="G3" s="36">
        <v>30596324.510000002</v>
      </c>
      <c r="H3" s="34"/>
    </row>
    <row r="4" spans="1:8" x14ac:dyDescent="0.25">
      <c r="A4" s="90">
        <v>2</v>
      </c>
      <c r="B4" s="97" t="s">
        <v>25</v>
      </c>
      <c r="C4" s="98" t="s">
        <v>19</v>
      </c>
      <c r="D4" s="99">
        <f>676.624</f>
        <v>676.62400000000002</v>
      </c>
      <c r="E4" s="100"/>
      <c r="F4" s="101">
        <f>77526903.96-G4</f>
        <v>28449520.749999993</v>
      </c>
      <c r="G4" s="36">
        <v>49077383.210000001</v>
      </c>
      <c r="H4" s="34"/>
    </row>
    <row r="5" spans="1:8" x14ac:dyDescent="0.25">
      <c r="A5" s="90">
        <v>3</v>
      </c>
      <c r="B5" s="97" t="s">
        <v>26</v>
      </c>
      <c r="C5" s="98" t="s">
        <v>19</v>
      </c>
      <c r="D5" s="99">
        <v>295.15199999999999</v>
      </c>
      <c r="E5" s="100"/>
      <c r="F5" s="101">
        <f>35252578.16-G5</f>
        <v>12410042.859999996</v>
      </c>
      <c r="G5" s="36">
        <v>22842535.300000001</v>
      </c>
      <c r="H5" s="34"/>
    </row>
    <row r="6" spans="1:8" x14ac:dyDescent="0.25">
      <c r="A6" s="90">
        <v>4</v>
      </c>
      <c r="B6" s="97" t="s">
        <v>8</v>
      </c>
      <c r="C6" s="98" t="s">
        <v>19</v>
      </c>
      <c r="D6" s="99">
        <v>284.85599999999999</v>
      </c>
      <c r="E6" s="100"/>
      <c r="F6" s="101">
        <f>54348406.96-G6</f>
        <v>29847559.98</v>
      </c>
      <c r="G6" s="36">
        <v>24500846.98</v>
      </c>
      <c r="H6" s="34"/>
    </row>
    <row r="7" spans="1:8" x14ac:dyDescent="0.25">
      <c r="A7" s="90">
        <v>5</v>
      </c>
      <c r="B7" s="97" t="s">
        <v>1</v>
      </c>
      <c r="C7" s="98" t="s">
        <v>19</v>
      </c>
      <c r="D7" s="99">
        <v>103.27200000000001</v>
      </c>
      <c r="E7" s="100"/>
      <c r="F7" s="101">
        <f>14658524.85-G7</f>
        <v>6218924.8699999992</v>
      </c>
      <c r="G7" s="36">
        <v>8439599.9800000004</v>
      </c>
      <c r="H7" s="34"/>
    </row>
    <row r="8" spans="1:8" x14ac:dyDescent="0.25">
      <c r="A8" s="90">
        <v>6</v>
      </c>
      <c r="B8" s="97" t="s">
        <v>2</v>
      </c>
      <c r="C8" s="98" t="s">
        <v>19</v>
      </c>
      <c r="D8" s="99">
        <v>66.872</v>
      </c>
      <c r="E8" s="100"/>
      <c r="F8" s="101">
        <f>9352168.79-G8</f>
        <v>4525782.0099999988</v>
      </c>
      <c r="G8" s="36">
        <v>4826386.78</v>
      </c>
      <c r="H8" s="34"/>
    </row>
    <row r="9" spans="1:8" x14ac:dyDescent="0.25">
      <c r="A9" s="90">
        <v>7</v>
      </c>
      <c r="B9" s="97" t="s">
        <v>3</v>
      </c>
      <c r="C9" s="98" t="s">
        <v>19</v>
      </c>
      <c r="D9" s="99">
        <v>233.27199999999999</v>
      </c>
      <c r="E9" s="100"/>
      <c r="F9" s="101">
        <f>34523672.98-G9</f>
        <v>17401032.069999997</v>
      </c>
      <c r="G9" s="36">
        <v>17122640.91</v>
      </c>
      <c r="H9" s="34"/>
    </row>
    <row r="10" spans="1:8" ht="15.75" thickBot="1" x14ac:dyDescent="0.3">
      <c r="A10" s="91">
        <v>8</v>
      </c>
      <c r="B10" s="102" t="s">
        <v>4</v>
      </c>
      <c r="C10" s="103" t="s">
        <v>19</v>
      </c>
      <c r="D10" s="104">
        <v>4.3680000000000003</v>
      </c>
      <c r="E10" s="105"/>
      <c r="F10" s="106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7">
        <v>9</v>
      </c>
      <c r="B11" s="54" t="s">
        <v>27</v>
      </c>
      <c r="C11" s="42" t="s">
        <v>29</v>
      </c>
      <c r="D11" s="49" t="s">
        <v>31</v>
      </c>
      <c r="E11" s="50"/>
      <c r="F11" s="43"/>
      <c r="G11" s="36">
        <v>6065255.7000000002</v>
      </c>
    </row>
    <row r="12" spans="1:8" x14ac:dyDescent="0.25">
      <c r="A12" s="56">
        <v>10</v>
      </c>
      <c r="B12" s="55" t="s">
        <v>28</v>
      </c>
      <c r="C12" s="40" t="s">
        <v>29</v>
      </c>
      <c r="D12" s="51" t="s">
        <v>30</v>
      </c>
      <c r="E12" s="52"/>
      <c r="F12" s="29"/>
      <c r="G12" s="36">
        <v>7146142.3799999999</v>
      </c>
    </row>
    <row r="13" spans="1:8" ht="15.75" thickBot="1" x14ac:dyDescent="0.3">
      <c r="A13" s="76">
        <v>11</v>
      </c>
      <c r="B13" s="77" t="s">
        <v>17</v>
      </c>
      <c r="C13" s="78" t="s">
        <v>20</v>
      </c>
      <c r="D13" s="79">
        <f>47.6596*100</f>
        <v>4765.96</v>
      </c>
      <c r="E13" s="80"/>
      <c r="F13" s="81"/>
      <c r="G13" s="36"/>
    </row>
    <row r="14" spans="1:8" ht="6" customHeight="1" thickBot="1" x14ac:dyDescent="0.3">
      <c r="A14" s="82"/>
      <c r="B14" s="83"/>
      <c r="C14" s="84"/>
      <c r="D14" s="85"/>
      <c r="E14" s="85"/>
      <c r="F14" s="86"/>
    </row>
    <row r="15" spans="1:8" ht="19.5" customHeight="1" thickBot="1" x14ac:dyDescent="0.3">
      <c r="A15" s="75">
        <v>12</v>
      </c>
      <c r="B15" s="65" t="s">
        <v>22</v>
      </c>
      <c r="C15" s="66"/>
      <c r="D15" s="67">
        <f>SUM(D3:E10)</f>
        <v>2078.0239999999999</v>
      </c>
      <c r="E15" s="68" t="s">
        <v>19</v>
      </c>
      <c r="F15" s="69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73">
        <v>13</v>
      </c>
      <c r="B16" s="64" t="s">
        <v>23</v>
      </c>
      <c r="C16" s="41"/>
      <c r="D16" s="45"/>
      <c r="E16" s="46"/>
      <c r="F16" s="47">
        <v>0</v>
      </c>
    </row>
    <row r="17" spans="1:8" ht="30.75" thickBot="1" x14ac:dyDescent="0.3">
      <c r="A17" s="74">
        <v>14</v>
      </c>
      <c r="B17" s="70" t="s">
        <v>36</v>
      </c>
      <c r="C17" s="48"/>
      <c r="D17" s="71"/>
      <c r="E17" s="44"/>
      <c r="F17" s="72">
        <f>F15+F16</f>
        <v>109589883.03</v>
      </c>
      <c r="G17" s="36"/>
    </row>
    <row r="18" spans="1:8" ht="36" customHeight="1" thickBot="1" x14ac:dyDescent="0.3">
      <c r="A18" s="73">
        <v>15</v>
      </c>
      <c r="B18" s="64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74">
        <v>16</v>
      </c>
      <c r="B19" s="70" t="s">
        <v>22</v>
      </c>
      <c r="C19" s="48"/>
      <c r="D19" s="71"/>
      <c r="E19" s="44"/>
      <c r="F19" s="72">
        <f>F18</f>
        <v>131089423.2423075</v>
      </c>
    </row>
    <row r="20" spans="1:8" ht="19.5" customHeight="1" thickBot="1" x14ac:dyDescent="0.3">
      <c r="A20" s="73">
        <v>17</v>
      </c>
      <c r="B20" s="64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75">
        <v>18</v>
      </c>
      <c r="B21" s="65" t="s">
        <v>34</v>
      </c>
      <c r="C21" s="66"/>
      <c r="D21" s="67"/>
      <c r="E21" s="68"/>
      <c r="F21" s="69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87" t="s">
        <v>40</v>
      </c>
      <c r="C23" s="88" t="s">
        <v>39</v>
      </c>
      <c r="D23" s="87"/>
      <c r="E23" s="87"/>
      <c r="F23" s="107">
        <f>F21/D15</f>
        <v>75700.428816399144</v>
      </c>
      <c r="G23" s="39"/>
    </row>
    <row r="24" spans="1:8" x14ac:dyDescent="0.25">
      <c r="C24"/>
      <c r="G24" s="39"/>
    </row>
  </sheetData>
  <mergeCells count="12">
    <mergeCell ref="D9:E9"/>
    <mergeCell ref="D10:E10"/>
    <mergeCell ref="D11:E11"/>
    <mergeCell ref="D12:E12"/>
    <mergeCell ref="D13:E13"/>
    <mergeCell ref="D5:E5"/>
    <mergeCell ref="D2:E2"/>
    <mergeCell ref="D3:E3"/>
    <mergeCell ref="D4:E4"/>
    <mergeCell ref="D6:E6"/>
    <mergeCell ref="D7:E7"/>
    <mergeCell ref="D8:E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9" workbookViewId="0">
      <selection activeCell="A18" sqref="A18:XFD18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5" ht="15.75" thickBot="1" x14ac:dyDescent="0.3"/>
    <row r="18" spans="2:5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5" x14ac:dyDescent="0.25">
      <c r="B19" s="10" t="s">
        <v>0</v>
      </c>
      <c r="C19" s="2">
        <v>290.81</v>
      </c>
      <c r="D19" s="21">
        <v>397.7</v>
      </c>
      <c r="E19" s="11">
        <f>404.352+9.256</f>
        <v>413.60799999999995</v>
      </c>
    </row>
    <row r="20" spans="2:5" ht="30" x14ac:dyDescent="0.25">
      <c r="B20" s="10" t="s">
        <v>7</v>
      </c>
      <c r="C20" s="2">
        <v>994.42</v>
      </c>
      <c r="D20" s="21">
        <v>934.4</v>
      </c>
      <c r="E20" s="11">
        <f>676.624+295.152</f>
        <v>971.77600000000007</v>
      </c>
    </row>
    <row r="21" spans="2:5" x14ac:dyDescent="0.25">
      <c r="B21" s="10" t="s">
        <v>8</v>
      </c>
      <c r="C21" s="2">
        <v>213.17</v>
      </c>
      <c r="D21" s="21">
        <v>273.89999999999998</v>
      </c>
      <c r="E21" s="11">
        <v>284.85599999999999</v>
      </c>
    </row>
    <row r="22" spans="2:5" x14ac:dyDescent="0.25">
      <c r="B22" s="10" t="s">
        <v>1</v>
      </c>
      <c r="C22" s="2">
        <v>61.69</v>
      </c>
      <c r="D22" s="21">
        <v>99.3</v>
      </c>
      <c r="E22" s="11">
        <v>103.27200000000001</v>
      </c>
    </row>
    <row r="23" spans="2:5" x14ac:dyDescent="0.25">
      <c r="B23" s="10" t="s">
        <v>2</v>
      </c>
      <c r="C23" s="2">
        <v>41.95</v>
      </c>
      <c r="D23" s="21">
        <v>64.3</v>
      </c>
      <c r="E23" s="11">
        <v>66.872</v>
      </c>
    </row>
    <row r="24" spans="2:5" x14ac:dyDescent="0.25">
      <c r="B24" s="10" t="s">
        <v>3</v>
      </c>
      <c r="C24" s="2">
        <v>286.27999999999997</v>
      </c>
      <c r="D24" s="21">
        <v>335</v>
      </c>
      <c r="E24" s="11">
        <v>233.27199999999999</v>
      </c>
    </row>
    <row r="25" spans="2:5" x14ac:dyDescent="0.25">
      <c r="B25" s="10" t="s">
        <v>4</v>
      </c>
      <c r="C25" s="2">
        <v>5.08</v>
      </c>
      <c r="D25" s="21">
        <v>4.37</v>
      </c>
      <c r="E25" s="11">
        <v>4.3680000000000003</v>
      </c>
    </row>
    <row r="26" spans="2:5" x14ac:dyDescent="0.25">
      <c r="B26" s="10" t="s">
        <v>5</v>
      </c>
      <c r="C26" s="2">
        <v>0</v>
      </c>
      <c r="D26" s="22">
        <v>0</v>
      </c>
      <c r="E26" s="12">
        <f>C26</f>
        <v>0</v>
      </c>
    </row>
    <row r="27" spans="2:5" ht="15.75" thickBot="1" x14ac:dyDescent="0.3">
      <c r="B27" s="13" t="s">
        <v>6</v>
      </c>
      <c r="C27" s="3">
        <f>C26</f>
        <v>0</v>
      </c>
      <c r="D27" s="23">
        <v>0</v>
      </c>
      <c r="E27" s="14">
        <f>C27</f>
        <v>0</v>
      </c>
    </row>
    <row r="28" spans="2:5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5" ht="15.75" thickBot="1" x14ac:dyDescent="0.3">
      <c r="B29" s="17"/>
      <c r="C29" s="17"/>
      <c r="D29" s="17"/>
      <c r="E29" s="18"/>
    </row>
    <row r="30" spans="2:5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5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!расчет по разделам (3)</vt:lpstr>
      <vt:lpstr>!расчет по разделам</vt:lpstr>
      <vt:lpstr>+ЗУ</vt:lpstr>
      <vt:lpstr>+ЗУ + коэф.инфляции</vt:lpstr>
      <vt:lpstr>расчет дефлятора 2кв_1кв 26г.</vt:lpstr>
      <vt:lpstr>Дефл год Базовый Сайт</vt:lpstr>
      <vt:lpstr>расчет по разделам</vt:lpstr>
      <vt:lpstr>с настилом</vt:lpstr>
      <vt:lpstr>без настила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2025-10-05T16:42:12Z</dcterms:created>
  <dcterms:modified xsi:type="dcterms:W3CDTF">2025-10-07T11:52:07Z</dcterms:modified>
</cp:coreProperties>
</file>