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ы по КМД\"/>
    </mc:Choice>
  </mc:AlternateContent>
  <xr:revisionPtr revIDLastSave="0" documentId="13_ncr:1_{8A1DE5B9-66B3-4CA3-B66A-8BFE42AC1A2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расчет КМД vs КМ" sheetId="3" state="hidden" r:id="rId1"/>
    <sheet name="расчет (2)" sheetId="5" r:id="rId2"/>
    <sheet name="расчет" sheetId="4" r:id="rId3"/>
    <sheet name="КМД" sheetId="1" state="hidden" r:id="rId4"/>
    <sheet name="КМ" sheetId="2" r:id="rId5"/>
  </sheets>
  <externalReferences>
    <externalReference r:id="rId6"/>
    <externalReference r:id="rId7"/>
  </externalReferences>
  <definedNames>
    <definedName name="_xlnm._FilterDatabase" localSheetId="4" hidden="1">КМ!$A$6:$AM$50</definedName>
    <definedName name="_xlnm._FilterDatabase" localSheetId="3" hidden="1">КМД!$A$6:$AN$50</definedName>
    <definedName name="_xlnm._FilterDatabase" localSheetId="0" hidden="1">'расчет КМД vs КМ'!$A$6:$AN$50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4">КМ!$6:$6</definedName>
    <definedName name="_xlnm.Print_Titles" localSheetId="3">КМД!$6:$6</definedName>
    <definedName name="_xlnm.Print_Titles" localSheetId="0">'расчет КМД vs КМ'!$6:$6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5" l="1"/>
  <c r="N15" i="5"/>
  <c r="N16" i="5" s="1"/>
  <c r="H15" i="5"/>
  <c r="H19" i="5" s="1"/>
  <c r="H8" i="5"/>
  <c r="G18" i="5"/>
  <c r="G19" i="5" s="1"/>
  <c r="M16" i="5"/>
  <c r="G16" i="5"/>
  <c r="B13" i="5"/>
  <c r="D12" i="5" s="1"/>
  <c r="D13" i="5" s="1"/>
  <c r="F8" i="5"/>
  <c r="I7" i="5"/>
  <c r="J7" i="5" s="1"/>
  <c r="B7" i="5" s="1"/>
  <c r="Q7" i="5" s="1"/>
  <c r="D4" i="5"/>
  <c r="D5" i="5" s="1"/>
  <c r="I16" i="4"/>
  <c r="B18" i="4"/>
  <c r="O15" i="5" l="1"/>
  <c r="P15" i="5" s="1"/>
  <c r="D15" i="5" s="1"/>
  <c r="B12" i="5"/>
  <c r="I8" i="5"/>
  <c r="J8" i="5" s="1"/>
  <c r="B8" i="5" s="1"/>
  <c r="Q8" i="5" s="1"/>
  <c r="I15" i="5"/>
  <c r="J15" i="5" s="1"/>
  <c r="B15" i="5" s="1"/>
  <c r="Q15" i="5" s="1"/>
  <c r="H16" i="5"/>
  <c r="I16" i="5" s="1"/>
  <c r="J16" i="5" s="1"/>
  <c r="B16" i="5" s="1"/>
  <c r="Q16" i="5" s="1"/>
  <c r="H18" i="5"/>
  <c r="I18" i="5" s="1"/>
  <c r="I19" i="5"/>
  <c r="J19" i="5" s="1"/>
  <c r="B19" i="5" s="1"/>
  <c r="O16" i="5"/>
  <c r="P16" i="5" s="1"/>
  <c r="D16" i="5" s="1"/>
  <c r="B8" i="4"/>
  <c r="Q8" i="4" s="1"/>
  <c r="I8" i="4"/>
  <c r="J8" i="4" s="1"/>
  <c r="F8" i="4"/>
  <c r="D4" i="4"/>
  <c r="D5" i="4" s="1"/>
  <c r="I7" i="4"/>
  <c r="J7" i="4" s="1"/>
  <c r="B7" i="4" s="1"/>
  <c r="Q7" i="4" s="1"/>
  <c r="H21" i="4"/>
  <c r="G21" i="4"/>
  <c r="N16" i="4"/>
  <c r="M16" i="4"/>
  <c r="O15" i="4"/>
  <c r="P15" i="4" s="1"/>
  <c r="D15" i="4" s="1"/>
  <c r="I15" i="4"/>
  <c r="J15" i="4" s="1"/>
  <c r="H18" i="4"/>
  <c r="H19" i="4"/>
  <c r="J18" i="5" l="1"/>
  <c r="B18" i="5" s="1"/>
  <c r="O16" i="4"/>
  <c r="I21" i="4"/>
  <c r="J21" i="4" s="1"/>
  <c r="P16" i="4"/>
  <c r="D16" i="4" s="1"/>
  <c r="H16" i="4"/>
  <c r="G18" i="4" l="1"/>
  <c r="I18" i="4" s="1"/>
  <c r="J18" i="4" s="1"/>
  <c r="G16" i="4"/>
  <c r="J16" i="4" s="1"/>
  <c r="G19" i="4" l="1"/>
  <c r="B16" i="4"/>
  <c r="B13" i="4"/>
  <c r="D12" i="4" s="1"/>
  <c r="D13" i="4" s="1"/>
  <c r="E56" i="1"/>
  <c r="U56" i="3"/>
  <c r="S56" i="3"/>
  <c r="Q56" i="3"/>
  <c r="O56" i="3"/>
  <c r="M56" i="3"/>
  <c r="F56" i="3"/>
  <c r="M55" i="3"/>
  <c r="K55" i="3"/>
  <c r="W54" i="3"/>
  <c r="Y54" i="3" s="1"/>
  <c r="I52" i="3"/>
  <c r="E52" i="3"/>
  <c r="N48" i="3"/>
  <c r="N50" i="3" s="1"/>
  <c r="H46" i="3"/>
  <c r="W45" i="3"/>
  <c r="Y45" i="3" s="1"/>
  <c r="G45" i="3"/>
  <c r="V45" i="3" s="1"/>
  <c r="W44" i="3"/>
  <c r="Y44" i="3" s="1"/>
  <c r="G44" i="3"/>
  <c r="V44" i="3" s="1"/>
  <c r="W43" i="3"/>
  <c r="Y43" i="3" s="1"/>
  <c r="T43" i="3"/>
  <c r="G43" i="3"/>
  <c r="V43" i="3" s="1"/>
  <c r="W42" i="3"/>
  <c r="Y42" i="3" s="1"/>
  <c r="G42" i="3"/>
  <c r="V42" i="3" s="1"/>
  <c r="W40" i="3"/>
  <c r="W39" i="3"/>
  <c r="Y39" i="3" s="1"/>
  <c r="E39" i="3"/>
  <c r="E40" i="3" s="1"/>
  <c r="Y40" i="3" s="1"/>
  <c r="Y36" i="3"/>
  <c r="W36" i="3"/>
  <c r="G36" i="3"/>
  <c r="L36" i="3" s="1"/>
  <c r="W35" i="3"/>
  <c r="Y35" i="3" s="1"/>
  <c r="V35" i="3"/>
  <c r="T35" i="3"/>
  <c r="R35" i="3"/>
  <c r="P35" i="3"/>
  <c r="G35" i="3"/>
  <c r="L35" i="3" s="1"/>
  <c r="W34" i="3"/>
  <c r="Y34" i="3" s="1"/>
  <c r="G34" i="3"/>
  <c r="L34" i="3" s="1"/>
  <c r="W33" i="3"/>
  <c r="Y33" i="3" s="1"/>
  <c r="V33" i="3"/>
  <c r="T33" i="3"/>
  <c r="P33" i="3"/>
  <c r="G33" i="3"/>
  <c r="L33" i="3" s="1"/>
  <c r="W31" i="3"/>
  <c r="Y31" i="3" s="1"/>
  <c r="G31" i="3"/>
  <c r="L31" i="3" s="1"/>
  <c r="W30" i="3"/>
  <c r="E30" i="3"/>
  <c r="Y30" i="3" s="1"/>
  <c r="W29" i="3"/>
  <c r="Y29" i="3" s="1"/>
  <c r="E29" i="3"/>
  <c r="G29" i="3" s="1"/>
  <c r="W27" i="3"/>
  <c r="E27" i="3"/>
  <c r="Y27" i="3" s="1"/>
  <c r="W26" i="3"/>
  <c r="E26" i="3"/>
  <c r="Y26" i="3" s="1"/>
  <c r="W23" i="3"/>
  <c r="W21" i="3"/>
  <c r="Y21" i="3" s="1"/>
  <c r="E21" i="3"/>
  <c r="E23" i="3" s="1"/>
  <c r="Y23" i="3" s="1"/>
  <c r="K19" i="3"/>
  <c r="W19" i="3" s="1"/>
  <c r="E19" i="3"/>
  <c r="W18" i="3"/>
  <c r="Y18" i="3" s="1"/>
  <c r="E18" i="3"/>
  <c r="G18" i="3" s="1"/>
  <c r="K16" i="3"/>
  <c r="I16" i="3"/>
  <c r="W15" i="3"/>
  <c r="Y15" i="3" s="1"/>
  <c r="E15" i="3"/>
  <c r="E16" i="3" s="1"/>
  <c r="K13" i="3"/>
  <c r="I13" i="3"/>
  <c r="W13" i="3" s="1"/>
  <c r="E13" i="3"/>
  <c r="Y13" i="3" s="1"/>
  <c r="W12" i="3"/>
  <c r="Y12" i="3" s="1"/>
  <c r="E12" i="3"/>
  <c r="G12" i="3" s="1"/>
  <c r="K10" i="3"/>
  <c r="I10" i="3"/>
  <c r="W9" i="3"/>
  <c r="Y9" i="3" s="1"/>
  <c r="E9" i="3"/>
  <c r="G9" i="3" s="1"/>
  <c r="N9" i="3" s="1"/>
  <c r="AA8" i="3"/>
  <c r="W8" i="3"/>
  <c r="AB8" i="3" s="1"/>
  <c r="E8" i="3"/>
  <c r="B12" i="4" l="1"/>
  <c r="Q16" i="4" s="1"/>
  <c r="I19" i="4"/>
  <c r="J19" i="4" s="1"/>
  <c r="B19" i="4" s="1"/>
  <c r="B15" i="4"/>
  <c r="N31" i="3"/>
  <c r="P31" i="3"/>
  <c r="R31" i="3"/>
  <c r="N34" i="3"/>
  <c r="P42" i="3"/>
  <c r="P45" i="3"/>
  <c r="V34" i="3"/>
  <c r="R36" i="3"/>
  <c r="R42" i="3"/>
  <c r="R45" i="3"/>
  <c r="P9" i="3"/>
  <c r="T31" i="3"/>
  <c r="R9" i="3"/>
  <c r="N45" i="3"/>
  <c r="W10" i="3"/>
  <c r="W56" i="3" s="1"/>
  <c r="N33" i="3"/>
  <c r="T36" i="3"/>
  <c r="T42" i="3"/>
  <c r="T45" i="3"/>
  <c r="Y16" i="3"/>
  <c r="P34" i="3"/>
  <c r="L42" i="3"/>
  <c r="T9" i="3"/>
  <c r="R34" i="3"/>
  <c r="N36" i="3"/>
  <c r="W16" i="3"/>
  <c r="P36" i="3"/>
  <c r="V36" i="3"/>
  <c r="V31" i="3"/>
  <c r="L45" i="3"/>
  <c r="N42" i="3"/>
  <c r="V9" i="3"/>
  <c r="T34" i="3"/>
  <c r="K56" i="3"/>
  <c r="R33" i="3"/>
  <c r="N35" i="3"/>
  <c r="T29" i="3"/>
  <c r="R29" i="3"/>
  <c r="P29" i="3"/>
  <c r="N29" i="3"/>
  <c r="L29" i="3"/>
  <c r="V29" i="3"/>
  <c r="J29" i="3"/>
  <c r="V18" i="3"/>
  <c r="T18" i="3"/>
  <c r="R18" i="3"/>
  <c r="P18" i="3"/>
  <c r="N18" i="3"/>
  <c r="L18" i="3"/>
  <c r="J18" i="3"/>
  <c r="T12" i="3"/>
  <c r="R12" i="3"/>
  <c r="P12" i="3"/>
  <c r="N12" i="3"/>
  <c r="J12" i="3"/>
  <c r="V12" i="3"/>
  <c r="L12" i="3"/>
  <c r="J44" i="3"/>
  <c r="J43" i="3"/>
  <c r="R44" i="3"/>
  <c r="I56" i="3"/>
  <c r="I55" i="3"/>
  <c r="W52" i="3"/>
  <c r="W55" i="3" s="1"/>
  <c r="L44" i="3"/>
  <c r="Y8" i="3"/>
  <c r="N44" i="3"/>
  <c r="Y19" i="3"/>
  <c r="P44" i="3"/>
  <c r="H47" i="3"/>
  <c r="H48" i="3" s="1"/>
  <c r="G26" i="3"/>
  <c r="L43" i="3"/>
  <c r="T44" i="3"/>
  <c r="J9" i="3"/>
  <c r="N43" i="3"/>
  <c r="E10" i="3"/>
  <c r="G8" i="3"/>
  <c r="L9" i="3"/>
  <c r="P43" i="3"/>
  <c r="J42" i="3"/>
  <c r="R43" i="3"/>
  <c r="J45" i="3"/>
  <c r="E55" i="3"/>
  <c r="Y52" i="3"/>
  <c r="G21" i="3"/>
  <c r="J31" i="3"/>
  <c r="J33" i="3"/>
  <c r="J34" i="3"/>
  <c r="J35" i="3"/>
  <c r="J36" i="3"/>
  <c r="G39" i="3"/>
  <c r="G15" i="3"/>
  <c r="E40" i="1"/>
  <c r="E39" i="1"/>
  <c r="E30" i="1"/>
  <c r="E29" i="1"/>
  <c r="E27" i="1"/>
  <c r="E26" i="1"/>
  <c r="E23" i="1"/>
  <c r="E21" i="1"/>
  <c r="E19" i="1"/>
  <c r="E18" i="1"/>
  <c r="E16" i="1"/>
  <c r="E15" i="1"/>
  <c r="E10" i="1"/>
  <c r="E13" i="1"/>
  <c r="E12" i="1"/>
  <c r="E9" i="1"/>
  <c r="E8" i="1"/>
  <c r="F56" i="1"/>
  <c r="Q15" i="4" l="1"/>
  <c r="X42" i="3"/>
  <c r="Z42" i="3" s="1"/>
  <c r="X36" i="3"/>
  <c r="Z36" i="3" s="1"/>
  <c r="X35" i="3"/>
  <c r="Z35" i="3" s="1"/>
  <c r="X34" i="3"/>
  <c r="Z34" i="3" s="1"/>
  <c r="X33" i="3"/>
  <c r="Z33" i="3" s="1"/>
  <c r="X18" i="3"/>
  <c r="Z18" i="3" s="1"/>
  <c r="X45" i="3"/>
  <c r="Z45" i="3" s="1"/>
  <c r="X31" i="3"/>
  <c r="Z31" i="3" s="1"/>
  <c r="X9" i="3"/>
  <c r="Z9" i="3" s="1"/>
  <c r="L21" i="3"/>
  <c r="J21" i="3"/>
  <c r="P21" i="3"/>
  <c r="N21" i="3"/>
  <c r="V21" i="3"/>
  <c r="T21" i="3"/>
  <c r="R21" i="3"/>
  <c r="L15" i="3"/>
  <c r="J15" i="3"/>
  <c r="V15" i="3"/>
  <c r="T15" i="3"/>
  <c r="N15" i="3"/>
  <c r="R15" i="3"/>
  <c r="P15" i="3"/>
  <c r="V26" i="3"/>
  <c r="T26" i="3"/>
  <c r="P26" i="3"/>
  <c r="N26" i="3"/>
  <c r="L26" i="3"/>
  <c r="J26" i="3"/>
  <c r="R26" i="3"/>
  <c r="X44" i="3"/>
  <c r="Z44" i="3" s="1"/>
  <c r="L39" i="3"/>
  <c r="J39" i="3"/>
  <c r="V39" i="3"/>
  <c r="T39" i="3"/>
  <c r="R39" i="3"/>
  <c r="P39" i="3"/>
  <c r="N39" i="3"/>
  <c r="X12" i="3"/>
  <c r="Z12" i="3" s="1"/>
  <c r="X43" i="3"/>
  <c r="Z43" i="3" s="1"/>
  <c r="X29" i="3"/>
  <c r="Z29" i="3" s="1"/>
  <c r="N8" i="3"/>
  <c r="L8" i="3"/>
  <c r="J8" i="3"/>
  <c r="P8" i="3"/>
  <c r="T8" i="3"/>
  <c r="R8" i="3"/>
  <c r="V8" i="3"/>
  <c r="Y10" i="3"/>
  <c r="Y56" i="3" s="1"/>
  <c r="E56" i="3"/>
  <c r="T56" i="2"/>
  <c r="R56" i="2"/>
  <c r="P56" i="2"/>
  <c r="N56" i="2"/>
  <c r="E56" i="2"/>
  <c r="L55" i="2"/>
  <c r="J55" i="2"/>
  <c r="H55" i="2"/>
  <c r="E55" i="2"/>
  <c r="X54" i="2"/>
  <c r="V54" i="2"/>
  <c r="V52" i="2"/>
  <c r="V55" i="2" s="1"/>
  <c r="H52" i="2"/>
  <c r="E52" i="2"/>
  <c r="G46" i="2"/>
  <c r="X45" i="2"/>
  <c r="V45" i="2"/>
  <c r="F45" i="2"/>
  <c r="V44" i="2"/>
  <c r="X44" i="2" s="1"/>
  <c r="U44" i="2"/>
  <c r="S44" i="2"/>
  <c r="I44" i="2"/>
  <c r="F44" i="2"/>
  <c r="V43" i="2"/>
  <c r="X43" i="2" s="1"/>
  <c r="F43" i="2"/>
  <c r="I43" i="2" s="1"/>
  <c r="X42" i="2"/>
  <c r="V42" i="2"/>
  <c r="F42" i="2"/>
  <c r="V40" i="2"/>
  <c r="X40" i="2" s="1"/>
  <c r="V39" i="2"/>
  <c r="X39" i="2" s="1"/>
  <c r="M39" i="2"/>
  <c r="F39" i="2"/>
  <c r="V36" i="2"/>
  <c r="X36" i="2" s="1"/>
  <c r="F36" i="2"/>
  <c r="V35" i="2"/>
  <c r="X35" i="2" s="1"/>
  <c r="F35" i="2"/>
  <c r="V34" i="2"/>
  <c r="X34" i="2" s="1"/>
  <c r="M34" i="2"/>
  <c r="F34" i="2"/>
  <c r="V33" i="2"/>
  <c r="X33" i="2" s="1"/>
  <c r="F33" i="2"/>
  <c r="K33" i="2" s="1"/>
  <c r="V31" i="2"/>
  <c r="X31" i="2" s="1"/>
  <c r="F31" i="2"/>
  <c r="V30" i="2"/>
  <c r="X30" i="2" s="1"/>
  <c r="X29" i="2"/>
  <c r="V29" i="2"/>
  <c r="F29" i="2"/>
  <c r="V27" i="2"/>
  <c r="X27" i="2" s="1"/>
  <c r="V26" i="2"/>
  <c r="X26" i="2" s="1"/>
  <c r="U26" i="2"/>
  <c r="S26" i="2"/>
  <c r="Q26" i="2"/>
  <c r="F26" i="2"/>
  <c r="O26" i="2" s="1"/>
  <c r="V23" i="2"/>
  <c r="X23" i="2" s="1"/>
  <c r="V21" i="2"/>
  <c r="X21" i="2" s="1"/>
  <c r="F21" i="2"/>
  <c r="I21" i="2" s="1"/>
  <c r="L19" i="2"/>
  <c r="J19" i="2"/>
  <c r="V19" i="2" s="1"/>
  <c r="X19" i="2" s="1"/>
  <c r="V18" i="2"/>
  <c r="X18" i="2" s="1"/>
  <c r="F18" i="2"/>
  <c r="U18" i="2" s="1"/>
  <c r="L16" i="2"/>
  <c r="J16" i="2"/>
  <c r="H16" i="2"/>
  <c r="V16" i="2" s="1"/>
  <c r="X16" i="2" s="1"/>
  <c r="V15" i="2"/>
  <c r="X15" i="2" s="1"/>
  <c r="F15" i="2"/>
  <c r="U15" i="2" s="1"/>
  <c r="L13" i="2"/>
  <c r="J13" i="2"/>
  <c r="H13" i="2"/>
  <c r="V13" i="2" s="1"/>
  <c r="X13" i="2" s="1"/>
  <c r="V12" i="2"/>
  <c r="X12" i="2" s="1"/>
  <c r="F12" i="2"/>
  <c r="M12" i="2" s="1"/>
  <c r="L10" i="2"/>
  <c r="L56" i="2" s="1"/>
  <c r="J10" i="2"/>
  <c r="J56" i="2" s="1"/>
  <c r="H10" i="2"/>
  <c r="H56" i="2" s="1"/>
  <c r="X9" i="2"/>
  <c r="V9" i="2"/>
  <c r="F9" i="2"/>
  <c r="Z8" i="2"/>
  <c r="AA8" i="2" s="1"/>
  <c r="V8" i="2"/>
  <c r="X8" i="2" s="1"/>
  <c r="F8" i="2"/>
  <c r="U8" i="2" s="1"/>
  <c r="M55" i="1"/>
  <c r="K55" i="1"/>
  <c r="E52" i="1"/>
  <c r="E55" i="1" s="1"/>
  <c r="W54" i="1"/>
  <c r="I52" i="1"/>
  <c r="W52" i="1" s="1"/>
  <c r="W40" i="1"/>
  <c r="W30" i="1"/>
  <c r="W27" i="1"/>
  <c r="W23" i="1"/>
  <c r="U56" i="1"/>
  <c r="S56" i="1"/>
  <c r="Q56" i="1"/>
  <c r="O56" i="1"/>
  <c r="I13" i="1"/>
  <c r="K19" i="1"/>
  <c r="K16" i="1"/>
  <c r="K13" i="1"/>
  <c r="I16" i="1"/>
  <c r="W21" i="1"/>
  <c r="Y21" i="1" s="1"/>
  <c r="K10" i="1"/>
  <c r="I10" i="1"/>
  <c r="W45" i="1"/>
  <c r="Y45" i="1" s="1"/>
  <c r="W44" i="1"/>
  <c r="Y44" i="1" s="1"/>
  <c r="W43" i="1"/>
  <c r="Y43" i="1" s="1"/>
  <c r="W42" i="1"/>
  <c r="Y42" i="1" s="1"/>
  <c r="W39" i="1"/>
  <c r="Y39" i="1" s="1"/>
  <c r="W36" i="1"/>
  <c r="Y36" i="1" s="1"/>
  <c r="W35" i="1"/>
  <c r="Y35" i="1" s="1"/>
  <c r="W34" i="1"/>
  <c r="Y34" i="1" s="1"/>
  <c r="W33" i="1"/>
  <c r="Y33" i="1" s="1"/>
  <c r="W31" i="1"/>
  <c r="Y31" i="1" s="1"/>
  <c r="W29" i="1"/>
  <c r="Y29" i="1" s="1"/>
  <c r="W26" i="1"/>
  <c r="Y26" i="1" s="1"/>
  <c r="W18" i="1"/>
  <c r="Y18" i="1" s="1"/>
  <c r="W15" i="1"/>
  <c r="Y15" i="1" s="1"/>
  <c r="W12" i="1"/>
  <c r="Y12" i="1" s="1"/>
  <c r="W9" i="1"/>
  <c r="Y9" i="1" s="1"/>
  <c r="W8" i="1"/>
  <c r="Y8" i="1" s="1"/>
  <c r="H46" i="1"/>
  <c r="G45" i="1"/>
  <c r="J45" i="1" s="1"/>
  <c r="G44" i="1"/>
  <c r="J44" i="1" s="1"/>
  <c r="G43" i="1"/>
  <c r="J43" i="1" s="1"/>
  <c r="G42" i="1"/>
  <c r="J42" i="1" s="1"/>
  <c r="G39" i="1"/>
  <c r="J39" i="1" s="1"/>
  <c r="G36" i="1"/>
  <c r="J36" i="1" s="1"/>
  <c r="G35" i="1"/>
  <c r="J35" i="1" s="1"/>
  <c r="G34" i="1"/>
  <c r="N34" i="1" s="1"/>
  <c r="G33" i="1"/>
  <c r="L33" i="1" s="1"/>
  <c r="G31" i="1"/>
  <c r="L31" i="1" s="1"/>
  <c r="G29" i="1"/>
  <c r="J29" i="1" s="1"/>
  <c r="G26" i="1"/>
  <c r="J26" i="1" s="1"/>
  <c r="G21" i="1"/>
  <c r="J21" i="1" s="1"/>
  <c r="G18" i="1"/>
  <c r="J18" i="1" s="1"/>
  <c r="G15" i="1"/>
  <c r="J15" i="1" s="1"/>
  <c r="G8" i="1"/>
  <c r="J8" i="1" s="1"/>
  <c r="X39" i="3" l="1"/>
  <c r="Z39" i="3" s="1"/>
  <c r="P46" i="3"/>
  <c r="P48" i="3" s="1"/>
  <c r="P50" i="3" s="1"/>
  <c r="L46" i="3"/>
  <c r="L48" i="3" s="1"/>
  <c r="L50" i="3" s="1"/>
  <c r="X26" i="3"/>
  <c r="Z26" i="3" s="1"/>
  <c r="J46" i="3"/>
  <c r="J48" i="3" s="1"/>
  <c r="J50" i="3" s="1"/>
  <c r="X8" i="3"/>
  <c r="X15" i="3"/>
  <c r="Z15" i="3" s="1"/>
  <c r="V46" i="3"/>
  <c r="V48" i="3" s="1"/>
  <c r="V50" i="3" s="1"/>
  <c r="R46" i="3"/>
  <c r="R48" i="3" s="1"/>
  <c r="R50" i="3" s="1"/>
  <c r="X21" i="3"/>
  <c r="Z21" i="3" s="1"/>
  <c r="T46" i="3"/>
  <c r="T48" i="3" s="1"/>
  <c r="T50" i="3" s="1"/>
  <c r="Y40" i="1"/>
  <c r="Y27" i="1"/>
  <c r="Y52" i="1"/>
  <c r="Y30" i="1"/>
  <c r="S8" i="2"/>
  <c r="S12" i="2"/>
  <c r="U12" i="2"/>
  <c r="M15" i="2"/>
  <c r="O15" i="2"/>
  <c r="S15" i="2"/>
  <c r="K21" i="2"/>
  <c r="M21" i="2"/>
  <c r="O21" i="2"/>
  <c r="Q21" i="2"/>
  <c r="S21" i="2"/>
  <c r="U21" i="2"/>
  <c r="I18" i="2"/>
  <c r="S18" i="2"/>
  <c r="Q15" i="2"/>
  <c r="O12" i="2"/>
  <c r="Q12" i="2"/>
  <c r="Q8" i="2"/>
  <c r="U36" i="2"/>
  <c r="S36" i="2"/>
  <c r="Q36" i="2"/>
  <c r="O36" i="2"/>
  <c r="I36" i="2"/>
  <c r="K36" i="2"/>
  <c r="U31" i="2"/>
  <c r="S31" i="2"/>
  <c r="Q31" i="2"/>
  <c r="O31" i="2"/>
  <c r="U9" i="2"/>
  <c r="S9" i="2"/>
  <c r="Q9" i="2"/>
  <c r="U29" i="2"/>
  <c r="S29" i="2"/>
  <c r="I29" i="2"/>
  <c r="K31" i="2"/>
  <c r="Q42" i="2"/>
  <c r="O42" i="2"/>
  <c r="M42" i="2"/>
  <c r="K42" i="2"/>
  <c r="Q45" i="2"/>
  <c r="O45" i="2"/>
  <c r="M45" i="2"/>
  <c r="K45" i="2"/>
  <c r="U35" i="2"/>
  <c r="S35" i="2"/>
  <c r="Q35" i="2"/>
  <c r="O35" i="2"/>
  <c r="I35" i="2"/>
  <c r="W35" i="2" s="1"/>
  <c r="Y35" i="2" s="1"/>
  <c r="K35" i="2"/>
  <c r="I8" i="2"/>
  <c r="K9" i="2"/>
  <c r="I26" i="2"/>
  <c r="K29" i="2"/>
  <c r="M31" i="2"/>
  <c r="M35" i="2"/>
  <c r="I42" i="2"/>
  <c r="I45" i="2"/>
  <c r="Q43" i="2"/>
  <c r="O43" i="2"/>
  <c r="M43" i="2"/>
  <c r="W43" i="2" s="1"/>
  <c r="Y43" i="2" s="1"/>
  <c r="K43" i="2"/>
  <c r="M36" i="2"/>
  <c r="V10" i="2"/>
  <c r="U43" i="2"/>
  <c r="I9" i="2"/>
  <c r="K26" i="2"/>
  <c r="M29" i="2"/>
  <c r="U34" i="2"/>
  <c r="S34" i="2"/>
  <c r="Q34" i="2"/>
  <c r="O34" i="2"/>
  <c r="U39" i="2"/>
  <c r="S39" i="2"/>
  <c r="Q39" i="2"/>
  <c r="O39" i="2"/>
  <c r="S42" i="2"/>
  <c r="S45" i="2"/>
  <c r="G47" i="2"/>
  <c r="G48" i="2" s="1"/>
  <c r="U33" i="2"/>
  <c r="S33" i="2"/>
  <c r="Q33" i="2"/>
  <c r="O33" i="2"/>
  <c r="I33" i="2"/>
  <c r="M33" i="2"/>
  <c r="S43" i="2"/>
  <c r="I31" i="2"/>
  <c r="M9" i="2"/>
  <c r="M26" i="2"/>
  <c r="O29" i="2"/>
  <c r="I34" i="2"/>
  <c r="I39" i="2"/>
  <c r="U42" i="2"/>
  <c r="U45" i="2"/>
  <c r="X52" i="2"/>
  <c r="K8" i="2"/>
  <c r="K46" i="2" s="1"/>
  <c r="K48" i="2" s="1"/>
  <c r="K50" i="2" s="1"/>
  <c r="M8" i="2"/>
  <c r="M46" i="2" s="1"/>
  <c r="M48" i="2" s="1"/>
  <c r="M50" i="2" s="1"/>
  <c r="O9" i="2"/>
  <c r="I15" i="2"/>
  <c r="O8" i="2"/>
  <c r="K15" i="2"/>
  <c r="Q18" i="2"/>
  <c r="O18" i="2"/>
  <c r="M18" i="2"/>
  <c r="K18" i="2"/>
  <c r="Q29" i="2"/>
  <c r="Q46" i="2" s="1"/>
  <c r="Q48" i="2" s="1"/>
  <c r="Q50" i="2" s="1"/>
  <c r="K34" i="2"/>
  <c r="K39" i="2"/>
  <c r="Q44" i="2"/>
  <c r="O44" i="2"/>
  <c r="M44" i="2"/>
  <c r="K44" i="2"/>
  <c r="W44" i="2" s="1"/>
  <c r="Y44" i="2" s="1"/>
  <c r="I12" i="2"/>
  <c r="K12" i="2"/>
  <c r="W55" i="1"/>
  <c r="I56" i="1"/>
  <c r="I55" i="1"/>
  <c r="AA8" i="1"/>
  <c r="AB8" i="1" s="1"/>
  <c r="M56" i="1"/>
  <c r="W10" i="1"/>
  <c r="Y10" i="1" s="1"/>
  <c r="Y54" i="1"/>
  <c r="W13" i="1"/>
  <c r="Y13" i="1" s="1"/>
  <c r="K56" i="1"/>
  <c r="W16" i="1"/>
  <c r="Y16" i="1" s="1"/>
  <c r="W19" i="1"/>
  <c r="Y19" i="1" s="1"/>
  <c r="Y23" i="1"/>
  <c r="T15" i="1"/>
  <c r="T8" i="1"/>
  <c r="V8" i="1"/>
  <c r="T44" i="1"/>
  <c r="V26" i="1"/>
  <c r="T21" i="1"/>
  <c r="V18" i="1"/>
  <c r="T26" i="1"/>
  <c r="T39" i="1"/>
  <c r="T42" i="1"/>
  <c r="T45" i="1"/>
  <c r="T18" i="1"/>
  <c r="V44" i="1"/>
  <c r="T36" i="1"/>
  <c r="T43" i="1"/>
  <c r="V31" i="1"/>
  <c r="V34" i="1"/>
  <c r="V35" i="1"/>
  <c r="T31" i="1"/>
  <c r="V42" i="1"/>
  <c r="T33" i="1"/>
  <c r="V15" i="1"/>
  <c r="V43" i="1"/>
  <c r="V29" i="1"/>
  <c r="V33" i="1"/>
  <c r="V36" i="1"/>
  <c r="T29" i="1"/>
  <c r="V39" i="1"/>
  <c r="T34" i="1"/>
  <c r="T35" i="1"/>
  <c r="V21" i="1"/>
  <c r="V45" i="1"/>
  <c r="N26" i="1"/>
  <c r="P8" i="1"/>
  <c r="R26" i="1"/>
  <c r="P35" i="1"/>
  <c r="R21" i="1"/>
  <c r="R29" i="1"/>
  <c r="J33" i="1"/>
  <c r="R35" i="1"/>
  <c r="R31" i="1"/>
  <c r="R33" i="1"/>
  <c r="R34" i="1"/>
  <c r="J34" i="1"/>
  <c r="R45" i="1"/>
  <c r="P36" i="1"/>
  <c r="P39" i="1"/>
  <c r="P15" i="1"/>
  <c r="P18" i="1"/>
  <c r="R39" i="1"/>
  <c r="L15" i="1"/>
  <c r="R43" i="1"/>
  <c r="P42" i="1"/>
  <c r="P43" i="1"/>
  <c r="P44" i="1"/>
  <c r="P21" i="1"/>
  <c r="P45" i="1"/>
  <c r="P26" i="1"/>
  <c r="R8" i="1"/>
  <c r="R36" i="1"/>
  <c r="P29" i="1"/>
  <c r="P31" i="1"/>
  <c r="R42" i="1"/>
  <c r="L18" i="1"/>
  <c r="P33" i="1"/>
  <c r="R15" i="1"/>
  <c r="N18" i="1"/>
  <c r="P34" i="1"/>
  <c r="R18" i="1"/>
  <c r="R44" i="1"/>
  <c r="N29" i="1"/>
  <c r="N31" i="1"/>
  <c r="L34" i="1"/>
  <c r="L35" i="1"/>
  <c r="N35" i="1"/>
  <c r="L42" i="1"/>
  <c r="N36" i="1"/>
  <c r="N39" i="1"/>
  <c r="L44" i="1"/>
  <c r="N8" i="1"/>
  <c r="N43" i="1"/>
  <c r="N33" i="1"/>
  <c r="L43" i="1"/>
  <c r="N42" i="1"/>
  <c r="J31" i="1"/>
  <c r="N15" i="1"/>
  <c r="N44" i="1"/>
  <c r="L45" i="1"/>
  <c r="L21" i="1"/>
  <c r="L26" i="1"/>
  <c r="L29" i="1"/>
  <c r="N21" i="1"/>
  <c r="N45" i="1"/>
  <c r="H47" i="1"/>
  <c r="H48" i="1" s="1"/>
  <c r="L8" i="1"/>
  <c r="L36" i="1"/>
  <c r="L39" i="1"/>
  <c r="G12" i="1"/>
  <c r="G9" i="1"/>
  <c r="X46" i="3" l="1"/>
  <c r="X48" i="3" s="1"/>
  <c r="Z8" i="3"/>
  <c r="Z46" i="3" s="1"/>
  <c r="Z48" i="3" s="1"/>
  <c r="X50" i="3"/>
  <c r="S46" i="2"/>
  <c r="S48" i="2" s="1"/>
  <c r="S50" i="2" s="1"/>
  <c r="W21" i="2"/>
  <c r="Y21" i="2" s="1"/>
  <c r="W18" i="2"/>
  <c r="Y18" i="2" s="1"/>
  <c r="W33" i="2"/>
  <c r="Y33" i="2" s="1"/>
  <c r="W36" i="2"/>
  <c r="Y36" i="2" s="1"/>
  <c r="W29" i="2"/>
  <c r="Y29" i="2" s="1"/>
  <c r="W39" i="2"/>
  <c r="Y39" i="2" s="1"/>
  <c r="U46" i="2"/>
  <c r="U48" i="2" s="1"/>
  <c r="U50" i="2" s="1"/>
  <c r="W42" i="2"/>
  <c r="Y42" i="2" s="1"/>
  <c r="W34" i="2"/>
  <c r="Y34" i="2" s="1"/>
  <c r="W12" i="2"/>
  <c r="Y12" i="2" s="1"/>
  <c r="W26" i="2"/>
  <c r="Y26" i="2" s="1"/>
  <c r="W45" i="2"/>
  <c r="Y45" i="2" s="1"/>
  <c r="W9" i="2"/>
  <c r="Y9" i="2" s="1"/>
  <c r="O46" i="2"/>
  <c r="O48" i="2" s="1"/>
  <c r="O50" i="2" s="1"/>
  <c r="V56" i="2"/>
  <c r="X10" i="2"/>
  <c r="X56" i="2" s="1"/>
  <c r="W15" i="2"/>
  <c r="Y15" i="2" s="1"/>
  <c r="W31" i="2"/>
  <c r="Y31" i="2" s="1"/>
  <c r="W8" i="2"/>
  <c r="I46" i="2"/>
  <c r="I48" i="2" s="1"/>
  <c r="I50" i="2" s="1"/>
  <c r="Y56" i="1"/>
  <c r="W56" i="1"/>
  <c r="X44" i="1"/>
  <c r="Z44" i="1" s="1"/>
  <c r="X29" i="1"/>
  <c r="Z29" i="1" s="1"/>
  <c r="X45" i="1"/>
  <c r="Z45" i="1" s="1"/>
  <c r="X18" i="1"/>
  <c r="Z18" i="1" s="1"/>
  <c r="X43" i="1"/>
  <c r="Z43" i="1" s="1"/>
  <c r="X15" i="1"/>
  <c r="Z15" i="1" s="1"/>
  <c r="X35" i="1"/>
  <c r="Z35" i="1" s="1"/>
  <c r="X39" i="1"/>
  <c r="Z39" i="1" s="1"/>
  <c r="X36" i="1"/>
  <c r="Z36" i="1" s="1"/>
  <c r="X21" i="1"/>
  <c r="Z21" i="1" s="1"/>
  <c r="X42" i="1"/>
  <c r="Z42" i="1" s="1"/>
  <c r="X33" i="1"/>
  <c r="Z33" i="1" s="1"/>
  <c r="X31" i="1"/>
  <c r="Z31" i="1" s="1"/>
  <c r="X8" i="1"/>
  <c r="X34" i="1"/>
  <c r="Z34" i="1" s="1"/>
  <c r="X26" i="1"/>
  <c r="Z26" i="1" s="1"/>
  <c r="T9" i="1"/>
  <c r="V9" i="1"/>
  <c r="T12" i="1"/>
  <c r="V12" i="1"/>
  <c r="N9" i="1"/>
  <c r="P9" i="1"/>
  <c r="R9" i="1"/>
  <c r="N12" i="1"/>
  <c r="R12" i="1"/>
  <c r="P12" i="1"/>
  <c r="J9" i="1"/>
  <c r="L9" i="1"/>
  <c r="J12" i="1"/>
  <c r="L12" i="1"/>
  <c r="W50" i="2" l="1"/>
  <c r="W46" i="2"/>
  <c r="W48" i="2" s="1"/>
  <c r="Y8" i="2"/>
  <c r="Y46" i="2" s="1"/>
  <c r="Y48" i="2" s="1"/>
  <c r="L46" i="1"/>
  <c r="L48" i="1" s="1"/>
  <c r="L50" i="1" s="1"/>
  <c r="Z8" i="1"/>
  <c r="X12" i="1"/>
  <c r="Z12" i="1" s="1"/>
  <c r="X9" i="1"/>
  <c r="Z9" i="1" s="1"/>
  <c r="V46" i="1"/>
  <c r="V48" i="1" s="1"/>
  <c r="V50" i="1" s="1"/>
  <c r="T46" i="1"/>
  <c r="T48" i="1" s="1"/>
  <c r="T50" i="1" s="1"/>
  <c r="N48" i="1"/>
  <c r="N50" i="1" s="1"/>
  <c r="R46" i="1"/>
  <c r="R48" i="1" s="1"/>
  <c r="R50" i="1" s="1"/>
  <c r="P46" i="1"/>
  <c r="P48" i="1" s="1"/>
  <c r="P50" i="1" s="1"/>
  <c r="J46" i="1"/>
  <c r="J48" i="1" s="1"/>
  <c r="J50" i="1" s="1"/>
  <c r="X50" i="1" l="1"/>
  <c r="X46" i="1"/>
  <c r="X48" i="1" s="1"/>
  <c r="Z46" i="1"/>
  <c r="Z48" i="1" s="1"/>
</calcChain>
</file>

<file path=xl/sharedStrings.xml><?xml version="1.0" encoding="utf-8"?>
<sst xmlns="http://schemas.openxmlformats.org/spreadsheetml/2006/main" count="621" uniqueCount="147">
  <si>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</si>
  <si>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1632-2021-2.1.3-КМ_07.04.042-П-01-02</t>
  </si>
  <si>
    <t>№ п/п</t>
  </si>
  <si>
    <t>Наименование работ</t>
  </si>
  <si>
    <t>Обоснование цены</t>
  </si>
  <si>
    <t>Ед. изм.</t>
  </si>
  <si>
    <t>Кол-во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</si>
  <si>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</si>
  <si>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</si>
  <si>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</si>
  <si>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ТЕР09-03-002-05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</si>
  <si>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</si>
  <si>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</si>
  <si>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</si>
  <si>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3</t>
  </si>
  <si>
    <t>Металлоконструкции 39.00.00.000 СБ</t>
  </si>
  <si>
    <t>Прайс</t>
  </si>
  <si>
    <t>т</t>
  </si>
  <si>
    <t>Раздел 2. Балки перекрытий и фермы ФП1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</si>
  <si>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</si>
  <si>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</si>
  <si>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ТЕР09-03-002-12</t>
  </si>
  <si>
    <t>5</t>
  </si>
  <si>
    <t>Раздел 3. Балки и прогоны покрытия</t>
  </si>
  <si>
    <t>6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</si>
  <si>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</si>
  <si>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</si>
  <si>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</si>
  <si>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</si>
  <si>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</si>
  <si>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</si>
  <si>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</si>
  <si>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</si>
  <si>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</si>
  <si>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</si>
  <si>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</si>
  <si>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</si>
  <si>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</si>
  <si>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</si>
  <si>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</si>
  <si>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</si>
  <si>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</si>
  <si>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</si>
  <si>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</si>
  <si>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</si>
  <si>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</si>
  <si>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</si>
  <si>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</si>
  <si>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</si>
  <si>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</si>
  <si>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</si>
  <si>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</si>
  <si>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</si>
  <si>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</si>
  <si>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</si>
  <si>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</si>
  <si>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</si>
  <si>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</si>
  <si>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</si>
  <si>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</si>
  <si>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</si>
  <si>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</si>
  <si>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</si>
  <si>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</si>
  <si>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</si>
  <si>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</si>
  <si>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</si>
  <si>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</si>
  <si>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</si>
  <si>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</si>
  <si>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</si>
  <si>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</si>
  <si>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</si>
  <si>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</si>
  <si>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</si>
  <si>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</si>
  <si>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</si>
  <si>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
151,61 = 371,85 - 0,012 x 18 353,45</t>
  </si>
  <si>
    <t>ТЕР13-03-002-04</t>
  </si>
  <si>
    <t>100 м2 окрашиваемой поверхности</t>
  </si>
  <si>
    <t>27</t>
  </si>
  <si>
    <t>Грунтовка: ГФ-021 красно-коричневая</t>
  </si>
  <si>
    <t>Прайс
Аналог ТССЦ-113-0021 18353,45/17895,65=3%</t>
  </si>
  <si>
    <t>кг</t>
  </si>
  <si>
    <t>28</t>
  </si>
  <si>
    <t>Окраска металлических огрунтованных поверхностей: эмалью ПФ-115 (за 2 раза) К=2
83,35 = 560,19 - 0,019 x 25 096,77</t>
  </si>
  <si>
    <t>ТЕР13-03-004-26</t>
  </si>
  <si>
    <t>29</t>
  </si>
  <si>
    <t>Эмаль ПФ-115 серая</t>
  </si>
  <si>
    <t>Прайс
Аналог ТССЦ-113-0246 25096,77/24506,75=2%</t>
  </si>
  <si>
    <t>ВСЕГО по смете, без НДС</t>
  </si>
  <si>
    <t>Цена за единицу, руб. без НДС</t>
  </si>
  <si>
    <t>Стоимость работ, руб. без НДС</t>
  </si>
  <si>
    <t>Непредвиденные расходы 3%</t>
  </si>
  <si>
    <t>ИТОГО</t>
  </si>
  <si>
    <t>НДС</t>
  </si>
  <si>
    <t>декабрь 2025г.</t>
  </si>
  <si>
    <t>ОСТАТОК</t>
  </si>
  <si>
    <t>1 т</t>
  </si>
  <si>
    <t xml:space="preserve">Конструкции металлические 07.04.042 Конвейерная галерея №3 </t>
  </si>
  <si>
    <t>Выполнено всего</t>
  </si>
  <si>
    <t>март 2026г.</t>
  </si>
  <si>
    <t>апрель 2026г.</t>
  </si>
  <si>
    <t>май 2026г.</t>
  </si>
  <si>
    <t>июнь 2026г.</t>
  </si>
  <si>
    <t>февраль 2026г.</t>
  </si>
  <si>
    <t>м-15+</t>
  </si>
  <si>
    <t>всего, передано м-15</t>
  </si>
  <si>
    <r>
      <t>передано по м-15 (по</t>
    </r>
    <r>
      <rPr>
        <b/>
        <sz val="8"/>
        <color rgb="FF000000"/>
        <rFont val="Arial"/>
        <family val="2"/>
        <charset val="204"/>
      </rPr>
      <t xml:space="preserve"> 165 019,14</t>
    </r>
    <r>
      <rPr>
        <sz val="8"/>
        <color rgb="FF000000"/>
        <rFont val="Arial"/>
        <family val="2"/>
        <charset val="204"/>
      </rPr>
      <t>)</t>
    </r>
  </si>
  <si>
    <r>
      <t xml:space="preserve">передано по м-15 (по </t>
    </r>
    <r>
      <rPr>
        <b/>
        <sz val="8"/>
        <color rgb="FF000000"/>
        <rFont val="Arial"/>
        <family val="2"/>
        <charset val="204"/>
      </rPr>
      <t>165 106,26</t>
    </r>
    <r>
      <rPr>
        <sz val="8"/>
        <color rgb="FF000000"/>
        <rFont val="Arial"/>
        <family val="2"/>
        <charset val="204"/>
      </rPr>
      <t>)</t>
    </r>
  </si>
  <si>
    <r>
      <t xml:space="preserve">передано по м-15 (по </t>
    </r>
    <r>
      <rPr>
        <b/>
        <sz val="8"/>
        <color rgb="FF000000"/>
        <rFont val="Arial"/>
        <family val="2"/>
        <charset val="204"/>
      </rPr>
      <t>155 000,00</t>
    </r>
    <r>
      <rPr>
        <sz val="8"/>
        <color rgb="FF000000"/>
        <rFont val="Arial"/>
        <family val="2"/>
        <charset val="204"/>
      </rPr>
      <t>)</t>
    </r>
  </si>
  <si>
    <t>всего, по смете, тн.</t>
  </si>
  <si>
    <t>всего, %-но, тн</t>
  </si>
  <si>
    <t>без НДС с непредвиденными</t>
  </si>
  <si>
    <t>без 1,04</t>
  </si>
  <si>
    <t>с 1,04</t>
  </si>
  <si>
    <r>
      <t xml:space="preserve">Кол-во по </t>
    </r>
    <r>
      <rPr>
        <b/>
        <sz val="14"/>
        <color rgb="FF000000"/>
        <rFont val="Arial"/>
        <family val="2"/>
        <charset val="204"/>
      </rPr>
      <t>КМД</t>
    </r>
    <r>
      <rPr>
        <sz val="8"/>
        <color rgb="FF000000"/>
        <rFont val="Arial"/>
        <family val="2"/>
        <charset val="204"/>
      </rPr>
      <t xml:space="preserve"> с 1,04(на монтаж)</t>
    </r>
  </si>
  <si>
    <r>
      <t xml:space="preserve">Кол-во по </t>
    </r>
    <r>
      <rPr>
        <b/>
        <sz val="14"/>
        <color rgb="FF000000"/>
        <rFont val="Arial"/>
        <family val="2"/>
        <charset val="204"/>
      </rPr>
      <t xml:space="preserve">КМ </t>
    </r>
    <r>
      <rPr>
        <sz val="8"/>
        <color rgb="FF000000"/>
        <rFont val="Arial"/>
        <family val="2"/>
        <charset val="204"/>
      </rPr>
      <t>(=по смете, с 1,04 на монтаж и мат-лы)</t>
    </r>
  </si>
  <si>
    <t>-</t>
  </si>
  <si>
    <t>всего, тн. (КМД/смета)</t>
  </si>
  <si>
    <t>сумма по КМД</t>
  </si>
  <si>
    <r>
      <t xml:space="preserve">с непредвиденными затратами , </t>
    </r>
    <r>
      <rPr>
        <b/>
        <u/>
        <sz val="8"/>
        <color rgb="FF000000"/>
        <rFont val="Arial"/>
        <family val="2"/>
        <charset val="204"/>
      </rPr>
      <t>без</t>
    </r>
    <r>
      <rPr>
        <sz val="8"/>
        <color rgb="FF000000"/>
        <rFont val="Arial"/>
        <family val="2"/>
        <charset val="204"/>
      </rPr>
      <t xml:space="preserve"> НДС</t>
    </r>
  </si>
  <si>
    <t>сумма по КМ (смета,ДС №2 от 26.01.2026г.)</t>
  </si>
  <si>
    <r>
      <t xml:space="preserve">Кол-во по </t>
    </r>
    <r>
      <rPr>
        <b/>
        <sz val="14"/>
        <color rgb="FF000000"/>
        <rFont val="Arial"/>
        <family val="2"/>
        <charset val="204"/>
      </rPr>
      <t>КМД</t>
    </r>
    <r>
      <rPr>
        <sz val="8"/>
        <color rgb="FF000000"/>
        <rFont val="Arial"/>
        <family val="2"/>
        <charset val="204"/>
      </rPr>
      <t xml:space="preserve"> с 1,04(только на монтаж)</t>
    </r>
  </si>
  <si>
    <t>материал</t>
  </si>
  <si>
    <t>работа (*1,04)</t>
  </si>
  <si>
    <t>Кол-во по КМД, т</t>
  </si>
  <si>
    <t>без непредвиденных, с  ЗУ, с НДС (20%-2025г., 22% -2026г.)</t>
  </si>
  <si>
    <t>с непредвиденными, с  ЗУ, с НДС (20%-2025г., 22% -2026г.)</t>
  </si>
  <si>
    <t>общая сумма, без НДС</t>
  </si>
  <si>
    <t>всего, с НДС</t>
  </si>
  <si>
    <t>Кирилл</t>
  </si>
  <si>
    <t>2025г., без НДС</t>
  </si>
  <si>
    <t>%-но 2026г., без НДС</t>
  </si>
  <si>
    <t>остаток на 2026г., без НДС</t>
  </si>
  <si>
    <t>материал(*1,01)</t>
  </si>
  <si>
    <t>работа (*1,01)</t>
  </si>
  <si>
    <t>186 млн</t>
  </si>
  <si>
    <t>192 млн</t>
  </si>
  <si>
    <t>за 1 т, с НДС</t>
  </si>
  <si>
    <t>Кол-во по КМ, т</t>
  </si>
  <si>
    <t>материал(*1,04)</t>
  </si>
  <si>
    <t>БЫЛО</t>
  </si>
  <si>
    <t>СТАЛО</t>
  </si>
  <si>
    <r>
      <t xml:space="preserve">без непредвиденных, </t>
    </r>
    <r>
      <rPr>
        <b/>
        <sz val="11"/>
        <color rgb="FFFF0000"/>
        <rFont val="Calibri"/>
        <family val="2"/>
        <charset val="204"/>
      </rPr>
      <t>без  ЗУ</t>
    </r>
    <r>
      <rPr>
        <sz val="11"/>
        <color rgb="FF000000"/>
        <rFont val="Calibri"/>
        <family val="2"/>
        <charset val="204"/>
      </rPr>
      <t>, с НДС (20%-2025г., 22% -2026г.)</t>
    </r>
  </si>
  <si>
    <r>
      <t xml:space="preserve">с непредвиденными, </t>
    </r>
    <r>
      <rPr>
        <b/>
        <sz val="11"/>
        <color rgb="FFFF0000"/>
        <rFont val="Calibri"/>
        <family val="2"/>
        <charset val="204"/>
      </rPr>
      <t>без  ЗУ</t>
    </r>
    <r>
      <rPr>
        <sz val="11"/>
        <color rgb="FF000000"/>
        <rFont val="Calibri"/>
        <family val="2"/>
        <charset val="204"/>
      </rPr>
      <t>, с НДС (20%-2025г., 22% -2026г.)</t>
    </r>
  </si>
  <si>
    <t>%-но 2026г(№1-9).,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</si>
</sst>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"/>
    <numFmt numFmtId="168" formatCode="#,##0.000000"/>
    <numFmt numFmtId="169" formatCode="#,##0.000"/>
  </numFmts>
  <fonts count="3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b/>
      <sz val="8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4"/>
      <name val="Arial"/>
      <family val="2"/>
      <charset val="204"/>
    </font>
    <font>
      <sz val="8"/>
      <name val="Calibri"/>
      <family val="2"/>
      <charset val="204"/>
    </font>
    <font>
      <b/>
      <sz val="14"/>
      <color rgb="FF000000"/>
      <name val="Arial"/>
      <family val="2"/>
      <charset val="204"/>
    </font>
    <font>
      <b/>
      <u/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sz val="11"/>
      <color theme="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left" vertical="top" wrapText="1"/>
    </xf>
    <xf numFmtId="4" fontId="0" fillId="0" borderId="0" xfId="0" applyNumberFormat="1" applyAlignment="1"/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0" fontId="0" fillId="0" borderId="0" xfId="0" applyAlignment="1"/>
    <xf numFmtId="0" fontId="4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164" fontId="2" fillId="0" borderId="5" xfId="0" applyNumberFormat="1" applyFont="1" applyFill="1" applyBorder="1" applyAlignment="1" applyProtection="1">
      <alignment horizontal="center" vertical="center"/>
    </xf>
    <xf numFmtId="165" fontId="2" fillId="0" borderId="5" xfId="0" applyNumberFormat="1" applyFont="1" applyFill="1" applyBorder="1" applyAlignment="1" applyProtection="1">
      <alignment horizontal="center" vertical="center"/>
    </xf>
    <xf numFmtId="166" fontId="2" fillId="0" borderId="5" xfId="0" applyNumberFormat="1" applyFont="1" applyFill="1" applyBorder="1" applyAlignment="1" applyProtection="1">
      <alignment horizontal="center" vertical="center"/>
    </xf>
    <xf numFmtId="167" fontId="2" fillId="0" borderId="5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 applyProtection="1">
      <alignment horizontal="center" vertical="center"/>
    </xf>
    <xf numFmtId="4" fontId="2" fillId="0" borderId="5" xfId="0" applyNumberFormat="1" applyFont="1" applyFill="1" applyBorder="1" applyAlignment="1" applyProtection="1">
      <alignment horizontal="center" vertical="center"/>
    </xf>
    <xf numFmtId="4" fontId="7" fillId="0" borderId="5" xfId="0" applyNumberFormat="1" applyFont="1" applyFill="1" applyBorder="1" applyAlignment="1" applyProtection="1">
      <alignment horizontal="center" vertical="center"/>
    </xf>
    <xf numFmtId="4" fontId="3" fillId="0" borderId="3" xfId="0" applyNumberFormat="1" applyFont="1" applyFill="1" applyBorder="1" applyAlignment="1" applyProtection="1">
      <alignment horizontal="center" vertical="center"/>
    </xf>
    <xf numFmtId="0" fontId="10" fillId="0" borderId="8" xfId="0" applyNumberFormat="1" applyFont="1" applyFill="1" applyBorder="1" applyAlignment="1" applyProtection="1">
      <alignment vertical="top"/>
    </xf>
    <xf numFmtId="0" fontId="11" fillId="0" borderId="8" xfId="0" applyNumberFormat="1" applyFont="1" applyFill="1" applyBorder="1" applyAlignment="1" applyProtection="1">
      <alignment vertical="top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/>
    <xf numFmtId="4" fontId="8" fillId="0" borderId="0" xfId="0" applyNumberFormat="1" applyFont="1" applyAlignment="1"/>
    <xf numFmtId="0" fontId="13" fillId="0" borderId="8" xfId="0" applyNumberFormat="1" applyFont="1" applyFill="1" applyBorder="1" applyAlignment="1" applyProtection="1">
      <alignment vertical="top"/>
    </xf>
    <xf numFmtId="0" fontId="13" fillId="0" borderId="9" xfId="0" applyNumberFormat="1" applyFont="1" applyFill="1" applyBorder="1" applyAlignment="1" applyProtection="1">
      <alignment horizontal="center" vertical="center"/>
    </xf>
    <xf numFmtId="4" fontId="13" fillId="0" borderId="3" xfId="0" applyNumberFormat="1" applyFont="1" applyFill="1" applyBorder="1" applyAlignment="1" applyProtection="1">
      <alignment horizontal="center" vertical="center"/>
    </xf>
    <xf numFmtId="0" fontId="14" fillId="0" borderId="0" xfId="0" applyFont="1" applyAlignment="1"/>
    <xf numFmtId="4" fontId="14" fillId="0" borderId="0" xfId="0" applyNumberFormat="1" applyFont="1" applyAlignment="1"/>
    <xf numFmtId="168" fontId="11" fillId="0" borderId="3" xfId="0" applyNumberFormat="1" applyFont="1" applyFill="1" applyBorder="1" applyAlignment="1" applyProtection="1">
      <alignment horizontal="center" vertical="center"/>
    </xf>
    <xf numFmtId="9" fontId="11" fillId="0" borderId="3" xfId="0" applyNumberFormat="1" applyFont="1" applyFill="1" applyBorder="1" applyAlignment="1" applyProtection="1">
      <alignment horizontal="center" vertical="center"/>
    </xf>
    <xf numFmtId="0" fontId="10" fillId="0" borderId="6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/>
    </xf>
    <xf numFmtId="4" fontId="3" fillId="0" borderId="7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166" fontId="2" fillId="0" borderId="10" xfId="0" applyNumberFormat="1" applyFont="1" applyFill="1" applyBorder="1" applyAlignment="1" applyProtection="1">
      <alignment horizontal="center" vertical="center"/>
    </xf>
    <xf numFmtId="4" fontId="2" fillId="0" borderId="10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/>
    </xf>
    <xf numFmtId="4" fontId="2" fillId="0" borderId="12" xfId="0" applyNumberFormat="1" applyFont="1" applyFill="1" applyBorder="1" applyAlignment="1" applyProtection="1">
      <alignment horizontal="center" vertical="center"/>
    </xf>
    <xf numFmtId="4" fontId="3" fillId="0" borderId="6" xfId="0" applyNumberFormat="1" applyFont="1" applyFill="1" applyBorder="1" applyAlignment="1" applyProtection="1">
      <alignment horizontal="center" vertical="center"/>
    </xf>
    <xf numFmtId="4" fontId="13" fillId="0" borderId="8" xfId="0" applyNumberFormat="1" applyFont="1" applyFill="1" applyBorder="1" applyAlignment="1" applyProtection="1">
      <alignment horizontal="center" vertical="center"/>
    </xf>
    <xf numFmtId="4" fontId="3" fillId="0" borderId="8" xfId="0" applyNumberFormat="1" applyFont="1" applyFill="1" applyBorder="1" applyAlignment="1" applyProtection="1">
      <alignment horizontal="center" vertical="center"/>
    </xf>
    <xf numFmtId="9" fontId="11" fillId="0" borderId="8" xfId="0" applyNumberFormat="1" applyFont="1" applyFill="1" applyBorder="1" applyAlignment="1" applyProtection="1">
      <alignment horizontal="center" vertical="center"/>
    </xf>
    <xf numFmtId="4" fontId="2" fillId="0" borderId="18" xfId="0" applyNumberFormat="1" applyFont="1" applyFill="1" applyBorder="1" applyAlignment="1" applyProtection="1">
      <alignment horizontal="center" vertical="center"/>
    </xf>
    <xf numFmtId="4" fontId="2" fillId="0" borderId="20" xfId="0" applyNumberFormat="1" applyFont="1" applyFill="1" applyBorder="1" applyAlignment="1" applyProtection="1">
      <alignment horizontal="center" vertical="center"/>
    </xf>
    <xf numFmtId="4" fontId="3" fillId="0" borderId="22" xfId="0" applyNumberFormat="1" applyFont="1" applyFill="1" applyBorder="1" applyAlignment="1" applyProtection="1">
      <alignment horizontal="center" vertical="center"/>
    </xf>
    <xf numFmtId="4" fontId="13" fillId="0" borderId="24" xfId="0" applyNumberFormat="1" applyFont="1" applyFill="1" applyBorder="1" applyAlignment="1" applyProtection="1">
      <alignment horizontal="center" vertical="center"/>
    </xf>
    <xf numFmtId="4" fontId="3" fillId="0" borderId="24" xfId="0" applyNumberFormat="1" applyFont="1" applyFill="1" applyBorder="1" applyAlignment="1" applyProtection="1">
      <alignment horizontal="center" vertical="center"/>
    </xf>
    <xf numFmtId="9" fontId="11" fillId="0" borderId="24" xfId="0" applyNumberFormat="1" applyFont="1" applyFill="1" applyBorder="1" applyAlignment="1" applyProtection="1">
      <alignment horizontal="center" vertical="center"/>
    </xf>
    <xf numFmtId="4" fontId="3" fillId="0" borderId="16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center" vertical="center"/>
    </xf>
    <xf numFmtId="0" fontId="1" fillId="0" borderId="24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/>
    </xf>
    <xf numFmtId="4" fontId="7" fillId="0" borderId="18" xfId="0" applyNumberFormat="1" applyFont="1" applyFill="1" applyBorder="1" applyAlignment="1" applyProtection="1">
      <alignment horizontal="center" vertical="center"/>
    </xf>
    <xf numFmtId="0" fontId="1" fillId="0" borderId="29" xfId="0" applyNumberFormat="1" applyFont="1" applyFill="1" applyBorder="1" applyAlignment="1" applyProtection="1">
      <alignment vertical="center" wrapText="1"/>
    </xf>
    <xf numFmtId="0" fontId="1" fillId="0" borderId="30" xfId="0" applyNumberFormat="1" applyFont="1" applyFill="1" applyBorder="1" applyAlignment="1" applyProtection="1">
      <alignment horizontal="center" vertical="center" wrapText="1"/>
    </xf>
    <xf numFmtId="0" fontId="1" fillId="0" borderId="31" xfId="0" applyNumberFormat="1" applyFont="1" applyFill="1" applyBorder="1" applyAlignment="1" applyProtection="1">
      <alignment horizontal="center" vertical="center" wrapText="1"/>
    </xf>
    <xf numFmtId="0" fontId="1" fillId="0" borderId="32" xfId="0" applyNumberFormat="1" applyFont="1" applyFill="1" applyBorder="1" applyAlignment="1" applyProtection="1">
      <alignment horizontal="center" vertical="center"/>
    </xf>
    <xf numFmtId="0" fontId="9" fillId="0" borderId="32" xfId="0" applyNumberFormat="1" applyFont="1" applyFill="1" applyBorder="1" applyAlignment="1" applyProtection="1">
      <alignment horizontal="center" vertical="center" wrapText="1"/>
    </xf>
    <xf numFmtId="0" fontId="9" fillId="0" borderId="30" xfId="0" applyNumberFormat="1" applyFont="1" applyFill="1" applyBorder="1" applyAlignment="1" applyProtection="1">
      <alignment horizontal="center" vertical="center" wrapText="1"/>
    </xf>
    <xf numFmtId="0" fontId="6" fillId="0" borderId="26" xfId="0" applyNumberFormat="1" applyFont="1" applyFill="1" applyBorder="1" applyAlignment="1" applyProtection="1">
      <alignment vertical="center"/>
    </xf>
    <xf numFmtId="49" fontId="1" fillId="0" borderId="17" xfId="0" applyNumberFormat="1" applyFont="1" applyFill="1" applyBorder="1" applyAlignment="1" applyProtection="1">
      <alignment horizontal="center" vertical="top" wrapText="1"/>
    </xf>
    <xf numFmtId="0" fontId="1" fillId="0" borderId="26" xfId="0" applyNumberFormat="1" applyFont="1" applyFill="1" applyBorder="1" applyAlignment="1" applyProtection="1">
      <alignment vertical="center" wrapText="1"/>
    </xf>
    <xf numFmtId="49" fontId="1" fillId="0" borderId="19" xfId="0" applyNumberFormat="1" applyFont="1" applyFill="1" applyBorder="1" applyAlignment="1" applyProtection="1">
      <alignment horizontal="center" vertical="top" wrapText="1"/>
    </xf>
    <xf numFmtId="0" fontId="6" fillId="0" borderId="34" xfId="0" applyNumberFormat="1" applyFont="1" applyFill="1" applyBorder="1" applyAlignment="1" applyProtection="1">
      <alignment vertical="top"/>
    </xf>
    <xf numFmtId="0" fontId="12" fillId="0" borderId="26" xfId="0" applyNumberFormat="1" applyFont="1" applyFill="1" applyBorder="1" applyAlignment="1" applyProtection="1">
      <alignment vertical="top"/>
    </xf>
    <xf numFmtId="0" fontId="6" fillId="0" borderId="26" xfId="0" applyNumberFormat="1" applyFont="1" applyFill="1" applyBorder="1" applyAlignment="1" applyProtection="1">
      <alignment vertical="top"/>
    </xf>
    <xf numFmtId="0" fontId="9" fillId="0" borderId="26" xfId="0" applyNumberFormat="1" applyFont="1" applyFill="1" applyBorder="1" applyAlignment="1" applyProtection="1">
      <alignment vertical="top"/>
    </xf>
    <xf numFmtId="0" fontId="6" fillId="0" borderId="15" xfId="0" applyNumberFormat="1" applyFont="1" applyFill="1" applyBorder="1" applyAlignment="1" applyProtection="1">
      <alignment vertical="top"/>
    </xf>
    <xf numFmtId="0" fontId="10" fillId="0" borderId="35" xfId="0" applyNumberFormat="1" applyFont="1" applyFill="1" applyBorder="1" applyAlignment="1" applyProtection="1">
      <alignment vertical="top"/>
    </xf>
    <xf numFmtId="0" fontId="3" fillId="0" borderId="36" xfId="0" applyNumberFormat="1" applyFont="1" applyFill="1" applyBorder="1" applyAlignment="1" applyProtection="1">
      <alignment horizontal="center" vertical="center"/>
    </xf>
    <xf numFmtId="4" fontId="3" fillId="0" borderId="37" xfId="0" applyNumberFormat="1" applyFont="1" applyFill="1" applyBorder="1" applyAlignment="1" applyProtection="1">
      <alignment horizontal="center" vertical="center"/>
    </xf>
    <xf numFmtId="4" fontId="3" fillId="0" borderId="35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/>
    <xf numFmtId="0" fontId="17" fillId="0" borderId="1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9" fillId="0" borderId="3" xfId="0" applyNumberFormat="1" applyFont="1" applyFill="1" applyBorder="1" applyAlignment="1" applyProtection="1">
      <alignment horizontal="center" vertical="center"/>
    </xf>
    <xf numFmtId="164" fontId="19" fillId="0" borderId="5" xfId="0" applyNumberFormat="1" applyFont="1" applyFill="1" applyBorder="1" applyAlignment="1" applyProtection="1">
      <alignment horizontal="center" vertical="center"/>
    </xf>
    <xf numFmtId="165" fontId="19" fillId="0" borderId="5" xfId="0" applyNumberFormat="1" applyFont="1" applyFill="1" applyBorder="1" applyAlignment="1" applyProtection="1">
      <alignment horizontal="center" vertical="center"/>
    </xf>
    <xf numFmtId="166" fontId="19" fillId="0" borderId="5" xfId="0" applyNumberFormat="1" applyFont="1" applyFill="1" applyBorder="1" applyAlignment="1" applyProtection="1">
      <alignment horizontal="center" vertical="center"/>
    </xf>
    <xf numFmtId="167" fontId="19" fillId="0" borderId="5" xfId="0" applyNumberFormat="1" applyFont="1" applyFill="1" applyBorder="1" applyAlignment="1" applyProtection="1">
      <alignment horizontal="center" vertical="center"/>
    </xf>
    <xf numFmtId="1" fontId="19" fillId="0" borderId="5" xfId="0" applyNumberFormat="1" applyFont="1" applyFill="1" applyBorder="1" applyAlignment="1" applyProtection="1">
      <alignment horizontal="center" vertical="center"/>
    </xf>
    <xf numFmtId="166" fontId="19" fillId="0" borderId="10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/>
    </xf>
    <xf numFmtId="0" fontId="20" fillId="0" borderId="9" xfId="0" applyNumberFormat="1" applyFont="1" applyFill="1" applyBorder="1" applyAlignment="1" applyProtection="1">
      <alignment horizontal="center" vertical="center"/>
    </xf>
    <xf numFmtId="0" fontId="19" fillId="0" borderId="9" xfId="0" applyNumberFormat="1" applyFont="1" applyFill="1" applyBorder="1" applyAlignment="1" applyProtection="1">
      <alignment horizontal="center" vertical="center"/>
    </xf>
    <xf numFmtId="0" fontId="19" fillId="0" borderId="36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26" xfId="0" applyNumberFormat="1" applyFont="1" applyFill="1" applyBorder="1" applyAlignment="1" applyProtection="1">
      <alignment horizontal="center" vertical="center"/>
    </xf>
    <xf numFmtId="164" fontId="19" fillId="0" borderId="17" xfId="0" applyNumberFormat="1" applyFont="1" applyFill="1" applyBorder="1" applyAlignment="1" applyProtection="1">
      <alignment horizontal="center" vertical="center"/>
    </xf>
    <xf numFmtId="165" fontId="19" fillId="0" borderId="17" xfId="0" applyNumberFormat="1" applyFont="1" applyFill="1" applyBorder="1" applyAlignment="1" applyProtection="1">
      <alignment horizontal="center" vertical="center"/>
    </xf>
    <xf numFmtId="166" fontId="19" fillId="0" borderId="17" xfId="0" applyNumberFormat="1" applyFont="1" applyFill="1" applyBorder="1" applyAlignment="1" applyProtection="1">
      <alignment horizontal="center" vertical="center"/>
    </xf>
    <xf numFmtId="1" fontId="19" fillId="0" borderId="17" xfId="0" applyNumberFormat="1" applyFont="1" applyFill="1" applyBorder="1" applyAlignment="1" applyProtection="1">
      <alignment horizontal="center" vertical="center"/>
    </xf>
    <xf numFmtId="164" fontId="19" fillId="0" borderId="19" xfId="0" applyNumberFormat="1" applyFont="1" applyFill="1" applyBorder="1" applyAlignment="1" applyProtection="1">
      <alignment horizontal="center" vertical="center"/>
    </xf>
    <xf numFmtId="0" fontId="19" fillId="0" borderId="21" xfId="0" applyNumberFormat="1" applyFont="1" applyFill="1" applyBorder="1" applyAlignment="1" applyProtection="1">
      <alignment horizontal="center" vertical="center"/>
    </xf>
    <xf numFmtId="0" fontId="20" fillId="0" borderId="23" xfId="0" applyNumberFormat="1" applyFont="1" applyFill="1" applyBorder="1" applyAlignment="1" applyProtection="1">
      <alignment horizontal="center" vertical="center"/>
    </xf>
    <xf numFmtId="0" fontId="19" fillId="0" borderId="23" xfId="0" applyNumberFormat="1" applyFont="1" applyFill="1" applyBorder="1" applyAlignment="1" applyProtection="1">
      <alignment horizontal="center" vertical="center"/>
    </xf>
    <xf numFmtId="0" fontId="19" fillId="0" borderId="25" xfId="0" applyNumberFormat="1" applyFont="1" applyFill="1" applyBorder="1" applyAlignment="1" applyProtection="1">
      <alignment horizontal="center" vertical="center"/>
    </xf>
    <xf numFmtId="0" fontId="10" fillId="0" borderId="32" xfId="0" applyNumberFormat="1" applyFont="1" applyFill="1" applyBorder="1" applyAlignment="1" applyProtection="1">
      <alignment horizontal="center" vertical="center"/>
    </xf>
    <xf numFmtId="0" fontId="11" fillId="0" borderId="30" xfId="0" applyNumberFormat="1" applyFont="1" applyFill="1" applyBorder="1" applyAlignment="1" applyProtection="1">
      <alignment horizontal="center" vertical="center" wrapText="1"/>
    </xf>
    <xf numFmtId="0" fontId="11" fillId="0" borderId="33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11" fillId="0" borderId="8" xfId="0" applyNumberFormat="1" applyFont="1" applyFill="1" applyBorder="1" applyAlignment="1" applyProtection="1">
      <alignment horizontal="center" vertical="center"/>
    </xf>
    <xf numFmtId="0" fontId="11" fillId="0" borderId="24" xfId="0" applyNumberFormat="1" applyFont="1" applyFill="1" applyBorder="1" applyAlignment="1" applyProtection="1">
      <alignment horizontal="center" vertical="center"/>
    </xf>
    <xf numFmtId="0" fontId="9" fillId="0" borderId="26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11" fillId="0" borderId="26" xfId="0" applyNumberFormat="1" applyFont="1" applyFill="1" applyBorder="1" applyAlignment="1" applyProtection="1">
      <alignment horizontal="center" vertical="center"/>
    </xf>
    <xf numFmtId="164" fontId="19" fillId="0" borderId="0" xfId="0" applyNumberFormat="1" applyFont="1" applyFill="1" applyBorder="1" applyAlignment="1" applyProtection="1">
      <alignment horizontal="center" vertical="center"/>
    </xf>
    <xf numFmtId="164" fontId="21" fillId="5" borderId="0" xfId="0" applyNumberFormat="1" applyFont="1" applyFill="1" applyBorder="1" applyAlignment="1" applyProtection="1">
      <alignment horizontal="center" vertical="center"/>
    </xf>
    <xf numFmtId="164" fontId="21" fillId="5" borderId="5" xfId="0" applyNumberFormat="1" applyFont="1" applyFill="1" applyBorder="1" applyAlignment="1" applyProtection="1">
      <alignment horizontal="center" vertical="center"/>
    </xf>
    <xf numFmtId="164" fontId="21" fillId="5" borderId="17" xfId="0" applyNumberFormat="1" applyFont="1" applyFill="1" applyBorder="1" applyAlignment="1" applyProtection="1">
      <alignment horizontal="center" vertical="center"/>
    </xf>
    <xf numFmtId="0" fontId="21" fillId="5" borderId="0" xfId="0" applyNumberFormat="1" applyFont="1" applyFill="1" applyBorder="1" applyAlignment="1" applyProtection="1">
      <alignment horizontal="center" vertical="center"/>
    </xf>
    <xf numFmtId="49" fontId="22" fillId="5" borderId="17" xfId="0" applyNumberFormat="1" applyFont="1" applyFill="1" applyBorder="1" applyAlignment="1" applyProtection="1">
      <alignment horizontal="center" vertical="top" wrapText="1"/>
    </xf>
    <xf numFmtId="0" fontId="22" fillId="5" borderId="2" xfId="0" applyNumberFormat="1" applyFont="1" applyFill="1" applyBorder="1" applyAlignment="1" applyProtection="1">
      <alignment horizontal="left" vertical="top" wrapText="1"/>
    </xf>
    <xf numFmtId="0" fontId="22" fillId="5" borderId="2" xfId="0" applyNumberFormat="1" applyFont="1" applyFill="1" applyBorder="1" applyAlignment="1" applyProtection="1">
      <alignment vertical="top" wrapText="1"/>
    </xf>
    <xf numFmtId="164" fontId="21" fillId="6" borderId="3" xfId="0" applyNumberFormat="1" applyFont="1" applyFill="1" applyBorder="1" applyAlignment="1" applyProtection="1">
      <alignment horizontal="center" vertical="center"/>
    </xf>
    <xf numFmtId="0" fontId="6" fillId="6" borderId="3" xfId="0" applyNumberFormat="1" applyFont="1" applyFill="1" applyBorder="1" applyAlignment="1" applyProtection="1">
      <alignment horizontal="center" vertical="center"/>
    </xf>
    <xf numFmtId="164" fontId="10" fillId="6" borderId="3" xfId="0" applyNumberFormat="1" applyFont="1" applyFill="1" applyBorder="1" applyAlignment="1" applyProtection="1">
      <alignment horizontal="center" vertical="center"/>
    </xf>
    <xf numFmtId="0" fontId="10" fillId="6" borderId="3" xfId="0" applyNumberFormat="1" applyFont="1" applyFill="1" applyBorder="1" applyAlignment="1" applyProtection="1">
      <alignment horizontal="center" vertical="center"/>
    </xf>
    <xf numFmtId="164" fontId="21" fillId="6" borderId="5" xfId="0" applyNumberFormat="1" applyFont="1" applyFill="1" applyBorder="1" applyAlignment="1" applyProtection="1">
      <alignment horizontal="center" vertical="center"/>
    </xf>
    <xf numFmtId="164" fontId="22" fillId="5" borderId="5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/>
    <xf numFmtId="164" fontId="23" fillId="0" borderId="5" xfId="0" applyNumberFormat="1" applyFont="1" applyFill="1" applyBorder="1" applyAlignment="1" applyProtection="1">
      <alignment horizontal="center" vertical="center"/>
    </xf>
    <xf numFmtId="169" fontId="0" fillId="0" borderId="0" xfId="0" applyNumberFormat="1" applyAlignment="1"/>
    <xf numFmtId="0" fontId="1" fillId="0" borderId="38" xfId="0" applyNumberFormat="1" applyFont="1" applyFill="1" applyBorder="1" applyAlignment="1" applyProtection="1"/>
    <xf numFmtId="0" fontId="9" fillId="0" borderId="38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>
      <alignment horizontal="center" vertical="center"/>
    </xf>
    <xf numFmtId="164" fontId="19" fillId="0" borderId="38" xfId="0" applyNumberFormat="1" applyFont="1" applyFill="1" applyBorder="1" applyAlignment="1" applyProtection="1">
      <alignment horizontal="center" vertical="center"/>
    </xf>
    <xf numFmtId="0" fontId="19" fillId="0" borderId="38" xfId="0" applyNumberFormat="1" applyFont="1" applyFill="1" applyBorder="1" applyAlignment="1" applyProtection="1">
      <alignment horizontal="center" vertical="center"/>
    </xf>
    <xf numFmtId="164" fontId="21" fillId="8" borderId="39" xfId="0" applyNumberFormat="1" applyFont="1" applyFill="1" applyBorder="1" applyAlignment="1" applyProtection="1">
      <alignment horizontal="center" vertical="center"/>
    </xf>
    <xf numFmtId="0" fontId="21" fillId="8" borderId="39" xfId="0" applyNumberFormat="1" applyFont="1" applyFill="1" applyBorder="1" applyAlignment="1" applyProtection="1">
      <alignment horizontal="center" vertical="center"/>
    </xf>
    <xf numFmtId="0" fontId="21" fillId="8" borderId="39" xfId="0" applyNumberFormat="1" applyFont="1" applyFill="1" applyBorder="1" applyAlignment="1" applyProtection="1"/>
    <xf numFmtId="164" fontId="2" fillId="2" borderId="5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2" xfId="0" applyNumberFormat="1" applyFont="1" applyFill="1" applyBorder="1" applyAlignment="1" applyProtection="1">
      <alignment horizontal="center" vertical="center" wrapText="1"/>
    </xf>
    <xf numFmtId="4" fontId="21" fillId="9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/>
    <xf numFmtId="0" fontId="8" fillId="0" borderId="0" xfId="0" applyFont="1" applyAlignment="1">
      <alignment horizontal="center" wrapText="1"/>
    </xf>
    <xf numFmtId="4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27" fillId="2" borderId="0" xfId="0" applyFont="1" applyFill="1" applyAlignment="1">
      <alignment horizontal="center" wrapText="1"/>
    </xf>
    <xf numFmtId="4" fontId="30" fillId="5" borderId="0" xfId="0" applyNumberFormat="1" applyFon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30" fillId="5" borderId="0" xfId="0" applyNumberFormat="1" applyFont="1" applyFill="1" applyAlignment="1">
      <alignment horizontal="center" vertical="center" wrapText="1"/>
    </xf>
    <xf numFmtId="164" fontId="21" fillId="8" borderId="39" xfId="0" applyNumberFormat="1" applyFont="1" applyFill="1" applyBorder="1" applyAlignment="1" applyProtection="1">
      <alignment horizontal="center" vertical="center"/>
    </xf>
    <xf numFmtId="4" fontId="9" fillId="0" borderId="40" xfId="0" applyNumberFormat="1" applyFont="1" applyFill="1" applyBorder="1" applyAlignment="1" applyProtection="1">
      <alignment horizontal="right" vertical="center"/>
    </xf>
    <xf numFmtId="4" fontId="1" fillId="0" borderId="4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15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16" fillId="2" borderId="27" xfId="0" applyNumberFormat="1" applyFont="1" applyFill="1" applyBorder="1" applyAlignment="1" applyProtection="1">
      <alignment horizontal="center" vertical="center"/>
    </xf>
    <xf numFmtId="0" fontId="16" fillId="2" borderId="28" xfId="0" applyNumberFormat="1" applyFont="1" applyFill="1" applyBorder="1" applyAlignment="1" applyProtection="1">
      <alignment horizontal="center" vertical="center"/>
    </xf>
    <xf numFmtId="0" fontId="16" fillId="4" borderId="27" xfId="0" applyNumberFormat="1" applyFont="1" applyFill="1" applyBorder="1" applyAlignment="1" applyProtection="1">
      <alignment horizontal="center" vertical="center"/>
    </xf>
    <xf numFmtId="0" fontId="16" fillId="4" borderId="28" xfId="0" applyNumberFormat="1" applyFont="1" applyFill="1" applyBorder="1" applyAlignment="1" applyProtection="1">
      <alignment horizontal="center" vertical="center"/>
    </xf>
    <xf numFmtId="164" fontId="19" fillId="0" borderId="0" xfId="0" applyNumberFormat="1" applyFont="1" applyFill="1" applyBorder="1" applyAlignment="1" applyProtection="1">
      <alignment horizontal="center" vertical="center"/>
    </xf>
    <xf numFmtId="0" fontId="15" fillId="3" borderId="0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center" vertical="center"/>
    </xf>
    <xf numFmtId="0" fontId="15" fillId="7" borderId="0" xfId="0" applyNumberFormat="1" applyFont="1" applyFill="1" applyBorder="1" applyAlignment="1" applyProtection="1">
      <alignment horizontal="center" vertical="center"/>
    </xf>
    <xf numFmtId="0" fontId="4" fillId="7" borderId="0" xfId="0" applyNumberFormat="1" applyFont="1" applyFill="1" applyBorder="1" applyAlignment="1" applyProtection="1">
      <alignment horizontal="center" vertical="center"/>
    </xf>
    <xf numFmtId="4" fontId="30" fillId="5" borderId="0" xfId="0" applyNumberFormat="1" applyFont="1" applyFill="1" applyAlignment="1">
      <alignment horizontal="center" vertical="center" wrapText="1"/>
    </xf>
    <xf numFmtId="4" fontId="0" fillId="10" borderId="0" xfId="0" applyNumberFormat="1" applyFill="1" applyAlignment="1">
      <alignment horizontal="center" vertical="center"/>
    </xf>
    <xf numFmtId="4" fontId="14" fillId="10" borderId="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%20&#1059;&#1089;&#1090;&#1100;-&#1051;&#1091;&#1075;&#1072;/!!!&#1050;&#1052;/!!!%20&#1082;&#1089;-2/&#1084;&#1072;&#1088;&#1090;-2_%2026&#1075;/&#1042;&#1099;&#1087;.%20&#8470;4%20&#1086;&#1090;%2030.03.26%20&#1050;&#1043;%20&#8470;3%20&#1076;&#1086;&#1075;.104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4"/>
      <sheetName val="кс-2 №4 корр"/>
      <sheetName val="кс-2 №4 (бегунок) корр"/>
      <sheetName val="кс-6а корр"/>
      <sheetName val="кс-2 &quot;бегунок&quot;"/>
      <sheetName val="кс-6а февр"/>
      <sheetName val="отчет о дав. 1"/>
      <sheetName val="отчет о дав. 2 корр "/>
    </sheetNames>
    <sheetDataSet>
      <sheetData sheetId="0"/>
      <sheetData sheetId="1" refreshError="1"/>
      <sheetData sheetId="2" refreshError="1"/>
      <sheetData sheetId="3">
        <row r="85">
          <cell r="H85">
            <v>174567645.44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7732-9F47-4957-A8FB-3A70C9EE1C25}">
  <sheetPr>
    <tabColor rgb="FFFFFF00"/>
    <pageSetUpPr fitToPage="1"/>
  </sheetPr>
  <dimension ref="A1:AJ68"/>
  <sheetViews>
    <sheetView zoomScale="130" zoomScaleNormal="130" workbookViewId="0">
      <pane ySplit="5" topLeftCell="A6" activePane="bottomLeft" state="frozen"/>
      <selection pane="bottomLeft" activeCell="B58" sqref="B58:B59"/>
    </sheetView>
  </sheetViews>
  <sheetFormatPr defaultColWidth="9.140625" defaultRowHeight="11.25" customHeight="1" outlineLevelCol="1" x14ac:dyDescent="0.2"/>
  <cols>
    <col min="1" max="1" width="7" style="1" customWidth="1"/>
    <col min="2" max="2" width="32.28515625" style="1" customWidth="1"/>
    <col min="3" max="3" width="23" style="20" hidden="1" customWidth="1"/>
    <col min="4" max="4" width="7" style="20" customWidth="1"/>
    <col min="5" max="5" width="13.85546875" style="20" customWidth="1"/>
    <col min="6" max="6" width="16.140625" style="20" customWidth="1"/>
    <col min="7" max="7" width="11.7109375" style="20" hidden="1" customWidth="1"/>
    <col min="8" max="8" width="13" style="20" hidden="1" customWidth="1"/>
    <col min="9" max="9" width="6.42578125" style="105" hidden="1" customWidth="1"/>
    <col min="10" max="10" width="11.7109375" style="20" hidden="1" customWidth="1"/>
    <col min="11" max="11" width="7.42578125" style="105" hidden="1" customWidth="1"/>
    <col min="12" max="12" width="11.7109375" style="20" hidden="1" customWidth="1"/>
    <col min="13" max="13" width="7.28515625" style="105" hidden="1" customWidth="1"/>
    <col min="14" max="14" width="11.7109375" style="20" hidden="1" customWidth="1"/>
    <col min="15" max="15" width="7.28515625" style="105" hidden="1" customWidth="1" outlineLevel="1"/>
    <col min="16" max="16" width="11.7109375" style="20" hidden="1" customWidth="1" outlineLevel="1"/>
    <col min="17" max="17" width="7.28515625" style="105" hidden="1" customWidth="1" outlineLevel="1"/>
    <col min="18" max="18" width="11.7109375" style="20" hidden="1" customWidth="1" outlineLevel="1"/>
    <col min="19" max="19" width="7.28515625" style="105" hidden="1" customWidth="1" outlineLevel="1"/>
    <col min="20" max="20" width="11.7109375" style="20" hidden="1" customWidth="1" outlineLevel="1"/>
    <col min="21" max="21" width="7.28515625" style="105" hidden="1" customWidth="1" outlineLevel="1"/>
    <col min="22" max="22" width="11.7109375" style="20" hidden="1" customWidth="1" outlineLevel="1"/>
    <col min="23" max="23" width="8.28515625" style="105" hidden="1" customWidth="1" collapsed="1"/>
    <col min="24" max="24" width="13.85546875" style="20" hidden="1" customWidth="1"/>
    <col min="25" max="25" width="8.140625" style="105" hidden="1" customWidth="1"/>
    <col min="26" max="26" width="13.85546875" style="20" hidden="1" customWidth="1"/>
    <col min="27" max="27" width="16.85546875" style="1" customWidth="1"/>
    <col min="28" max="43" width="10.7109375" style="1" customWidth="1"/>
    <col min="44" max="16384" width="9.140625" style="1"/>
  </cols>
  <sheetData>
    <row r="1" spans="1:28" s="16" customFormat="1" ht="15" customHeight="1" x14ac:dyDescent="0.25">
      <c r="A1" s="17" t="s">
        <v>0</v>
      </c>
      <c r="B1" s="17"/>
      <c r="C1" s="21"/>
      <c r="D1" s="21"/>
      <c r="E1" s="21"/>
      <c r="F1" s="21"/>
      <c r="G1" s="21"/>
      <c r="H1" s="21"/>
      <c r="I1" s="91"/>
      <c r="J1" s="21"/>
      <c r="K1" s="91"/>
      <c r="L1" s="21"/>
      <c r="M1" s="91"/>
      <c r="N1" s="21"/>
      <c r="O1" s="91"/>
      <c r="P1" s="21"/>
      <c r="Q1" s="91"/>
      <c r="R1" s="21"/>
      <c r="S1" s="91"/>
      <c r="T1" s="21"/>
      <c r="U1" s="91"/>
      <c r="V1" s="21"/>
      <c r="W1" s="91"/>
      <c r="X1" s="21"/>
      <c r="Y1" s="91"/>
      <c r="Z1" s="21"/>
    </row>
    <row r="2" spans="1:28" s="16" customFormat="1" ht="6.75" customHeight="1" x14ac:dyDescent="0.25">
      <c r="A2" s="3"/>
      <c r="B2" s="18"/>
      <c r="C2" s="4"/>
      <c r="D2" s="4"/>
      <c r="E2" s="4"/>
      <c r="F2" s="4"/>
      <c r="G2" s="4"/>
      <c r="H2" s="4"/>
      <c r="I2" s="92"/>
      <c r="J2" s="4"/>
      <c r="K2" s="92"/>
      <c r="L2" s="4"/>
      <c r="M2" s="92"/>
      <c r="N2" s="4"/>
      <c r="O2" s="92"/>
      <c r="P2" s="4"/>
      <c r="Q2" s="92"/>
      <c r="R2" s="4"/>
      <c r="S2" s="92"/>
      <c r="T2" s="4"/>
      <c r="U2" s="92"/>
      <c r="V2" s="4"/>
      <c r="W2" s="92"/>
      <c r="X2" s="4"/>
      <c r="Y2" s="92"/>
      <c r="Z2" s="4"/>
    </row>
    <row r="3" spans="1:28" s="16" customFormat="1" ht="15" customHeight="1" thickBot="1" x14ac:dyDescent="0.3">
      <c r="A3" s="15" t="s">
        <v>1</v>
      </c>
      <c r="B3" s="15"/>
      <c r="C3" s="22"/>
      <c r="D3" s="22"/>
      <c r="E3" s="22"/>
      <c r="F3" s="22"/>
      <c r="G3" s="22"/>
      <c r="H3" s="22"/>
      <c r="I3" s="93"/>
      <c r="J3" s="22"/>
      <c r="K3" s="93"/>
      <c r="L3" s="22"/>
      <c r="M3" s="93"/>
      <c r="N3" s="22"/>
      <c r="O3" s="93"/>
      <c r="P3" s="22"/>
      <c r="Q3" s="93"/>
      <c r="R3" s="22"/>
      <c r="S3" s="93"/>
      <c r="T3" s="22"/>
      <c r="U3" s="93"/>
      <c r="V3" s="22"/>
      <c r="W3" s="93"/>
      <c r="X3" s="22"/>
      <c r="Y3" s="93"/>
      <c r="Z3" s="22"/>
    </row>
    <row r="4" spans="1:28" s="16" customFormat="1" ht="15" customHeight="1" thickBot="1" x14ac:dyDescent="0.3">
      <c r="A4" s="90" t="s">
        <v>99</v>
      </c>
      <c r="B4" s="2"/>
      <c r="C4" s="4"/>
      <c r="D4" s="4"/>
      <c r="E4" s="4"/>
      <c r="F4" s="4"/>
      <c r="G4" s="4"/>
      <c r="H4" s="4"/>
      <c r="I4" s="190" t="s">
        <v>96</v>
      </c>
      <c r="J4" s="191"/>
      <c r="K4" s="192" t="s">
        <v>105</v>
      </c>
      <c r="L4" s="193"/>
      <c r="M4" s="183" t="s">
        <v>101</v>
      </c>
      <c r="N4" s="184"/>
      <c r="O4" s="183" t="s">
        <v>101</v>
      </c>
      <c r="P4" s="184"/>
      <c r="Q4" s="183" t="s">
        <v>102</v>
      </c>
      <c r="R4" s="184"/>
      <c r="S4" s="183" t="s">
        <v>103</v>
      </c>
      <c r="T4" s="184"/>
      <c r="U4" s="183" t="s">
        <v>104</v>
      </c>
      <c r="V4" s="184"/>
      <c r="W4" s="185" t="s">
        <v>100</v>
      </c>
      <c r="X4" s="186"/>
      <c r="Y4" s="187" t="s">
        <v>97</v>
      </c>
      <c r="Z4" s="188"/>
    </row>
    <row r="5" spans="1:28" s="16" customFormat="1" ht="46.5" customHeight="1" x14ac:dyDescent="0.25">
      <c r="A5" s="71" t="s">
        <v>2</v>
      </c>
      <c r="B5" s="72" t="s">
        <v>3</v>
      </c>
      <c r="C5" s="73" t="s">
        <v>4</v>
      </c>
      <c r="D5" s="72" t="s">
        <v>5</v>
      </c>
      <c r="E5" s="157" t="s">
        <v>123</v>
      </c>
      <c r="F5" s="157" t="s">
        <v>117</v>
      </c>
      <c r="G5" s="75" t="s">
        <v>91</v>
      </c>
      <c r="H5" s="76" t="s">
        <v>92</v>
      </c>
      <c r="I5" s="116" t="s">
        <v>6</v>
      </c>
      <c r="J5" s="117" t="s">
        <v>92</v>
      </c>
      <c r="K5" s="116" t="s">
        <v>6</v>
      </c>
      <c r="L5" s="117" t="s">
        <v>92</v>
      </c>
      <c r="M5" s="116" t="s">
        <v>6</v>
      </c>
      <c r="N5" s="117" t="s">
        <v>92</v>
      </c>
      <c r="O5" s="116" t="s">
        <v>6</v>
      </c>
      <c r="P5" s="117" t="s">
        <v>92</v>
      </c>
      <c r="Q5" s="116" t="s">
        <v>6</v>
      </c>
      <c r="R5" s="117" t="s">
        <v>92</v>
      </c>
      <c r="S5" s="116" t="s">
        <v>6</v>
      </c>
      <c r="T5" s="117" t="s">
        <v>92</v>
      </c>
      <c r="U5" s="116" t="s">
        <v>6</v>
      </c>
      <c r="V5" s="118" t="s">
        <v>92</v>
      </c>
      <c r="W5" s="119" t="s">
        <v>6</v>
      </c>
      <c r="X5" s="120" t="s">
        <v>92</v>
      </c>
      <c r="Y5" s="119" t="s">
        <v>6</v>
      </c>
      <c r="Z5" s="120" t="s">
        <v>92</v>
      </c>
    </row>
    <row r="6" spans="1:28" s="36" customFormat="1" ht="15" customHeight="1" thickBot="1" x14ac:dyDescent="0.3">
      <c r="A6" s="124">
        <v>1</v>
      </c>
      <c r="B6" s="12">
        <v>2</v>
      </c>
      <c r="C6" s="52">
        <v>3</v>
      </c>
      <c r="D6" s="12">
        <v>3</v>
      </c>
      <c r="E6" s="125">
        <v>4</v>
      </c>
      <c r="F6" s="125">
        <v>4</v>
      </c>
      <c r="G6" s="125">
        <v>5</v>
      </c>
      <c r="H6" s="125">
        <v>6</v>
      </c>
      <c r="I6" s="121">
        <v>7</v>
      </c>
      <c r="J6" s="121">
        <v>8</v>
      </c>
      <c r="K6" s="121">
        <v>9</v>
      </c>
      <c r="L6" s="121">
        <v>10</v>
      </c>
      <c r="M6" s="121">
        <v>11</v>
      </c>
      <c r="N6" s="121">
        <v>12</v>
      </c>
      <c r="O6" s="121">
        <v>13</v>
      </c>
      <c r="P6" s="121">
        <v>14</v>
      </c>
      <c r="Q6" s="121">
        <v>15</v>
      </c>
      <c r="R6" s="121">
        <v>16</v>
      </c>
      <c r="S6" s="121">
        <v>17</v>
      </c>
      <c r="T6" s="121">
        <v>18</v>
      </c>
      <c r="U6" s="121">
        <v>19</v>
      </c>
      <c r="V6" s="122">
        <v>20</v>
      </c>
      <c r="W6" s="126">
        <v>21</v>
      </c>
      <c r="X6" s="123">
        <v>22</v>
      </c>
      <c r="Y6" s="126">
        <v>21</v>
      </c>
      <c r="Z6" s="123">
        <v>22</v>
      </c>
    </row>
    <row r="7" spans="1:28" s="16" customFormat="1" ht="15" hidden="1" customHeight="1" x14ac:dyDescent="0.25">
      <c r="A7" s="77" t="s">
        <v>7</v>
      </c>
      <c r="B7" s="19"/>
      <c r="C7" s="23"/>
      <c r="D7" s="23"/>
      <c r="E7" s="23"/>
      <c r="F7" s="23"/>
      <c r="G7" s="23"/>
      <c r="H7" s="23"/>
      <c r="I7" s="94"/>
      <c r="J7" s="23"/>
      <c r="K7" s="94"/>
      <c r="L7" s="23"/>
      <c r="M7" s="94"/>
      <c r="N7" s="23"/>
      <c r="O7" s="94"/>
      <c r="P7" s="23"/>
      <c r="Q7" s="94"/>
      <c r="R7" s="23"/>
      <c r="S7" s="94"/>
      <c r="T7" s="23"/>
      <c r="U7" s="94"/>
      <c r="V7" s="66"/>
      <c r="W7" s="106"/>
      <c r="X7" s="69"/>
      <c r="Y7" s="106"/>
      <c r="Z7" s="69"/>
    </row>
    <row r="8" spans="1:28" s="16" customFormat="1" ht="45" hidden="1" x14ac:dyDescent="0.25">
      <c r="A8" s="78" t="s">
        <v>8</v>
      </c>
      <c r="B8" s="9" t="s">
        <v>9</v>
      </c>
      <c r="C8" s="6" t="s">
        <v>10</v>
      </c>
      <c r="D8" s="11" t="s">
        <v>98</v>
      </c>
      <c r="E8" s="152">
        <f>(290.8113-8.9)*1.04</f>
        <v>293.18775200000005</v>
      </c>
      <c r="F8" s="25">
        <v>404.35199999999998</v>
      </c>
      <c r="G8" s="30">
        <f>H8/E8</f>
        <v>47257.240507100025</v>
      </c>
      <c r="H8" s="30">
        <v>13855244.109999999</v>
      </c>
      <c r="I8" s="142">
        <v>17.760999999999999</v>
      </c>
      <c r="J8" s="30">
        <f>G8*I8</f>
        <v>839335.84864660352</v>
      </c>
      <c r="K8" s="142">
        <v>34.200000000000003</v>
      </c>
      <c r="L8" s="30">
        <f>G8*K8</f>
        <v>1616197.625342821</v>
      </c>
      <c r="M8" s="95">
        <v>42.774999999999999</v>
      </c>
      <c r="N8" s="30">
        <f>G8*M8</f>
        <v>2021428.4626912035</v>
      </c>
      <c r="O8" s="95"/>
      <c r="P8" s="30">
        <f>G8*O8</f>
        <v>0</v>
      </c>
      <c r="Q8" s="95"/>
      <c r="R8" s="30">
        <f>G8*Q8</f>
        <v>0</v>
      </c>
      <c r="S8" s="95"/>
      <c r="T8" s="30">
        <f>G8*S8</f>
        <v>0</v>
      </c>
      <c r="U8" s="95"/>
      <c r="V8" s="53">
        <f>G8*U8</f>
        <v>0</v>
      </c>
      <c r="W8" s="107">
        <f>I8+K8+M8+O8+Q8+S8+U8</f>
        <v>94.73599999999999</v>
      </c>
      <c r="X8" s="59">
        <f>J8+L8+N8+P8+R8+T8+V8</f>
        <v>4476961.936680628</v>
      </c>
      <c r="Y8" s="107">
        <f>E8-W8</f>
        <v>198.45175200000006</v>
      </c>
      <c r="Z8" s="59">
        <f>H8-X8</f>
        <v>9378282.1733193714</v>
      </c>
      <c r="AA8" s="143">
        <f>W58</f>
        <v>0</v>
      </c>
      <c r="AB8" s="10">
        <f>W8+AA8</f>
        <v>94.73599999999999</v>
      </c>
    </row>
    <row r="9" spans="1:28" s="16" customFormat="1" ht="45" hidden="1" x14ac:dyDescent="0.25">
      <c r="A9" s="78" t="s">
        <v>11</v>
      </c>
      <c r="B9" s="9" t="s">
        <v>12</v>
      </c>
      <c r="C9" s="6" t="s">
        <v>13</v>
      </c>
      <c r="D9" s="6" t="s">
        <v>98</v>
      </c>
      <c r="E9" s="152">
        <f>8.9*1.04</f>
        <v>9.2560000000000002</v>
      </c>
      <c r="F9" s="25">
        <v>9.2560000000000002</v>
      </c>
      <c r="G9" s="30">
        <f>H9/E9</f>
        <v>18896.298617113225</v>
      </c>
      <c r="H9" s="30">
        <v>174904.14</v>
      </c>
      <c r="I9" s="95"/>
      <c r="J9" s="30">
        <f>G9*I9</f>
        <v>0</v>
      </c>
      <c r="K9" s="95"/>
      <c r="L9" s="30">
        <f>G9*K9</f>
        <v>0</v>
      </c>
      <c r="M9" s="95"/>
      <c r="N9" s="30">
        <f>G9*M9</f>
        <v>0</v>
      </c>
      <c r="O9" s="95"/>
      <c r="P9" s="30">
        <f>G9*O9</f>
        <v>0</v>
      </c>
      <c r="Q9" s="95"/>
      <c r="R9" s="30">
        <f>G9*Q9</f>
        <v>0</v>
      </c>
      <c r="S9" s="95"/>
      <c r="T9" s="30">
        <f>G9*S9</f>
        <v>0</v>
      </c>
      <c r="U9" s="95"/>
      <c r="V9" s="53">
        <f>G9*U9</f>
        <v>0</v>
      </c>
      <c r="W9" s="107">
        <f>I9+K9+M9+O9+Q9+S9+U9</f>
        <v>0</v>
      </c>
      <c r="X9" s="59">
        <f>J9+L9+N9+P9+R9+T9+V9</f>
        <v>0</v>
      </c>
      <c r="Y9" s="107">
        <f>E9-W9</f>
        <v>9.2560000000000002</v>
      </c>
      <c r="Z9" s="59">
        <f>H9-X9</f>
        <v>174904.14</v>
      </c>
    </row>
    <row r="10" spans="1:28" s="16" customFormat="1" ht="15" hidden="1" x14ac:dyDescent="0.25">
      <c r="A10" s="132" t="s">
        <v>14</v>
      </c>
      <c r="B10" s="133" t="s">
        <v>15</v>
      </c>
      <c r="C10" s="6" t="s">
        <v>16</v>
      </c>
      <c r="D10" s="6" t="s">
        <v>17</v>
      </c>
      <c r="E10" s="140">
        <f>(E8+E9)/1.04</f>
        <v>290.81130000000002</v>
      </c>
      <c r="F10" s="140">
        <v>413.608</v>
      </c>
      <c r="G10" s="30"/>
      <c r="H10" s="31"/>
      <c r="I10" s="129">
        <f>I8</f>
        <v>17.760999999999999</v>
      </c>
      <c r="J10" s="31"/>
      <c r="K10" s="129">
        <f>K8</f>
        <v>34.200000000000003</v>
      </c>
      <c r="L10" s="31"/>
      <c r="M10" s="129">
        <v>41.104999999999997</v>
      </c>
      <c r="N10" s="31"/>
      <c r="O10" s="129"/>
      <c r="P10" s="31"/>
      <c r="Q10" s="129"/>
      <c r="R10" s="31"/>
      <c r="S10" s="129"/>
      <c r="T10" s="31"/>
      <c r="U10" s="129"/>
      <c r="V10" s="67"/>
      <c r="W10" s="130">
        <f>I10+K10+M10+O10+Q10+S10+U10</f>
        <v>93.066000000000003</v>
      </c>
      <c r="X10" s="70"/>
      <c r="Y10" s="130">
        <f>E10-W10</f>
        <v>197.74530000000001</v>
      </c>
      <c r="Z10" s="70"/>
    </row>
    <row r="11" spans="1:28" s="16" customFormat="1" ht="15" hidden="1" customHeight="1" x14ac:dyDescent="0.25">
      <c r="A11" s="77" t="s">
        <v>18</v>
      </c>
      <c r="B11" s="19"/>
      <c r="C11" s="23"/>
      <c r="D11" s="23"/>
      <c r="E11" s="23"/>
      <c r="F11" s="23"/>
      <c r="G11" s="23"/>
      <c r="H11" s="23"/>
      <c r="I11" s="94"/>
      <c r="J11" s="23"/>
      <c r="K11" s="94"/>
      <c r="L11" s="23"/>
      <c r="M11" s="94"/>
      <c r="N11" s="23"/>
      <c r="O11" s="94"/>
      <c r="P11" s="23"/>
      <c r="Q11" s="94"/>
      <c r="R11" s="23"/>
      <c r="S11" s="94"/>
      <c r="T11" s="23"/>
      <c r="U11" s="94"/>
      <c r="V11" s="66"/>
      <c r="W11" s="106"/>
      <c r="X11" s="69"/>
      <c r="Y11" s="106"/>
      <c r="Z11" s="69"/>
    </row>
    <row r="12" spans="1:28" s="16" customFormat="1" ht="45" hidden="1" x14ac:dyDescent="0.25">
      <c r="A12" s="78" t="s">
        <v>19</v>
      </c>
      <c r="B12" s="9" t="s">
        <v>20</v>
      </c>
      <c r="C12" s="6" t="s">
        <v>21</v>
      </c>
      <c r="D12" s="6" t="s">
        <v>98</v>
      </c>
      <c r="E12" s="152">
        <f>675.107*1.04</f>
        <v>702.11127999999997</v>
      </c>
      <c r="F12" s="25">
        <v>676.62400000000002</v>
      </c>
      <c r="G12" s="30">
        <f>H12/E12</f>
        <v>54268.772537025761</v>
      </c>
      <c r="H12" s="30">
        <v>38102717.350000001</v>
      </c>
      <c r="I12" s="142">
        <v>35.142000000000003</v>
      </c>
      <c r="J12" s="30">
        <f>G12*I12</f>
        <v>1907113.2044961595</v>
      </c>
      <c r="K12" s="142">
        <v>43.41</v>
      </c>
      <c r="L12" s="30">
        <f>G12*K12</f>
        <v>2355807.4158322881</v>
      </c>
      <c r="M12" s="95">
        <v>46.82</v>
      </c>
      <c r="N12" s="30">
        <f>G12*M12</f>
        <v>2540863.9301835462</v>
      </c>
      <c r="O12" s="95"/>
      <c r="P12" s="30">
        <f>G12*O12</f>
        <v>0</v>
      </c>
      <c r="Q12" s="95"/>
      <c r="R12" s="30">
        <f>G12*Q12</f>
        <v>0</v>
      </c>
      <c r="S12" s="95"/>
      <c r="T12" s="30">
        <f>G12*S12</f>
        <v>0</v>
      </c>
      <c r="U12" s="95"/>
      <c r="V12" s="53">
        <f>G12*U12</f>
        <v>0</v>
      </c>
      <c r="W12" s="107">
        <f>I12+K12+M12+O12+Q12+S12+U12</f>
        <v>125.37199999999999</v>
      </c>
      <c r="X12" s="59">
        <f>J12+L12+N12+P12+R12+T12+V12</f>
        <v>6803784.5505119935</v>
      </c>
      <c r="Y12" s="107">
        <f>E12-W12</f>
        <v>576.73928000000001</v>
      </c>
      <c r="Z12" s="59">
        <f>H12-X12</f>
        <v>31298932.799488008</v>
      </c>
    </row>
    <row r="13" spans="1:28" s="16" customFormat="1" ht="15" hidden="1" x14ac:dyDescent="0.25">
      <c r="A13" s="132" t="s">
        <v>22</v>
      </c>
      <c r="B13" s="133" t="s">
        <v>15</v>
      </c>
      <c r="C13" s="6" t="s">
        <v>16</v>
      </c>
      <c r="D13" s="6" t="s">
        <v>17</v>
      </c>
      <c r="E13" s="140">
        <f>E12/1.04</f>
        <v>675.10699999999997</v>
      </c>
      <c r="F13" s="140">
        <v>676.62400000000002</v>
      </c>
      <c r="G13" s="30"/>
      <c r="H13" s="31"/>
      <c r="I13" s="129">
        <f>I12</f>
        <v>35.142000000000003</v>
      </c>
      <c r="J13" s="31"/>
      <c r="K13" s="129">
        <f>K12</f>
        <v>43.41</v>
      </c>
      <c r="L13" s="31"/>
      <c r="M13" s="129">
        <v>45.018999999999998</v>
      </c>
      <c r="N13" s="31"/>
      <c r="O13" s="129"/>
      <c r="P13" s="31"/>
      <c r="Q13" s="129"/>
      <c r="R13" s="31"/>
      <c r="S13" s="129"/>
      <c r="T13" s="31"/>
      <c r="U13" s="129"/>
      <c r="V13" s="67"/>
      <c r="W13" s="130">
        <f>I13+K13+M13+O13+Q13+S13+U13</f>
        <v>123.571</v>
      </c>
      <c r="X13" s="70"/>
      <c r="Y13" s="130">
        <f>E13-W13</f>
        <v>551.53599999999994</v>
      </c>
      <c r="Z13" s="70"/>
    </row>
    <row r="14" spans="1:28" s="16" customFormat="1" ht="15" hidden="1" customHeight="1" x14ac:dyDescent="0.25">
      <c r="A14" s="77" t="s">
        <v>23</v>
      </c>
      <c r="B14" s="19"/>
      <c r="C14" s="23"/>
      <c r="D14" s="23"/>
      <c r="E14" s="23"/>
      <c r="F14" s="23"/>
      <c r="G14" s="23"/>
      <c r="H14" s="23"/>
      <c r="I14" s="135"/>
      <c r="J14" s="136"/>
      <c r="K14" s="135"/>
      <c r="L14" s="23"/>
      <c r="M14" s="94"/>
      <c r="N14" s="23"/>
      <c r="O14" s="94"/>
      <c r="P14" s="23"/>
      <c r="Q14" s="94"/>
      <c r="R14" s="23"/>
      <c r="S14" s="94"/>
      <c r="T14" s="23"/>
      <c r="U14" s="94"/>
      <c r="V14" s="66"/>
      <c r="W14" s="106"/>
      <c r="X14" s="69"/>
      <c r="Y14" s="106"/>
      <c r="Z14" s="69"/>
    </row>
    <row r="15" spans="1:28" s="16" customFormat="1" ht="45" hidden="1" x14ac:dyDescent="0.25">
      <c r="A15" s="78" t="s">
        <v>24</v>
      </c>
      <c r="B15" s="13" t="s">
        <v>20</v>
      </c>
      <c r="C15" s="6" t="s">
        <v>21</v>
      </c>
      <c r="D15" s="6" t="s">
        <v>98</v>
      </c>
      <c r="E15" s="152">
        <f>(266.1833+53.1348)*1.04</f>
        <v>332.09082399999994</v>
      </c>
      <c r="F15" s="25">
        <v>295.15199999999999</v>
      </c>
      <c r="G15" s="30">
        <f>H15/E15</f>
        <v>50049.230598434129</v>
      </c>
      <c r="H15" s="30">
        <v>16620890.23</v>
      </c>
      <c r="I15" s="142">
        <v>29.047000000000001</v>
      </c>
      <c r="J15" s="30">
        <f>G15*I15</f>
        <v>1453780.0011927162</v>
      </c>
      <c r="K15" s="142">
        <v>35.08</v>
      </c>
      <c r="L15" s="30">
        <f>G15*K15</f>
        <v>1755727.0093930692</v>
      </c>
      <c r="M15" s="95">
        <v>22.535</v>
      </c>
      <c r="N15" s="30">
        <f>G15*M15</f>
        <v>1127859.4115357131</v>
      </c>
      <c r="O15" s="95"/>
      <c r="P15" s="30">
        <f>G15*O15</f>
        <v>0</v>
      </c>
      <c r="Q15" s="95"/>
      <c r="R15" s="30">
        <f>G15*Q15</f>
        <v>0</v>
      </c>
      <c r="S15" s="95"/>
      <c r="T15" s="30">
        <f>G15*S15</f>
        <v>0</v>
      </c>
      <c r="U15" s="95"/>
      <c r="V15" s="53">
        <f>G15*U15</f>
        <v>0</v>
      </c>
      <c r="W15" s="107">
        <f>I15+K15+M15+O15+Q15+S15+U15</f>
        <v>86.661999999999992</v>
      </c>
      <c r="X15" s="59">
        <f>J15+L15+N15+P15+R15+T15+V15</f>
        <v>4337366.4221214987</v>
      </c>
      <c r="Y15" s="107">
        <f>E15-W15</f>
        <v>245.42882399999996</v>
      </c>
      <c r="Z15" s="59">
        <f>H15-X15</f>
        <v>12283523.807878502</v>
      </c>
    </row>
    <row r="16" spans="1:28" s="16" customFormat="1" ht="15" hidden="1" x14ac:dyDescent="0.25">
      <c r="A16" s="132" t="s">
        <v>25</v>
      </c>
      <c r="B16" s="133" t="s">
        <v>15</v>
      </c>
      <c r="C16" s="6" t="s">
        <v>16</v>
      </c>
      <c r="D16" s="6" t="s">
        <v>17</v>
      </c>
      <c r="E16" s="140">
        <f>E15/1.04</f>
        <v>319.31809999999996</v>
      </c>
      <c r="F16" s="140">
        <v>295.15199999999999</v>
      </c>
      <c r="G16" s="30"/>
      <c r="H16" s="31"/>
      <c r="I16" s="129">
        <f>I15</f>
        <v>29.047000000000001</v>
      </c>
      <c r="J16" s="31"/>
      <c r="K16" s="129">
        <f>K15</f>
        <v>35.08</v>
      </c>
      <c r="L16" s="31"/>
      <c r="M16" s="129">
        <v>21.667999999999999</v>
      </c>
      <c r="N16" s="31"/>
      <c r="O16" s="129"/>
      <c r="P16" s="31"/>
      <c r="Q16" s="129"/>
      <c r="R16" s="31"/>
      <c r="S16" s="129"/>
      <c r="T16" s="31"/>
      <c r="U16" s="129"/>
      <c r="V16" s="67"/>
      <c r="W16" s="130">
        <f>I16+K16+M16+O16+Q16+S16+U16</f>
        <v>85.794999999999987</v>
      </c>
      <c r="X16" s="70"/>
      <c r="Y16" s="130">
        <f>E16-W16</f>
        <v>233.52309999999997</v>
      </c>
      <c r="Z16" s="70"/>
    </row>
    <row r="17" spans="1:27" s="16" customFormat="1" ht="15" hidden="1" customHeight="1" x14ac:dyDescent="0.25">
      <c r="A17" s="77" t="s">
        <v>26</v>
      </c>
      <c r="B17" s="19"/>
      <c r="C17" s="23"/>
      <c r="D17" s="23"/>
      <c r="E17" s="23"/>
      <c r="F17" s="23"/>
      <c r="G17" s="23"/>
      <c r="H17" s="23"/>
      <c r="I17" s="137"/>
      <c r="J17" s="138"/>
      <c r="K17" s="137"/>
      <c r="L17" s="23"/>
      <c r="M17" s="94"/>
      <c r="N17" s="23"/>
      <c r="O17" s="94"/>
      <c r="P17" s="23"/>
      <c r="Q17" s="94"/>
      <c r="R17" s="23"/>
      <c r="S17" s="94"/>
      <c r="T17" s="23"/>
      <c r="U17" s="94"/>
      <c r="V17" s="66"/>
      <c r="W17" s="106"/>
      <c r="X17" s="69"/>
      <c r="Y17" s="106"/>
      <c r="Z17" s="69"/>
    </row>
    <row r="18" spans="1:27" s="16" customFormat="1" ht="45" hidden="1" x14ac:dyDescent="0.25">
      <c r="A18" s="78" t="s">
        <v>27</v>
      </c>
      <c r="B18" s="9" t="s">
        <v>28</v>
      </c>
      <c r="C18" s="6" t="s">
        <v>29</v>
      </c>
      <c r="D18" s="6" t="s">
        <v>98</v>
      </c>
      <c r="E18" s="152">
        <f>218.278*1.04</f>
        <v>227.00912</v>
      </c>
      <c r="F18" s="25">
        <v>284.85599999999999</v>
      </c>
      <c r="G18" s="30">
        <f>H18/E18</f>
        <v>169729.47800511273</v>
      </c>
      <c r="H18" s="30">
        <v>38530139.439999998</v>
      </c>
      <c r="I18" s="95"/>
      <c r="J18" s="30">
        <f>G18*I18</f>
        <v>0</v>
      </c>
      <c r="K18" s="142">
        <v>14.2</v>
      </c>
      <c r="L18" s="30">
        <f>G18*K18</f>
        <v>2410158.5876726005</v>
      </c>
      <c r="M18" s="95">
        <v>33.948999999999998</v>
      </c>
      <c r="N18" s="30">
        <f>G18*M18</f>
        <v>5762146.0487955716</v>
      </c>
      <c r="O18" s="95"/>
      <c r="P18" s="30">
        <f>G18*O18</f>
        <v>0</v>
      </c>
      <c r="Q18" s="95"/>
      <c r="R18" s="30">
        <f>G18*Q18</f>
        <v>0</v>
      </c>
      <c r="S18" s="95"/>
      <c r="T18" s="30">
        <f>G18*S18</f>
        <v>0</v>
      </c>
      <c r="U18" s="95"/>
      <c r="V18" s="53">
        <f>G18*U18</f>
        <v>0</v>
      </c>
      <c r="W18" s="107">
        <f>I18+K18+M18+O18+Q18+S18+U18</f>
        <v>48.149000000000001</v>
      </c>
      <c r="X18" s="59">
        <f>J18+L18+N18+P18+R18+T18+V18</f>
        <v>8172304.6364681721</v>
      </c>
      <c r="Y18" s="107">
        <f>E18-W18</f>
        <v>178.86011999999999</v>
      </c>
      <c r="Z18" s="59">
        <f>H18-X18</f>
        <v>30357834.803531826</v>
      </c>
    </row>
    <row r="19" spans="1:27" s="16" customFormat="1" ht="15" hidden="1" x14ac:dyDescent="0.25">
      <c r="A19" s="132" t="s">
        <v>30</v>
      </c>
      <c r="B19" s="134" t="s">
        <v>15</v>
      </c>
      <c r="C19" s="6" t="s">
        <v>16</v>
      </c>
      <c r="D19" s="6" t="s">
        <v>17</v>
      </c>
      <c r="E19" s="140">
        <f>E18/1.04</f>
        <v>218.27799999999999</v>
      </c>
      <c r="F19" s="140">
        <v>284.85599999999999</v>
      </c>
      <c r="G19" s="30"/>
      <c r="H19" s="31"/>
      <c r="I19" s="129"/>
      <c r="J19" s="31"/>
      <c r="K19" s="129">
        <f>K18</f>
        <v>14.2</v>
      </c>
      <c r="L19" s="31"/>
      <c r="M19" s="129">
        <v>32.643000000000001</v>
      </c>
      <c r="N19" s="31"/>
      <c r="O19" s="129"/>
      <c r="P19" s="31"/>
      <c r="Q19" s="129"/>
      <c r="R19" s="31"/>
      <c r="S19" s="129"/>
      <c r="T19" s="31"/>
      <c r="U19" s="129"/>
      <c r="V19" s="67"/>
      <c r="W19" s="130">
        <f>I19+K19+M19+O19+Q19+S19+U19</f>
        <v>46.843000000000004</v>
      </c>
      <c r="X19" s="70"/>
      <c r="Y19" s="130">
        <f>E19-W19</f>
        <v>171.435</v>
      </c>
      <c r="Z19" s="70"/>
    </row>
    <row r="20" spans="1:27" s="16" customFormat="1" ht="15" hidden="1" customHeight="1" x14ac:dyDescent="0.25">
      <c r="A20" s="77" t="s">
        <v>31</v>
      </c>
      <c r="B20" s="19"/>
      <c r="C20" s="23"/>
      <c r="D20" s="23"/>
      <c r="E20" s="23"/>
      <c r="F20" s="23"/>
      <c r="G20" s="23"/>
      <c r="H20" s="23"/>
      <c r="I20" s="94"/>
      <c r="J20" s="23"/>
      <c r="K20" s="94"/>
      <c r="L20" s="23"/>
      <c r="M20" s="94"/>
      <c r="N20" s="23"/>
      <c r="O20" s="94"/>
      <c r="P20" s="23"/>
      <c r="Q20" s="94"/>
      <c r="R20" s="23"/>
      <c r="S20" s="94"/>
      <c r="T20" s="23"/>
      <c r="U20" s="94"/>
      <c r="V20" s="66"/>
      <c r="W20" s="106"/>
      <c r="X20" s="69"/>
      <c r="Y20" s="106"/>
      <c r="Z20" s="69"/>
    </row>
    <row r="21" spans="1:27" s="16" customFormat="1" ht="15" hidden="1" x14ac:dyDescent="0.25">
      <c r="A21" s="78" t="s">
        <v>32</v>
      </c>
      <c r="B21" s="9" t="s">
        <v>33</v>
      </c>
      <c r="C21" s="6" t="s">
        <v>34</v>
      </c>
      <c r="D21" s="6" t="s">
        <v>98</v>
      </c>
      <c r="E21" s="152">
        <f>56.3763*1.04</f>
        <v>58.631352</v>
      </c>
      <c r="F21" s="25">
        <v>103.27200000000001</v>
      </c>
      <c r="G21" s="30">
        <f>H21/E21</f>
        <v>139469.14715526259</v>
      </c>
      <c r="H21" s="30">
        <v>8177264.6600000001</v>
      </c>
      <c r="I21" s="95"/>
      <c r="J21" s="30">
        <f>G21*I21</f>
        <v>0</v>
      </c>
      <c r="K21" s="139"/>
      <c r="L21" s="30">
        <f>G21*K21</f>
        <v>0</v>
      </c>
      <c r="M21" s="95"/>
      <c r="N21" s="30">
        <f>G21*M21</f>
        <v>0</v>
      </c>
      <c r="O21" s="95"/>
      <c r="P21" s="30">
        <f>G21*O21</f>
        <v>0</v>
      </c>
      <c r="Q21" s="95"/>
      <c r="R21" s="30">
        <f>G21*Q21</f>
        <v>0</v>
      </c>
      <c r="S21" s="95"/>
      <c r="T21" s="30">
        <f>G21*S21</f>
        <v>0</v>
      </c>
      <c r="U21" s="95"/>
      <c r="V21" s="53">
        <f>G21*U21</f>
        <v>0</v>
      </c>
      <c r="W21" s="107">
        <f>I21+K21+M21+O21+Q21+S21+U21</f>
        <v>0</v>
      </c>
      <c r="X21" s="59">
        <f>J21+L21+N21+P21+R21+T21+V21</f>
        <v>0</v>
      </c>
      <c r="Y21" s="107">
        <f>E21-W21</f>
        <v>58.631352</v>
      </c>
      <c r="Z21" s="59">
        <f>H21-X21</f>
        <v>8177264.6600000001</v>
      </c>
    </row>
    <row r="22" spans="1:27" s="16" customFormat="1" ht="22.5" hidden="1" x14ac:dyDescent="0.25">
      <c r="A22" s="78" t="s">
        <v>35</v>
      </c>
      <c r="B22" s="9" t="s">
        <v>36</v>
      </c>
      <c r="C22" s="6" t="s">
        <v>37</v>
      </c>
      <c r="D22" s="6" t="s">
        <v>17</v>
      </c>
      <c r="E22" s="26">
        <v>1.0327200000000001</v>
      </c>
      <c r="F22" s="26">
        <v>1.0327200000000001</v>
      </c>
      <c r="G22" s="30"/>
      <c r="H22" s="31"/>
      <c r="I22" s="96"/>
      <c r="J22" s="31"/>
      <c r="K22" s="96"/>
      <c r="L22" s="31"/>
      <c r="M22" s="96"/>
      <c r="N22" s="31"/>
      <c r="O22" s="96"/>
      <c r="P22" s="31"/>
      <c r="Q22" s="96"/>
      <c r="R22" s="31"/>
      <c r="S22" s="96"/>
      <c r="T22" s="31"/>
      <c r="U22" s="96"/>
      <c r="V22" s="67"/>
      <c r="W22" s="108"/>
      <c r="X22" s="70"/>
      <c r="Y22" s="108"/>
      <c r="Z22" s="70"/>
    </row>
    <row r="23" spans="1:27" s="16" customFormat="1" ht="15" hidden="1" x14ac:dyDescent="0.25">
      <c r="A23" s="132" t="s">
        <v>38</v>
      </c>
      <c r="B23" s="134" t="s">
        <v>15</v>
      </c>
      <c r="C23" s="6" t="s">
        <v>16</v>
      </c>
      <c r="D23" s="6" t="s">
        <v>17</v>
      </c>
      <c r="E23" s="140">
        <f>E21/1.04</f>
        <v>56.376300000000001</v>
      </c>
      <c r="F23" s="140">
        <v>103.27200000000001</v>
      </c>
      <c r="G23" s="30"/>
      <c r="H23" s="31"/>
      <c r="I23" s="129"/>
      <c r="J23" s="31"/>
      <c r="K23" s="129"/>
      <c r="L23" s="31"/>
      <c r="M23" s="129"/>
      <c r="N23" s="31"/>
      <c r="O23" s="129"/>
      <c r="P23" s="31"/>
      <c r="Q23" s="129"/>
      <c r="R23" s="31"/>
      <c r="S23" s="129"/>
      <c r="T23" s="31"/>
      <c r="U23" s="129"/>
      <c r="V23" s="67"/>
      <c r="W23" s="130">
        <f>I23+K23+M23+O23+Q23+S23+U23</f>
        <v>0</v>
      </c>
      <c r="X23" s="70"/>
      <c r="Y23" s="130">
        <f>E23-W23</f>
        <v>56.376300000000001</v>
      </c>
      <c r="Z23" s="70"/>
    </row>
    <row r="24" spans="1:27" s="16" customFormat="1" ht="15" hidden="1" customHeight="1" x14ac:dyDescent="0.25">
      <c r="A24" s="77" t="s">
        <v>39</v>
      </c>
      <c r="B24" s="19"/>
      <c r="C24" s="23"/>
      <c r="D24" s="23"/>
      <c r="E24" s="23"/>
      <c r="F24" s="23"/>
      <c r="G24" s="23"/>
      <c r="H24" s="23"/>
      <c r="I24" s="94"/>
      <c r="J24" s="23"/>
      <c r="K24" s="94"/>
      <c r="L24" s="23"/>
      <c r="M24" s="94"/>
      <c r="N24" s="23"/>
      <c r="O24" s="94"/>
      <c r="P24" s="23"/>
      <c r="Q24" s="94"/>
      <c r="R24" s="23"/>
      <c r="S24" s="94"/>
      <c r="T24" s="23"/>
      <c r="U24" s="94"/>
      <c r="V24" s="66"/>
      <c r="W24" s="106"/>
      <c r="X24" s="69"/>
      <c r="Y24" s="106"/>
      <c r="Z24" s="69"/>
    </row>
    <row r="25" spans="1:27" s="16" customFormat="1" ht="15" hidden="1" customHeight="1" x14ac:dyDescent="0.25">
      <c r="A25" s="79" t="s">
        <v>40</v>
      </c>
      <c r="B25" s="14"/>
      <c r="C25" s="5"/>
      <c r="D25" s="5"/>
      <c r="E25" s="7"/>
      <c r="F25" s="7"/>
      <c r="G25" s="7"/>
      <c r="H25" s="7"/>
      <c r="I25" s="94"/>
      <c r="J25" s="7"/>
      <c r="K25" s="94"/>
      <c r="L25" s="7"/>
      <c r="M25" s="94"/>
      <c r="N25" s="7"/>
      <c r="O25" s="94"/>
      <c r="P25" s="7"/>
      <c r="Q25" s="94"/>
      <c r="R25" s="7"/>
      <c r="S25" s="94"/>
      <c r="T25" s="7"/>
      <c r="U25" s="94"/>
      <c r="V25" s="8"/>
      <c r="W25" s="106"/>
      <c r="X25" s="68"/>
      <c r="Y25" s="106"/>
      <c r="Z25" s="68"/>
      <c r="AA25" s="1"/>
    </row>
    <row r="26" spans="1:27" s="16" customFormat="1" ht="33.75" hidden="1" x14ac:dyDescent="0.25">
      <c r="A26" s="78" t="s">
        <v>41</v>
      </c>
      <c r="B26" s="9" t="s">
        <v>42</v>
      </c>
      <c r="C26" s="6" t="s">
        <v>43</v>
      </c>
      <c r="D26" s="6" t="s">
        <v>98</v>
      </c>
      <c r="E26" s="152">
        <f>43.76*1.04</f>
        <v>45.510399999999997</v>
      </c>
      <c r="F26" s="25">
        <v>66.872</v>
      </c>
      <c r="G26" s="30">
        <f>H26/E26</f>
        <v>130503.01755203208</v>
      </c>
      <c r="H26" s="30">
        <v>5939244.5300000003</v>
      </c>
      <c r="I26" s="95"/>
      <c r="J26" s="30">
        <f>G26*I26</f>
        <v>0</v>
      </c>
      <c r="K26" s="95"/>
      <c r="L26" s="30">
        <f>G26*K26</f>
        <v>0</v>
      </c>
      <c r="M26" s="95"/>
      <c r="N26" s="30">
        <f>G26*M26</f>
        <v>0</v>
      </c>
      <c r="O26" s="95"/>
      <c r="P26" s="30">
        <f>G26*O26</f>
        <v>0</v>
      </c>
      <c r="Q26" s="95"/>
      <c r="R26" s="30">
        <f>G26*Q26</f>
        <v>0</v>
      </c>
      <c r="S26" s="95"/>
      <c r="T26" s="30">
        <f>G26*S26</f>
        <v>0</v>
      </c>
      <c r="U26" s="95"/>
      <c r="V26" s="53">
        <f>G26*U26</f>
        <v>0</v>
      </c>
      <c r="W26" s="107">
        <f>I26+K26+M26+O26+Q26+S26+U26</f>
        <v>0</v>
      </c>
      <c r="X26" s="59">
        <f>J26+L26+N26+P26+R26+T26+V26</f>
        <v>0</v>
      </c>
      <c r="Y26" s="107">
        <f>E26-W26</f>
        <v>45.510399999999997</v>
      </c>
      <c r="Z26" s="59">
        <f>H26-X26</f>
        <v>5939244.5300000003</v>
      </c>
    </row>
    <row r="27" spans="1:27" s="16" customFormat="1" ht="15" hidden="1" x14ac:dyDescent="0.25">
      <c r="A27" s="132" t="s">
        <v>44</v>
      </c>
      <c r="B27" s="133" t="s">
        <v>15</v>
      </c>
      <c r="C27" s="6" t="s">
        <v>16</v>
      </c>
      <c r="D27" s="6" t="s">
        <v>17</v>
      </c>
      <c r="E27" s="140">
        <f>E26/1.04</f>
        <v>43.76</v>
      </c>
      <c r="F27" s="140">
        <v>66.872</v>
      </c>
      <c r="G27" s="30"/>
      <c r="H27" s="31"/>
      <c r="I27" s="129"/>
      <c r="J27" s="31"/>
      <c r="K27" s="129"/>
      <c r="L27" s="31"/>
      <c r="M27" s="129"/>
      <c r="N27" s="31"/>
      <c r="O27" s="129"/>
      <c r="P27" s="31"/>
      <c r="Q27" s="129"/>
      <c r="R27" s="31"/>
      <c r="S27" s="129"/>
      <c r="T27" s="31"/>
      <c r="U27" s="129"/>
      <c r="V27" s="67"/>
      <c r="W27" s="130">
        <f>I27+K27+M27+O27+Q27+S27+U27</f>
        <v>0</v>
      </c>
      <c r="X27" s="70"/>
      <c r="Y27" s="130">
        <f>E27-W27</f>
        <v>43.76</v>
      </c>
      <c r="Z27" s="70"/>
    </row>
    <row r="28" spans="1:27" s="16" customFormat="1" ht="15" hidden="1" customHeight="1" x14ac:dyDescent="0.25">
      <c r="A28" s="77" t="s">
        <v>45</v>
      </c>
      <c r="B28" s="19"/>
      <c r="C28" s="23"/>
      <c r="D28" s="23"/>
      <c r="E28" s="23"/>
      <c r="F28" s="23"/>
      <c r="G28" s="23"/>
      <c r="H28" s="23"/>
      <c r="I28" s="94"/>
      <c r="J28" s="23"/>
      <c r="K28" s="94"/>
      <c r="L28" s="23"/>
      <c r="M28" s="94"/>
      <c r="N28" s="23"/>
      <c r="O28" s="94"/>
      <c r="P28" s="23"/>
      <c r="Q28" s="94"/>
      <c r="R28" s="23"/>
      <c r="S28" s="94"/>
      <c r="T28" s="23"/>
      <c r="U28" s="94"/>
      <c r="V28" s="66"/>
      <c r="W28" s="106"/>
      <c r="X28" s="69"/>
      <c r="Y28" s="106"/>
      <c r="Z28" s="69"/>
    </row>
    <row r="29" spans="1:27" s="16" customFormat="1" ht="33.75" hidden="1" x14ac:dyDescent="0.25">
      <c r="A29" s="78" t="s">
        <v>46</v>
      </c>
      <c r="B29" s="9" t="s">
        <v>47</v>
      </c>
      <c r="C29" s="6" t="s">
        <v>48</v>
      </c>
      <c r="D29" s="6" t="s">
        <v>98</v>
      </c>
      <c r="E29" s="152">
        <f>182.9518*1.04</f>
        <v>190.26987199999999</v>
      </c>
      <c r="F29" s="25">
        <v>233.27199999999999</v>
      </c>
      <c r="G29" s="30">
        <f>H29/E29</f>
        <v>119616.06811823577</v>
      </c>
      <c r="H29" s="30">
        <v>22759333.969999999</v>
      </c>
      <c r="I29" s="95"/>
      <c r="J29" s="30">
        <f>G29*I29</f>
        <v>0</v>
      </c>
      <c r="K29" s="95"/>
      <c r="L29" s="30">
        <f>G29*K29</f>
        <v>0</v>
      </c>
      <c r="M29" s="95"/>
      <c r="N29" s="30">
        <f>G29*M29</f>
        <v>0</v>
      </c>
      <c r="O29" s="95"/>
      <c r="P29" s="30">
        <f>G29*O29</f>
        <v>0</v>
      </c>
      <c r="Q29" s="95"/>
      <c r="R29" s="30">
        <f>G29*Q29</f>
        <v>0</v>
      </c>
      <c r="S29" s="95"/>
      <c r="T29" s="30">
        <f>G29*S29</f>
        <v>0</v>
      </c>
      <c r="U29" s="95"/>
      <c r="V29" s="53">
        <f>G29*U29</f>
        <v>0</v>
      </c>
      <c r="W29" s="107">
        <f>I29+K29+M29+O29+Q29+S29+U29</f>
        <v>0</v>
      </c>
      <c r="X29" s="59">
        <f>J29+L29+N29+P29+R29+T29+V29</f>
        <v>0</v>
      </c>
      <c r="Y29" s="107">
        <f>E29-W29</f>
        <v>190.26987199999999</v>
      </c>
      <c r="Z29" s="59">
        <f>H29-X29</f>
        <v>22759333.969999999</v>
      </c>
    </row>
    <row r="30" spans="1:27" s="16" customFormat="1" ht="15" hidden="1" x14ac:dyDescent="0.25">
      <c r="A30" s="132" t="s">
        <v>49</v>
      </c>
      <c r="B30" s="133" t="s">
        <v>15</v>
      </c>
      <c r="C30" s="6" t="s">
        <v>16</v>
      </c>
      <c r="D30" s="6" t="s">
        <v>17</v>
      </c>
      <c r="E30" s="140">
        <f>E29/1.04</f>
        <v>182.95179999999999</v>
      </c>
      <c r="F30" s="140">
        <v>233.27199999999999</v>
      </c>
      <c r="G30" s="30"/>
      <c r="H30" s="31"/>
      <c r="I30" s="129"/>
      <c r="J30" s="31"/>
      <c r="K30" s="129"/>
      <c r="L30" s="31"/>
      <c r="M30" s="129"/>
      <c r="N30" s="31"/>
      <c r="O30" s="129"/>
      <c r="P30" s="31"/>
      <c r="Q30" s="129"/>
      <c r="R30" s="31"/>
      <c r="S30" s="129"/>
      <c r="T30" s="31"/>
      <c r="U30" s="129"/>
      <c r="V30" s="67"/>
      <c r="W30" s="130">
        <f>I30+K30+M30+O30+Q30+S30+U30</f>
        <v>0</v>
      </c>
      <c r="X30" s="70"/>
      <c r="Y30" s="130">
        <f>E30-W30</f>
        <v>182.95179999999999</v>
      </c>
      <c r="Z30" s="70"/>
    </row>
    <row r="31" spans="1:27" s="16" customFormat="1" ht="33.75" hidden="1" x14ac:dyDescent="0.25">
      <c r="A31" s="78" t="s">
        <v>50</v>
      </c>
      <c r="B31" s="9" t="s">
        <v>51</v>
      </c>
      <c r="C31" s="6" t="s">
        <v>52</v>
      </c>
      <c r="D31" s="6" t="s">
        <v>53</v>
      </c>
      <c r="E31" s="27">
        <v>52.7</v>
      </c>
      <c r="F31" s="27">
        <v>52.7</v>
      </c>
      <c r="G31" s="30">
        <f t="shared" ref="G31:G36" si="0">H31/E31</f>
        <v>81882.556166982919</v>
      </c>
      <c r="H31" s="30">
        <v>4315210.71</v>
      </c>
      <c r="I31" s="97"/>
      <c r="J31" s="30">
        <f>G31*I31</f>
        <v>0</v>
      </c>
      <c r="K31" s="97"/>
      <c r="L31" s="30">
        <f>G31*K31</f>
        <v>0</v>
      </c>
      <c r="M31" s="97"/>
      <c r="N31" s="30">
        <f>G31*M31</f>
        <v>0</v>
      </c>
      <c r="O31" s="97"/>
      <c r="P31" s="30">
        <f>G31*O31</f>
        <v>0</v>
      </c>
      <c r="Q31" s="97"/>
      <c r="R31" s="30">
        <f>G31*Q31</f>
        <v>0</v>
      </c>
      <c r="S31" s="97"/>
      <c r="T31" s="30">
        <f>G31*S31</f>
        <v>0</v>
      </c>
      <c r="U31" s="97"/>
      <c r="V31" s="53">
        <f>G31*U31</f>
        <v>0</v>
      </c>
      <c r="W31" s="107">
        <f>I31+K31+M31+O31+Q31+S31+U31</f>
        <v>0</v>
      </c>
      <c r="X31" s="59">
        <f>J31+L31+N31+P31+R31+T31+V31</f>
        <v>0</v>
      </c>
      <c r="Y31" s="107">
        <f>E31-W31</f>
        <v>52.7</v>
      </c>
      <c r="Z31" s="59">
        <f>H31-X31</f>
        <v>4315210.71</v>
      </c>
    </row>
    <row r="32" spans="1:27" s="16" customFormat="1" ht="15" hidden="1" x14ac:dyDescent="0.25">
      <c r="A32" s="78" t="s">
        <v>54</v>
      </c>
      <c r="B32" s="9" t="s">
        <v>55</v>
      </c>
      <c r="C32" s="6" t="s">
        <v>16</v>
      </c>
      <c r="D32" s="6" t="s">
        <v>17</v>
      </c>
      <c r="E32" s="27">
        <v>56.7</v>
      </c>
      <c r="F32" s="27">
        <v>56.7</v>
      </c>
      <c r="G32" s="30"/>
      <c r="H32" s="31"/>
      <c r="I32" s="97"/>
      <c r="J32" s="31"/>
      <c r="K32" s="97"/>
      <c r="L32" s="31"/>
      <c r="M32" s="97"/>
      <c r="N32" s="31"/>
      <c r="O32" s="97"/>
      <c r="P32" s="31"/>
      <c r="Q32" s="97"/>
      <c r="R32" s="31"/>
      <c r="S32" s="97"/>
      <c r="T32" s="31"/>
      <c r="U32" s="97"/>
      <c r="V32" s="67"/>
      <c r="W32" s="109"/>
      <c r="X32" s="70"/>
      <c r="Y32" s="109"/>
      <c r="Z32" s="70"/>
    </row>
    <row r="33" spans="1:36" s="16" customFormat="1" ht="33.75" hidden="1" x14ac:dyDescent="0.25">
      <c r="A33" s="78" t="s">
        <v>56</v>
      </c>
      <c r="B33" s="13" t="s">
        <v>57</v>
      </c>
      <c r="C33" s="6" t="s">
        <v>58</v>
      </c>
      <c r="D33" s="6" t="s">
        <v>17</v>
      </c>
      <c r="E33" s="28">
        <v>1.8972</v>
      </c>
      <c r="F33" s="28">
        <v>1.8972</v>
      </c>
      <c r="G33" s="30">
        <f t="shared" si="0"/>
        <v>211120.20872865262</v>
      </c>
      <c r="H33" s="30">
        <v>400537.25999999978</v>
      </c>
      <c r="I33" s="98"/>
      <c r="J33" s="30">
        <f>G33*I33</f>
        <v>0</v>
      </c>
      <c r="K33" s="98"/>
      <c r="L33" s="30">
        <f>G33*K33</f>
        <v>0</v>
      </c>
      <c r="M33" s="98"/>
      <c r="N33" s="30">
        <f t="shared" ref="N33:N36" si="1">G33*M33</f>
        <v>0</v>
      </c>
      <c r="O33" s="98"/>
      <c r="P33" s="30">
        <f t="shared" ref="P33:P36" si="2">G33*O33</f>
        <v>0</v>
      </c>
      <c r="Q33" s="98"/>
      <c r="R33" s="30">
        <f t="shared" ref="R33:R36" si="3">G33*Q33</f>
        <v>0</v>
      </c>
      <c r="S33" s="98"/>
      <c r="T33" s="30">
        <f t="shared" ref="T33:T36" si="4">G33*S33</f>
        <v>0</v>
      </c>
      <c r="U33" s="98"/>
      <c r="V33" s="53">
        <f t="shared" ref="V33:V36" si="5">G33*U33</f>
        <v>0</v>
      </c>
      <c r="W33" s="107">
        <f t="shared" ref="W33:X36" si="6">I33+K33+M33+O33+Q33+S33+U33</f>
        <v>0</v>
      </c>
      <c r="X33" s="59">
        <f t="shared" si="6"/>
        <v>0</v>
      </c>
      <c r="Y33" s="107">
        <f t="shared" ref="Y33:Y36" si="7">E33-W33</f>
        <v>1.8972</v>
      </c>
      <c r="Z33" s="59">
        <f t="shared" ref="Z33:Z36" si="8">H33-X33</f>
        <v>400537.25999999978</v>
      </c>
    </row>
    <row r="34" spans="1:36" s="16" customFormat="1" ht="45" hidden="1" x14ac:dyDescent="0.25">
      <c r="A34" s="78" t="s">
        <v>59</v>
      </c>
      <c r="B34" s="9" t="s">
        <v>60</v>
      </c>
      <c r="C34" s="6" t="s">
        <v>61</v>
      </c>
      <c r="D34" s="6" t="s">
        <v>62</v>
      </c>
      <c r="E34" s="28">
        <v>65.675700000000006</v>
      </c>
      <c r="F34" s="28">
        <v>65.675700000000006</v>
      </c>
      <c r="G34" s="30">
        <f t="shared" si="0"/>
        <v>275475.7047127019</v>
      </c>
      <c r="H34" s="30">
        <v>18092059.739999998</v>
      </c>
      <c r="I34" s="98"/>
      <c r="J34" s="30">
        <f>G34*I34</f>
        <v>0</v>
      </c>
      <c r="K34" s="98"/>
      <c r="L34" s="30">
        <f>G34*K34</f>
        <v>0</v>
      </c>
      <c r="M34" s="98"/>
      <c r="N34" s="30">
        <f t="shared" si="1"/>
        <v>0</v>
      </c>
      <c r="O34" s="98"/>
      <c r="P34" s="30">
        <f t="shared" si="2"/>
        <v>0</v>
      </c>
      <c r="Q34" s="98"/>
      <c r="R34" s="30">
        <f t="shared" si="3"/>
        <v>0</v>
      </c>
      <c r="S34" s="98"/>
      <c r="T34" s="30">
        <f t="shared" si="4"/>
        <v>0</v>
      </c>
      <c r="U34" s="98"/>
      <c r="V34" s="53">
        <f t="shared" si="5"/>
        <v>0</v>
      </c>
      <c r="W34" s="107">
        <f t="shared" si="6"/>
        <v>0</v>
      </c>
      <c r="X34" s="59">
        <f t="shared" si="6"/>
        <v>0</v>
      </c>
      <c r="Y34" s="107">
        <f t="shared" si="7"/>
        <v>65.675700000000006</v>
      </c>
      <c r="Z34" s="59">
        <f t="shared" si="8"/>
        <v>18092059.739999998</v>
      </c>
    </row>
    <row r="35" spans="1:36" s="16" customFormat="1" ht="22.5" hidden="1" x14ac:dyDescent="0.25">
      <c r="A35" s="78" t="s">
        <v>63</v>
      </c>
      <c r="B35" s="9" t="s">
        <v>64</v>
      </c>
      <c r="C35" s="6" t="s">
        <v>65</v>
      </c>
      <c r="D35" s="6" t="s">
        <v>17</v>
      </c>
      <c r="E35" s="25">
        <v>3.7959999999999998</v>
      </c>
      <c r="F35" s="25">
        <v>3.7959999999999998</v>
      </c>
      <c r="G35" s="30">
        <f t="shared" si="0"/>
        <v>148109.40024587285</v>
      </c>
      <c r="H35" s="30">
        <v>562223.28333333333</v>
      </c>
      <c r="I35" s="95"/>
      <c r="J35" s="30">
        <f>G35*I35</f>
        <v>0</v>
      </c>
      <c r="K35" s="95"/>
      <c r="L35" s="30">
        <f>G35*K35</f>
        <v>0</v>
      </c>
      <c r="M35" s="95"/>
      <c r="N35" s="30">
        <f t="shared" si="1"/>
        <v>0</v>
      </c>
      <c r="O35" s="95"/>
      <c r="P35" s="30">
        <f t="shared" si="2"/>
        <v>0</v>
      </c>
      <c r="Q35" s="95"/>
      <c r="R35" s="30">
        <f t="shared" si="3"/>
        <v>0</v>
      </c>
      <c r="S35" s="95"/>
      <c r="T35" s="30">
        <f t="shared" si="4"/>
        <v>0</v>
      </c>
      <c r="U35" s="95"/>
      <c r="V35" s="53">
        <f t="shared" si="5"/>
        <v>0</v>
      </c>
      <c r="W35" s="107">
        <f t="shared" si="6"/>
        <v>0</v>
      </c>
      <c r="X35" s="59">
        <f t="shared" si="6"/>
        <v>0</v>
      </c>
      <c r="Y35" s="107">
        <f t="shared" si="7"/>
        <v>3.7959999999999998</v>
      </c>
      <c r="Z35" s="59">
        <f t="shared" si="8"/>
        <v>562223.28333333333</v>
      </c>
    </row>
    <row r="36" spans="1:36" s="16" customFormat="1" ht="33.75" hidden="1" x14ac:dyDescent="0.25">
      <c r="A36" s="78" t="s">
        <v>66</v>
      </c>
      <c r="B36" s="9" t="s">
        <v>57</v>
      </c>
      <c r="C36" s="6" t="s">
        <v>58</v>
      </c>
      <c r="D36" s="6" t="s">
        <v>17</v>
      </c>
      <c r="E36" s="28">
        <v>2.3643000000000001</v>
      </c>
      <c r="F36" s="28">
        <v>2.3643000000000001</v>
      </c>
      <c r="G36" s="30">
        <f t="shared" si="0"/>
        <v>211120.20471175402</v>
      </c>
      <c r="H36" s="30">
        <v>499151.50000000006</v>
      </c>
      <c r="I36" s="98"/>
      <c r="J36" s="30">
        <f>G36*I36</f>
        <v>0</v>
      </c>
      <c r="K36" s="98"/>
      <c r="L36" s="30">
        <f>G36*K36</f>
        <v>0</v>
      </c>
      <c r="M36" s="98"/>
      <c r="N36" s="30">
        <f t="shared" si="1"/>
        <v>0</v>
      </c>
      <c r="O36" s="98"/>
      <c r="P36" s="30">
        <f t="shared" si="2"/>
        <v>0</v>
      </c>
      <c r="Q36" s="98"/>
      <c r="R36" s="30">
        <f t="shared" si="3"/>
        <v>0</v>
      </c>
      <c r="S36" s="98"/>
      <c r="T36" s="30">
        <f t="shared" si="4"/>
        <v>0</v>
      </c>
      <c r="U36" s="98"/>
      <c r="V36" s="53">
        <f t="shared" si="5"/>
        <v>0</v>
      </c>
      <c r="W36" s="107">
        <f t="shared" si="6"/>
        <v>0</v>
      </c>
      <c r="X36" s="59">
        <f t="shared" si="6"/>
        <v>0</v>
      </c>
      <c r="Y36" s="107">
        <f t="shared" si="7"/>
        <v>2.3643000000000001</v>
      </c>
      <c r="Z36" s="59">
        <f t="shared" si="8"/>
        <v>499151.50000000006</v>
      </c>
    </row>
    <row r="37" spans="1:36" s="16" customFormat="1" ht="15" hidden="1" x14ac:dyDescent="0.25">
      <c r="A37" s="78" t="s">
        <v>67</v>
      </c>
      <c r="B37" s="9" t="s">
        <v>68</v>
      </c>
      <c r="C37" s="6" t="s">
        <v>16</v>
      </c>
      <c r="D37" s="6" t="s">
        <v>17</v>
      </c>
      <c r="E37" s="29">
        <v>54</v>
      </c>
      <c r="F37" s="29">
        <v>54</v>
      </c>
      <c r="G37" s="30"/>
      <c r="H37" s="31"/>
      <c r="I37" s="99"/>
      <c r="J37" s="31"/>
      <c r="K37" s="99"/>
      <c r="L37" s="31"/>
      <c r="M37" s="99"/>
      <c r="N37" s="31"/>
      <c r="O37" s="99"/>
      <c r="P37" s="31"/>
      <c r="Q37" s="99"/>
      <c r="R37" s="31"/>
      <c r="S37" s="99"/>
      <c r="T37" s="31"/>
      <c r="U37" s="99"/>
      <c r="V37" s="67"/>
      <c r="W37" s="110"/>
      <c r="X37" s="70"/>
      <c r="Y37" s="110"/>
      <c r="Z37" s="70"/>
    </row>
    <row r="38" spans="1:36" s="16" customFormat="1" ht="15" hidden="1" customHeight="1" x14ac:dyDescent="0.25">
      <c r="A38" s="77" t="s">
        <v>69</v>
      </c>
      <c r="B38" s="19"/>
      <c r="C38" s="23"/>
      <c r="D38" s="23"/>
      <c r="E38" s="23"/>
      <c r="F38" s="23"/>
      <c r="G38" s="23"/>
      <c r="H38" s="23"/>
      <c r="I38" s="94"/>
      <c r="J38" s="23"/>
      <c r="K38" s="94"/>
      <c r="L38" s="23"/>
      <c r="M38" s="94"/>
      <c r="N38" s="23"/>
      <c r="O38" s="94"/>
      <c r="P38" s="23"/>
      <c r="Q38" s="94"/>
      <c r="R38" s="23"/>
      <c r="S38" s="94"/>
      <c r="T38" s="23"/>
      <c r="U38" s="94"/>
      <c r="V38" s="66"/>
      <c r="W38" s="106"/>
      <c r="X38" s="69"/>
      <c r="Y38" s="106"/>
      <c r="Z38" s="69"/>
    </row>
    <row r="39" spans="1:36" s="16" customFormat="1" ht="45" hidden="1" x14ac:dyDescent="0.25">
      <c r="A39" s="78" t="s">
        <v>70</v>
      </c>
      <c r="B39" s="9" t="s">
        <v>71</v>
      </c>
      <c r="C39" s="6" t="s">
        <v>72</v>
      </c>
      <c r="D39" s="6" t="s">
        <v>73</v>
      </c>
      <c r="E39" s="152">
        <f>5.0812*1.04</f>
        <v>5.2844480000000003</v>
      </c>
      <c r="F39" s="25">
        <v>4.3680000000000003</v>
      </c>
      <c r="G39" s="30">
        <f>H39/E39</f>
        <v>172720.02298064053</v>
      </c>
      <c r="H39" s="30">
        <v>912729.98</v>
      </c>
      <c r="I39" s="95"/>
      <c r="J39" s="30">
        <f>G39*I39</f>
        <v>0</v>
      </c>
      <c r="K39" s="95"/>
      <c r="L39" s="30">
        <f>G39*K39</f>
        <v>0</v>
      </c>
      <c r="M39" s="95"/>
      <c r="N39" s="30">
        <f>G39*M39</f>
        <v>0</v>
      </c>
      <c r="O39" s="95"/>
      <c r="P39" s="30">
        <f>G39*O39</f>
        <v>0</v>
      </c>
      <c r="Q39" s="95"/>
      <c r="R39" s="30">
        <f>G39*Q39</f>
        <v>0</v>
      </c>
      <c r="S39" s="95"/>
      <c r="T39" s="30">
        <f>G39*S39</f>
        <v>0</v>
      </c>
      <c r="U39" s="95"/>
      <c r="V39" s="53">
        <f>G39*U39</f>
        <v>0</v>
      </c>
      <c r="W39" s="107">
        <f>I39+K39+M39+O39+Q39+S39+U39</f>
        <v>0</v>
      </c>
      <c r="X39" s="59">
        <f>J39+L39+N39+P39+R39+T39+V39</f>
        <v>0</v>
      </c>
      <c r="Y39" s="107">
        <f>E39-W39</f>
        <v>5.2844480000000003</v>
      </c>
      <c r="Z39" s="59">
        <f>H39-X39</f>
        <v>912729.98</v>
      </c>
    </row>
    <row r="40" spans="1:36" s="16" customFormat="1" ht="15" hidden="1" x14ac:dyDescent="0.25">
      <c r="A40" s="132" t="s">
        <v>74</v>
      </c>
      <c r="B40" s="133" t="s">
        <v>15</v>
      </c>
      <c r="C40" s="6" t="s">
        <v>16</v>
      </c>
      <c r="D40" s="6" t="s">
        <v>17</v>
      </c>
      <c r="E40" s="140">
        <f>E39/1.04</f>
        <v>5.0811999999999999</v>
      </c>
      <c r="F40" s="140">
        <v>4.3680000000000003</v>
      </c>
      <c r="G40" s="30"/>
      <c r="H40" s="31"/>
      <c r="I40" s="129"/>
      <c r="J40" s="31"/>
      <c r="K40" s="129"/>
      <c r="L40" s="31"/>
      <c r="M40" s="129"/>
      <c r="N40" s="31"/>
      <c r="O40" s="129"/>
      <c r="P40" s="31"/>
      <c r="Q40" s="129"/>
      <c r="R40" s="31"/>
      <c r="S40" s="129"/>
      <c r="T40" s="31"/>
      <c r="U40" s="129"/>
      <c r="V40" s="67"/>
      <c r="W40" s="130">
        <f>I40+K40+M40+O40+Q40+S40+U40</f>
        <v>0</v>
      </c>
      <c r="X40" s="70"/>
      <c r="Y40" s="130">
        <f>E40-W40</f>
        <v>5.0811999999999999</v>
      </c>
      <c r="Z40" s="70"/>
    </row>
    <row r="41" spans="1:36" s="16" customFormat="1" ht="15" hidden="1" customHeight="1" x14ac:dyDescent="0.25">
      <c r="A41" s="77" t="s">
        <v>75</v>
      </c>
      <c r="B41" s="19"/>
      <c r="C41" s="23"/>
      <c r="D41" s="23"/>
      <c r="E41" s="23"/>
      <c r="F41" s="23"/>
      <c r="G41" s="23"/>
      <c r="H41" s="23"/>
      <c r="I41" s="94"/>
      <c r="J41" s="23"/>
      <c r="K41" s="94"/>
      <c r="L41" s="23"/>
      <c r="M41" s="94"/>
      <c r="N41" s="23"/>
      <c r="O41" s="94"/>
      <c r="P41" s="23"/>
      <c r="Q41" s="94"/>
      <c r="R41" s="23"/>
      <c r="S41" s="94"/>
      <c r="T41" s="23"/>
      <c r="U41" s="94"/>
      <c r="V41" s="66"/>
      <c r="W41" s="106"/>
      <c r="X41" s="69"/>
      <c r="Y41" s="106"/>
      <c r="Z41" s="69"/>
    </row>
    <row r="42" spans="1:36" s="16" customFormat="1" ht="56.25" hidden="1" x14ac:dyDescent="0.25">
      <c r="A42" s="78" t="s">
        <v>76</v>
      </c>
      <c r="B42" s="9" t="s">
        <v>77</v>
      </c>
      <c r="C42" s="6" t="s">
        <v>78</v>
      </c>
      <c r="D42" s="6" t="s">
        <v>79</v>
      </c>
      <c r="E42" s="28">
        <v>47.659599999999998</v>
      </c>
      <c r="F42" s="28">
        <v>47.659599999999998</v>
      </c>
      <c r="G42" s="30">
        <f>H42/E42</f>
        <v>11614.347721480388</v>
      </c>
      <c r="H42" s="30">
        <v>553535.16666666663</v>
      </c>
      <c r="I42" s="98"/>
      <c r="J42" s="30">
        <f>G42*I42</f>
        <v>0</v>
      </c>
      <c r="K42" s="98"/>
      <c r="L42" s="30">
        <f>G42*K42</f>
        <v>0</v>
      </c>
      <c r="M42" s="98"/>
      <c r="N42" s="30">
        <f t="shared" ref="N42:N45" si="9">G42*M42</f>
        <v>0</v>
      </c>
      <c r="O42" s="98"/>
      <c r="P42" s="30">
        <f t="shared" ref="P42:P45" si="10">G42*O42</f>
        <v>0</v>
      </c>
      <c r="Q42" s="98"/>
      <c r="R42" s="30">
        <f t="shared" ref="R42:R45" si="11">G42*Q42</f>
        <v>0</v>
      </c>
      <c r="S42" s="98"/>
      <c r="T42" s="30">
        <f t="shared" ref="T42:T45" si="12">G42*S42</f>
        <v>0</v>
      </c>
      <c r="U42" s="98"/>
      <c r="V42" s="53">
        <f t="shared" ref="V42:V45" si="13">G42*U42</f>
        <v>0</v>
      </c>
      <c r="W42" s="107">
        <f t="shared" ref="W42:X45" si="14">I42+K42+M42+O42+Q42+S42+U42</f>
        <v>0</v>
      </c>
      <c r="X42" s="59">
        <f t="shared" si="14"/>
        <v>0</v>
      </c>
      <c r="Y42" s="107">
        <f t="shared" ref="Y42:Y45" si="15">E42-W42</f>
        <v>47.659599999999998</v>
      </c>
      <c r="Z42" s="59">
        <f t="shared" ref="Z42:Z45" si="16">H42-X42</f>
        <v>553535.16666666663</v>
      </c>
    </row>
    <row r="43" spans="1:36" s="16" customFormat="1" ht="33.75" hidden="1" x14ac:dyDescent="0.25">
      <c r="A43" s="78" t="s">
        <v>80</v>
      </c>
      <c r="B43" s="9" t="s">
        <v>81</v>
      </c>
      <c r="C43" s="6" t="s">
        <v>82</v>
      </c>
      <c r="D43" s="6" t="s">
        <v>83</v>
      </c>
      <c r="E43" s="27">
        <v>571.9</v>
      </c>
      <c r="F43" s="27">
        <v>571.9</v>
      </c>
      <c r="G43" s="30">
        <f t="shared" ref="G43:G45" si="17">H43/E43</f>
        <v>298.32727166754097</v>
      </c>
      <c r="H43" s="30">
        <v>170613.36666666667</v>
      </c>
      <c r="I43" s="97"/>
      <c r="J43" s="30">
        <f>G43*I43</f>
        <v>0</v>
      </c>
      <c r="K43" s="97"/>
      <c r="L43" s="30">
        <f>G43*K43</f>
        <v>0</v>
      </c>
      <c r="M43" s="97"/>
      <c r="N43" s="30">
        <f t="shared" si="9"/>
        <v>0</v>
      </c>
      <c r="O43" s="97"/>
      <c r="P43" s="30">
        <f t="shared" si="10"/>
        <v>0</v>
      </c>
      <c r="Q43" s="97"/>
      <c r="R43" s="30">
        <f t="shared" si="11"/>
        <v>0</v>
      </c>
      <c r="S43" s="97"/>
      <c r="T43" s="30">
        <f t="shared" si="12"/>
        <v>0</v>
      </c>
      <c r="U43" s="97"/>
      <c r="V43" s="53">
        <f t="shared" si="13"/>
        <v>0</v>
      </c>
      <c r="W43" s="107">
        <f t="shared" si="14"/>
        <v>0</v>
      </c>
      <c r="X43" s="59">
        <f t="shared" si="14"/>
        <v>0</v>
      </c>
      <c r="Y43" s="107">
        <f t="shared" si="15"/>
        <v>571.9</v>
      </c>
      <c r="Z43" s="59">
        <f t="shared" si="16"/>
        <v>170613.36666666667</v>
      </c>
    </row>
    <row r="44" spans="1:36" s="16" customFormat="1" ht="56.25" hidden="1" x14ac:dyDescent="0.25">
      <c r="A44" s="78" t="s">
        <v>84</v>
      </c>
      <c r="B44" s="13" t="s">
        <v>85</v>
      </c>
      <c r="C44" s="6" t="s">
        <v>86</v>
      </c>
      <c r="D44" s="6" t="s">
        <v>79</v>
      </c>
      <c r="E44" s="28">
        <v>20.565200000000001</v>
      </c>
      <c r="F44" s="28">
        <v>20.565200000000001</v>
      </c>
      <c r="G44" s="30">
        <f t="shared" si="17"/>
        <v>14111.306965164451</v>
      </c>
      <c r="H44" s="30">
        <v>290201.84999999998</v>
      </c>
      <c r="I44" s="98"/>
      <c r="J44" s="30">
        <f>G44*I44</f>
        <v>0</v>
      </c>
      <c r="K44" s="98"/>
      <c r="L44" s="30">
        <f>G44*K44</f>
        <v>0</v>
      </c>
      <c r="M44" s="98"/>
      <c r="N44" s="30">
        <f t="shared" si="9"/>
        <v>0</v>
      </c>
      <c r="O44" s="98"/>
      <c r="P44" s="30">
        <f t="shared" si="10"/>
        <v>0</v>
      </c>
      <c r="Q44" s="98"/>
      <c r="R44" s="30">
        <f t="shared" si="11"/>
        <v>0</v>
      </c>
      <c r="S44" s="98"/>
      <c r="T44" s="30">
        <f t="shared" si="12"/>
        <v>0</v>
      </c>
      <c r="U44" s="98"/>
      <c r="V44" s="53">
        <f t="shared" si="13"/>
        <v>0</v>
      </c>
      <c r="W44" s="107">
        <f t="shared" si="14"/>
        <v>0</v>
      </c>
      <c r="X44" s="59">
        <f t="shared" si="14"/>
        <v>0</v>
      </c>
      <c r="Y44" s="107">
        <f t="shared" si="15"/>
        <v>20.565200000000001</v>
      </c>
      <c r="Z44" s="59">
        <f t="shared" si="16"/>
        <v>290201.84999999998</v>
      </c>
    </row>
    <row r="45" spans="1:36" s="16" customFormat="1" ht="34.5" hidden="1" thickBot="1" x14ac:dyDescent="0.3">
      <c r="A45" s="80" t="s">
        <v>87</v>
      </c>
      <c r="B45" s="48" t="s">
        <v>88</v>
      </c>
      <c r="C45" s="6" t="s">
        <v>89</v>
      </c>
      <c r="D45" s="49" t="s">
        <v>83</v>
      </c>
      <c r="E45" s="50">
        <v>781.5</v>
      </c>
      <c r="F45" s="50">
        <v>781.5</v>
      </c>
      <c r="G45" s="51">
        <f t="shared" si="17"/>
        <v>373.39136276391554</v>
      </c>
      <c r="H45" s="51">
        <v>291805.34999999998</v>
      </c>
      <c r="I45" s="100"/>
      <c r="J45" s="51">
        <f>G45*I45</f>
        <v>0</v>
      </c>
      <c r="K45" s="100"/>
      <c r="L45" s="51">
        <f>G45*K45</f>
        <v>0</v>
      </c>
      <c r="M45" s="100"/>
      <c r="N45" s="51">
        <f t="shared" si="9"/>
        <v>0</v>
      </c>
      <c r="O45" s="100"/>
      <c r="P45" s="51">
        <f t="shared" si="10"/>
        <v>0</v>
      </c>
      <c r="Q45" s="100"/>
      <c r="R45" s="51">
        <f t="shared" si="11"/>
        <v>0</v>
      </c>
      <c r="S45" s="100"/>
      <c r="T45" s="51">
        <f t="shared" si="12"/>
        <v>0</v>
      </c>
      <c r="U45" s="100"/>
      <c r="V45" s="54">
        <f t="shared" si="13"/>
        <v>0</v>
      </c>
      <c r="W45" s="111">
        <f t="shared" si="14"/>
        <v>0</v>
      </c>
      <c r="X45" s="60">
        <f t="shared" si="14"/>
        <v>0</v>
      </c>
      <c r="Y45" s="111">
        <f t="shared" si="15"/>
        <v>781.5</v>
      </c>
      <c r="Z45" s="60">
        <f t="shared" si="16"/>
        <v>291805.34999999998</v>
      </c>
    </row>
    <row r="46" spans="1:36" s="16" customFormat="1" ht="13.5" hidden="1" customHeight="1" thickTop="1" x14ac:dyDescent="0.25">
      <c r="A46" s="81"/>
      <c r="B46" s="45" t="s">
        <v>94</v>
      </c>
      <c r="C46" s="24"/>
      <c r="D46" s="46"/>
      <c r="E46" s="46"/>
      <c r="F46" s="46"/>
      <c r="G46" s="46"/>
      <c r="H46" s="47">
        <f>SUM(H8:H45)</f>
        <v>170247806.63666666</v>
      </c>
      <c r="I46" s="101"/>
      <c r="J46" s="47">
        <f>SUM(J8:J45)</f>
        <v>4200229.0543354787</v>
      </c>
      <c r="K46" s="101"/>
      <c r="L46" s="47">
        <f>SUM(L8:L45)+0.02</f>
        <v>8137890.6582407784</v>
      </c>
      <c r="M46" s="101"/>
      <c r="N46" s="47">
        <v>9943426.7699999996</v>
      </c>
      <c r="O46" s="101"/>
      <c r="P46" s="47">
        <f>SUM(P8:P45)</f>
        <v>0</v>
      </c>
      <c r="Q46" s="101"/>
      <c r="R46" s="47">
        <f>SUM(R8:R45)</f>
        <v>0</v>
      </c>
      <c r="S46" s="101"/>
      <c r="T46" s="47">
        <f>SUM(T8:T45)</f>
        <v>0</v>
      </c>
      <c r="U46" s="101"/>
      <c r="V46" s="55">
        <f>SUM(V8:V45)</f>
        <v>0</v>
      </c>
      <c r="W46" s="112"/>
      <c r="X46" s="61">
        <f>SUM(X8:X45)</f>
        <v>23790417.54578229</v>
      </c>
      <c r="Y46" s="112"/>
      <c r="Z46" s="61">
        <f>SUM(Z8:Z45)</f>
        <v>146457389.09088436</v>
      </c>
      <c r="AJ46" s="10"/>
    </row>
    <row r="47" spans="1:36" s="41" customFormat="1" ht="13.5" hidden="1" customHeight="1" x14ac:dyDescent="0.25">
      <c r="A47" s="82"/>
      <c r="B47" s="38" t="s">
        <v>93</v>
      </c>
      <c r="C47" s="39"/>
      <c r="D47" s="39"/>
      <c r="E47" s="39"/>
      <c r="F47" s="39"/>
      <c r="G47" s="40"/>
      <c r="H47" s="40">
        <f>H46*0.0253738294118085</f>
        <v>4319838.8033333393</v>
      </c>
      <c r="I47" s="102"/>
      <c r="J47" s="40">
        <v>0</v>
      </c>
      <c r="K47" s="102"/>
      <c r="L47" s="40">
        <v>0</v>
      </c>
      <c r="M47" s="102"/>
      <c r="N47" s="40">
        <v>0</v>
      </c>
      <c r="O47" s="102"/>
      <c r="P47" s="40">
        <v>0</v>
      </c>
      <c r="Q47" s="102"/>
      <c r="R47" s="40">
        <v>0</v>
      </c>
      <c r="S47" s="102"/>
      <c r="T47" s="40">
        <v>0</v>
      </c>
      <c r="U47" s="102"/>
      <c r="V47" s="56">
        <v>0</v>
      </c>
      <c r="W47" s="113"/>
      <c r="X47" s="62">
        <v>0</v>
      </c>
      <c r="Y47" s="113"/>
      <c r="Z47" s="62">
        <v>0</v>
      </c>
      <c r="AJ47" s="42"/>
    </row>
    <row r="48" spans="1:36" s="16" customFormat="1" ht="13.5" hidden="1" customHeight="1" x14ac:dyDescent="0.25">
      <c r="A48" s="83"/>
      <c r="B48" s="33" t="s">
        <v>90</v>
      </c>
      <c r="C48" s="24"/>
      <c r="D48" s="24"/>
      <c r="E48" s="24"/>
      <c r="F48" s="24"/>
      <c r="G48" s="24"/>
      <c r="H48" s="32">
        <f>H46+H47</f>
        <v>174567645.44</v>
      </c>
      <c r="I48" s="103"/>
      <c r="J48" s="32">
        <f>J46-0.04</f>
        <v>4200229.0143354787</v>
      </c>
      <c r="K48" s="103"/>
      <c r="L48" s="32">
        <f>L46</f>
        <v>8137890.6582407784</v>
      </c>
      <c r="M48" s="103"/>
      <c r="N48" s="32">
        <f>N46</f>
        <v>9943426.7699999996</v>
      </c>
      <c r="O48" s="103"/>
      <c r="P48" s="32">
        <f>P46</f>
        <v>0</v>
      </c>
      <c r="Q48" s="103"/>
      <c r="R48" s="32">
        <f>R46</f>
        <v>0</v>
      </c>
      <c r="S48" s="103"/>
      <c r="T48" s="32">
        <f>T46</f>
        <v>0</v>
      </c>
      <c r="U48" s="103"/>
      <c r="V48" s="57">
        <f>V46</f>
        <v>0</v>
      </c>
      <c r="W48" s="114"/>
      <c r="X48" s="63">
        <f>X46</f>
        <v>23790417.54578229</v>
      </c>
      <c r="Y48" s="114"/>
      <c r="Z48" s="63">
        <f>Z46</f>
        <v>146457389.09088436</v>
      </c>
      <c r="AJ48" s="10"/>
    </row>
    <row r="49" spans="1:36" s="36" customFormat="1" ht="13.5" hidden="1" customHeight="1" x14ac:dyDescent="0.25">
      <c r="A49" s="84"/>
      <c r="B49" s="34" t="s">
        <v>95</v>
      </c>
      <c r="C49" s="35"/>
      <c r="D49" s="35"/>
      <c r="E49" s="35"/>
      <c r="F49" s="35"/>
      <c r="G49" s="35"/>
      <c r="H49" s="43"/>
      <c r="I49" s="103"/>
      <c r="J49" s="44">
        <v>0.2</v>
      </c>
      <c r="K49" s="103"/>
      <c r="L49" s="44">
        <v>0.22</v>
      </c>
      <c r="M49" s="103"/>
      <c r="N49" s="44">
        <v>0.22</v>
      </c>
      <c r="O49" s="103"/>
      <c r="P49" s="44">
        <v>0.22</v>
      </c>
      <c r="Q49" s="103"/>
      <c r="R49" s="44">
        <v>0.22</v>
      </c>
      <c r="S49" s="103"/>
      <c r="T49" s="44">
        <v>0.22</v>
      </c>
      <c r="U49" s="103"/>
      <c r="V49" s="58">
        <v>0.22</v>
      </c>
      <c r="W49" s="114"/>
      <c r="X49" s="64"/>
      <c r="Y49" s="114"/>
      <c r="Z49" s="64"/>
      <c r="AJ49" s="37"/>
    </row>
    <row r="50" spans="1:36" s="16" customFormat="1" ht="13.5" hidden="1" customHeight="1" thickBot="1" x14ac:dyDescent="0.3">
      <c r="A50" s="85"/>
      <c r="B50" s="86" t="s">
        <v>90</v>
      </c>
      <c r="C50" s="87"/>
      <c r="D50" s="87"/>
      <c r="E50" s="87"/>
      <c r="F50" s="87"/>
      <c r="G50" s="87"/>
      <c r="H50" s="88"/>
      <c r="I50" s="104"/>
      <c r="J50" s="88">
        <f>J48*1.2</f>
        <v>5040274.8172025746</v>
      </c>
      <c r="K50" s="104"/>
      <c r="L50" s="88">
        <f>L48*1.22</f>
        <v>9928226.6030537486</v>
      </c>
      <c r="M50" s="104"/>
      <c r="N50" s="88">
        <f>N48*1.22</f>
        <v>12130980.659399999</v>
      </c>
      <c r="O50" s="104"/>
      <c r="P50" s="88">
        <f>P48*1.22</f>
        <v>0</v>
      </c>
      <c r="Q50" s="104"/>
      <c r="R50" s="88">
        <f>R48*1.22</f>
        <v>0</v>
      </c>
      <c r="S50" s="104"/>
      <c r="T50" s="88">
        <f>T48*1.22</f>
        <v>0</v>
      </c>
      <c r="U50" s="104"/>
      <c r="V50" s="89">
        <f>V48*1.22</f>
        <v>0</v>
      </c>
      <c r="W50" s="115"/>
      <c r="X50" s="65">
        <f>J50+L50+N50+P50+R50+T50+V50</f>
        <v>27099482.079656325</v>
      </c>
      <c r="Y50" s="115"/>
      <c r="Z50" s="65"/>
      <c r="AJ50" s="10"/>
    </row>
    <row r="51" spans="1:36" ht="11.25" hidden="1" customHeight="1" x14ac:dyDescent="0.2">
      <c r="I51" s="105" t="s">
        <v>106</v>
      </c>
      <c r="K51" s="105" t="s">
        <v>106</v>
      </c>
      <c r="M51" s="105" t="s">
        <v>106</v>
      </c>
    </row>
    <row r="52" spans="1:36" ht="16.5" hidden="1" customHeight="1" x14ac:dyDescent="0.2">
      <c r="B52" s="141" t="s">
        <v>110</v>
      </c>
      <c r="E52" s="189">
        <f>415.338+56.277</f>
        <v>471.61500000000001</v>
      </c>
      <c r="F52" s="189"/>
      <c r="I52" s="127">
        <f>415.338+56.277</f>
        <v>471.61500000000001</v>
      </c>
      <c r="K52" s="20"/>
      <c r="M52" s="20"/>
      <c r="W52" s="127">
        <f>I52+K52+M52+O52+Q52+S52+U52</f>
        <v>471.61500000000001</v>
      </c>
      <c r="Y52" s="127">
        <f>E52-W52</f>
        <v>0</v>
      </c>
    </row>
    <row r="53" spans="1:36" ht="16.5" hidden="1" customHeight="1" x14ac:dyDescent="0.2">
      <c r="B53" s="141" t="s">
        <v>109</v>
      </c>
      <c r="E53" s="189">
        <v>64.923000000000002</v>
      </c>
      <c r="F53" s="189"/>
      <c r="I53" s="127"/>
      <c r="K53" s="127">
        <v>64.923000000000002</v>
      </c>
      <c r="M53" s="20"/>
      <c r="W53" s="127"/>
      <c r="Y53" s="127"/>
    </row>
    <row r="54" spans="1:36" ht="16.5" hidden="1" customHeight="1" thickBot="1" x14ac:dyDescent="0.25">
      <c r="A54" s="144"/>
      <c r="B54" s="145" t="s">
        <v>108</v>
      </c>
      <c r="C54" s="146"/>
      <c r="D54" s="146"/>
      <c r="E54" s="189">
        <v>8.8290000000000006</v>
      </c>
      <c r="F54" s="189"/>
      <c r="G54" s="146"/>
      <c r="H54" s="146"/>
      <c r="I54" s="147"/>
      <c r="J54" s="146"/>
      <c r="K54" s="127">
        <v>8.8290000000000006</v>
      </c>
      <c r="L54" s="146"/>
      <c r="M54" s="20"/>
      <c r="N54" s="146"/>
      <c r="O54" s="148"/>
      <c r="P54" s="146"/>
      <c r="Q54" s="148"/>
      <c r="R54" s="146"/>
      <c r="S54" s="148"/>
      <c r="T54" s="146"/>
      <c r="U54" s="148"/>
      <c r="V54" s="146"/>
      <c r="W54" s="147">
        <f>I54+K54+M54+O54+Q54+S54+U54</f>
        <v>8.8290000000000006</v>
      </c>
      <c r="X54" s="146"/>
      <c r="Y54" s="147">
        <f>E54-W54</f>
        <v>0</v>
      </c>
      <c r="Z54" s="146"/>
    </row>
    <row r="55" spans="1:36" ht="15" hidden="1" customHeight="1" thickTop="1" thickBot="1" x14ac:dyDescent="0.25">
      <c r="A55" s="151"/>
      <c r="B55" s="151" t="s">
        <v>107</v>
      </c>
      <c r="C55" s="150"/>
      <c r="D55" s="150"/>
      <c r="E55" s="179">
        <f>SUM(E52:E54)</f>
        <v>545.36699999999996</v>
      </c>
      <c r="F55" s="179"/>
      <c r="G55" s="150"/>
      <c r="H55" s="150"/>
      <c r="I55" s="149">
        <f>SUM(I52:I54)</f>
        <v>471.61500000000001</v>
      </c>
      <c r="J55" s="150"/>
      <c r="K55" s="150">
        <f>SUM(K52:K54)</f>
        <v>73.75200000000001</v>
      </c>
      <c r="L55" s="150"/>
      <c r="M55" s="150">
        <f>SUM(M52:M54)</f>
        <v>0</v>
      </c>
      <c r="N55" s="150"/>
      <c r="O55" s="150"/>
      <c r="P55" s="150"/>
      <c r="Q55" s="150"/>
      <c r="R55" s="150"/>
      <c r="S55" s="150"/>
      <c r="T55" s="150"/>
      <c r="U55" s="150"/>
      <c r="V55" s="150"/>
      <c r="W55" s="149">
        <f>SUM(W52:W54)</f>
        <v>480.44400000000002</v>
      </c>
      <c r="X55" s="150"/>
      <c r="Y55" s="149"/>
      <c r="Z55" s="150"/>
    </row>
    <row r="56" spans="1:36" ht="15" customHeight="1" thickTop="1" x14ac:dyDescent="0.2">
      <c r="B56" s="1" t="s">
        <v>119</v>
      </c>
      <c r="E56" s="128">
        <f>E10+E13+E16+E19+E23+E27+E30+E40</f>
        <v>1791.6837</v>
      </c>
      <c r="F56" s="128">
        <f>F10+F13+F16+F19+F23+F27+F30+F40</f>
        <v>2078.0239999999999</v>
      </c>
      <c r="G56" s="180" t="s">
        <v>112</v>
      </c>
      <c r="H56" s="181"/>
      <c r="I56" s="128">
        <f>I10+I13+I16+I19+I23+I27+I30+I40</f>
        <v>81.95</v>
      </c>
      <c r="K56" s="128">
        <f>K10+K13+K16+K19+K23+K27+K30+K40</f>
        <v>126.89</v>
      </c>
      <c r="M56" s="131">
        <f>M10+M13+M16+M19+M23+M27+M30+M40</f>
        <v>140.435</v>
      </c>
      <c r="O56" s="131">
        <f>O10+O13+O16+O19+O23+O27+O30+O40</f>
        <v>0</v>
      </c>
      <c r="Q56" s="131">
        <f>Q10+Q13+Q16+Q19+Q23+Q27+Q30+Q40</f>
        <v>0</v>
      </c>
      <c r="S56" s="131">
        <f>S10+S13+S16+S19+S23+S27+S30+S40</f>
        <v>0</v>
      </c>
      <c r="U56" s="131">
        <f>U10+U13+U16+U19+U23+U27+U30+U40</f>
        <v>0</v>
      </c>
      <c r="W56" s="131">
        <f>W10+W13+W16+W19+W23+W27+W30+W40</f>
        <v>349.27500000000003</v>
      </c>
      <c r="Y56" s="128">
        <f>Y10+Y13+Y16+Y19+Y23+Y27+Y30+Y40</f>
        <v>1442.4087</v>
      </c>
    </row>
    <row r="57" spans="1:36" ht="32.25" customHeight="1" x14ac:dyDescent="0.2">
      <c r="E57" s="20" t="s">
        <v>120</v>
      </c>
      <c r="F57" s="154" t="s">
        <v>122</v>
      </c>
    </row>
    <row r="58" spans="1:36" ht="11.25" customHeight="1" x14ac:dyDescent="0.2">
      <c r="D58" s="20" t="s">
        <v>114</v>
      </c>
      <c r="E58" s="158">
        <v>156672773.43000001</v>
      </c>
      <c r="F58" s="20" t="s">
        <v>118</v>
      </c>
      <c r="G58" s="156" t="s">
        <v>113</v>
      </c>
      <c r="H58" s="154"/>
      <c r="I58" s="155"/>
      <c r="J58" s="154"/>
      <c r="W58" s="127"/>
      <c r="AA58" s="182" t="s">
        <v>121</v>
      </c>
    </row>
    <row r="59" spans="1:36" ht="11.25" customHeight="1" x14ac:dyDescent="0.2">
      <c r="D59" s="20" t="s">
        <v>115</v>
      </c>
      <c r="E59" s="153">
        <v>157168027.24000001</v>
      </c>
      <c r="F59" s="153">
        <v>174567645.44</v>
      </c>
      <c r="G59" s="156" t="s">
        <v>113</v>
      </c>
      <c r="AA59" s="182"/>
    </row>
    <row r="60" spans="1:36" ht="11.25" customHeight="1" x14ac:dyDescent="0.2">
      <c r="E60" s="153"/>
      <c r="G60" s="156"/>
    </row>
    <row r="61" spans="1:36" ht="11.25" customHeight="1" x14ac:dyDescent="0.2">
      <c r="G61" s="156"/>
    </row>
    <row r="62" spans="1:36" ht="11.25" customHeight="1" x14ac:dyDescent="0.2">
      <c r="G62" s="156"/>
    </row>
    <row r="63" spans="1:36" ht="11.25" customHeight="1" x14ac:dyDescent="0.2">
      <c r="G63" s="156"/>
    </row>
    <row r="64" spans="1:36" ht="11.25" customHeight="1" x14ac:dyDescent="0.2">
      <c r="G64" s="156"/>
    </row>
    <row r="65" spans="7:7" ht="11.25" customHeight="1" x14ac:dyDescent="0.2">
      <c r="G65" s="156"/>
    </row>
    <row r="66" spans="7:7" ht="11.25" customHeight="1" x14ac:dyDescent="0.2">
      <c r="G66" s="156"/>
    </row>
    <row r="67" spans="7:7" ht="11.25" customHeight="1" x14ac:dyDescent="0.2">
      <c r="G67" s="156"/>
    </row>
    <row r="68" spans="7:7" ht="11.25" customHeight="1" x14ac:dyDescent="0.2">
      <c r="G68" s="156"/>
    </row>
  </sheetData>
  <autoFilter ref="A6:AN50" xr:uid="{00000000-0001-0000-0000-000000000000}"/>
  <mergeCells count="15">
    <mergeCell ref="E55:F55"/>
    <mergeCell ref="G56:H56"/>
    <mergeCell ref="AA58:AA59"/>
    <mergeCell ref="U4:V4"/>
    <mergeCell ref="W4:X4"/>
    <mergeCell ref="Y4:Z4"/>
    <mergeCell ref="E52:F52"/>
    <mergeCell ref="E53:F53"/>
    <mergeCell ref="E54:F54"/>
    <mergeCell ref="I4:J4"/>
    <mergeCell ref="K4:L4"/>
    <mergeCell ref="M4:N4"/>
    <mergeCell ref="O4:P4"/>
    <mergeCell ref="Q4:R4"/>
    <mergeCell ref="S4:T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A7A8-E142-4812-BB16-BD7BA7445238}">
  <dimension ref="A1:U23"/>
  <sheetViews>
    <sheetView tabSelected="1" workbookViewId="0">
      <selection activeCell="H15" sqref="H15"/>
    </sheetView>
  </sheetViews>
  <sheetFormatPr defaultRowHeight="15" x14ac:dyDescent="0.25"/>
  <cols>
    <col min="1" max="1" width="32" customWidth="1"/>
    <col min="2" max="2" width="27.42578125" customWidth="1"/>
    <col min="3" max="3" width="17.42578125" hidden="1" customWidth="1"/>
    <col min="4" max="4" width="16.28515625" hidden="1" customWidth="1"/>
    <col min="5" max="5" width="6" customWidth="1"/>
    <col min="6" max="6" width="21.28515625" customWidth="1"/>
    <col min="7" max="7" width="16.28515625" customWidth="1"/>
    <col min="8" max="8" width="20.85546875" customWidth="1"/>
    <col min="9" max="9" width="17.7109375" customWidth="1"/>
    <col min="10" max="10" width="15" customWidth="1"/>
    <col min="11" max="11" width="10.85546875" customWidth="1"/>
    <col min="12" max="12" width="21.28515625" hidden="1" customWidth="1"/>
    <col min="13" max="13" width="16.28515625" hidden="1" customWidth="1"/>
    <col min="14" max="15" width="17.7109375" hidden="1" customWidth="1"/>
    <col min="16" max="16" width="15" hidden="1" customWidth="1"/>
    <col min="17" max="17" width="17" customWidth="1"/>
    <col min="19" max="19" width="0" hidden="1" customWidth="1"/>
  </cols>
  <sheetData>
    <row r="1" spans="1:21" x14ac:dyDescent="0.25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1:21" x14ac:dyDescent="0.25">
      <c r="A2" s="159"/>
      <c r="B2" s="175" t="s">
        <v>142</v>
      </c>
      <c r="C2" s="159"/>
      <c r="D2" s="159"/>
      <c r="E2" s="159"/>
      <c r="F2" s="160"/>
      <c r="G2" s="160"/>
      <c r="H2" s="160"/>
      <c r="I2" s="160"/>
      <c r="J2" s="160"/>
      <c r="K2" s="159"/>
      <c r="L2" s="160"/>
      <c r="M2" s="160"/>
      <c r="N2" s="160"/>
      <c r="O2" s="160"/>
      <c r="P2" s="160"/>
      <c r="Q2" s="159"/>
      <c r="R2" s="159"/>
      <c r="S2" s="159"/>
      <c r="T2" s="159"/>
    </row>
    <row r="3" spans="1:21" x14ac:dyDescent="0.25">
      <c r="A3" s="159"/>
      <c r="B3" s="170" t="s">
        <v>140</v>
      </c>
      <c r="C3" s="170"/>
      <c r="D3" s="161"/>
      <c r="E3" s="161"/>
      <c r="F3" s="161"/>
      <c r="G3" s="161"/>
      <c r="H3" s="161"/>
      <c r="I3" s="161"/>
      <c r="J3" s="159"/>
      <c r="K3" s="159"/>
      <c r="L3" s="161"/>
      <c r="M3" s="161"/>
      <c r="N3" s="161"/>
      <c r="O3" s="161"/>
      <c r="P3" s="159"/>
      <c r="Q3" s="159"/>
      <c r="R3" s="159"/>
      <c r="S3" s="159"/>
      <c r="T3" s="159"/>
    </row>
    <row r="4" spans="1:21" x14ac:dyDescent="0.25">
      <c r="A4" s="163" t="s">
        <v>125</v>
      </c>
      <c r="B4" s="194">
        <v>2078.02</v>
      </c>
      <c r="C4" s="163" t="s">
        <v>136</v>
      </c>
      <c r="D4" s="164">
        <f>B5*1.01</f>
        <v>0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</row>
    <row r="5" spans="1:21" x14ac:dyDescent="0.25">
      <c r="A5" s="163" t="s">
        <v>141</v>
      </c>
      <c r="B5" s="194"/>
      <c r="C5" s="163" t="s">
        <v>135</v>
      </c>
      <c r="D5" s="164">
        <f>D4</f>
        <v>0</v>
      </c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</row>
    <row r="6" spans="1:21" ht="30" x14ac:dyDescent="0.25">
      <c r="A6" s="159"/>
      <c r="B6" s="159"/>
      <c r="C6" s="159"/>
      <c r="D6" s="159"/>
      <c r="E6" s="159"/>
      <c r="F6" s="173" t="s">
        <v>129</v>
      </c>
      <c r="G6" s="173" t="s">
        <v>132</v>
      </c>
      <c r="H6" s="173" t="s">
        <v>146</v>
      </c>
      <c r="I6" s="173" t="s">
        <v>134</v>
      </c>
      <c r="J6" s="173" t="s">
        <v>130</v>
      </c>
      <c r="K6" s="159"/>
      <c r="L6" s="159"/>
      <c r="M6" s="159"/>
      <c r="N6" s="159"/>
      <c r="O6" s="159"/>
      <c r="P6" s="159"/>
      <c r="Q6" s="169" t="s">
        <v>139</v>
      </c>
      <c r="R6" s="159"/>
      <c r="S6" s="159"/>
      <c r="T6" s="159"/>
    </row>
    <row r="7" spans="1:21" ht="30" x14ac:dyDescent="0.25">
      <c r="A7" s="162" t="s">
        <v>127</v>
      </c>
      <c r="B7" s="168">
        <f>J7</f>
        <v>207617858.85960001</v>
      </c>
      <c r="C7" s="159"/>
      <c r="D7" s="159"/>
      <c r="E7" s="159"/>
      <c r="F7" s="172">
        <v>170247806.61000001</v>
      </c>
      <c r="G7" s="172">
        <v>4223260.2300000004</v>
      </c>
      <c r="H7" s="172">
        <v>96017312.349999994</v>
      </c>
      <c r="I7" s="172">
        <f>F7-G7-H7</f>
        <v>70007234.030000031</v>
      </c>
      <c r="J7" s="172">
        <f>G7*1.2+((H7+I7)*1.22)</f>
        <v>207617858.85960001</v>
      </c>
      <c r="K7" s="159"/>
      <c r="L7" s="159"/>
      <c r="M7" s="159"/>
      <c r="N7" s="159"/>
      <c r="O7" s="159"/>
      <c r="P7" s="159"/>
      <c r="Q7" s="165">
        <f>B7/B4</f>
        <v>99911.386252105367</v>
      </c>
      <c r="R7" s="159"/>
      <c r="S7" s="159"/>
      <c r="T7" s="159"/>
    </row>
    <row r="8" spans="1:21" ht="30" x14ac:dyDescent="0.25">
      <c r="A8" s="162" t="s">
        <v>128</v>
      </c>
      <c r="B8" s="168">
        <f>J8</f>
        <v>212888062.2322</v>
      </c>
      <c r="C8" s="159"/>
      <c r="D8" s="159"/>
      <c r="E8" s="159"/>
      <c r="F8" s="195">
        <f>'[2]кс-6а корр'!$H$85</f>
        <v>174567645.44</v>
      </c>
      <c r="G8" s="172">
        <v>4223260.2300000004</v>
      </c>
      <c r="H8" s="172">
        <f>H7</f>
        <v>96017312.349999994</v>
      </c>
      <c r="I8" s="172">
        <f>F8-G8-H8</f>
        <v>74327072.860000014</v>
      </c>
      <c r="J8" s="172">
        <f>G8*1.2+((H8+I8)*1.22)</f>
        <v>212888062.2322</v>
      </c>
      <c r="K8" s="164"/>
      <c r="L8" s="159"/>
      <c r="M8" s="159"/>
      <c r="N8" s="159"/>
      <c r="O8" s="159"/>
      <c r="P8" s="159"/>
      <c r="Q8" s="165">
        <f>B8/B4</f>
        <v>102447.55210835315</v>
      </c>
      <c r="R8" s="159"/>
      <c r="S8" s="159"/>
      <c r="T8" s="159"/>
    </row>
    <row r="9" spans="1:21" x14ac:dyDescent="0.25">
      <c r="A9" s="162"/>
      <c r="B9" s="168"/>
      <c r="C9" s="159"/>
      <c r="D9" s="159"/>
      <c r="E9" s="159"/>
      <c r="F9" s="172"/>
      <c r="G9" s="172"/>
      <c r="H9" s="172"/>
      <c r="I9" s="172"/>
      <c r="J9" s="172"/>
      <c r="K9" s="164"/>
      <c r="L9" s="159"/>
      <c r="M9" s="159"/>
      <c r="N9" s="159"/>
      <c r="O9" s="159"/>
      <c r="P9" s="159"/>
      <c r="Q9" s="165"/>
      <c r="R9" s="159"/>
      <c r="S9" s="159"/>
      <c r="T9" s="159"/>
    </row>
    <row r="10" spans="1:21" x14ac:dyDescent="0.25">
      <c r="A10" s="159"/>
      <c r="B10" s="175" t="s">
        <v>143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</row>
    <row r="11" spans="1:21" x14ac:dyDescent="0.25">
      <c r="A11" s="159"/>
      <c r="B11" s="170" t="s">
        <v>126</v>
      </c>
      <c r="C11" s="170"/>
      <c r="D11" s="161"/>
      <c r="E11" s="161"/>
      <c r="F11" s="161"/>
      <c r="G11" s="161"/>
      <c r="H11" s="161"/>
      <c r="I11" s="161"/>
      <c r="J11" s="159"/>
      <c r="K11" s="159"/>
      <c r="L11" s="161"/>
      <c r="M11" s="161"/>
      <c r="N11" s="161"/>
      <c r="O11" s="161"/>
      <c r="P11" s="159"/>
      <c r="Q11" s="159"/>
      <c r="R11" s="159"/>
      <c r="S11" s="159"/>
      <c r="T11" s="159"/>
    </row>
    <row r="12" spans="1:21" x14ac:dyDescent="0.25">
      <c r="A12" s="163" t="s">
        <v>125</v>
      </c>
      <c r="B12" s="178">
        <f>B13*1.04</f>
        <v>1863.3510480000002</v>
      </c>
      <c r="C12" s="163" t="s">
        <v>136</v>
      </c>
      <c r="D12" s="164">
        <f>B13*1.01</f>
        <v>1809.600537</v>
      </c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</row>
    <row r="13" spans="1:21" x14ac:dyDescent="0.25">
      <c r="A13" s="163" t="s">
        <v>124</v>
      </c>
      <c r="B13" s="178">
        <f>КМД!E56</f>
        <v>1791.6837</v>
      </c>
      <c r="C13" s="163" t="s">
        <v>135</v>
      </c>
      <c r="D13" s="164">
        <f>D12</f>
        <v>1809.600537</v>
      </c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</row>
    <row r="14" spans="1:21" ht="30" x14ac:dyDescent="0.25">
      <c r="A14" s="159"/>
      <c r="B14" s="159"/>
      <c r="C14" s="159"/>
      <c r="D14" s="167"/>
      <c r="E14" s="159"/>
      <c r="F14" s="173" t="s">
        <v>129</v>
      </c>
      <c r="G14" s="173" t="s">
        <v>132</v>
      </c>
      <c r="H14" s="173" t="str">
        <f>H6</f>
        <v>%-но 2026г(№1-9)., без НДС</v>
      </c>
      <c r="I14" s="173" t="s">
        <v>134</v>
      </c>
      <c r="J14" s="173" t="s">
        <v>130</v>
      </c>
      <c r="K14" s="159"/>
      <c r="L14" s="173" t="s">
        <v>129</v>
      </c>
      <c r="M14" s="173" t="s">
        <v>132</v>
      </c>
      <c r="N14" s="173" t="s">
        <v>133</v>
      </c>
      <c r="O14" s="173" t="s">
        <v>134</v>
      </c>
      <c r="P14" s="173" t="s">
        <v>130</v>
      </c>
      <c r="Q14" s="169" t="s">
        <v>139</v>
      </c>
      <c r="R14" s="159"/>
      <c r="S14" s="171" t="s">
        <v>131</v>
      </c>
      <c r="T14" s="159"/>
    </row>
    <row r="15" spans="1:21" ht="30" x14ac:dyDescent="0.25">
      <c r="A15" s="162" t="s">
        <v>127</v>
      </c>
      <c r="B15" s="168">
        <f>J15</f>
        <v>186201617.32480001</v>
      </c>
      <c r="C15" s="168"/>
      <c r="D15" s="165">
        <f>P15</f>
        <v>182138386.02360001</v>
      </c>
      <c r="E15" s="159"/>
      <c r="F15" s="172">
        <v>152693510.27000001</v>
      </c>
      <c r="G15" s="172">
        <v>4223260.2300000004</v>
      </c>
      <c r="H15" s="172">
        <f>H7</f>
        <v>96017312.349999994</v>
      </c>
      <c r="I15" s="172">
        <f>F15-G15-H15</f>
        <v>52452937.690000027</v>
      </c>
      <c r="J15" s="172">
        <f>G15*1.2+((H15+I15)*1.22)</f>
        <v>186201617.32480001</v>
      </c>
      <c r="K15" s="164"/>
      <c r="L15" s="172">
        <v>149362992.81</v>
      </c>
      <c r="M15" s="172">
        <v>4223260.2300000004</v>
      </c>
      <c r="N15" s="172">
        <f>H7</f>
        <v>96017312.349999994</v>
      </c>
      <c r="O15" s="172">
        <f>L15-M15-N15</f>
        <v>49122420.230000019</v>
      </c>
      <c r="P15" s="172">
        <f>M15*1.2+((N15+O15)*1.22)</f>
        <v>182138386.02360001</v>
      </c>
      <c r="Q15" s="165">
        <f>B15/B12</f>
        <v>99928.361606717488</v>
      </c>
      <c r="R15" s="164"/>
      <c r="S15" s="174" t="s">
        <v>137</v>
      </c>
      <c r="T15" s="164"/>
      <c r="U15" s="166"/>
    </row>
    <row r="16" spans="1:21" ht="30" x14ac:dyDescent="0.25">
      <c r="A16" s="162" t="s">
        <v>128</v>
      </c>
      <c r="B16" s="168">
        <f>J16</f>
        <v>190928408.6024</v>
      </c>
      <c r="C16" s="168"/>
      <c r="D16" s="165">
        <f>P16</f>
        <v>186765548.90480003</v>
      </c>
      <c r="E16" s="159"/>
      <c r="F16" s="196">
        <v>156567929.34999999</v>
      </c>
      <c r="G16" s="172">
        <f>G15</f>
        <v>4223260.2300000004</v>
      </c>
      <c r="H16" s="172">
        <f>H15</f>
        <v>96017312.349999994</v>
      </c>
      <c r="I16" s="172">
        <f>F16-G16-H16</f>
        <v>56327356.770000011</v>
      </c>
      <c r="J16" s="172">
        <f>G16*1.2+((H16+I16)*1.22)</f>
        <v>190928408.6024</v>
      </c>
      <c r="K16" s="164"/>
      <c r="L16" s="172">
        <v>153155749.27000001</v>
      </c>
      <c r="M16" s="172">
        <f>M15</f>
        <v>4223260.2300000004</v>
      </c>
      <c r="N16" s="172">
        <f>N15</f>
        <v>96017312.349999994</v>
      </c>
      <c r="O16" s="172">
        <f>L16-M16-N16</f>
        <v>52915176.690000027</v>
      </c>
      <c r="P16" s="172">
        <f>M16*1.2+((N16+O16)*1.22)</f>
        <v>186765548.90480003</v>
      </c>
      <c r="Q16" s="165">
        <f>B16/B12</f>
        <v>102465.07699519645</v>
      </c>
      <c r="R16" s="164"/>
      <c r="S16" s="174" t="s">
        <v>138</v>
      </c>
      <c r="T16" s="164"/>
      <c r="U16" s="166"/>
    </row>
    <row r="17" spans="1:21" x14ac:dyDescent="0.25">
      <c r="A17" s="159"/>
      <c r="B17" s="169"/>
      <c r="C17" s="169"/>
      <c r="D17" s="159"/>
      <c r="E17" s="159"/>
      <c r="F17" s="172"/>
      <c r="G17" s="172"/>
      <c r="H17" s="172"/>
      <c r="I17" s="172"/>
      <c r="J17" s="172"/>
      <c r="K17" s="164"/>
      <c r="L17" s="172"/>
      <c r="M17" s="172"/>
      <c r="N17" s="172"/>
      <c r="O17" s="172"/>
      <c r="P17" s="172"/>
      <c r="Q17" s="164"/>
      <c r="R17" s="164"/>
      <c r="S17" s="164"/>
      <c r="T17" s="164"/>
      <c r="U17" s="166"/>
    </row>
    <row r="18" spans="1:21" ht="30" hidden="1" x14ac:dyDescent="0.25">
      <c r="A18" s="162" t="s">
        <v>144</v>
      </c>
      <c r="B18" s="168">
        <f>J18</f>
        <v>175062563.68000001</v>
      </c>
      <c r="C18" s="168"/>
      <c r="D18" s="159"/>
      <c r="E18" s="159"/>
      <c r="F18" s="172">
        <v>143563138.43000001</v>
      </c>
      <c r="G18" s="172">
        <f>G15</f>
        <v>4223260.2300000004</v>
      </c>
      <c r="H18" s="172">
        <f>H15</f>
        <v>96017312.349999994</v>
      </c>
      <c r="I18" s="172">
        <f>F18-G18-H18</f>
        <v>43322565.850000024</v>
      </c>
      <c r="J18" s="172">
        <f>G18*1.2+((H18+I18)*1.22)</f>
        <v>175062563.68000001</v>
      </c>
      <c r="K18" s="164"/>
      <c r="L18" s="172"/>
      <c r="M18" s="172"/>
      <c r="N18" s="172"/>
      <c r="O18" s="172"/>
      <c r="P18" s="172"/>
      <c r="Q18" s="164"/>
      <c r="R18" s="164"/>
      <c r="S18" s="164"/>
      <c r="T18" s="164"/>
      <c r="U18" s="166"/>
    </row>
    <row r="19" spans="1:21" ht="30" hidden="1" x14ac:dyDescent="0.25">
      <c r="A19" s="162" t="s">
        <v>145</v>
      </c>
      <c r="B19" s="168">
        <f>J19</f>
        <v>179458646.49540001</v>
      </c>
      <c r="C19" s="168"/>
      <c r="D19" s="159"/>
      <c r="E19" s="159"/>
      <c r="F19" s="172">
        <v>147166485</v>
      </c>
      <c r="G19" s="172">
        <f>G18</f>
        <v>4223260.2300000004</v>
      </c>
      <c r="H19" s="172">
        <f>H15</f>
        <v>96017312.349999994</v>
      </c>
      <c r="I19" s="172">
        <f>F19-G19-H19</f>
        <v>46925912.420000017</v>
      </c>
      <c r="J19" s="172">
        <f>G19*1.2+((H19+I19)*1.22)</f>
        <v>179458646.49540001</v>
      </c>
      <c r="K19" s="159"/>
      <c r="L19" s="172"/>
      <c r="M19" s="172"/>
      <c r="N19" s="172"/>
      <c r="O19" s="172"/>
      <c r="P19" s="172"/>
      <c r="Q19" s="159"/>
      <c r="R19" s="159"/>
      <c r="S19" s="159"/>
      <c r="T19" s="159"/>
    </row>
    <row r="20" spans="1:21" x14ac:dyDescent="0.25">
      <c r="A20" s="159"/>
      <c r="B20" s="159"/>
      <c r="C20" s="159"/>
      <c r="D20" s="159"/>
      <c r="E20" s="159"/>
      <c r="F20" s="160"/>
      <c r="G20" s="160"/>
      <c r="H20" s="160"/>
      <c r="I20" s="160"/>
      <c r="J20" s="160"/>
      <c r="K20" s="159"/>
      <c r="L20" s="160"/>
      <c r="M20" s="160"/>
      <c r="N20" s="160"/>
      <c r="O20" s="160"/>
      <c r="P20" s="160"/>
      <c r="Q20" s="159"/>
      <c r="R20" s="159"/>
      <c r="S20" s="159"/>
      <c r="T20" s="159"/>
    </row>
    <row r="21" spans="1:21" x14ac:dyDescent="0.25">
      <c r="A21" s="159"/>
      <c r="B21" s="159"/>
      <c r="C21" s="159"/>
      <c r="D21" s="159"/>
      <c r="E21" s="159"/>
      <c r="F21" s="172"/>
      <c r="G21" s="172"/>
      <c r="H21" s="172"/>
      <c r="I21" s="172"/>
      <c r="J21" s="172"/>
      <c r="K21" s="159"/>
      <c r="L21" s="159"/>
      <c r="M21" s="159"/>
      <c r="N21" s="159"/>
      <c r="O21" s="159"/>
      <c r="P21" s="159"/>
      <c r="Q21" s="159"/>
      <c r="R21" s="159"/>
      <c r="S21" s="159"/>
      <c r="T21" s="159"/>
    </row>
    <row r="22" spans="1:21" x14ac:dyDescent="0.25">
      <c r="A22" s="159"/>
      <c r="B22" s="159"/>
      <c r="C22" s="159"/>
      <c r="D22" s="159"/>
      <c r="E22" s="159"/>
      <c r="F22" s="172"/>
      <c r="G22" s="172"/>
      <c r="H22" s="172"/>
      <c r="I22" s="172"/>
      <c r="J22" s="172"/>
      <c r="K22" s="159"/>
      <c r="L22" s="159"/>
      <c r="M22" s="159"/>
      <c r="N22" s="159"/>
      <c r="O22" s="159"/>
      <c r="P22" s="159"/>
      <c r="Q22" s="159"/>
      <c r="R22" s="159"/>
      <c r="S22" s="159"/>
      <c r="T22" s="159"/>
    </row>
    <row r="23" spans="1:21" x14ac:dyDescent="0.25">
      <c r="F23" s="172"/>
      <c r="G23" s="172"/>
      <c r="H23" s="172"/>
      <c r="I23" s="172"/>
      <c r="J23" s="172"/>
    </row>
  </sheetData>
  <mergeCells count="1">
    <mergeCell ref="B4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C45A-4690-4711-8932-C826054DABE8}">
  <dimension ref="A1:U24"/>
  <sheetViews>
    <sheetView workbookViewId="0">
      <selection activeCell="I15" sqref="I15"/>
    </sheetView>
  </sheetViews>
  <sheetFormatPr defaultRowHeight="15" x14ac:dyDescent="0.25"/>
  <cols>
    <col min="1" max="1" width="32" customWidth="1"/>
    <col min="2" max="2" width="27.42578125" customWidth="1"/>
    <col min="3" max="3" width="17.42578125" customWidth="1"/>
    <col min="4" max="4" width="16.28515625" customWidth="1"/>
    <col min="5" max="5" width="6" customWidth="1"/>
    <col min="6" max="6" width="21.28515625" customWidth="1"/>
    <col min="7" max="7" width="16.28515625" customWidth="1"/>
    <col min="8" max="9" width="17.7109375" customWidth="1"/>
    <col min="10" max="10" width="15" customWidth="1"/>
    <col min="11" max="11" width="10.85546875" customWidth="1"/>
    <col min="12" max="12" width="21.28515625" customWidth="1"/>
    <col min="13" max="13" width="16.28515625" customWidth="1"/>
    <col min="14" max="15" width="17.7109375" customWidth="1"/>
    <col min="16" max="16" width="15" customWidth="1"/>
    <col min="17" max="17" width="17" customWidth="1"/>
    <col min="19" max="19" width="0" hidden="1" customWidth="1"/>
  </cols>
  <sheetData>
    <row r="1" spans="1:21" x14ac:dyDescent="0.25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1:21" x14ac:dyDescent="0.25">
      <c r="A2" s="159"/>
      <c r="B2" s="175" t="s">
        <v>142</v>
      </c>
      <c r="C2" s="159"/>
      <c r="D2" s="159"/>
      <c r="E2" s="159"/>
      <c r="F2" s="160"/>
      <c r="G2" s="160"/>
      <c r="H2" s="160"/>
      <c r="I2" s="160"/>
      <c r="J2" s="160"/>
      <c r="K2" s="159"/>
      <c r="L2" s="160"/>
      <c r="M2" s="160"/>
      <c r="N2" s="160"/>
      <c r="O2" s="160"/>
      <c r="P2" s="160"/>
      <c r="Q2" s="159"/>
      <c r="R2" s="159"/>
      <c r="S2" s="159"/>
      <c r="T2" s="159"/>
    </row>
    <row r="3" spans="1:21" x14ac:dyDescent="0.25">
      <c r="A3" s="159"/>
      <c r="B3" s="170" t="s">
        <v>140</v>
      </c>
      <c r="C3" s="170"/>
      <c r="D3" s="161"/>
      <c r="E3" s="161"/>
      <c r="F3" s="161"/>
      <c r="G3" s="161"/>
      <c r="H3" s="161"/>
      <c r="I3" s="161"/>
      <c r="J3" s="159"/>
      <c r="K3" s="159"/>
      <c r="L3" s="161"/>
      <c r="M3" s="161"/>
      <c r="N3" s="161"/>
      <c r="O3" s="161"/>
      <c r="P3" s="159"/>
      <c r="Q3" s="159"/>
      <c r="R3" s="159"/>
      <c r="S3" s="159"/>
      <c r="T3" s="159"/>
    </row>
    <row r="4" spans="1:21" x14ac:dyDescent="0.25">
      <c r="A4" s="163" t="s">
        <v>125</v>
      </c>
      <c r="B4" s="194">
        <v>2078.02</v>
      </c>
      <c r="C4" s="163" t="s">
        <v>136</v>
      </c>
      <c r="D4" s="164">
        <f>B5*1.01</f>
        <v>0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</row>
    <row r="5" spans="1:21" x14ac:dyDescent="0.25">
      <c r="A5" s="163" t="s">
        <v>141</v>
      </c>
      <c r="B5" s="194"/>
      <c r="C5" s="163" t="s">
        <v>135</v>
      </c>
      <c r="D5" s="164">
        <f>D4</f>
        <v>0</v>
      </c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</row>
    <row r="6" spans="1:21" ht="30" x14ac:dyDescent="0.25">
      <c r="A6" s="159"/>
      <c r="B6" s="159"/>
      <c r="C6" s="159"/>
      <c r="D6" s="159"/>
      <c r="E6" s="159"/>
      <c r="F6" s="173" t="s">
        <v>129</v>
      </c>
      <c r="G6" s="173" t="s">
        <v>132</v>
      </c>
      <c r="H6" s="173" t="s">
        <v>133</v>
      </c>
      <c r="I6" s="173" t="s">
        <v>134</v>
      </c>
      <c r="J6" s="173" t="s">
        <v>130</v>
      </c>
      <c r="K6" s="159"/>
      <c r="L6" s="159"/>
      <c r="M6" s="159"/>
      <c r="N6" s="159"/>
      <c r="O6" s="159"/>
      <c r="P6" s="159"/>
      <c r="Q6" s="169" t="s">
        <v>139</v>
      </c>
      <c r="R6" s="159"/>
      <c r="S6" s="159"/>
      <c r="T6" s="159"/>
    </row>
    <row r="7" spans="1:21" ht="30" x14ac:dyDescent="0.25">
      <c r="A7" s="162" t="s">
        <v>127</v>
      </c>
      <c r="B7" s="168">
        <f>J7</f>
        <v>207617858.85960001</v>
      </c>
      <c r="C7" s="159"/>
      <c r="D7" s="159"/>
      <c r="E7" s="159"/>
      <c r="F7" s="172">
        <v>170247806.61000001</v>
      </c>
      <c r="G7" s="172">
        <v>4223260.2300000004</v>
      </c>
      <c r="H7" s="172">
        <v>25186732.030000001</v>
      </c>
      <c r="I7" s="172">
        <f>F7-G7-H7</f>
        <v>140837814.35000002</v>
      </c>
      <c r="J7" s="172">
        <f>G7*1.2+((H7+I7)*1.22)</f>
        <v>207617858.85960001</v>
      </c>
      <c r="K7" s="159"/>
      <c r="L7" s="159"/>
      <c r="M7" s="159"/>
      <c r="N7" s="159"/>
      <c r="O7" s="159"/>
      <c r="P7" s="159"/>
      <c r="Q7" s="165">
        <f>B7/B4</f>
        <v>99911.386252105367</v>
      </c>
      <c r="R7" s="159"/>
      <c r="S7" s="159"/>
      <c r="T7" s="159"/>
    </row>
    <row r="8" spans="1:21" ht="30" x14ac:dyDescent="0.25">
      <c r="A8" s="162" t="s">
        <v>128</v>
      </c>
      <c r="B8" s="168">
        <f>J8</f>
        <v>212888062.2322</v>
      </c>
      <c r="C8" s="159"/>
      <c r="D8" s="159"/>
      <c r="E8" s="159"/>
      <c r="F8" s="177">
        <f>'[2]кс-6а корр'!$H$85</f>
        <v>174567645.44</v>
      </c>
      <c r="G8" s="172">
        <v>4223260.2300000004</v>
      </c>
      <c r="H8" s="172">
        <v>25186732.030000001</v>
      </c>
      <c r="I8" s="172">
        <f>F8-G8-H8</f>
        <v>145157653.18000001</v>
      </c>
      <c r="J8" s="172">
        <f>G8*1.2+((H8+I8)*1.22)</f>
        <v>212888062.2322</v>
      </c>
      <c r="K8" s="164"/>
      <c r="L8" s="159"/>
      <c r="M8" s="159"/>
      <c r="N8" s="159"/>
      <c r="O8" s="159"/>
      <c r="P8" s="159"/>
      <c r="Q8" s="165">
        <f>B8/B4</f>
        <v>102447.55210835315</v>
      </c>
      <c r="R8" s="159"/>
      <c r="S8" s="159"/>
      <c r="T8" s="159"/>
    </row>
    <row r="9" spans="1:21" x14ac:dyDescent="0.25">
      <c r="A9" s="162"/>
      <c r="B9" s="168"/>
      <c r="C9" s="159"/>
      <c r="D9" s="159"/>
      <c r="E9" s="159"/>
      <c r="F9" s="172"/>
      <c r="G9" s="172"/>
      <c r="H9" s="172"/>
      <c r="I9" s="172"/>
      <c r="J9" s="172"/>
      <c r="K9" s="164"/>
      <c r="L9" s="159"/>
      <c r="M9" s="159"/>
      <c r="N9" s="159"/>
      <c r="O9" s="159"/>
      <c r="P9" s="159"/>
      <c r="Q9" s="165"/>
      <c r="R9" s="159"/>
      <c r="S9" s="159"/>
      <c r="T9" s="159"/>
    </row>
    <row r="10" spans="1:21" x14ac:dyDescent="0.25">
      <c r="A10" s="159"/>
      <c r="B10" s="175" t="s">
        <v>143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</row>
    <row r="11" spans="1:21" x14ac:dyDescent="0.25">
      <c r="A11" s="159"/>
      <c r="B11" s="170" t="s">
        <v>126</v>
      </c>
      <c r="C11" s="170"/>
      <c r="D11" s="161"/>
      <c r="E11" s="161"/>
      <c r="F11" s="161"/>
      <c r="G11" s="161"/>
      <c r="H11" s="161"/>
      <c r="I11" s="161"/>
      <c r="J11" s="159"/>
      <c r="K11" s="159"/>
      <c r="L11" s="161"/>
      <c r="M11" s="161"/>
      <c r="N11" s="161"/>
      <c r="O11" s="161"/>
      <c r="P11" s="159"/>
      <c r="Q11" s="159"/>
      <c r="R11" s="159"/>
      <c r="S11" s="159"/>
      <c r="T11" s="159"/>
    </row>
    <row r="12" spans="1:21" x14ac:dyDescent="0.25">
      <c r="A12" s="163" t="s">
        <v>125</v>
      </c>
      <c r="B12" s="176">
        <f>B13*1.04</f>
        <v>1863.3510480000002</v>
      </c>
      <c r="C12" s="163" t="s">
        <v>136</v>
      </c>
      <c r="D12" s="164">
        <f>B13*1.01</f>
        <v>1809.600537</v>
      </c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</row>
    <row r="13" spans="1:21" x14ac:dyDescent="0.25">
      <c r="A13" s="163" t="s">
        <v>124</v>
      </c>
      <c r="B13" s="176">
        <f>КМД!E56</f>
        <v>1791.6837</v>
      </c>
      <c r="C13" s="163" t="s">
        <v>135</v>
      </c>
      <c r="D13" s="164">
        <f>D12</f>
        <v>1809.600537</v>
      </c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</row>
    <row r="14" spans="1:21" ht="30" x14ac:dyDescent="0.25">
      <c r="A14" s="159"/>
      <c r="B14" s="159"/>
      <c r="C14" s="159"/>
      <c r="D14" s="167"/>
      <c r="E14" s="159"/>
      <c r="F14" s="173" t="s">
        <v>129</v>
      </c>
      <c r="G14" s="173" t="s">
        <v>132</v>
      </c>
      <c r="H14" s="173" t="s">
        <v>133</v>
      </c>
      <c r="I14" s="173" t="s">
        <v>134</v>
      </c>
      <c r="J14" s="173" t="s">
        <v>130</v>
      </c>
      <c r="K14" s="159"/>
      <c r="L14" s="173" t="s">
        <v>129</v>
      </c>
      <c r="M14" s="173" t="s">
        <v>132</v>
      </c>
      <c r="N14" s="173" t="s">
        <v>133</v>
      </c>
      <c r="O14" s="173" t="s">
        <v>134</v>
      </c>
      <c r="P14" s="173" t="s">
        <v>130</v>
      </c>
      <c r="Q14" s="169" t="s">
        <v>139</v>
      </c>
      <c r="R14" s="159"/>
      <c r="S14" s="171" t="s">
        <v>131</v>
      </c>
      <c r="T14" s="159"/>
    </row>
    <row r="15" spans="1:21" ht="30" x14ac:dyDescent="0.25">
      <c r="A15" s="162" t="s">
        <v>127</v>
      </c>
      <c r="B15" s="168">
        <f>J15</f>
        <v>186327435.53439999</v>
      </c>
      <c r="C15" s="168"/>
      <c r="D15" s="165">
        <f>P15</f>
        <v>182138386.02360001</v>
      </c>
      <c r="E15" s="159"/>
      <c r="F15" s="172">
        <v>152796639.94999999</v>
      </c>
      <c r="G15" s="172">
        <v>4223260.2300000004</v>
      </c>
      <c r="H15" s="172">
        <v>25186732.030000001</v>
      </c>
      <c r="I15" s="172">
        <f>F15-G15-H15</f>
        <v>123386647.69</v>
      </c>
      <c r="J15" s="172">
        <f>G15*1.2+((H15+I15)*1.22)</f>
        <v>186327435.53439999</v>
      </c>
      <c r="K15" s="164"/>
      <c r="L15" s="172">
        <v>149362992.81</v>
      </c>
      <c r="M15" s="172">
        <v>4223260.2300000004</v>
      </c>
      <c r="N15" s="172">
        <v>25186732.030000001</v>
      </c>
      <c r="O15" s="172">
        <f>L15-M15-N15</f>
        <v>119953000.55000001</v>
      </c>
      <c r="P15" s="172">
        <f>M15*1.2+((N15+O15)*1.22)</f>
        <v>182138386.02360001</v>
      </c>
      <c r="Q15" s="165">
        <f>B15/B12</f>
        <v>99995.884154191837</v>
      </c>
      <c r="R15" s="164"/>
      <c r="S15" s="174" t="s">
        <v>137</v>
      </c>
      <c r="T15" s="164"/>
      <c r="U15" s="166"/>
    </row>
    <row r="16" spans="1:21" ht="30" x14ac:dyDescent="0.25">
      <c r="A16" s="162" t="s">
        <v>128</v>
      </c>
      <c r="B16" s="168">
        <f>J16</f>
        <v>191059473.17800003</v>
      </c>
      <c r="C16" s="168"/>
      <c r="D16" s="165">
        <f>P16</f>
        <v>186765548.90480003</v>
      </c>
      <c r="E16" s="159"/>
      <c r="F16" s="172">
        <v>156675359.33000001</v>
      </c>
      <c r="G16" s="172">
        <f>G15</f>
        <v>4223260.2300000004</v>
      </c>
      <c r="H16" s="172">
        <f>H15</f>
        <v>25186732.030000001</v>
      </c>
      <c r="I16" s="172">
        <f>F16-G16-H16</f>
        <v>127265367.07000002</v>
      </c>
      <c r="J16" s="172">
        <f>G16*1.2+((H16+I16)*1.22)</f>
        <v>191059473.17800003</v>
      </c>
      <c r="K16" s="164"/>
      <c r="L16" s="172">
        <v>153155749.27000001</v>
      </c>
      <c r="M16" s="172">
        <f>M15</f>
        <v>4223260.2300000004</v>
      </c>
      <c r="N16" s="172">
        <f>N15</f>
        <v>25186732.030000001</v>
      </c>
      <c r="O16" s="172">
        <f>L16-M16-N16</f>
        <v>123745757.01000002</v>
      </c>
      <c r="P16" s="172">
        <f>M16*1.2+((N16+O16)*1.22)</f>
        <v>186765548.90480003</v>
      </c>
      <c r="Q16" s="165">
        <f>B16/B12</f>
        <v>102535.41509694098</v>
      </c>
      <c r="R16" s="164"/>
      <c r="S16" s="174" t="s">
        <v>138</v>
      </c>
      <c r="T16" s="164"/>
      <c r="U16" s="166"/>
    </row>
    <row r="17" spans="1:21" x14ac:dyDescent="0.25">
      <c r="A17" s="159"/>
      <c r="B17" s="169"/>
      <c r="C17" s="169"/>
      <c r="D17" s="159"/>
      <c r="E17" s="159"/>
      <c r="F17" s="172"/>
      <c r="G17" s="172"/>
      <c r="H17" s="172"/>
      <c r="I17" s="172"/>
      <c r="J17" s="172"/>
      <c r="K17" s="164"/>
      <c r="L17" s="172"/>
      <c r="M17" s="172"/>
      <c r="N17" s="172"/>
      <c r="O17" s="172"/>
      <c r="P17" s="172"/>
      <c r="Q17" s="164"/>
      <c r="R17" s="164"/>
      <c r="S17" s="164"/>
      <c r="T17" s="164"/>
      <c r="U17" s="166"/>
    </row>
    <row r="18" spans="1:21" ht="30" x14ac:dyDescent="0.25">
      <c r="A18" s="162" t="s">
        <v>144</v>
      </c>
      <c r="B18" s="168">
        <f>J18</f>
        <v>175062563.68000001</v>
      </c>
      <c r="C18" s="168"/>
      <c r="D18" s="159"/>
      <c r="E18" s="159"/>
      <c r="F18" s="172">
        <v>143563138.43000001</v>
      </c>
      <c r="G18" s="172">
        <f>G15</f>
        <v>4223260.2300000004</v>
      </c>
      <c r="H18" s="172">
        <f>H15</f>
        <v>25186732.030000001</v>
      </c>
      <c r="I18" s="172">
        <f>F18-G18-H18</f>
        <v>114153146.17000002</v>
      </c>
      <c r="J18" s="172">
        <f>G18*1.2+((H18+I18)*1.22)</f>
        <v>175062563.68000001</v>
      </c>
      <c r="K18" s="164"/>
      <c r="L18" s="172"/>
      <c r="M18" s="172"/>
      <c r="N18" s="172"/>
      <c r="O18" s="172"/>
      <c r="P18" s="172"/>
      <c r="Q18" s="164"/>
      <c r="R18" s="164"/>
      <c r="S18" s="164"/>
      <c r="T18" s="164"/>
      <c r="U18" s="166"/>
    </row>
    <row r="19" spans="1:21" ht="30" x14ac:dyDescent="0.25">
      <c r="A19" s="162" t="s">
        <v>145</v>
      </c>
      <c r="B19" s="168">
        <f>J19</f>
        <v>179458646.49540001</v>
      </c>
      <c r="C19" s="168"/>
      <c r="D19" s="159"/>
      <c r="E19" s="159"/>
      <c r="F19" s="172">
        <v>147166485</v>
      </c>
      <c r="G19" s="172">
        <f>G18</f>
        <v>4223260.2300000004</v>
      </c>
      <c r="H19" s="172">
        <f>H15</f>
        <v>25186732.030000001</v>
      </c>
      <c r="I19" s="172">
        <f>F19-G19-H19</f>
        <v>117756492.74000001</v>
      </c>
      <c r="J19" s="172">
        <f>G19*1.2+((H19+I19)*1.22)</f>
        <v>179458646.49540001</v>
      </c>
      <c r="K19" s="159"/>
      <c r="L19" s="172"/>
      <c r="M19" s="172"/>
      <c r="N19" s="172"/>
      <c r="O19" s="172"/>
      <c r="P19" s="172"/>
      <c r="Q19" s="159"/>
      <c r="R19" s="159"/>
      <c r="S19" s="159"/>
      <c r="T19" s="159"/>
    </row>
    <row r="20" spans="1:21" x14ac:dyDescent="0.25">
      <c r="A20" s="159"/>
      <c r="B20" s="159"/>
      <c r="C20" s="159"/>
      <c r="D20" s="159"/>
      <c r="E20" s="159"/>
      <c r="F20" s="160"/>
      <c r="G20" s="160"/>
      <c r="H20" s="160"/>
      <c r="I20" s="160"/>
      <c r="J20" s="160"/>
      <c r="K20" s="159"/>
      <c r="L20" s="160"/>
      <c r="M20" s="160"/>
      <c r="N20" s="160"/>
      <c r="O20" s="160"/>
      <c r="P20" s="160"/>
      <c r="Q20" s="159"/>
      <c r="R20" s="159"/>
      <c r="S20" s="159"/>
      <c r="T20" s="159"/>
    </row>
    <row r="21" spans="1:21" x14ac:dyDescent="0.25">
      <c r="A21" s="159"/>
      <c r="B21" s="159"/>
      <c r="C21" s="159"/>
      <c r="D21" s="159"/>
      <c r="E21" s="159"/>
      <c r="F21" s="172">
        <v>174567645.44</v>
      </c>
      <c r="G21" s="172" t="e">
        <f>#REF!</f>
        <v>#REF!</v>
      </c>
      <c r="H21" s="172" t="e">
        <f>#REF!</f>
        <v>#REF!</v>
      </c>
      <c r="I21" s="172" t="e">
        <f>F21-G21-H21</f>
        <v>#REF!</v>
      </c>
      <c r="J21" s="172" t="e">
        <f>G21*1.2+((H21+I21)*1.22)</f>
        <v>#REF!</v>
      </c>
      <c r="K21" s="164"/>
      <c r="L21" s="159"/>
      <c r="M21" s="159"/>
      <c r="N21" s="159"/>
      <c r="O21" s="159"/>
      <c r="P21" s="159"/>
      <c r="Q21" s="159"/>
      <c r="R21" s="159"/>
      <c r="S21" s="159"/>
      <c r="T21" s="159"/>
    </row>
    <row r="22" spans="1:21" x14ac:dyDescent="0.25">
      <c r="A22" s="159"/>
      <c r="B22" s="159"/>
      <c r="C22" s="159"/>
      <c r="D22" s="159"/>
      <c r="E22" s="159"/>
      <c r="F22" s="172"/>
      <c r="G22" s="172"/>
      <c r="H22" s="172"/>
      <c r="I22" s="172"/>
      <c r="J22" s="172"/>
      <c r="K22" s="159"/>
      <c r="L22" s="159"/>
      <c r="M22" s="159"/>
      <c r="N22" s="159"/>
      <c r="O22" s="159"/>
      <c r="P22" s="159"/>
      <c r="Q22" s="159"/>
      <c r="R22" s="159"/>
      <c r="S22" s="159"/>
      <c r="T22" s="159"/>
    </row>
    <row r="23" spans="1:21" x14ac:dyDescent="0.25">
      <c r="A23" s="159"/>
      <c r="B23" s="159"/>
      <c r="C23" s="159"/>
      <c r="D23" s="159"/>
      <c r="E23" s="159"/>
      <c r="F23" s="172"/>
      <c r="G23" s="172"/>
      <c r="H23" s="172"/>
      <c r="I23" s="172"/>
      <c r="J23" s="172"/>
      <c r="K23" s="159"/>
      <c r="L23" s="159"/>
      <c r="M23" s="159"/>
      <c r="N23" s="159"/>
      <c r="O23" s="159"/>
      <c r="P23" s="159"/>
      <c r="Q23" s="159"/>
      <c r="R23" s="159"/>
      <c r="S23" s="159"/>
      <c r="T23" s="159"/>
    </row>
    <row r="24" spans="1:21" x14ac:dyDescent="0.25">
      <c r="F24" s="172"/>
      <c r="G24" s="172"/>
      <c r="H24" s="172"/>
      <c r="I24" s="172"/>
      <c r="J24" s="172"/>
    </row>
  </sheetData>
  <mergeCells count="1">
    <mergeCell ref="B4:B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8"/>
  <sheetViews>
    <sheetView zoomScale="130" zoomScaleNormal="130" workbookViewId="0">
      <pane ySplit="5" topLeftCell="A46" activePane="bottomLeft" state="frozen"/>
      <selection pane="bottomLeft" activeCell="I10" sqref="I10:M10"/>
    </sheetView>
  </sheetViews>
  <sheetFormatPr defaultColWidth="9.140625" defaultRowHeight="11.25" customHeight="1" outlineLevelCol="1" x14ac:dyDescent="0.2"/>
  <cols>
    <col min="1" max="1" width="7" style="1" customWidth="1"/>
    <col min="2" max="2" width="32.28515625" style="1" customWidth="1"/>
    <col min="3" max="3" width="23" style="20" hidden="1" customWidth="1"/>
    <col min="4" max="4" width="7" style="20" customWidth="1"/>
    <col min="5" max="5" width="13.85546875" style="20" customWidth="1"/>
    <col min="6" max="6" width="16.140625" style="20" customWidth="1"/>
    <col min="7" max="7" width="11.7109375" style="20" customWidth="1"/>
    <col min="8" max="8" width="13" style="20" customWidth="1"/>
    <col min="9" max="9" width="6.42578125" style="105" bestFit="1" customWidth="1"/>
    <col min="10" max="10" width="11.7109375" style="20" customWidth="1"/>
    <col min="11" max="11" width="7.42578125" style="105" bestFit="1" customWidth="1"/>
    <col min="12" max="12" width="11.7109375" style="20" customWidth="1"/>
    <col min="13" max="13" width="7.28515625" style="105" bestFit="1" customWidth="1"/>
    <col min="14" max="14" width="11.7109375" style="20" customWidth="1"/>
    <col min="15" max="15" width="7.28515625" style="105" hidden="1" customWidth="1" outlineLevel="1"/>
    <col min="16" max="16" width="11.7109375" style="20" hidden="1" customWidth="1" outlineLevel="1"/>
    <col min="17" max="17" width="7.28515625" style="105" hidden="1" customWidth="1" outlineLevel="1"/>
    <col min="18" max="18" width="11.7109375" style="20" hidden="1" customWidth="1" outlineLevel="1"/>
    <col min="19" max="19" width="7.28515625" style="105" hidden="1" customWidth="1" outlineLevel="1"/>
    <col min="20" max="20" width="11.7109375" style="20" hidden="1" customWidth="1" outlineLevel="1"/>
    <col min="21" max="21" width="7.28515625" style="105" hidden="1" customWidth="1" outlineLevel="1"/>
    <col min="22" max="22" width="11.7109375" style="20" hidden="1" customWidth="1" outlineLevel="1"/>
    <col min="23" max="23" width="8.28515625" style="105" customWidth="1" collapsed="1"/>
    <col min="24" max="24" width="13.85546875" style="20" customWidth="1"/>
    <col min="25" max="25" width="8.140625" style="105" customWidth="1"/>
    <col min="26" max="26" width="13.85546875" style="20" customWidth="1"/>
    <col min="27" max="27" width="15.85546875" style="1" customWidth="1"/>
    <col min="28" max="43" width="10.7109375" style="1" customWidth="1"/>
    <col min="44" max="16384" width="9.140625" style="1"/>
  </cols>
  <sheetData>
    <row r="1" spans="1:28" s="16" customFormat="1" ht="15" customHeight="1" x14ac:dyDescent="0.25">
      <c r="A1" s="17" t="s">
        <v>0</v>
      </c>
      <c r="B1" s="17"/>
      <c r="C1" s="21"/>
      <c r="D1" s="21"/>
      <c r="E1" s="21"/>
      <c r="F1" s="21"/>
      <c r="G1" s="21"/>
      <c r="H1" s="21"/>
      <c r="I1" s="91"/>
      <c r="J1" s="21"/>
      <c r="K1" s="91"/>
      <c r="L1" s="21"/>
      <c r="M1" s="91"/>
      <c r="N1" s="21"/>
      <c r="O1" s="91"/>
      <c r="P1" s="21"/>
      <c r="Q1" s="91"/>
      <c r="R1" s="21"/>
      <c r="S1" s="91"/>
      <c r="T1" s="21"/>
      <c r="U1" s="91"/>
      <c r="V1" s="21"/>
      <c r="W1" s="91"/>
      <c r="X1" s="21"/>
      <c r="Y1" s="91"/>
      <c r="Z1" s="21"/>
    </row>
    <row r="2" spans="1:28" s="16" customFormat="1" ht="6.75" customHeight="1" x14ac:dyDescent="0.25">
      <c r="A2" s="3"/>
      <c r="B2" s="18"/>
      <c r="C2" s="4"/>
      <c r="D2" s="4"/>
      <c r="E2" s="4"/>
      <c r="F2" s="4"/>
      <c r="G2" s="4"/>
      <c r="H2" s="4"/>
      <c r="I2" s="92"/>
      <c r="J2" s="4"/>
      <c r="K2" s="92"/>
      <c r="L2" s="4"/>
      <c r="M2" s="92"/>
      <c r="N2" s="4"/>
      <c r="O2" s="92"/>
      <c r="P2" s="4"/>
      <c r="Q2" s="92"/>
      <c r="R2" s="4"/>
      <c r="S2" s="92"/>
      <c r="T2" s="4"/>
      <c r="U2" s="92"/>
      <c r="V2" s="4"/>
      <c r="W2" s="92"/>
      <c r="X2" s="4"/>
      <c r="Y2" s="92"/>
      <c r="Z2" s="4"/>
    </row>
    <row r="3" spans="1:28" s="16" customFormat="1" ht="15" customHeight="1" thickBot="1" x14ac:dyDescent="0.3">
      <c r="A3" s="15" t="s">
        <v>1</v>
      </c>
      <c r="B3" s="15"/>
      <c r="C3" s="22"/>
      <c r="D3" s="22"/>
      <c r="E3" s="22"/>
      <c r="F3" s="22"/>
      <c r="G3" s="22"/>
      <c r="H3" s="22"/>
      <c r="I3" s="93"/>
      <c r="J3" s="22"/>
      <c r="K3" s="93"/>
      <c r="L3" s="22"/>
      <c r="M3" s="93"/>
      <c r="N3" s="22"/>
      <c r="O3" s="93"/>
      <c r="P3" s="22"/>
      <c r="Q3" s="93"/>
      <c r="R3" s="22"/>
      <c r="S3" s="93"/>
      <c r="T3" s="22"/>
      <c r="U3" s="93"/>
      <c r="V3" s="22"/>
      <c r="W3" s="93"/>
      <c r="X3" s="22"/>
      <c r="Y3" s="93"/>
      <c r="Z3" s="22"/>
    </row>
    <row r="4" spans="1:28" s="16" customFormat="1" ht="15" customHeight="1" thickBot="1" x14ac:dyDescent="0.3">
      <c r="A4" s="90" t="s">
        <v>99</v>
      </c>
      <c r="B4" s="2"/>
      <c r="C4" s="4"/>
      <c r="D4" s="4"/>
      <c r="E4" s="4"/>
      <c r="F4" s="4"/>
      <c r="G4" s="4"/>
      <c r="H4" s="4"/>
      <c r="I4" s="190" t="s">
        <v>96</v>
      </c>
      <c r="J4" s="191"/>
      <c r="K4" s="192" t="s">
        <v>105</v>
      </c>
      <c r="L4" s="193"/>
      <c r="M4" s="183" t="s">
        <v>101</v>
      </c>
      <c r="N4" s="184"/>
      <c r="O4" s="183" t="s">
        <v>101</v>
      </c>
      <c r="P4" s="184"/>
      <c r="Q4" s="183" t="s">
        <v>102</v>
      </c>
      <c r="R4" s="184"/>
      <c r="S4" s="183" t="s">
        <v>103</v>
      </c>
      <c r="T4" s="184"/>
      <c r="U4" s="183" t="s">
        <v>104</v>
      </c>
      <c r="V4" s="184"/>
      <c r="W4" s="185" t="s">
        <v>100</v>
      </c>
      <c r="X4" s="186"/>
      <c r="Y4" s="187" t="s">
        <v>97</v>
      </c>
      <c r="Z4" s="188"/>
    </row>
    <row r="5" spans="1:28" s="16" customFormat="1" ht="46.5" customHeight="1" x14ac:dyDescent="0.25">
      <c r="A5" s="71" t="s">
        <v>2</v>
      </c>
      <c r="B5" s="72" t="s">
        <v>3</v>
      </c>
      <c r="C5" s="73" t="s">
        <v>4</v>
      </c>
      <c r="D5" s="72" t="s">
        <v>5</v>
      </c>
      <c r="E5" s="157" t="s">
        <v>116</v>
      </c>
      <c r="F5" s="157" t="s">
        <v>117</v>
      </c>
      <c r="G5" s="75" t="s">
        <v>91</v>
      </c>
      <c r="H5" s="76" t="s">
        <v>92</v>
      </c>
      <c r="I5" s="116" t="s">
        <v>6</v>
      </c>
      <c r="J5" s="117" t="s">
        <v>92</v>
      </c>
      <c r="K5" s="116" t="s">
        <v>6</v>
      </c>
      <c r="L5" s="117" t="s">
        <v>92</v>
      </c>
      <c r="M5" s="116" t="s">
        <v>6</v>
      </c>
      <c r="N5" s="117" t="s">
        <v>92</v>
      </c>
      <c r="O5" s="116" t="s">
        <v>6</v>
      </c>
      <c r="P5" s="117" t="s">
        <v>92</v>
      </c>
      <c r="Q5" s="116" t="s">
        <v>6</v>
      </c>
      <c r="R5" s="117" t="s">
        <v>92</v>
      </c>
      <c r="S5" s="116" t="s">
        <v>6</v>
      </c>
      <c r="T5" s="117" t="s">
        <v>92</v>
      </c>
      <c r="U5" s="116" t="s">
        <v>6</v>
      </c>
      <c r="V5" s="118" t="s">
        <v>92</v>
      </c>
      <c r="W5" s="119" t="s">
        <v>6</v>
      </c>
      <c r="X5" s="120" t="s">
        <v>92</v>
      </c>
      <c r="Y5" s="119" t="s">
        <v>6</v>
      </c>
      <c r="Z5" s="120" t="s">
        <v>92</v>
      </c>
    </row>
    <row r="6" spans="1:28" s="36" customFormat="1" ht="15" customHeight="1" x14ac:dyDescent="0.25">
      <c r="A6" s="124">
        <v>1</v>
      </c>
      <c r="B6" s="12">
        <v>2</v>
      </c>
      <c r="C6" s="52">
        <v>3</v>
      </c>
      <c r="D6" s="12">
        <v>3</v>
      </c>
      <c r="E6" s="125">
        <v>4</v>
      </c>
      <c r="F6" s="125">
        <v>4</v>
      </c>
      <c r="G6" s="125">
        <v>5</v>
      </c>
      <c r="H6" s="125">
        <v>6</v>
      </c>
      <c r="I6" s="121">
        <v>7</v>
      </c>
      <c r="J6" s="121">
        <v>8</v>
      </c>
      <c r="K6" s="121">
        <v>9</v>
      </c>
      <c r="L6" s="121">
        <v>10</v>
      </c>
      <c r="M6" s="121">
        <v>11</v>
      </c>
      <c r="N6" s="121">
        <v>12</v>
      </c>
      <c r="O6" s="121">
        <v>13</v>
      </c>
      <c r="P6" s="121">
        <v>14</v>
      </c>
      <c r="Q6" s="121">
        <v>15</v>
      </c>
      <c r="R6" s="121">
        <v>16</v>
      </c>
      <c r="S6" s="121">
        <v>17</v>
      </c>
      <c r="T6" s="121">
        <v>18</v>
      </c>
      <c r="U6" s="121">
        <v>19</v>
      </c>
      <c r="V6" s="122">
        <v>20</v>
      </c>
      <c r="W6" s="126">
        <v>21</v>
      </c>
      <c r="X6" s="123">
        <v>22</v>
      </c>
      <c r="Y6" s="126">
        <v>21</v>
      </c>
      <c r="Z6" s="123">
        <v>22</v>
      </c>
    </row>
    <row r="7" spans="1:28" s="16" customFormat="1" ht="15" customHeight="1" x14ac:dyDescent="0.25">
      <c r="A7" s="77" t="s">
        <v>7</v>
      </c>
      <c r="B7" s="19"/>
      <c r="C7" s="23"/>
      <c r="D7" s="23"/>
      <c r="E7" s="23"/>
      <c r="F7" s="23"/>
      <c r="G7" s="23"/>
      <c r="H7" s="23"/>
      <c r="I7" s="94"/>
      <c r="J7" s="23"/>
      <c r="K7" s="94"/>
      <c r="L7" s="23"/>
      <c r="M7" s="94"/>
      <c r="N7" s="23"/>
      <c r="O7" s="94"/>
      <c r="P7" s="23"/>
      <c r="Q7" s="94"/>
      <c r="R7" s="23"/>
      <c r="S7" s="94"/>
      <c r="T7" s="23"/>
      <c r="U7" s="94"/>
      <c r="V7" s="66"/>
      <c r="W7" s="106"/>
      <c r="X7" s="69"/>
      <c r="Y7" s="106"/>
      <c r="Z7" s="69"/>
    </row>
    <row r="8" spans="1:28" s="16" customFormat="1" ht="45" x14ac:dyDescent="0.25">
      <c r="A8" s="78" t="s">
        <v>8</v>
      </c>
      <c r="B8" s="9" t="s">
        <v>9</v>
      </c>
      <c r="C8" s="6" t="s">
        <v>10</v>
      </c>
      <c r="D8" s="11" t="s">
        <v>98</v>
      </c>
      <c r="E8" s="152">
        <f>(290.8113-8.9)*1.04</f>
        <v>293.18775200000005</v>
      </c>
      <c r="F8" s="25">
        <v>404.35199999999998</v>
      </c>
      <c r="G8" s="30">
        <f>H8/E8</f>
        <v>47257.240507100025</v>
      </c>
      <c r="H8" s="30">
        <v>13855244.109999999</v>
      </c>
      <c r="I8" s="142">
        <v>17.760999999999999</v>
      </c>
      <c r="J8" s="30">
        <f>G8*I8</f>
        <v>839335.84864660352</v>
      </c>
      <c r="K8" s="142">
        <v>34.200000000000003</v>
      </c>
      <c r="L8" s="30">
        <f>G8*K8</f>
        <v>1616197.625342821</v>
      </c>
      <c r="M8" s="95">
        <v>42.774999999999999</v>
      </c>
      <c r="N8" s="30">
        <f>G8*M8</f>
        <v>2021428.4626912035</v>
      </c>
      <c r="O8" s="95"/>
      <c r="P8" s="30">
        <f>G8*O8</f>
        <v>0</v>
      </c>
      <c r="Q8" s="95"/>
      <c r="R8" s="30">
        <f>G8*Q8</f>
        <v>0</v>
      </c>
      <c r="S8" s="95"/>
      <c r="T8" s="30">
        <f>G8*S8</f>
        <v>0</v>
      </c>
      <c r="U8" s="95"/>
      <c r="V8" s="53">
        <f>G8*U8</f>
        <v>0</v>
      </c>
      <c r="W8" s="107">
        <f>I8+K8+M8+O8+Q8+S8+U8</f>
        <v>94.73599999999999</v>
      </c>
      <c r="X8" s="59">
        <f>J8+L8+N8+P8+R8+T8+V8</f>
        <v>4476961.936680628</v>
      </c>
      <c r="Y8" s="107">
        <f>E8-W8</f>
        <v>198.45175200000006</v>
      </c>
      <c r="Z8" s="59">
        <f>H8-X8</f>
        <v>9378282.1733193714</v>
      </c>
      <c r="AA8" s="143">
        <f>W58</f>
        <v>0</v>
      </c>
      <c r="AB8" s="10">
        <f>W8+AA8</f>
        <v>94.73599999999999</v>
      </c>
    </row>
    <row r="9" spans="1:28" s="16" customFormat="1" ht="45" x14ac:dyDescent="0.25">
      <c r="A9" s="78" t="s">
        <v>11</v>
      </c>
      <c r="B9" s="9" t="s">
        <v>12</v>
      </c>
      <c r="C9" s="6" t="s">
        <v>13</v>
      </c>
      <c r="D9" s="6" t="s">
        <v>98</v>
      </c>
      <c r="E9" s="152">
        <f>8.9*1.04</f>
        <v>9.2560000000000002</v>
      </c>
      <c r="F9" s="25">
        <v>9.2560000000000002</v>
      </c>
      <c r="G9" s="30">
        <f>H9/E9</f>
        <v>18896.298617113225</v>
      </c>
      <c r="H9" s="30">
        <v>174904.14</v>
      </c>
      <c r="I9" s="95"/>
      <c r="J9" s="30">
        <f>G9*I9</f>
        <v>0</v>
      </c>
      <c r="K9" s="95"/>
      <c r="L9" s="30">
        <f>G9*K9</f>
        <v>0</v>
      </c>
      <c r="M9" s="95"/>
      <c r="N9" s="30">
        <f>G9*M9</f>
        <v>0</v>
      </c>
      <c r="O9" s="95"/>
      <c r="P9" s="30">
        <f>G9*O9</f>
        <v>0</v>
      </c>
      <c r="Q9" s="95"/>
      <c r="R9" s="30">
        <f>G9*Q9</f>
        <v>0</v>
      </c>
      <c r="S9" s="95"/>
      <c r="T9" s="30">
        <f>G9*S9</f>
        <v>0</v>
      </c>
      <c r="U9" s="95"/>
      <c r="V9" s="53">
        <f>G9*U9</f>
        <v>0</v>
      </c>
      <c r="W9" s="107">
        <f>I9+K9+M9+O9+Q9+S9+U9</f>
        <v>0</v>
      </c>
      <c r="X9" s="59">
        <f>J9+L9+N9+P9+R9+T9+V9</f>
        <v>0</v>
      </c>
      <c r="Y9" s="107">
        <f>E9-W9</f>
        <v>9.2560000000000002</v>
      </c>
      <c r="Z9" s="59">
        <f>H9-X9</f>
        <v>174904.14</v>
      </c>
    </row>
    <row r="10" spans="1:28" s="16" customFormat="1" ht="15" x14ac:dyDescent="0.25">
      <c r="A10" s="132" t="s">
        <v>14</v>
      </c>
      <c r="B10" s="133" t="s">
        <v>15</v>
      </c>
      <c r="C10" s="6" t="s">
        <v>16</v>
      </c>
      <c r="D10" s="6" t="s">
        <v>17</v>
      </c>
      <c r="E10" s="140">
        <f>(E8+E9)/1.04</f>
        <v>290.81130000000002</v>
      </c>
      <c r="F10" s="140">
        <v>413.608</v>
      </c>
      <c r="G10" s="30"/>
      <c r="H10" s="31"/>
      <c r="I10" s="129">
        <f>I8</f>
        <v>17.760999999999999</v>
      </c>
      <c r="J10" s="31"/>
      <c r="K10" s="129">
        <f>K8</f>
        <v>34.200000000000003</v>
      </c>
      <c r="L10" s="31"/>
      <c r="M10" s="129">
        <v>41.104999999999997</v>
      </c>
      <c r="N10" s="31"/>
      <c r="O10" s="129"/>
      <c r="P10" s="31"/>
      <c r="Q10" s="129"/>
      <c r="R10" s="31"/>
      <c r="S10" s="129"/>
      <c r="T10" s="31"/>
      <c r="U10" s="129"/>
      <c r="V10" s="67"/>
      <c r="W10" s="130">
        <f>I10+K10+M10+O10+Q10+S10+U10</f>
        <v>93.066000000000003</v>
      </c>
      <c r="X10" s="70"/>
      <c r="Y10" s="130">
        <f>E10-W10</f>
        <v>197.74530000000001</v>
      </c>
      <c r="Z10" s="70"/>
    </row>
    <row r="11" spans="1:28" s="16" customFormat="1" ht="15" customHeight="1" x14ac:dyDescent="0.25">
      <c r="A11" s="77" t="s">
        <v>18</v>
      </c>
      <c r="B11" s="19"/>
      <c r="C11" s="23"/>
      <c r="D11" s="23"/>
      <c r="E11" s="23"/>
      <c r="F11" s="23"/>
      <c r="G11" s="23"/>
      <c r="H11" s="23"/>
      <c r="I11" s="94"/>
      <c r="J11" s="23"/>
      <c r="K11" s="94"/>
      <c r="L11" s="23"/>
      <c r="M11" s="94"/>
      <c r="N11" s="23"/>
      <c r="O11" s="94"/>
      <c r="P11" s="23"/>
      <c r="Q11" s="94"/>
      <c r="R11" s="23"/>
      <c r="S11" s="94"/>
      <c r="T11" s="23"/>
      <c r="U11" s="94"/>
      <c r="V11" s="66"/>
      <c r="W11" s="106"/>
      <c r="X11" s="69"/>
      <c r="Y11" s="106"/>
      <c r="Z11" s="69"/>
    </row>
    <row r="12" spans="1:28" s="16" customFormat="1" ht="45" x14ac:dyDescent="0.25">
      <c r="A12" s="78" t="s">
        <v>19</v>
      </c>
      <c r="B12" s="9" t="s">
        <v>20</v>
      </c>
      <c r="C12" s="6" t="s">
        <v>21</v>
      </c>
      <c r="D12" s="6" t="s">
        <v>98</v>
      </c>
      <c r="E12" s="152">
        <f>675.107*1.04</f>
        <v>702.11127999999997</v>
      </c>
      <c r="F12" s="25">
        <v>676.62400000000002</v>
      </c>
      <c r="G12" s="30">
        <f>H12/E12</f>
        <v>54268.772537025761</v>
      </c>
      <c r="H12" s="30">
        <v>38102717.350000001</v>
      </c>
      <c r="I12" s="142">
        <v>35.142000000000003</v>
      </c>
      <c r="J12" s="30">
        <f>G12*I12</f>
        <v>1907113.2044961595</v>
      </c>
      <c r="K12" s="142">
        <v>43.41</v>
      </c>
      <c r="L12" s="30">
        <f>G12*K12</f>
        <v>2355807.4158322881</v>
      </c>
      <c r="M12" s="95">
        <v>46.82</v>
      </c>
      <c r="N12" s="30">
        <f>G12*M12</f>
        <v>2540863.9301835462</v>
      </c>
      <c r="O12" s="95"/>
      <c r="P12" s="30">
        <f>G12*O12</f>
        <v>0</v>
      </c>
      <c r="Q12" s="95"/>
      <c r="R12" s="30">
        <f>G12*Q12</f>
        <v>0</v>
      </c>
      <c r="S12" s="95"/>
      <c r="T12" s="30">
        <f>G12*S12</f>
        <v>0</v>
      </c>
      <c r="U12" s="95"/>
      <c r="V12" s="53">
        <f>G12*U12</f>
        <v>0</v>
      </c>
      <c r="W12" s="107">
        <f>I12+K12+M12+O12+Q12+S12+U12</f>
        <v>125.37199999999999</v>
      </c>
      <c r="X12" s="59">
        <f>J12+L12+N12+P12+R12+T12+V12</f>
        <v>6803784.5505119935</v>
      </c>
      <c r="Y12" s="107">
        <f>E12-W12</f>
        <v>576.73928000000001</v>
      </c>
      <c r="Z12" s="59">
        <f>H12-X12</f>
        <v>31298932.799488008</v>
      </c>
    </row>
    <row r="13" spans="1:28" s="16" customFormat="1" ht="15" x14ac:dyDescent="0.25">
      <c r="A13" s="132" t="s">
        <v>22</v>
      </c>
      <c r="B13" s="133" t="s">
        <v>15</v>
      </c>
      <c r="C13" s="6" t="s">
        <v>16</v>
      </c>
      <c r="D13" s="6" t="s">
        <v>17</v>
      </c>
      <c r="E13" s="140">
        <f>E12/1.04</f>
        <v>675.10699999999997</v>
      </c>
      <c r="F13" s="140">
        <v>676.62400000000002</v>
      </c>
      <c r="G13" s="30"/>
      <c r="H13" s="31"/>
      <c r="I13" s="129">
        <f>I12</f>
        <v>35.142000000000003</v>
      </c>
      <c r="J13" s="31"/>
      <c r="K13" s="129">
        <f>K12</f>
        <v>43.41</v>
      </c>
      <c r="L13" s="31"/>
      <c r="M13" s="129">
        <v>45.018999999999998</v>
      </c>
      <c r="N13" s="31"/>
      <c r="O13" s="129"/>
      <c r="P13" s="31"/>
      <c r="Q13" s="129"/>
      <c r="R13" s="31"/>
      <c r="S13" s="129"/>
      <c r="T13" s="31"/>
      <c r="U13" s="129"/>
      <c r="V13" s="67"/>
      <c r="W13" s="130">
        <f>I13+K13+M13+O13+Q13+S13+U13</f>
        <v>123.571</v>
      </c>
      <c r="X13" s="70"/>
      <c r="Y13" s="130">
        <f>E13-W13</f>
        <v>551.53599999999994</v>
      </c>
      <c r="Z13" s="70"/>
    </row>
    <row r="14" spans="1:28" s="16" customFormat="1" ht="15" customHeight="1" x14ac:dyDescent="0.25">
      <c r="A14" s="77" t="s">
        <v>23</v>
      </c>
      <c r="B14" s="19"/>
      <c r="C14" s="23"/>
      <c r="D14" s="23"/>
      <c r="E14" s="23"/>
      <c r="F14" s="23"/>
      <c r="G14" s="23"/>
      <c r="H14" s="23"/>
      <c r="I14" s="135"/>
      <c r="J14" s="136"/>
      <c r="K14" s="135"/>
      <c r="L14" s="23"/>
      <c r="M14" s="94"/>
      <c r="N14" s="23"/>
      <c r="O14" s="94"/>
      <c r="P14" s="23"/>
      <c r="Q14" s="94"/>
      <c r="R14" s="23"/>
      <c r="S14" s="94"/>
      <c r="T14" s="23"/>
      <c r="U14" s="94"/>
      <c r="V14" s="66"/>
      <c r="W14" s="106"/>
      <c r="X14" s="69"/>
      <c r="Y14" s="106"/>
      <c r="Z14" s="69"/>
    </row>
    <row r="15" spans="1:28" s="16" customFormat="1" ht="45" x14ac:dyDescent="0.25">
      <c r="A15" s="78" t="s">
        <v>24</v>
      </c>
      <c r="B15" s="13" t="s">
        <v>20</v>
      </c>
      <c r="C15" s="6" t="s">
        <v>21</v>
      </c>
      <c r="D15" s="6" t="s">
        <v>98</v>
      </c>
      <c r="E15" s="152">
        <f>(266.1833+53.1348)*1.04</f>
        <v>332.09082399999994</v>
      </c>
      <c r="F15" s="25">
        <v>295.15199999999999</v>
      </c>
      <c r="G15" s="30">
        <f>H15/E15</f>
        <v>50049.230598434129</v>
      </c>
      <c r="H15" s="30">
        <v>16620890.23</v>
      </c>
      <c r="I15" s="142">
        <v>29.047000000000001</v>
      </c>
      <c r="J15" s="30">
        <f>G15*I15</f>
        <v>1453780.0011927162</v>
      </c>
      <c r="K15" s="142">
        <v>35.08</v>
      </c>
      <c r="L15" s="30">
        <f>G15*K15</f>
        <v>1755727.0093930692</v>
      </c>
      <c r="M15" s="95">
        <v>22.535</v>
      </c>
      <c r="N15" s="30">
        <f>G15*M15</f>
        <v>1127859.4115357131</v>
      </c>
      <c r="O15" s="95"/>
      <c r="P15" s="30">
        <f>G15*O15</f>
        <v>0</v>
      </c>
      <c r="Q15" s="95"/>
      <c r="R15" s="30">
        <f>G15*Q15</f>
        <v>0</v>
      </c>
      <c r="S15" s="95"/>
      <c r="T15" s="30">
        <f>G15*S15</f>
        <v>0</v>
      </c>
      <c r="U15" s="95"/>
      <c r="V15" s="53">
        <f>G15*U15</f>
        <v>0</v>
      </c>
      <c r="W15" s="107">
        <f>I15+K15+M15+O15+Q15+S15+U15</f>
        <v>86.661999999999992</v>
      </c>
      <c r="X15" s="59">
        <f>J15+L15+N15+P15+R15+T15+V15</f>
        <v>4337366.4221214987</v>
      </c>
      <c r="Y15" s="107">
        <f>E15-W15</f>
        <v>245.42882399999996</v>
      </c>
      <c r="Z15" s="59">
        <f>H15-X15</f>
        <v>12283523.807878502</v>
      </c>
    </row>
    <row r="16" spans="1:28" s="16" customFormat="1" ht="15" x14ac:dyDescent="0.25">
      <c r="A16" s="132" t="s">
        <v>25</v>
      </c>
      <c r="B16" s="133" t="s">
        <v>15</v>
      </c>
      <c r="C16" s="6" t="s">
        <v>16</v>
      </c>
      <c r="D16" s="6" t="s">
        <v>17</v>
      </c>
      <c r="E16" s="140">
        <f>E15/1.04</f>
        <v>319.31809999999996</v>
      </c>
      <c r="F16" s="140">
        <v>295.15199999999999</v>
      </c>
      <c r="G16" s="30"/>
      <c r="H16" s="31"/>
      <c r="I16" s="129">
        <f>I15</f>
        <v>29.047000000000001</v>
      </c>
      <c r="J16" s="31"/>
      <c r="K16" s="129">
        <f>K15</f>
        <v>35.08</v>
      </c>
      <c r="L16" s="31"/>
      <c r="M16" s="129">
        <v>21.667999999999999</v>
      </c>
      <c r="N16" s="31"/>
      <c r="O16" s="129"/>
      <c r="P16" s="31"/>
      <c r="Q16" s="129"/>
      <c r="R16" s="31"/>
      <c r="S16" s="129"/>
      <c r="T16" s="31"/>
      <c r="U16" s="129"/>
      <c r="V16" s="67"/>
      <c r="W16" s="130">
        <f>I16+K16+M16+O16+Q16+S16+U16</f>
        <v>85.794999999999987</v>
      </c>
      <c r="X16" s="70"/>
      <c r="Y16" s="130">
        <f>E16-W16</f>
        <v>233.52309999999997</v>
      </c>
      <c r="Z16" s="70"/>
    </row>
    <row r="17" spans="1:27" s="16" customFormat="1" ht="15" customHeight="1" x14ac:dyDescent="0.25">
      <c r="A17" s="77" t="s">
        <v>26</v>
      </c>
      <c r="B17" s="19"/>
      <c r="C17" s="23"/>
      <c r="D17" s="23"/>
      <c r="E17" s="23"/>
      <c r="F17" s="23"/>
      <c r="G17" s="23"/>
      <c r="H17" s="23"/>
      <c r="I17" s="137"/>
      <c r="J17" s="138"/>
      <c r="K17" s="137"/>
      <c r="L17" s="23"/>
      <c r="M17" s="94"/>
      <c r="N17" s="23"/>
      <c r="O17" s="94"/>
      <c r="P17" s="23"/>
      <c r="Q17" s="94"/>
      <c r="R17" s="23"/>
      <c r="S17" s="94"/>
      <c r="T17" s="23"/>
      <c r="U17" s="94"/>
      <c r="V17" s="66"/>
      <c r="W17" s="106"/>
      <c r="X17" s="69"/>
      <c r="Y17" s="106"/>
      <c r="Z17" s="69"/>
    </row>
    <row r="18" spans="1:27" s="16" customFormat="1" ht="45" x14ac:dyDescent="0.25">
      <c r="A18" s="78" t="s">
        <v>27</v>
      </c>
      <c r="B18" s="9" t="s">
        <v>28</v>
      </c>
      <c r="C18" s="6" t="s">
        <v>29</v>
      </c>
      <c r="D18" s="6" t="s">
        <v>98</v>
      </c>
      <c r="E18" s="152">
        <f>218.278*1.04</f>
        <v>227.00912</v>
      </c>
      <c r="F18" s="25">
        <v>284.85599999999999</v>
      </c>
      <c r="G18" s="30">
        <f>H18/E18</f>
        <v>169729.47800511273</v>
      </c>
      <c r="H18" s="30">
        <v>38530139.439999998</v>
      </c>
      <c r="I18" s="95"/>
      <c r="J18" s="30">
        <f>G18*I18</f>
        <v>0</v>
      </c>
      <c r="K18" s="142">
        <v>14.2</v>
      </c>
      <c r="L18" s="30">
        <f>G18*K18</f>
        <v>2410158.5876726005</v>
      </c>
      <c r="M18" s="95">
        <v>33.948999999999998</v>
      </c>
      <c r="N18" s="30">
        <f>G18*M18</f>
        <v>5762146.0487955716</v>
      </c>
      <c r="O18" s="95"/>
      <c r="P18" s="30">
        <f>G18*O18</f>
        <v>0</v>
      </c>
      <c r="Q18" s="95"/>
      <c r="R18" s="30">
        <f>G18*Q18</f>
        <v>0</v>
      </c>
      <c r="S18" s="95"/>
      <c r="T18" s="30">
        <f>G18*S18</f>
        <v>0</v>
      </c>
      <c r="U18" s="95"/>
      <c r="V18" s="53">
        <f>G18*U18</f>
        <v>0</v>
      </c>
      <c r="W18" s="107">
        <f>I18+K18+M18+O18+Q18+S18+U18</f>
        <v>48.149000000000001</v>
      </c>
      <c r="X18" s="59">
        <f>J18+L18+N18+P18+R18+T18+V18</f>
        <v>8172304.6364681721</v>
      </c>
      <c r="Y18" s="107">
        <f>E18-W18</f>
        <v>178.86011999999999</v>
      </c>
      <c r="Z18" s="59">
        <f>H18-X18</f>
        <v>30357834.803531826</v>
      </c>
    </row>
    <row r="19" spans="1:27" s="16" customFormat="1" ht="15" x14ac:dyDescent="0.25">
      <c r="A19" s="132" t="s">
        <v>30</v>
      </c>
      <c r="B19" s="134" t="s">
        <v>15</v>
      </c>
      <c r="C19" s="6" t="s">
        <v>16</v>
      </c>
      <c r="D19" s="6" t="s">
        <v>17</v>
      </c>
      <c r="E19" s="140">
        <f>E18/1.04</f>
        <v>218.27799999999999</v>
      </c>
      <c r="F19" s="140">
        <v>284.85599999999999</v>
      </c>
      <c r="G19" s="30"/>
      <c r="H19" s="31"/>
      <c r="I19" s="129"/>
      <c r="J19" s="31"/>
      <c r="K19" s="129">
        <f>K18</f>
        <v>14.2</v>
      </c>
      <c r="L19" s="31"/>
      <c r="M19" s="129">
        <v>32.643000000000001</v>
      </c>
      <c r="N19" s="31"/>
      <c r="O19" s="129"/>
      <c r="P19" s="31"/>
      <c r="Q19" s="129"/>
      <c r="R19" s="31"/>
      <c r="S19" s="129"/>
      <c r="T19" s="31"/>
      <c r="U19" s="129"/>
      <c r="V19" s="67"/>
      <c r="W19" s="130">
        <f>I19+K19+M19+O19+Q19+S19+U19</f>
        <v>46.843000000000004</v>
      </c>
      <c r="X19" s="70"/>
      <c r="Y19" s="130">
        <f>E19-W19</f>
        <v>171.435</v>
      </c>
      <c r="Z19" s="70"/>
    </row>
    <row r="20" spans="1:27" s="16" customFormat="1" ht="15" customHeight="1" x14ac:dyDescent="0.25">
      <c r="A20" s="77" t="s">
        <v>31</v>
      </c>
      <c r="B20" s="19"/>
      <c r="C20" s="23"/>
      <c r="D20" s="23"/>
      <c r="E20" s="23"/>
      <c r="F20" s="23"/>
      <c r="G20" s="23"/>
      <c r="H20" s="23"/>
      <c r="I20" s="94"/>
      <c r="J20" s="23"/>
      <c r="K20" s="94"/>
      <c r="L20" s="23"/>
      <c r="M20" s="94"/>
      <c r="N20" s="23"/>
      <c r="O20" s="94"/>
      <c r="P20" s="23"/>
      <c r="Q20" s="94"/>
      <c r="R20" s="23"/>
      <c r="S20" s="94"/>
      <c r="T20" s="23"/>
      <c r="U20" s="94"/>
      <c r="V20" s="66"/>
      <c r="W20" s="106"/>
      <c r="X20" s="69"/>
      <c r="Y20" s="106"/>
      <c r="Z20" s="69"/>
    </row>
    <row r="21" spans="1:27" s="16" customFormat="1" ht="15" x14ac:dyDescent="0.25">
      <c r="A21" s="78" t="s">
        <v>32</v>
      </c>
      <c r="B21" s="9" t="s">
        <v>33</v>
      </c>
      <c r="C21" s="6" t="s">
        <v>34</v>
      </c>
      <c r="D21" s="6" t="s">
        <v>98</v>
      </c>
      <c r="E21" s="152">
        <f>56.3763*1.04</f>
        <v>58.631352</v>
      </c>
      <c r="F21" s="25">
        <v>103.27200000000001</v>
      </c>
      <c r="G21" s="30">
        <f>H21/E21</f>
        <v>139469.14715526259</v>
      </c>
      <c r="H21" s="30">
        <v>8177264.6600000001</v>
      </c>
      <c r="I21" s="95"/>
      <c r="J21" s="30">
        <f>G21*I21</f>
        <v>0</v>
      </c>
      <c r="K21" s="139"/>
      <c r="L21" s="30">
        <f>G21*K21</f>
        <v>0</v>
      </c>
      <c r="M21" s="95"/>
      <c r="N21" s="30">
        <f>G21*M21</f>
        <v>0</v>
      </c>
      <c r="O21" s="95"/>
      <c r="P21" s="30">
        <f>G21*O21</f>
        <v>0</v>
      </c>
      <c r="Q21" s="95"/>
      <c r="R21" s="30">
        <f>G21*Q21</f>
        <v>0</v>
      </c>
      <c r="S21" s="95"/>
      <c r="T21" s="30">
        <f>G21*S21</f>
        <v>0</v>
      </c>
      <c r="U21" s="95"/>
      <c r="V21" s="53">
        <f>G21*U21</f>
        <v>0</v>
      </c>
      <c r="W21" s="107">
        <f>I21+K21+M21+O21+Q21+S21+U21</f>
        <v>0</v>
      </c>
      <c r="X21" s="59">
        <f>J21+L21+N21+P21+R21+T21+V21</f>
        <v>0</v>
      </c>
      <c r="Y21" s="107">
        <f>E21-W21</f>
        <v>58.631352</v>
      </c>
      <c r="Z21" s="59">
        <f>H21-X21</f>
        <v>8177264.6600000001</v>
      </c>
    </row>
    <row r="22" spans="1:27" s="16" customFormat="1" ht="22.5" x14ac:dyDescent="0.25">
      <c r="A22" s="78" t="s">
        <v>35</v>
      </c>
      <c r="B22" s="9" t="s">
        <v>36</v>
      </c>
      <c r="C22" s="6" t="s">
        <v>37</v>
      </c>
      <c r="D22" s="6" t="s">
        <v>17</v>
      </c>
      <c r="E22" s="26">
        <v>1.0327200000000001</v>
      </c>
      <c r="F22" s="26">
        <v>1.0327200000000001</v>
      </c>
      <c r="G22" s="30"/>
      <c r="H22" s="31"/>
      <c r="I22" s="96"/>
      <c r="J22" s="31"/>
      <c r="K22" s="96"/>
      <c r="L22" s="31"/>
      <c r="M22" s="96"/>
      <c r="N22" s="31"/>
      <c r="O22" s="96"/>
      <c r="P22" s="31"/>
      <c r="Q22" s="96"/>
      <c r="R22" s="31"/>
      <c r="S22" s="96"/>
      <c r="T22" s="31"/>
      <c r="U22" s="96"/>
      <c r="V22" s="67"/>
      <c r="W22" s="108"/>
      <c r="X22" s="70"/>
      <c r="Y22" s="108"/>
      <c r="Z22" s="70"/>
    </row>
    <row r="23" spans="1:27" s="16" customFormat="1" ht="15" x14ac:dyDescent="0.25">
      <c r="A23" s="132" t="s">
        <v>38</v>
      </c>
      <c r="B23" s="134" t="s">
        <v>15</v>
      </c>
      <c r="C23" s="6" t="s">
        <v>16</v>
      </c>
      <c r="D23" s="6" t="s">
        <v>17</v>
      </c>
      <c r="E23" s="140">
        <f>E21/1.04</f>
        <v>56.376300000000001</v>
      </c>
      <c r="F23" s="140">
        <v>103.27200000000001</v>
      </c>
      <c r="G23" s="30"/>
      <c r="H23" s="31"/>
      <c r="I23" s="129"/>
      <c r="J23" s="31"/>
      <c r="K23" s="129"/>
      <c r="L23" s="31"/>
      <c r="M23" s="129"/>
      <c r="N23" s="31"/>
      <c r="O23" s="129"/>
      <c r="P23" s="31"/>
      <c r="Q23" s="129"/>
      <c r="R23" s="31"/>
      <c r="S23" s="129"/>
      <c r="T23" s="31"/>
      <c r="U23" s="129"/>
      <c r="V23" s="67"/>
      <c r="W23" s="130">
        <f>I23+K23+M23+O23+Q23+S23+U23</f>
        <v>0</v>
      </c>
      <c r="X23" s="70"/>
      <c r="Y23" s="130">
        <f>E23-W23</f>
        <v>56.376300000000001</v>
      </c>
      <c r="Z23" s="70"/>
    </row>
    <row r="24" spans="1:27" s="16" customFormat="1" ht="15" customHeight="1" x14ac:dyDescent="0.25">
      <c r="A24" s="77" t="s">
        <v>39</v>
      </c>
      <c r="B24" s="19"/>
      <c r="C24" s="23"/>
      <c r="D24" s="23"/>
      <c r="E24" s="23"/>
      <c r="F24" s="23"/>
      <c r="G24" s="23"/>
      <c r="H24" s="23"/>
      <c r="I24" s="94"/>
      <c r="J24" s="23"/>
      <c r="K24" s="94"/>
      <c r="L24" s="23"/>
      <c r="M24" s="94"/>
      <c r="N24" s="23"/>
      <c r="O24" s="94"/>
      <c r="P24" s="23"/>
      <c r="Q24" s="94"/>
      <c r="R24" s="23"/>
      <c r="S24" s="94"/>
      <c r="T24" s="23"/>
      <c r="U24" s="94"/>
      <c r="V24" s="66"/>
      <c r="W24" s="106"/>
      <c r="X24" s="69"/>
      <c r="Y24" s="106"/>
      <c r="Z24" s="69"/>
    </row>
    <row r="25" spans="1:27" s="16" customFormat="1" ht="15" customHeight="1" x14ac:dyDescent="0.25">
      <c r="A25" s="79" t="s">
        <v>40</v>
      </c>
      <c r="B25" s="14"/>
      <c r="C25" s="5"/>
      <c r="D25" s="5"/>
      <c r="E25" s="7"/>
      <c r="F25" s="7"/>
      <c r="G25" s="7"/>
      <c r="H25" s="7"/>
      <c r="I25" s="94"/>
      <c r="J25" s="7"/>
      <c r="K25" s="94"/>
      <c r="L25" s="7"/>
      <c r="M25" s="94"/>
      <c r="N25" s="7"/>
      <c r="O25" s="94"/>
      <c r="P25" s="7"/>
      <c r="Q25" s="94"/>
      <c r="R25" s="7"/>
      <c r="S25" s="94"/>
      <c r="T25" s="7"/>
      <c r="U25" s="94"/>
      <c r="V25" s="8"/>
      <c r="W25" s="106"/>
      <c r="X25" s="68"/>
      <c r="Y25" s="106"/>
      <c r="Z25" s="68"/>
      <c r="AA25" s="1"/>
    </row>
    <row r="26" spans="1:27" s="16" customFormat="1" ht="33.75" x14ac:dyDescent="0.25">
      <c r="A26" s="78" t="s">
        <v>41</v>
      </c>
      <c r="B26" s="9" t="s">
        <v>42</v>
      </c>
      <c r="C26" s="6" t="s">
        <v>43</v>
      </c>
      <c r="D26" s="6" t="s">
        <v>98</v>
      </c>
      <c r="E26" s="152">
        <f>43.76*1.04</f>
        <v>45.510399999999997</v>
      </c>
      <c r="F26" s="25">
        <v>66.872</v>
      </c>
      <c r="G26" s="30">
        <f>H26/E26</f>
        <v>130503.01755203208</v>
      </c>
      <c r="H26" s="30">
        <v>5939244.5300000003</v>
      </c>
      <c r="I26" s="95"/>
      <c r="J26" s="30">
        <f>G26*I26</f>
        <v>0</v>
      </c>
      <c r="K26" s="95"/>
      <c r="L26" s="30">
        <f>G26*K26</f>
        <v>0</v>
      </c>
      <c r="M26" s="95"/>
      <c r="N26" s="30">
        <f>G26*M26</f>
        <v>0</v>
      </c>
      <c r="O26" s="95"/>
      <c r="P26" s="30">
        <f>G26*O26</f>
        <v>0</v>
      </c>
      <c r="Q26" s="95"/>
      <c r="R26" s="30">
        <f>G26*Q26</f>
        <v>0</v>
      </c>
      <c r="S26" s="95"/>
      <c r="T26" s="30">
        <f>G26*S26</f>
        <v>0</v>
      </c>
      <c r="U26" s="95"/>
      <c r="V26" s="53">
        <f>G26*U26</f>
        <v>0</v>
      </c>
      <c r="W26" s="107">
        <f>I26+K26+M26+O26+Q26+S26+U26</f>
        <v>0</v>
      </c>
      <c r="X26" s="59">
        <f>J26+L26+N26+P26+R26+T26+V26</f>
        <v>0</v>
      </c>
      <c r="Y26" s="107">
        <f>E26-W26</f>
        <v>45.510399999999997</v>
      </c>
      <c r="Z26" s="59">
        <f>H26-X26</f>
        <v>5939244.5300000003</v>
      </c>
    </row>
    <row r="27" spans="1:27" s="16" customFormat="1" ht="15" x14ac:dyDescent="0.25">
      <c r="A27" s="132" t="s">
        <v>44</v>
      </c>
      <c r="B27" s="133" t="s">
        <v>15</v>
      </c>
      <c r="C27" s="6" t="s">
        <v>16</v>
      </c>
      <c r="D27" s="6" t="s">
        <v>17</v>
      </c>
      <c r="E27" s="140">
        <f>E26/1.04</f>
        <v>43.76</v>
      </c>
      <c r="F27" s="140">
        <v>66.872</v>
      </c>
      <c r="G27" s="30"/>
      <c r="H27" s="31"/>
      <c r="I27" s="129"/>
      <c r="J27" s="31"/>
      <c r="K27" s="129"/>
      <c r="L27" s="31"/>
      <c r="M27" s="129"/>
      <c r="N27" s="31"/>
      <c r="O27" s="129"/>
      <c r="P27" s="31"/>
      <c r="Q27" s="129"/>
      <c r="R27" s="31"/>
      <c r="S27" s="129"/>
      <c r="T27" s="31"/>
      <c r="U27" s="129"/>
      <c r="V27" s="67"/>
      <c r="W27" s="130">
        <f>I27+K27+M27+O27+Q27+S27+U27</f>
        <v>0</v>
      </c>
      <c r="X27" s="70"/>
      <c r="Y27" s="130">
        <f>E27-W27</f>
        <v>43.76</v>
      </c>
      <c r="Z27" s="70"/>
    </row>
    <row r="28" spans="1:27" s="16" customFormat="1" ht="15" customHeight="1" x14ac:dyDescent="0.25">
      <c r="A28" s="77" t="s">
        <v>45</v>
      </c>
      <c r="B28" s="19"/>
      <c r="C28" s="23"/>
      <c r="D28" s="23"/>
      <c r="E28" s="23"/>
      <c r="F28" s="23"/>
      <c r="G28" s="23"/>
      <c r="H28" s="23"/>
      <c r="I28" s="94"/>
      <c r="J28" s="23"/>
      <c r="K28" s="94"/>
      <c r="L28" s="23"/>
      <c r="M28" s="94"/>
      <c r="N28" s="23"/>
      <c r="O28" s="94"/>
      <c r="P28" s="23"/>
      <c r="Q28" s="94"/>
      <c r="R28" s="23"/>
      <c r="S28" s="94"/>
      <c r="T28" s="23"/>
      <c r="U28" s="94"/>
      <c r="V28" s="66"/>
      <c r="W28" s="106"/>
      <c r="X28" s="69"/>
      <c r="Y28" s="106"/>
      <c r="Z28" s="69"/>
    </row>
    <row r="29" spans="1:27" s="16" customFormat="1" ht="33.75" x14ac:dyDescent="0.25">
      <c r="A29" s="78" t="s">
        <v>46</v>
      </c>
      <c r="B29" s="9" t="s">
        <v>47</v>
      </c>
      <c r="C29" s="6" t="s">
        <v>48</v>
      </c>
      <c r="D29" s="6" t="s">
        <v>98</v>
      </c>
      <c r="E29" s="152">
        <f>182.9518*1.04</f>
        <v>190.26987199999999</v>
      </c>
      <c r="F29" s="25">
        <v>233.27199999999999</v>
      </c>
      <c r="G29" s="30">
        <f>H29/E29</f>
        <v>119616.06811823577</v>
      </c>
      <c r="H29" s="30">
        <v>22759333.969999999</v>
      </c>
      <c r="I29" s="95"/>
      <c r="J29" s="30">
        <f>G29*I29</f>
        <v>0</v>
      </c>
      <c r="K29" s="95"/>
      <c r="L29" s="30">
        <f>G29*K29</f>
        <v>0</v>
      </c>
      <c r="M29" s="95"/>
      <c r="N29" s="30">
        <f>G29*M29</f>
        <v>0</v>
      </c>
      <c r="O29" s="95"/>
      <c r="P29" s="30">
        <f>G29*O29</f>
        <v>0</v>
      </c>
      <c r="Q29" s="95"/>
      <c r="R29" s="30">
        <f>G29*Q29</f>
        <v>0</v>
      </c>
      <c r="S29" s="95"/>
      <c r="T29" s="30">
        <f>G29*S29</f>
        <v>0</v>
      </c>
      <c r="U29" s="95"/>
      <c r="V29" s="53">
        <f>G29*U29</f>
        <v>0</v>
      </c>
      <c r="W29" s="107">
        <f>I29+K29+M29+O29+Q29+S29+U29</f>
        <v>0</v>
      </c>
      <c r="X29" s="59">
        <f>J29+L29+N29+P29+R29+T29+V29</f>
        <v>0</v>
      </c>
      <c r="Y29" s="107">
        <f>E29-W29</f>
        <v>190.26987199999999</v>
      </c>
      <c r="Z29" s="59">
        <f>H29-X29</f>
        <v>22759333.969999999</v>
      </c>
    </row>
    <row r="30" spans="1:27" s="16" customFormat="1" ht="15" x14ac:dyDescent="0.25">
      <c r="A30" s="132" t="s">
        <v>49</v>
      </c>
      <c r="B30" s="133" t="s">
        <v>15</v>
      </c>
      <c r="C30" s="6" t="s">
        <v>16</v>
      </c>
      <c r="D30" s="6" t="s">
        <v>17</v>
      </c>
      <c r="E30" s="140">
        <f>E29/1.04</f>
        <v>182.95179999999999</v>
      </c>
      <c r="F30" s="140">
        <v>233.27199999999999</v>
      </c>
      <c r="G30" s="30"/>
      <c r="H30" s="31"/>
      <c r="I30" s="129"/>
      <c r="J30" s="31"/>
      <c r="K30" s="129"/>
      <c r="L30" s="31"/>
      <c r="M30" s="129"/>
      <c r="N30" s="31"/>
      <c r="O30" s="129"/>
      <c r="P30" s="31"/>
      <c r="Q30" s="129"/>
      <c r="R30" s="31"/>
      <c r="S30" s="129"/>
      <c r="T30" s="31"/>
      <c r="U30" s="129"/>
      <c r="V30" s="67"/>
      <c r="W30" s="130">
        <f>I30+K30+M30+O30+Q30+S30+U30</f>
        <v>0</v>
      </c>
      <c r="X30" s="70"/>
      <c r="Y30" s="130">
        <f>E30-W30</f>
        <v>182.95179999999999</v>
      </c>
      <c r="Z30" s="70"/>
    </row>
    <row r="31" spans="1:27" s="16" customFormat="1" ht="33.75" x14ac:dyDescent="0.25">
      <c r="A31" s="78" t="s">
        <v>50</v>
      </c>
      <c r="B31" s="9" t="s">
        <v>51</v>
      </c>
      <c r="C31" s="6" t="s">
        <v>52</v>
      </c>
      <c r="D31" s="6" t="s">
        <v>53</v>
      </c>
      <c r="E31" s="27">
        <v>52.7</v>
      </c>
      <c r="F31" s="27">
        <v>52.7</v>
      </c>
      <c r="G31" s="30">
        <f t="shared" ref="G31:G36" si="0">H31/E31</f>
        <v>81882.556166982919</v>
      </c>
      <c r="H31" s="30">
        <v>4315210.71</v>
      </c>
      <c r="I31" s="97"/>
      <c r="J31" s="30">
        <f>G31*I31</f>
        <v>0</v>
      </c>
      <c r="K31" s="97"/>
      <c r="L31" s="30">
        <f>G31*K31</f>
        <v>0</v>
      </c>
      <c r="M31" s="97"/>
      <c r="N31" s="30">
        <f>G31*M31</f>
        <v>0</v>
      </c>
      <c r="O31" s="97"/>
      <c r="P31" s="30">
        <f>G31*O31</f>
        <v>0</v>
      </c>
      <c r="Q31" s="97"/>
      <c r="R31" s="30">
        <f>G31*Q31</f>
        <v>0</v>
      </c>
      <c r="S31" s="97"/>
      <c r="T31" s="30">
        <f>G31*S31</f>
        <v>0</v>
      </c>
      <c r="U31" s="97"/>
      <c r="V31" s="53">
        <f>G31*U31</f>
        <v>0</v>
      </c>
      <c r="W31" s="107">
        <f>I31+K31+M31+O31+Q31+S31+U31</f>
        <v>0</v>
      </c>
      <c r="X31" s="59">
        <f>J31+L31+N31+P31+R31+T31+V31</f>
        <v>0</v>
      </c>
      <c r="Y31" s="107">
        <f>E31-W31</f>
        <v>52.7</v>
      </c>
      <c r="Z31" s="59">
        <f>H31-X31</f>
        <v>4315210.71</v>
      </c>
    </row>
    <row r="32" spans="1:27" s="16" customFormat="1" ht="15" x14ac:dyDescent="0.25">
      <c r="A32" s="78" t="s">
        <v>54</v>
      </c>
      <c r="B32" s="9" t="s">
        <v>55</v>
      </c>
      <c r="C32" s="6" t="s">
        <v>16</v>
      </c>
      <c r="D32" s="6" t="s">
        <v>17</v>
      </c>
      <c r="E32" s="27">
        <v>56.7</v>
      </c>
      <c r="F32" s="27">
        <v>56.7</v>
      </c>
      <c r="G32" s="30"/>
      <c r="H32" s="31"/>
      <c r="I32" s="97"/>
      <c r="J32" s="31"/>
      <c r="K32" s="97"/>
      <c r="L32" s="31"/>
      <c r="M32" s="97"/>
      <c r="N32" s="31"/>
      <c r="O32" s="97"/>
      <c r="P32" s="31"/>
      <c r="Q32" s="97"/>
      <c r="R32" s="31"/>
      <c r="S32" s="97"/>
      <c r="T32" s="31"/>
      <c r="U32" s="97"/>
      <c r="V32" s="67"/>
      <c r="W32" s="109"/>
      <c r="X32" s="70"/>
      <c r="Y32" s="109"/>
      <c r="Z32" s="70"/>
    </row>
    <row r="33" spans="1:36" s="16" customFormat="1" ht="33.75" x14ac:dyDescent="0.25">
      <c r="A33" s="78" t="s">
        <v>56</v>
      </c>
      <c r="B33" s="13" t="s">
        <v>57</v>
      </c>
      <c r="C33" s="6" t="s">
        <v>58</v>
      </c>
      <c r="D33" s="6" t="s">
        <v>17</v>
      </c>
      <c r="E33" s="28">
        <v>1.8972</v>
      </c>
      <c r="F33" s="28">
        <v>1.8972</v>
      </c>
      <c r="G33" s="30">
        <f t="shared" si="0"/>
        <v>211120.20872865262</v>
      </c>
      <c r="H33" s="30">
        <v>400537.25999999978</v>
      </c>
      <c r="I33" s="98"/>
      <c r="J33" s="30">
        <f>G33*I33</f>
        <v>0</v>
      </c>
      <c r="K33" s="98"/>
      <c r="L33" s="30">
        <f>G33*K33</f>
        <v>0</v>
      </c>
      <c r="M33" s="98"/>
      <c r="N33" s="30">
        <f t="shared" ref="N33:N36" si="1">G33*M33</f>
        <v>0</v>
      </c>
      <c r="O33" s="98"/>
      <c r="P33" s="30">
        <f t="shared" ref="P33:P36" si="2">G33*O33</f>
        <v>0</v>
      </c>
      <c r="Q33" s="98"/>
      <c r="R33" s="30">
        <f t="shared" ref="R33:R36" si="3">G33*Q33</f>
        <v>0</v>
      </c>
      <c r="S33" s="98"/>
      <c r="T33" s="30">
        <f t="shared" ref="T33:T36" si="4">G33*S33</f>
        <v>0</v>
      </c>
      <c r="U33" s="98"/>
      <c r="V33" s="53">
        <f t="shared" ref="V33:V36" si="5">G33*U33</f>
        <v>0</v>
      </c>
      <c r="W33" s="107">
        <f t="shared" ref="W33:W36" si="6">I33+K33+M33+O33+Q33+S33+U33</f>
        <v>0</v>
      </c>
      <c r="X33" s="59">
        <f t="shared" ref="X33:X36" si="7">J33+L33+N33+P33+R33+T33+V33</f>
        <v>0</v>
      </c>
      <c r="Y33" s="107">
        <f t="shared" ref="Y33:Y36" si="8">E33-W33</f>
        <v>1.8972</v>
      </c>
      <c r="Z33" s="59">
        <f t="shared" ref="Z33:Z36" si="9">H33-X33</f>
        <v>400537.25999999978</v>
      </c>
    </row>
    <row r="34" spans="1:36" s="16" customFormat="1" ht="45" x14ac:dyDescent="0.25">
      <c r="A34" s="78" t="s">
        <v>59</v>
      </c>
      <c r="B34" s="9" t="s">
        <v>60</v>
      </c>
      <c r="C34" s="6" t="s">
        <v>61</v>
      </c>
      <c r="D34" s="6" t="s">
        <v>62</v>
      </c>
      <c r="E34" s="28">
        <v>65.675700000000006</v>
      </c>
      <c r="F34" s="28">
        <v>65.675700000000006</v>
      </c>
      <c r="G34" s="30">
        <f t="shared" si="0"/>
        <v>275475.7047127019</v>
      </c>
      <c r="H34" s="30">
        <v>18092059.739999998</v>
      </c>
      <c r="I34" s="98"/>
      <c r="J34" s="30">
        <f>G34*I34</f>
        <v>0</v>
      </c>
      <c r="K34" s="98"/>
      <c r="L34" s="30">
        <f>G34*K34</f>
        <v>0</v>
      </c>
      <c r="M34" s="98"/>
      <c r="N34" s="30">
        <f t="shared" si="1"/>
        <v>0</v>
      </c>
      <c r="O34" s="98"/>
      <c r="P34" s="30">
        <f t="shared" si="2"/>
        <v>0</v>
      </c>
      <c r="Q34" s="98"/>
      <c r="R34" s="30">
        <f t="shared" si="3"/>
        <v>0</v>
      </c>
      <c r="S34" s="98"/>
      <c r="T34" s="30">
        <f t="shared" si="4"/>
        <v>0</v>
      </c>
      <c r="U34" s="98"/>
      <c r="V34" s="53">
        <f t="shared" si="5"/>
        <v>0</v>
      </c>
      <c r="W34" s="107">
        <f t="shared" si="6"/>
        <v>0</v>
      </c>
      <c r="X34" s="59">
        <f t="shared" si="7"/>
        <v>0</v>
      </c>
      <c r="Y34" s="107">
        <f t="shared" si="8"/>
        <v>65.675700000000006</v>
      </c>
      <c r="Z34" s="59">
        <f t="shared" si="9"/>
        <v>18092059.739999998</v>
      </c>
    </row>
    <row r="35" spans="1:36" s="16" customFormat="1" ht="22.5" x14ac:dyDescent="0.25">
      <c r="A35" s="78" t="s">
        <v>63</v>
      </c>
      <c r="B35" s="9" t="s">
        <v>64</v>
      </c>
      <c r="C35" s="6" t="s">
        <v>65</v>
      </c>
      <c r="D35" s="6" t="s">
        <v>17</v>
      </c>
      <c r="E35" s="25">
        <v>3.7959999999999998</v>
      </c>
      <c r="F35" s="25">
        <v>3.7959999999999998</v>
      </c>
      <c r="G35" s="30">
        <f t="shared" si="0"/>
        <v>148109.40024587285</v>
      </c>
      <c r="H35" s="30">
        <v>562223.28333333333</v>
      </c>
      <c r="I35" s="95"/>
      <c r="J35" s="30">
        <f>G35*I35</f>
        <v>0</v>
      </c>
      <c r="K35" s="95"/>
      <c r="L35" s="30">
        <f>G35*K35</f>
        <v>0</v>
      </c>
      <c r="M35" s="95"/>
      <c r="N35" s="30">
        <f t="shared" si="1"/>
        <v>0</v>
      </c>
      <c r="O35" s="95"/>
      <c r="P35" s="30">
        <f t="shared" si="2"/>
        <v>0</v>
      </c>
      <c r="Q35" s="95"/>
      <c r="R35" s="30">
        <f t="shared" si="3"/>
        <v>0</v>
      </c>
      <c r="S35" s="95"/>
      <c r="T35" s="30">
        <f t="shared" si="4"/>
        <v>0</v>
      </c>
      <c r="U35" s="95"/>
      <c r="V35" s="53">
        <f t="shared" si="5"/>
        <v>0</v>
      </c>
      <c r="W35" s="107">
        <f t="shared" si="6"/>
        <v>0</v>
      </c>
      <c r="X35" s="59">
        <f t="shared" si="7"/>
        <v>0</v>
      </c>
      <c r="Y35" s="107">
        <f t="shared" si="8"/>
        <v>3.7959999999999998</v>
      </c>
      <c r="Z35" s="59">
        <f t="shared" si="9"/>
        <v>562223.28333333333</v>
      </c>
    </row>
    <row r="36" spans="1:36" s="16" customFormat="1" ht="33.75" x14ac:dyDescent="0.25">
      <c r="A36" s="78" t="s">
        <v>66</v>
      </c>
      <c r="B36" s="9" t="s">
        <v>57</v>
      </c>
      <c r="C36" s="6" t="s">
        <v>58</v>
      </c>
      <c r="D36" s="6" t="s">
        <v>17</v>
      </c>
      <c r="E36" s="28">
        <v>2.3643000000000001</v>
      </c>
      <c r="F36" s="28">
        <v>2.3643000000000001</v>
      </c>
      <c r="G36" s="30">
        <f t="shared" si="0"/>
        <v>211120.20471175402</v>
      </c>
      <c r="H36" s="30">
        <v>499151.50000000006</v>
      </c>
      <c r="I36" s="98"/>
      <c r="J36" s="30">
        <f>G36*I36</f>
        <v>0</v>
      </c>
      <c r="K36" s="98"/>
      <c r="L36" s="30">
        <f>G36*K36</f>
        <v>0</v>
      </c>
      <c r="M36" s="98"/>
      <c r="N36" s="30">
        <f t="shared" si="1"/>
        <v>0</v>
      </c>
      <c r="O36" s="98"/>
      <c r="P36" s="30">
        <f t="shared" si="2"/>
        <v>0</v>
      </c>
      <c r="Q36" s="98"/>
      <c r="R36" s="30">
        <f t="shared" si="3"/>
        <v>0</v>
      </c>
      <c r="S36" s="98"/>
      <c r="T36" s="30">
        <f t="shared" si="4"/>
        <v>0</v>
      </c>
      <c r="U36" s="98"/>
      <c r="V36" s="53">
        <f t="shared" si="5"/>
        <v>0</v>
      </c>
      <c r="W36" s="107">
        <f t="shared" si="6"/>
        <v>0</v>
      </c>
      <c r="X36" s="59">
        <f t="shared" si="7"/>
        <v>0</v>
      </c>
      <c r="Y36" s="107">
        <f t="shared" si="8"/>
        <v>2.3643000000000001</v>
      </c>
      <c r="Z36" s="59">
        <f t="shared" si="9"/>
        <v>499151.50000000006</v>
      </c>
    </row>
    <row r="37" spans="1:36" s="16" customFormat="1" ht="15" x14ac:dyDescent="0.25">
      <c r="A37" s="78" t="s">
        <v>67</v>
      </c>
      <c r="B37" s="9" t="s">
        <v>68</v>
      </c>
      <c r="C37" s="6" t="s">
        <v>16</v>
      </c>
      <c r="D37" s="6" t="s">
        <v>17</v>
      </c>
      <c r="E37" s="29">
        <v>54</v>
      </c>
      <c r="F37" s="29">
        <v>54</v>
      </c>
      <c r="G37" s="30"/>
      <c r="H37" s="31"/>
      <c r="I37" s="99"/>
      <c r="J37" s="31"/>
      <c r="K37" s="99"/>
      <c r="L37" s="31"/>
      <c r="M37" s="99"/>
      <c r="N37" s="31"/>
      <c r="O37" s="99"/>
      <c r="P37" s="31"/>
      <c r="Q37" s="99"/>
      <c r="R37" s="31"/>
      <c r="S37" s="99"/>
      <c r="T37" s="31"/>
      <c r="U37" s="99"/>
      <c r="V37" s="67"/>
      <c r="W37" s="110"/>
      <c r="X37" s="70"/>
      <c r="Y37" s="110"/>
      <c r="Z37" s="70"/>
    </row>
    <row r="38" spans="1:36" s="16" customFormat="1" ht="15" customHeight="1" x14ac:dyDescent="0.25">
      <c r="A38" s="77" t="s">
        <v>69</v>
      </c>
      <c r="B38" s="19"/>
      <c r="C38" s="23"/>
      <c r="D38" s="23"/>
      <c r="E38" s="23"/>
      <c r="F38" s="23"/>
      <c r="G38" s="23"/>
      <c r="H38" s="23"/>
      <c r="I38" s="94"/>
      <c r="J38" s="23"/>
      <c r="K38" s="94"/>
      <c r="L38" s="23"/>
      <c r="M38" s="94"/>
      <c r="N38" s="23"/>
      <c r="O38" s="94"/>
      <c r="P38" s="23"/>
      <c r="Q38" s="94"/>
      <c r="R38" s="23"/>
      <c r="S38" s="94"/>
      <c r="T38" s="23"/>
      <c r="U38" s="94"/>
      <c r="V38" s="66"/>
      <c r="W38" s="106"/>
      <c r="X38" s="69"/>
      <c r="Y38" s="106"/>
      <c r="Z38" s="69"/>
    </row>
    <row r="39" spans="1:36" s="16" customFormat="1" ht="45" x14ac:dyDescent="0.25">
      <c r="A39" s="78" t="s">
        <v>70</v>
      </c>
      <c r="B39" s="9" t="s">
        <v>71</v>
      </c>
      <c r="C39" s="6" t="s">
        <v>72</v>
      </c>
      <c r="D39" s="6" t="s">
        <v>73</v>
      </c>
      <c r="E39" s="152">
        <f>5.0812*1.04</f>
        <v>5.2844480000000003</v>
      </c>
      <c r="F39" s="25">
        <v>4.3680000000000003</v>
      </c>
      <c r="G39" s="30">
        <f>H39/E39</f>
        <v>172720.02298064053</v>
      </c>
      <c r="H39" s="30">
        <v>912729.98</v>
      </c>
      <c r="I39" s="95"/>
      <c r="J39" s="30">
        <f>G39*I39</f>
        <v>0</v>
      </c>
      <c r="K39" s="95"/>
      <c r="L39" s="30">
        <f>G39*K39</f>
        <v>0</v>
      </c>
      <c r="M39" s="95"/>
      <c r="N39" s="30">
        <f>G39*M39</f>
        <v>0</v>
      </c>
      <c r="O39" s="95"/>
      <c r="P39" s="30">
        <f>G39*O39</f>
        <v>0</v>
      </c>
      <c r="Q39" s="95"/>
      <c r="R39" s="30">
        <f>G39*Q39</f>
        <v>0</v>
      </c>
      <c r="S39" s="95"/>
      <c r="T39" s="30">
        <f>G39*S39</f>
        <v>0</v>
      </c>
      <c r="U39" s="95"/>
      <c r="V39" s="53">
        <f>G39*U39</f>
        <v>0</v>
      </c>
      <c r="W39" s="107">
        <f>I39+K39+M39+O39+Q39+S39+U39</f>
        <v>0</v>
      </c>
      <c r="X39" s="59">
        <f>J39+L39+N39+P39+R39+T39+V39</f>
        <v>0</v>
      </c>
      <c r="Y39" s="107">
        <f>E39-W39</f>
        <v>5.2844480000000003</v>
      </c>
      <c r="Z39" s="59">
        <f>H39-X39</f>
        <v>912729.98</v>
      </c>
    </row>
    <row r="40" spans="1:36" s="16" customFormat="1" ht="15" x14ac:dyDescent="0.25">
      <c r="A40" s="132" t="s">
        <v>74</v>
      </c>
      <c r="B40" s="133" t="s">
        <v>15</v>
      </c>
      <c r="C40" s="6" t="s">
        <v>16</v>
      </c>
      <c r="D40" s="6" t="s">
        <v>17</v>
      </c>
      <c r="E40" s="140">
        <f>E39/1.04</f>
        <v>5.0811999999999999</v>
      </c>
      <c r="F40" s="140">
        <v>4.3680000000000003</v>
      </c>
      <c r="G40" s="30"/>
      <c r="H40" s="31"/>
      <c r="I40" s="129"/>
      <c r="J40" s="31"/>
      <c r="K40" s="129"/>
      <c r="L40" s="31"/>
      <c r="M40" s="129"/>
      <c r="N40" s="31"/>
      <c r="O40" s="129"/>
      <c r="P40" s="31"/>
      <c r="Q40" s="129"/>
      <c r="R40" s="31"/>
      <c r="S40" s="129"/>
      <c r="T40" s="31"/>
      <c r="U40" s="129"/>
      <c r="V40" s="67"/>
      <c r="W40" s="130">
        <f>I40+K40+M40+O40+Q40+S40+U40</f>
        <v>0</v>
      </c>
      <c r="X40" s="70"/>
      <c r="Y40" s="130">
        <f>E40-W40</f>
        <v>5.0811999999999999</v>
      </c>
      <c r="Z40" s="70"/>
    </row>
    <row r="41" spans="1:36" s="16" customFormat="1" ht="15" customHeight="1" x14ac:dyDescent="0.25">
      <c r="A41" s="77" t="s">
        <v>75</v>
      </c>
      <c r="B41" s="19"/>
      <c r="C41" s="23"/>
      <c r="D41" s="23"/>
      <c r="E41" s="23"/>
      <c r="F41" s="23"/>
      <c r="G41" s="23"/>
      <c r="H41" s="23"/>
      <c r="I41" s="94"/>
      <c r="J41" s="23"/>
      <c r="K41" s="94"/>
      <c r="L41" s="23"/>
      <c r="M41" s="94"/>
      <c r="N41" s="23"/>
      <c r="O41" s="94"/>
      <c r="P41" s="23"/>
      <c r="Q41" s="94"/>
      <c r="R41" s="23"/>
      <c r="S41" s="94"/>
      <c r="T41" s="23"/>
      <c r="U41" s="94"/>
      <c r="V41" s="66"/>
      <c r="W41" s="106"/>
      <c r="X41" s="69"/>
      <c r="Y41" s="106"/>
      <c r="Z41" s="69"/>
    </row>
    <row r="42" spans="1:36" s="16" customFormat="1" ht="56.25" x14ac:dyDescent="0.25">
      <c r="A42" s="78" t="s">
        <v>76</v>
      </c>
      <c r="B42" s="9" t="s">
        <v>77</v>
      </c>
      <c r="C42" s="6" t="s">
        <v>78</v>
      </c>
      <c r="D42" s="6" t="s">
        <v>79</v>
      </c>
      <c r="E42" s="28">
        <v>47.659599999999998</v>
      </c>
      <c r="F42" s="28">
        <v>47.659599999999998</v>
      </c>
      <c r="G42" s="30">
        <f>H42/E42</f>
        <v>11614.347721480388</v>
      </c>
      <c r="H42" s="30">
        <v>553535.16666666663</v>
      </c>
      <c r="I42" s="98"/>
      <c r="J42" s="30">
        <f>G42*I42</f>
        <v>0</v>
      </c>
      <c r="K42" s="98"/>
      <c r="L42" s="30">
        <f>G42*K42</f>
        <v>0</v>
      </c>
      <c r="M42" s="98"/>
      <c r="N42" s="30">
        <f t="shared" ref="N42:N45" si="10">G42*M42</f>
        <v>0</v>
      </c>
      <c r="O42" s="98"/>
      <c r="P42" s="30">
        <f t="shared" ref="P42:P45" si="11">G42*O42</f>
        <v>0</v>
      </c>
      <c r="Q42" s="98"/>
      <c r="R42" s="30">
        <f t="shared" ref="R42:R45" si="12">G42*Q42</f>
        <v>0</v>
      </c>
      <c r="S42" s="98"/>
      <c r="T42" s="30">
        <f t="shared" ref="T42:T45" si="13">G42*S42</f>
        <v>0</v>
      </c>
      <c r="U42" s="98"/>
      <c r="V42" s="53">
        <f t="shared" ref="V42:V45" si="14">G42*U42</f>
        <v>0</v>
      </c>
      <c r="W42" s="107">
        <f t="shared" ref="W42:W45" si="15">I42+K42+M42+O42+Q42+S42+U42</f>
        <v>0</v>
      </c>
      <c r="X42" s="59">
        <f t="shared" ref="X42:X45" si="16">J42+L42+N42+P42+R42+T42+V42</f>
        <v>0</v>
      </c>
      <c r="Y42" s="107">
        <f t="shared" ref="Y42:Y45" si="17">E42-W42</f>
        <v>47.659599999999998</v>
      </c>
      <c r="Z42" s="59">
        <f t="shared" ref="Z42:Z45" si="18">H42-X42</f>
        <v>553535.16666666663</v>
      </c>
    </row>
    <row r="43" spans="1:36" s="16" customFormat="1" ht="33.75" x14ac:dyDescent="0.25">
      <c r="A43" s="78" t="s">
        <v>80</v>
      </c>
      <c r="B43" s="9" t="s">
        <v>81</v>
      </c>
      <c r="C43" s="6" t="s">
        <v>82</v>
      </c>
      <c r="D43" s="6" t="s">
        <v>83</v>
      </c>
      <c r="E43" s="27">
        <v>571.9</v>
      </c>
      <c r="F43" s="27">
        <v>571.9</v>
      </c>
      <c r="G43" s="30">
        <f t="shared" ref="G43:G45" si="19">H43/E43</f>
        <v>298.32727166754097</v>
      </c>
      <c r="H43" s="30">
        <v>170613.36666666667</v>
      </c>
      <c r="I43" s="97"/>
      <c r="J43" s="30">
        <f>G43*I43</f>
        <v>0</v>
      </c>
      <c r="K43" s="97"/>
      <c r="L43" s="30">
        <f>G43*K43</f>
        <v>0</v>
      </c>
      <c r="M43" s="97"/>
      <c r="N43" s="30">
        <f t="shared" si="10"/>
        <v>0</v>
      </c>
      <c r="O43" s="97"/>
      <c r="P43" s="30">
        <f t="shared" si="11"/>
        <v>0</v>
      </c>
      <c r="Q43" s="97"/>
      <c r="R43" s="30">
        <f t="shared" si="12"/>
        <v>0</v>
      </c>
      <c r="S43" s="97"/>
      <c r="T43" s="30">
        <f t="shared" si="13"/>
        <v>0</v>
      </c>
      <c r="U43" s="97"/>
      <c r="V43" s="53">
        <f t="shared" si="14"/>
        <v>0</v>
      </c>
      <c r="W43" s="107">
        <f t="shared" si="15"/>
        <v>0</v>
      </c>
      <c r="X43" s="59">
        <f t="shared" si="16"/>
        <v>0</v>
      </c>
      <c r="Y43" s="107">
        <f t="shared" si="17"/>
        <v>571.9</v>
      </c>
      <c r="Z43" s="59">
        <f t="shared" si="18"/>
        <v>170613.36666666667</v>
      </c>
    </row>
    <row r="44" spans="1:36" s="16" customFormat="1" ht="56.25" x14ac:dyDescent="0.25">
      <c r="A44" s="78" t="s">
        <v>84</v>
      </c>
      <c r="B44" s="13" t="s">
        <v>85</v>
      </c>
      <c r="C44" s="6" t="s">
        <v>86</v>
      </c>
      <c r="D44" s="6" t="s">
        <v>79</v>
      </c>
      <c r="E44" s="28">
        <v>20.565200000000001</v>
      </c>
      <c r="F44" s="28">
        <v>20.565200000000001</v>
      </c>
      <c r="G44" s="30">
        <f t="shared" si="19"/>
        <v>14111.306965164451</v>
      </c>
      <c r="H44" s="30">
        <v>290201.84999999998</v>
      </c>
      <c r="I44" s="98"/>
      <c r="J44" s="30">
        <f>G44*I44</f>
        <v>0</v>
      </c>
      <c r="K44" s="98"/>
      <c r="L44" s="30">
        <f>G44*K44</f>
        <v>0</v>
      </c>
      <c r="M44" s="98"/>
      <c r="N44" s="30">
        <f t="shared" si="10"/>
        <v>0</v>
      </c>
      <c r="O44" s="98"/>
      <c r="P44" s="30">
        <f t="shared" si="11"/>
        <v>0</v>
      </c>
      <c r="Q44" s="98"/>
      <c r="R44" s="30">
        <f t="shared" si="12"/>
        <v>0</v>
      </c>
      <c r="S44" s="98"/>
      <c r="T44" s="30">
        <f t="shared" si="13"/>
        <v>0</v>
      </c>
      <c r="U44" s="98"/>
      <c r="V44" s="53">
        <f t="shared" si="14"/>
        <v>0</v>
      </c>
      <c r="W44" s="107">
        <f t="shared" si="15"/>
        <v>0</v>
      </c>
      <c r="X44" s="59">
        <f t="shared" si="16"/>
        <v>0</v>
      </c>
      <c r="Y44" s="107">
        <f t="shared" si="17"/>
        <v>20.565200000000001</v>
      </c>
      <c r="Z44" s="59">
        <f t="shared" si="18"/>
        <v>290201.84999999998</v>
      </c>
    </row>
    <row r="45" spans="1:36" s="16" customFormat="1" ht="34.5" thickBot="1" x14ac:dyDescent="0.3">
      <c r="A45" s="80" t="s">
        <v>87</v>
      </c>
      <c r="B45" s="48" t="s">
        <v>88</v>
      </c>
      <c r="C45" s="6" t="s">
        <v>89</v>
      </c>
      <c r="D45" s="49" t="s">
        <v>83</v>
      </c>
      <c r="E45" s="50">
        <v>781.5</v>
      </c>
      <c r="F45" s="50">
        <v>781.5</v>
      </c>
      <c r="G45" s="51">
        <f t="shared" si="19"/>
        <v>373.39136276391554</v>
      </c>
      <c r="H45" s="51">
        <v>291805.34999999998</v>
      </c>
      <c r="I45" s="100"/>
      <c r="J45" s="51">
        <f>G45*I45</f>
        <v>0</v>
      </c>
      <c r="K45" s="100"/>
      <c r="L45" s="51">
        <f>G45*K45</f>
        <v>0</v>
      </c>
      <c r="M45" s="100"/>
      <c r="N45" s="51">
        <f t="shared" si="10"/>
        <v>0</v>
      </c>
      <c r="O45" s="100"/>
      <c r="P45" s="51">
        <f t="shared" si="11"/>
        <v>0</v>
      </c>
      <c r="Q45" s="100"/>
      <c r="R45" s="51">
        <f t="shared" si="12"/>
        <v>0</v>
      </c>
      <c r="S45" s="100"/>
      <c r="T45" s="51">
        <f t="shared" si="13"/>
        <v>0</v>
      </c>
      <c r="U45" s="100"/>
      <c r="V45" s="54">
        <f t="shared" si="14"/>
        <v>0</v>
      </c>
      <c r="W45" s="111">
        <f t="shared" si="15"/>
        <v>0</v>
      </c>
      <c r="X45" s="60">
        <f t="shared" si="16"/>
        <v>0</v>
      </c>
      <c r="Y45" s="111">
        <f t="shared" si="17"/>
        <v>781.5</v>
      </c>
      <c r="Z45" s="60">
        <f t="shared" si="18"/>
        <v>291805.34999999998</v>
      </c>
    </row>
    <row r="46" spans="1:36" s="16" customFormat="1" ht="13.5" customHeight="1" thickTop="1" x14ac:dyDescent="0.25">
      <c r="A46" s="81"/>
      <c r="B46" s="45" t="s">
        <v>94</v>
      </c>
      <c r="C46" s="24"/>
      <c r="D46" s="46"/>
      <c r="E46" s="46"/>
      <c r="F46" s="46"/>
      <c r="G46" s="46"/>
      <c r="H46" s="47">
        <f>SUM(H8:H45)</f>
        <v>170247806.63666666</v>
      </c>
      <c r="I46" s="101"/>
      <c r="J46" s="47">
        <f>SUM(J8:J45)</f>
        <v>4200229.0543354787</v>
      </c>
      <c r="K46" s="101"/>
      <c r="L46" s="47">
        <f>SUM(L8:L45)+0.02</f>
        <v>8137890.6582407784</v>
      </c>
      <c r="M46" s="101"/>
      <c r="N46" s="47">
        <v>9943426.7699999996</v>
      </c>
      <c r="O46" s="101"/>
      <c r="P46" s="47">
        <f>SUM(P8:P45)</f>
        <v>0</v>
      </c>
      <c r="Q46" s="101"/>
      <c r="R46" s="47">
        <f>SUM(R8:R45)</f>
        <v>0</v>
      </c>
      <c r="S46" s="101"/>
      <c r="T46" s="47">
        <f>SUM(T8:T45)</f>
        <v>0</v>
      </c>
      <c r="U46" s="101"/>
      <c r="V46" s="55">
        <f>SUM(V8:V45)</f>
        <v>0</v>
      </c>
      <c r="W46" s="112"/>
      <c r="X46" s="61">
        <f>SUM(X8:X45)</f>
        <v>23790417.54578229</v>
      </c>
      <c r="Y46" s="112"/>
      <c r="Z46" s="61">
        <f>SUM(Z8:Z45)</f>
        <v>146457389.09088436</v>
      </c>
      <c r="AJ46" s="10"/>
    </row>
    <row r="47" spans="1:36" s="41" customFormat="1" ht="13.5" customHeight="1" x14ac:dyDescent="0.25">
      <c r="A47" s="82"/>
      <c r="B47" s="38" t="s">
        <v>93</v>
      </c>
      <c r="C47" s="39"/>
      <c r="D47" s="39"/>
      <c r="E47" s="39"/>
      <c r="F47" s="39"/>
      <c r="G47" s="40"/>
      <c r="H47" s="40">
        <f>H46*0.0253738294118085</f>
        <v>4319838.8033333393</v>
      </c>
      <c r="I47" s="102"/>
      <c r="J47" s="40">
        <v>0</v>
      </c>
      <c r="K47" s="102"/>
      <c r="L47" s="40">
        <v>0</v>
      </c>
      <c r="M47" s="102"/>
      <c r="N47" s="40">
        <v>0</v>
      </c>
      <c r="O47" s="102"/>
      <c r="P47" s="40">
        <v>0</v>
      </c>
      <c r="Q47" s="102"/>
      <c r="R47" s="40">
        <v>0</v>
      </c>
      <c r="S47" s="102"/>
      <c r="T47" s="40">
        <v>0</v>
      </c>
      <c r="U47" s="102"/>
      <c r="V47" s="56">
        <v>0</v>
      </c>
      <c r="W47" s="113"/>
      <c r="X47" s="62">
        <v>0</v>
      </c>
      <c r="Y47" s="113"/>
      <c r="Z47" s="62">
        <v>0</v>
      </c>
      <c r="AJ47" s="42"/>
    </row>
    <row r="48" spans="1:36" s="16" customFormat="1" ht="13.5" customHeight="1" x14ac:dyDescent="0.25">
      <c r="A48" s="83"/>
      <c r="B48" s="33" t="s">
        <v>90</v>
      </c>
      <c r="C48" s="24"/>
      <c r="D48" s="24"/>
      <c r="E48" s="24"/>
      <c r="F48" s="24"/>
      <c r="G48" s="24"/>
      <c r="H48" s="32">
        <f>H46+H47</f>
        <v>174567645.44</v>
      </c>
      <c r="I48" s="103"/>
      <c r="J48" s="32">
        <f>J46-0.04</f>
        <v>4200229.0143354787</v>
      </c>
      <c r="K48" s="103"/>
      <c r="L48" s="32">
        <f>L46</f>
        <v>8137890.6582407784</v>
      </c>
      <c r="M48" s="103"/>
      <c r="N48" s="32">
        <f>N46</f>
        <v>9943426.7699999996</v>
      </c>
      <c r="O48" s="103"/>
      <c r="P48" s="32">
        <f>P46</f>
        <v>0</v>
      </c>
      <c r="Q48" s="103"/>
      <c r="R48" s="32">
        <f>R46</f>
        <v>0</v>
      </c>
      <c r="S48" s="103"/>
      <c r="T48" s="32">
        <f>T46</f>
        <v>0</v>
      </c>
      <c r="U48" s="103"/>
      <c r="V48" s="57">
        <f>V46</f>
        <v>0</v>
      </c>
      <c r="W48" s="114"/>
      <c r="X48" s="63">
        <f>X46</f>
        <v>23790417.54578229</v>
      </c>
      <c r="Y48" s="114"/>
      <c r="Z48" s="63">
        <f>Z46</f>
        <v>146457389.09088436</v>
      </c>
      <c r="AJ48" s="10"/>
    </row>
    <row r="49" spans="1:36" s="36" customFormat="1" ht="13.5" customHeight="1" x14ac:dyDescent="0.25">
      <c r="A49" s="84"/>
      <c r="B49" s="34" t="s">
        <v>95</v>
      </c>
      <c r="C49" s="35"/>
      <c r="D49" s="35"/>
      <c r="E49" s="35"/>
      <c r="F49" s="35"/>
      <c r="G49" s="35"/>
      <c r="H49" s="43"/>
      <c r="I49" s="103"/>
      <c r="J49" s="44">
        <v>0.2</v>
      </c>
      <c r="K49" s="103"/>
      <c r="L49" s="44">
        <v>0.22</v>
      </c>
      <c r="M49" s="103"/>
      <c r="N49" s="44">
        <v>0.22</v>
      </c>
      <c r="O49" s="103"/>
      <c r="P49" s="44">
        <v>0.22</v>
      </c>
      <c r="Q49" s="103"/>
      <c r="R49" s="44">
        <v>0.22</v>
      </c>
      <c r="S49" s="103"/>
      <c r="T49" s="44">
        <v>0.22</v>
      </c>
      <c r="U49" s="103"/>
      <c r="V49" s="58">
        <v>0.22</v>
      </c>
      <c r="W49" s="114"/>
      <c r="X49" s="64"/>
      <c r="Y49" s="114"/>
      <c r="Z49" s="64"/>
      <c r="AJ49" s="37"/>
    </row>
    <row r="50" spans="1:36" s="16" customFormat="1" ht="13.5" customHeight="1" thickBot="1" x14ac:dyDescent="0.3">
      <c r="A50" s="85"/>
      <c r="B50" s="86" t="s">
        <v>90</v>
      </c>
      <c r="C50" s="87"/>
      <c r="D50" s="87"/>
      <c r="E50" s="87"/>
      <c r="F50" s="87"/>
      <c r="G50" s="87"/>
      <c r="H50" s="88"/>
      <c r="I50" s="104"/>
      <c r="J50" s="88">
        <f>J48*1.2</f>
        <v>5040274.8172025746</v>
      </c>
      <c r="K50" s="104"/>
      <c r="L50" s="88">
        <f>L48*1.22</f>
        <v>9928226.6030537486</v>
      </c>
      <c r="M50" s="104"/>
      <c r="N50" s="88">
        <f>N48*1.22</f>
        <v>12130980.659399999</v>
      </c>
      <c r="O50" s="104"/>
      <c r="P50" s="88">
        <f>P48*1.22</f>
        <v>0</v>
      </c>
      <c r="Q50" s="104"/>
      <c r="R50" s="88">
        <f>R48*1.22</f>
        <v>0</v>
      </c>
      <c r="S50" s="104"/>
      <c r="T50" s="88">
        <f>T48*1.22</f>
        <v>0</v>
      </c>
      <c r="U50" s="104"/>
      <c r="V50" s="89">
        <f>V48*1.22</f>
        <v>0</v>
      </c>
      <c r="W50" s="115"/>
      <c r="X50" s="65">
        <f>J50+L50+N50+P50+R50+T50+V50</f>
        <v>27099482.079656325</v>
      </c>
      <c r="Y50" s="115"/>
      <c r="Z50" s="65"/>
      <c r="AJ50" s="10"/>
    </row>
    <row r="51" spans="1:36" ht="11.25" customHeight="1" x14ac:dyDescent="0.2">
      <c r="I51" s="105" t="s">
        <v>106</v>
      </c>
      <c r="K51" s="105" t="s">
        <v>106</v>
      </c>
      <c r="M51" s="105" t="s">
        <v>106</v>
      </c>
    </row>
    <row r="52" spans="1:36" ht="16.5" customHeight="1" x14ac:dyDescent="0.2">
      <c r="B52" s="141" t="s">
        <v>110</v>
      </c>
      <c r="E52" s="189">
        <f>415.338+56.277</f>
        <v>471.61500000000001</v>
      </c>
      <c r="F52" s="189"/>
      <c r="I52" s="127">
        <f>415.338+56.277</f>
        <v>471.61500000000001</v>
      </c>
      <c r="K52" s="20"/>
      <c r="M52" s="20"/>
      <c r="W52" s="127">
        <f>I52+K52+M52+O52+Q52+S52+U52</f>
        <v>471.61500000000001</v>
      </c>
      <c r="Y52" s="127">
        <f>E52-W52</f>
        <v>0</v>
      </c>
    </row>
    <row r="53" spans="1:36" ht="16.5" customHeight="1" x14ac:dyDescent="0.2">
      <c r="B53" s="141" t="s">
        <v>109</v>
      </c>
      <c r="E53" s="189">
        <v>64.923000000000002</v>
      </c>
      <c r="F53" s="189"/>
      <c r="I53" s="127"/>
      <c r="K53" s="127">
        <v>64.923000000000002</v>
      </c>
      <c r="M53" s="20"/>
      <c r="W53" s="127"/>
      <c r="Y53" s="127"/>
    </row>
    <row r="54" spans="1:36" ht="16.5" customHeight="1" thickBot="1" x14ac:dyDescent="0.25">
      <c r="A54" s="144"/>
      <c r="B54" s="145" t="s">
        <v>108</v>
      </c>
      <c r="C54" s="146"/>
      <c r="D54" s="146"/>
      <c r="E54" s="189">
        <v>8.8290000000000006</v>
      </c>
      <c r="F54" s="189"/>
      <c r="G54" s="146"/>
      <c r="H54" s="146"/>
      <c r="I54" s="147"/>
      <c r="J54" s="146"/>
      <c r="K54" s="127">
        <v>8.8290000000000006</v>
      </c>
      <c r="L54" s="146"/>
      <c r="M54" s="20"/>
      <c r="N54" s="146"/>
      <c r="O54" s="148"/>
      <c r="P54" s="146"/>
      <c r="Q54" s="148"/>
      <c r="R54" s="146"/>
      <c r="S54" s="148"/>
      <c r="T54" s="146"/>
      <c r="U54" s="148"/>
      <c r="V54" s="146"/>
      <c r="W54" s="147">
        <f>I54+K54+M54+O54+Q54+S54+U54</f>
        <v>8.8290000000000006</v>
      </c>
      <c r="X54" s="146"/>
      <c r="Y54" s="147">
        <f>E54-W54</f>
        <v>0</v>
      </c>
      <c r="Z54" s="146"/>
    </row>
    <row r="55" spans="1:36" ht="15" customHeight="1" thickTop="1" thickBot="1" x14ac:dyDescent="0.25">
      <c r="A55" s="151"/>
      <c r="B55" s="151" t="s">
        <v>107</v>
      </c>
      <c r="C55" s="150"/>
      <c r="D55" s="150"/>
      <c r="E55" s="179">
        <f>SUM(E52:E54)</f>
        <v>545.36699999999996</v>
      </c>
      <c r="F55" s="179"/>
      <c r="G55" s="150"/>
      <c r="H55" s="150"/>
      <c r="I55" s="149">
        <f>SUM(I52:I54)</f>
        <v>471.61500000000001</v>
      </c>
      <c r="J55" s="150"/>
      <c r="K55" s="150">
        <f>SUM(K52:K54)</f>
        <v>73.75200000000001</v>
      </c>
      <c r="L55" s="150"/>
      <c r="M55" s="150">
        <f>SUM(M52:M54)</f>
        <v>0</v>
      </c>
      <c r="N55" s="150"/>
      <c r="O55" s="150"/>
      <c r="P55" s="150"/>
      <c r="Q55" s="150"/>
      <c r="R55" s="150"/>
      <c r="S55" s="150"/>
      <c r="T55" s="150"/>
      <c r="U55" s="150"/>
      <c r="V55" s="150"/>
      <c r="W55" s="149">
        <f>SUM(W52:W54)</f>
        <v>480.44400000000002</v>
      </c>
      <c r="X55" s="150"/>
      <c r="Y55" s="149"/>
      <c r="Z55" s="150"/>
    </row>
    <row r="56" spans="1:36" ht="15" customHeight="1" thickTop="1" x14ac:dyDescent="0.2">
      <c r="B56" s="1" t="s">
        <v>119</v>
      </c>
      <c r="E56" s="128">
        <f>E10+E13+E16+E19+E23+E27+E30+E40</f>
        <v>1791.6837</v>
      </c>
      <c r="F56" s="128">
        <f>F10+F13+F16+F19+F23+F27+F30+F40</f>
        <v>2078.0239999999999</v>
      </c>
      <c r="G56" s="180" t="s">
        <v>112</v>
      </c>
      <c r="H56" s="181"/>
      <c r="I56" s="128">
        <f>I10+I13+I16+I19+I23+I27+I30+I40</f>
        <v>81.95</v>
      </c>
      <c r="K56" s="128">
        <f>K10+K13+K16+K19+K23+K27+K30+K40</f>
        <v>126.89</v>
      </c>
      <c r="M56" s="131">
        <f>M10+M13+M16+M19+M23+M27+M30+M40</f>
        <v>140.435</v>
      </c>
      <c r="O56" s="131">
        <f>O10+O13+O16+O19+O23+O27+O30+O40</f>
        <v>0</v>
      </c>
      <c r="Q56" s="131">
        <f>Q10+Q13+Q16+Q19+Q23+Q27+Q30+Q40</f>
        <v>0</v>
      </c>
      <c r="S56" s="131">
        <f>S10+S13+S16+S19+S23+S27+S30+S40</f>
        <v>0</v>
      </c>
      <c r="U56" s="131">
        <f>U10+U13+U16+U19+U23+U27+U30+U40</f>
        <v>0</v>
      </c>
      <c r="W56" s="131">
        <f>W10+W13+W16+W19+W23+W27+W30+W40</f>
        <v>349.27500000000003</v>
      </c>
      <c r="Y56" s="128">
        <f>Y10+Y13+Y16+Y19+Y23+Y27+Y30+Y40</f>
        <v>1442.4087</v>
      </c>
    </row>
    <row r="58" spans="1:36" ht="11.25" customHeight="1" x14ac:dyDescent="0.2">
      <c r="D58" s="20" t="s">
        <v>114</v>
      </c>
      <c r="E58" s="158">
        <v>156672773.43000001</v>
      </c>
      <c r="F58" s="20" t="s">
        <v>118</v>
      </c>
      <c r="G58" s="156" t="s">
        <v>113</v>
      </c>
      <c r="H58" s="154"/>
      <c r="I58" s="155"/>
      <c r="J58" s="154"/>
      <c r="W58" s="127"/>
    </row>
    <row r="59" spans="1:36" ht="11.25" customHeight="1" x14ac:dyDescent="0.2">
      <c r="D59" s="20" t="s">
        <v>115</v>
      </c>
      <c r="E59" s="153">
        <v>157168027.24000001</v>
      </c>
      <c r="F59" s="153">
        <v>174567645.44</v>
      </c>
      <c r="G59" s="156" t="s">
        <v>113</v>
      </c>
    </row>
    <row r="60" spans="1:36" ht="11.25" customHeight="1" x14ac:dyDescent="0.2">
      <c r="E60" s="153"/>
      <c r="G60" s="156"/>
    </row>
    <row r="61" spans="1:36" ht="11.25" customHeight="1" x14ac:dyDescent="0.2">
      <c r="G61" s="156"/>
    </row>
    <row r="62" spans="1:36" ht="11.25" customHeight="1" x14ac:dyDescent="0.2">
      <c r="G62" s="156"/>
    </row>
    <row r="63" spans="1:36" ht="11.25" customHeight="1" x14ac:dyDescent="0.2">
      <c r="G63" s="156"/>
    </row>
    <row r="64" spans="1:36" ht="11.25" customHeight="1" x14ac:dyDescent="0.2">
      <c r="G64" s="156"/>
    </row>
    <row r="65" spans="7:7" ht="11.25" customHeight="1" x14ac:dyDescent="0.2">
      <c r="G65" s="156"/>
    </row>
    <row r="66" spans="7:7" ht="11.25" customHeight="1" x14ac:dyDescent="0.2">
      <c r="G66" s="156"/>
    </row>
    <row r="67" spans="7:7" ht="11.25" customHeight="1" x14ac:dyDescent="0.2">
      <c r="G67" s="156"/>
    </row>
    <row r="68" spans="7:7" ht="11.25" customHeight="1" x14ac:dyDescent="0.2">
      <c r="G68" s="156"/>
    </row>
  </sheetData>
  <autoFilter ref="A6:AN50" xr:uid="{00000000-0001-0000-0000-000000000000}"/>
  <mergeCells count="14">
    <mergeCell ref="S4:T4"/>
    <mergeCell ref="U4:V4"/>
    <mergeCell ref="Y4:Z4"/>
    <mergeCell ref="W4:X4"/>
    <mergeCell ref="I4:J4"/>
    <mergeCell ref="K4:L4"/>
    <mergeCell ref="M4:N4"/>
    <mergeCell ref="O4:P4"/>
    <mergeCell ref="Q4:R4"/>
    <mergeCell ref="E52:F52"/>
    <mergeCell ref="E53:F53"/>
    <mergeCell ref="E54:F54"/>
    <mergeCell ref="E55:F55"/>
    <mergeCell ref="G56:H56"/>
  </mergeCells>
  <phoneticPr fontId="24" type="noConversion"/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835C4-2453-4FFD-8720-404EA8ECEDDF}">
  <sheetPr>
    <pageSetUpPr fitToPage="1"/>
  </sheetPr>
  <dimension ref="A1:AI58"/>
  <sheetViews>
    <sheetView zoomScale="110" zoomScaleNormal="110" workbookViewId="0">
      <pane ySplit="5" topLeftCell="A44" activePane="bottomLeft" state="frozen"/>
      <selection pane="bottomLeft" activeCell="H65" sqref="H65"/>
    </sheetView>
  </sheetViews>
  <sheetFormatPr defaultColWidth="9.140625" defaultRowHeight="11.25" customHeight="1" outlineLevelCol="1" x14ac:dyDescent="0.2"/>
  <cols>
    <col min="1" max="1" width="7" style="1" customWidth="1"/>
    <col min="2" max="2" width="32.28515625" style="1" customWidth="1"/>
    <col min="3" max="3" width="23" style="20" hidden="1" customWidth="1"/>
    <col min="4" max="4" width="7" style="20" customWidth="1"/>
    <col min="5" max="5" width="11.140625" style="20" customWidth="1"/>
    <col min="6" max="6" width="10" style="20" customWidth="1"/>
    <col min="7" max="7" width="13" style="20" customWidth="1"/>
    <col min="8" max="8" width="6.42578125" style="105" bestFit="1" customWidth="1"/>
    <col min="9" max="9" width="11.7109375" style="20" customWidth="1"/>
    <col min="10" max="10" width="7.42578125" style="105" bestFit="1" customWidth="1"/>
    <col min="11" max="11" width="11.7109375" style="20" customWidth="1"/>
    <col min="12" max="12" width="7.28515625" style="105" bestFit="1" customWidth="1"/>
    <col min="13" max="13" width="11.7109375" style="20" customWidth="1"/>
    <col min="14" max="14" width="7.28515625" style="105" hidden="1" customWidth="1" outlineLevel="1"/>
    <col min="15" max="15" width="11.7109375" style="20" hidden="1" customWidth="1" outlineLevel="1"/>
    <col min="16" max="16" width="7.28515625" style="105" hidden="1" customWidth="1" outlineLevel="1"/>
    <col min="17" max="17" width="11.7109375" style="20" hidden="1" customWidth="1" outlineLevel="1"/>
    <col min="18" max="18" width="7.28515625" style="105" hidden="1" customWidth="1" outlineLevel="1"/>
    <col min="19" max="19" width="11.7109375" style="20" hidden="1" customWidth="1" outlineLevel="1"/>
    <col min="20" max="20" width="7.28515625" style="105" hidden="1" customWidth="1" outlineLevel="1"/>
    <col min="21" max="21" width="11.7109375" style="20" hidden="1" customWidth="1" outlineLevel="1"/>
    <col min="22" max="22" width="8.28515625" style="105" customWidth="1" collapsed="1"/>
    <col min="23" max="23" width="13.85546875" style="20" customWidth="1"/>
    <col min="24" max="24" width="8.140625" style="105" customWidth="1"/>
    <col min="25" max="25" width="13.85546875" style="20" customWidth="1"/>
    <col min="26" max="26" width="15.85546875" style="1" customWidth="1"/>
    <col min="27" max="42" width="10.7109375" style="1" customWidth="1"/>
    <col min="43" max="16384" width="9.140625" style="1"/>
  </cols>
  <sheetData>
    <row r="1" spans="1:27" s="16" customFormat="1" ht="15" customHeight="1" x14ac:dyDescent="0.25">
      <c r="A1" s="17" t="s">
        <v>0</v>
      </c>
      <c r="B1" s="17"/>
      <c r="C1" s="21"/>
      <c r="D1" s="21"/>
      <c r="E1" s="21"/>
      <c r="F1" s="21"/>
      <c r="G1" s="21"/>
      <c r="H1" s="91"/>
      <c r="I1" s="21"/>
      <c r="J1" s="91"/>
      <c r="K1" s="21"/>
      <c r="L1" s="91"/>
      <c r="M1" s="21"/>
      <c r="N1" s="91"/>
      <c r="O1" s="21"/>
      <c r="P1" s="91"/>
      <c r="Q1" s="21"/>
      <c r="R1" s="91"/>
      <c r="S1" s="21"/>
      <c r="T1" s="91"/>
      <c r="U1" s="21"/>
      <c r="V1" s="91"/>
      <c r="W1" s="21"/>
      <c r="X1" s="91"/>
      <c r="Y1" s="21"/>
    </row>
    <row r="2" spans="1:27" s="16" customFormat="1" ht="6.75" customHeight="1" x14ac:dyDescent="0.25">
      <c r="A2" s="3"/>
      <c r="B2" s="18"/>
      <c r="C2" s="4"/>
      <c r="D2" s="4"/>
      <c r="E2" s="4"/>
      <c r="F2" s="4"/>
      <c r="G2" s="4"/>
      <c r="H2" s="92"/>
      <c r="I2" s="4"/>
      <c r="J2" s="92"/>
      <c r="K2" s="4"/>
      <c r="L2" s="92"/>
      <c r="M2" s="4"/>
      <c r="N2" s="92"/>
      <c r="O2" s="4"/>
      <c r="P2" s="92"/>
      <c r="Q2" s="4"/>
      <c r="R2" s="92"/>
      <c r="S2" s="4"/>
      <c r="T2" s="92"/>
      <c r="U2" s="4"/>
      <c r="V2" s="92"/>
      <c r="W2" s="4"/>
      <c r="X2" s="92"/>
      <c r="Y2" s="4"/>
    </row>
    <row r="3" spans="1:27" s="16" customFormat="1" ht="15" customHeight="1" thickBot="1" x14ac:dyDescent="0.3">
      <c r="A3" s="15" t="s">
        <v>1</v>
      </c>
      <c r="B3" s="15"/>
      <c r="C3" s="22"/>
      <c r="D3" s="22"/>
      <c r="E3" s="22"/>
      <c r="F3" s="22"/>
      <c r="G3" s="22"/>
      <c r="H3" s="93"/>
      <c r="I3" s="22"/>
      <c r="J3" s="93"/>
      <c r="K3" s="22"/>
      <c r="L3" s="93"/>
      <c r="M3" s="22"/>
      <c r="N3" s="93"/>
      <c r="O3" s="22"/>
      <c r="P3" s="93"/>
      <c r="Q3" s="22"/>
      <c r="R3" s="93"/>
      <c r="S3" s="22"/>
      <c r="T3" s="93"/>
      <c r="U3" s="22"/>
      <c r="V3" s="93"/>
      <c r="W3" s="22"/>
      <c r="X3" s="93"/>
      <c r="Y3" s="22"/>
    </row>
    <row r="4" spans="1:27" s="16" customFormat="1" ht="15" customHeight="1" thickBot="1" x14ac:dyDescent="0.3">
      <c r="A4" s="90" t="s">
        <v>99</v>
      </c>
      <c r="B4" s="2"/>
      <c r="C4" s="4"/>
      <c r="D4" s="4"/>
      <c r="E4" s="4"/>
      <c r="F4" s="4"/>
      <c r="G4" s="4"/>
      <c r="H4" s="190" t="s">
        <v>96</v>
      </c>
      <c r="I4" s="191"/>
      <c r="J4" s="192" t="s">
        <v>105</v>
      </c>
      <c r="K4" s="193"/>
      <c r="L4" s="183" t="s">
        <v>101</v>
      </c>
      <c r="M4" s="184"/>
      <c r="N4" s="183" t="s">
        <v>101</v>
      </c>
      <c r="O4" s="184"/>
      <c r="P4" s="183" t="s">
        <v>102</v>
      </c>
      <c r="Q4" s="184"/>
      <c r="R4" s="183" t="s">
        <v>103</v>
      </c>
      <c r="S4" s="184"/>
      <c r="T4" s="183" t="s">
        <v>104</v>
      </c>
      <c r="U4" s="184"/>
      <c r="V4" s="185" t="s">
        <v>100</v>
      </c>
      <c r="W4" s="186"/>
      <c r="X4" s="187" t="s">
        <v>97</v>
      </c>
      <c r="Y4" s="188"/>
    </row>
    <row r="5" spans="1:27" s="16" customFormat="1" ht="46.5" customHeight="1" x14ac:dyDescent="0.25">
      <c r="A5" s="71" t="s">
        <v>2</v>
      </c>
      <c r="B5" s="72" t="s">
        <v>3</v>
      </c>
      <c r="C5" s="73" t="s">
        <v>4</v>
      </c>
      <c r="D5" s="72" t="s">
        <v>5</v>
      </c>
      <c r="E5" s="74" t="s">
        <v>6</v>
      </c>
      <c r="F5" s="75" t="s">
        <v>91</v>
      </c>
      <c r="G5" s="76" t="s">
        <v>92</v>
      </c>
      <c r="H5" s="116" t="s">
        <v>6</v>
      </c>
      <c r="I5" s="117" t="s">
        <v>92</v>
      </c>
      <c r="J5" s="116" t="s">
        <v>6</v>
      </c>
      <c r="K5" s="117" t="s">
        <v>92</v>
      </c>
      <c r="L5" s="116" t="s">
        <v>6</v>
      </c>
      <c r="M5" s="117" t="s">
        <v>92</v>
      </c>
      <c r="N5" s="116" t="s">
        <v>6</v>
      </c>
      <c r="O5" s="117" t="s">
        <v>92</v>
      </c>
      <c r="P5" s="116" t="s">
        <v>6</v>
      </c>
      <c r="Q5" s="117" t="s">
        <v>92</v>
      </c>
      <c r="R5" s="116" t="s">
        <v>6</v>
      </c>
      <c r="S5" s="117" t="s">
        <v>92</v>
      </c>
      <c r="T5" s="116" t="s">
        <v>6</v>
      </c>
      <c r="U5" s="118" t="s">
        <v>92</v>
      </c>
      <c r="V5" s="119" t="s">
        <v>6</v>
      </c>
      <c r="W5" s="120" t="s">
        <v>92</v>
      </c>
      <c r="X5" s="119" t="s">
        <v>6</v>
      </c>
      <c r="Y5" s="120" t="s">
        <v>92</v>
      </c>
    </row>
    <row r="6" spans="1:27" s="36" customFormat="1" ht="15" customHeight="1" x14ac:dyDescent="0.25">
      <c r="A6" s="124">
        <v>1</v>
      </c>
      <c r="B6" s="12">
        <v>2</v>
      </c>
      <c r="C6" s="52">
        <v>3</v>
      </c>
      <c r="D6" s="12">
        <v>3</v>
      </c>
      <c r="E6" s="125">
        <v>4</v>
      </c>
      <c r="F6" s="125">
        <v>5</v>
      </c>
      <c r="G6" s="125">
        <v>6</v>
      </c>
      <c r="H6" s="121">
        <v>7</v>
      </c>
      <c r="I6" s="121">
        <v>8</v>
      </c>
      <c r="J6" s="121">
        <v>9</v>
      </c>
      <c r="K6" s="121">
        <v>10</v>
      </c>
      <c r="L6" s="121">
        <v>11</v>
      </c>
      <c r="M6" s="121">
        <v>12</v>
      </c>
      <c r="N6" s="121">
        <v>13</v>
      </c>
      <c r="O6" s="121">
        <v>14</v>
      </c>
      <c r="P6" s="121">
        <v>15</v>
      </c>
      <c r="Q6" s="121">
        <v>16</v>
      </c>
      <c r="R6" s="121">
        <v>17</v>
      </c>
      <c r="S6" s="121">
        <v>18</v>
      </c>
      <c r="T6" s="121">
        <v>19</v>
      </c>
      <c r="U6" s="122">
        <v>20</v>
      </c>
      <c r="V6" s="126">
        <v>21</v>
      </c>
      <c r="W6" s="123">
        <v>22</v>
      </c>
      <c r="X6" s="126">
        <v>21</v>
      </c>
      <c r="Y6" s="123">
        <v>22</v>
      </c>
    </row>
    <row r="7" spans="1:27" s="16" customFormat="1" ht="15" customHeight="1" x14ac:dyDescent="0.25">
      <c r="A7" s="77" t="s">
        <v>7</v>
      </c>
      <c r="B7" s="19"/>
      <c r="C7" s="23"/>
      <c r="D7" s="23"/>
      <c r="E7" s="23"/>
      <c r="F7" s="23"/>
      <c r="G7" s="23"/>
      <c r="H7" s="94"/>
      <c r="I7" s="23"/>
      <c r="J7" s="94"/>
      <c r="K7" s="23"/>
      <c r="L7" s="94"/>
      <c r="M7" s="23"/>
      <c r="N7" s="94"/>
      <c r="O7" s="23"/>
      <c r="P7" s="94"/>
      <c r="Q7" s="23"/>
      <c r="R7" s="94"/>
      <c r="S7" s="23"/>
      <c r="T7" s="94"/>
      <c r="U7" s="66"/>
      <c r="V7" s="106"/>
      <c r="W7" s="69"/>
      <c r="X7" s="106"/>
      <c r="Y7" s="69"/>
    </row>
    <row r="8" spans="1:27" s="16" customFormat="1" ht="45" x14ac:dyDescent="0.25">
      <c r="A8" s="78" t="s">
        <v>8</v>
      </c>
      <c r="B8" s="9" t="s">
        <v>9</v>
      </c>
      <c r="C8" s="6" t="s">
        <v>10</v>
      </c>
      <c r="D8" s="11" t="s">
        <v>98</v>
      </c>
      <c r="E8" s="25">
        <v>404.35199999999998</v>
      </c>
      <c r="F8" s="30">
        <f>G8/E8</f>
        <v>34265.303769982587</v>
      </c>
      <c r="G8" s="30">
        <v>13855244.109999999</v>
      </c>
      <c r="H8" s="142">
        <v>17.760999999999999</v>
      </c>
      <c r="I8" s="30">
        <f>F8*H8</f>
        <v>608586.0602586607</v>
      </c>
      <c r="J8" s="142">
        <v>34.200000000000003</v>
      </c>
      <c r="K8" s="30">
        <f>F8*J8</f>
        <v>1171873.3889334046</v>
      </c>
      <c r="L8" s="95">
        <v>42.774999999999999</v>
      </c>
      <c r="M8" s="30">
        <f>F8*L8</f>
        <v>1465698.3687610051</v>
      </c>
      <c r="N8" s="95"/>
      <c r="O8" s="30">
        <f>F8*N8</f>
        <v>0</v>
      </c>
      <c r="P8" s="95"/>
      <c r="Q8" s="30">
        <f>F8*P8</f>
        <v>0</v>
      </c>
      <c r="R8" s="95"/>
      <c r="S8" s="30">
        <f>F8*R8</f>
        <v>0</v>
      </c>
      <c r="T8" s="95"/>
      <c r="U8" s="53">
        <f>F8*T8</f>
        <v>0</v>
      </c>
      <c r="V8" s="107">
        <f>H8+J8+L8+N8+P8+R8+T8</f>
        <v>94.73599999999999</v>
      </c>
      <c r="W8" s="59">
        <f>I8+K8+M8+O8+Q8+S8+U8</f>
        <v>3246157.8179530706</v>
      </c>
      <c r="X8" s="107">
        <f>E8-V8</f>
        <v>309.61599999999999</v>
      </c>
      <c r="Y8" s="59">
        <f>G8-W8</f>
        <v>10609086.292046929</v>
      </c>
      <c r="Z8" s="143">
        <f>V58</f>
        <v>0</v>
      </c>
      <c r="AA8" s="10">
        <f>V8+Z8</f>
        <v>94.73599999999999</v>
      </c>
    </row>
    <row r="9" spans="1:27" s="16" customFormat="1" ht="45" x14ac:dyDescent="0.25">
      <c r="A9" s="78" t="s">
        <v>11</v>
      </c>
      <c r="B9" s="9" t="s">
        <v>12</v>
      </c>
      <c r="C9" s="6" t="s">
        <v>13</v>
      </c>
      <c r="D9" s="6" t="s">
        <v>98</v>
      </c>
      <c r="E9" s="25">
        <v>9.2560000000000002</v>
      </c>
      <c r="F9" s="30">
        <f>G9/E9</f>
        <v>18896.298617113225</v>
      </c>
      <c r="G9" s="30">
        <v>174904.14</v>
      </c>
      <c r="H9" s="95"/>
      <c r="I9" s="30">
        <f>F9*H9</f>
        <v>0</v>
      </c>
      <c r="J9" s="95"/>
      <c r="K9" s="30">
        <f>F9*J9</f>
        <v>0</v>
      </c>
      <c r="L9" s="95"/>
      <c r="M9" s="30">
        <f>F9*L9</f>
        <v>0</v>
      </c>
      <c r="N9" s="95"/>
      <c r="O9" s="30">
        <f>F9*N9</f>
        <v>0</v>
      </c>
      <c r="P9" s="95"/>
      <c r="Q9" s="30">
        <f>F9*P9</f>
        <v>0</v>
      </c>
      <c r="R9" s="95"/>
      <c r="S9" s="30">
        <f>F9*R9</f>
        <v>0</v>
      </c>
      <c r="T9" s="95"/>
      <c r="U9" s="53">
        <f>F9*T9</f>
        <v>0</v>
      </c>
      <c r="V9" s="107">
        <f>H9+J9+L9+N9+P9+R9+T9</f>
        <v>0</v>
      </c>
      <c r="W9" s="59">
        <f>I9+K9+M9+O9+Q9+S9+U9</f>
        <v>0</v>
      </c>
      <c r="X9" s="107">
        <f>E9-V9</f>
        <v>9.2560000000000002</v>
      </c>
      <c r="Y9" s="59">
        <f>G9-W9</f>
        <v>174904.14</v>
      </c>
    </row>
    <row r="10" spans="1:27" s="16" customFormat="1" ht="15" x14ac:dyDescent="0.25">
      <c r="A10" s="132" t="s">
        <v>14</v>
      </c>
      <c r="B10" s="133" t="s">
        <v>15</v>
      </c>
      <c r="C10" s="6" t="s">
        <v>16</v>
      </c>
      <c r="D10" s="6" t="s">
        <v>17</v>
      </c>
      <c r="E10" s="140">
        <v>413.608</v>
      </c>
      <c r="F10" s="30"/>
      <c r="G10" s="31"/>
      <c r="H10" s="129">
        <f>H8</f>
        <v>17.760999999999999</v>
      </c>
      <c r="I10" s="31"/>
      <c r="J10" s="129">
        <f>J8</f>
        <v>34.200000000000003</v>
      </c>
      <c r="K10" s="31"/>
      <c r="L10" s="129">
        <f>L8</f>
        <v>42.774999999999999</v>
      </c>
      <c r="M10" s="31"/>
      <c r="N10" s="129"/>
      <c r="O10" s="31"/>
      <c r="P10" s="129"/>
      <c r="Q10" s="31"/>
      <c r="R10" s="129"/>
      <c r="S10" s="31"/>
      <c r="T10" s="129"/>
      <c r="U10" s="67"/>
      <c r="V10" s="130">
        <f>H10+J10+L10+N10+P10+R10+T10</f>
        <v>94.73599999999999</v>
      </c>
      <c r="W10" s="70"/>
      <c r="X10" s="130">
        <f>E10-V10</f>
        <v>318.87200000000001</v>
      </c>
      <c r="Y10" s="70"/>
    </row>
    <row r="11" spans="1:27" s="16" customFormat="1" ht="15" customHeight="1" x14ac:dyDescent="0.25">
      <c r="A11" s="77" t="s">
        <v>18</v>
      </c>
      <c r="B11" s="19"/>
      <c r="C11" s="23"/>
      <c r="D11" s="23"/>
      <c r="E11" s="23"/>
      <c r="F11" s="23"/>
      <c r="G11" s="23"/>
      <c r="H11" s="94"/>
      <c r="I11" s="23"/>
      <c r="J11" s="94"/>
      <c r="K11" s="23"/>
      <c r="L11" s="94"/>
      <c r="M11" s="23"/>
      <c r="N11" s="94"/>
      <c r="O11" s="23"/>
      <c r="P11" s="94"/>
      <c r="Q11" s="23"/>
      <c r="R11" s="94"/>
      <c r="S11" s="23"/>
      <c r="T11" s="94"/>
      <c r="U11" s="66"/>
      <c r="V11" s="106"/>
      <c r="W11" s="69"/>
      <c r="X11" s="106"/>
      <c r="Y11" s="69"/>
    </row>
    <row r="12" spans="1:27" s="16" customFormat="1" ht="45" x14ac:dyDescent="0.25">
      <c r="A12" s="78" t="s">
        <v>19</v>
      </c>
      <c r="B12" s="9" t="s">
        <v>20</v>
      </c>
      <c r="C12" s="6" t="s">
        <v>21</v>
      </c>
      <c r="D12" s="6" t="s">
        <v>98</v>
      </c>
      <c r="E12" s="25">
        <v>676.62400000000002</v>
      </c>
      <c r="F12" s="30">
        <f>G12/E12</f>
        <v>56312.985276904161</v>
      </c>
      <c r="G12" s="30">
        <v>38102717.350000001</v>
      </c>
      <c r="H12" s="142">
        <v>35.142000000000003</v>
      </c>
      <c r="I12" s="30">
        <f>F12*H12</f>
        <v>1978950.9286009662</v>
      </c>
      <c r="J12" s="142">
        <v>43.41</v>
      </c>
      <c r="K12" s="30">
        <f>F12*J12</f>
        <v>2444546.6908704094</v>
      </c>
      <c r="L12" s="95">
        <v>46.82</v>
      </c>
      <c r="M12" s="30">
        <f>F12*L12</f>
        <v>2636573.970664653</v>
      </c>
      <c r="N12" s="95"/>
      <c r="O12" s="30">
        <f>F12*N12</f>
        <v>0</v>
      </c>
      <c r="P12" s="95"/>
      <c r="Q12" s="30">
        <f>F12*P12</f>
        <v>0</v>
      </c>
      <c r="R12" s="95"/>
      <c r="S12" s="30">
        <f>F12*R12</f>
        <v>0</v>
      </c>
      <c r="T12" s="95"/>
      <c r="U12" s="53">
        <f>F12*T12</f>
        <v>0</v>
      </c>
      <c r="V12" s="107">
        <f>H12+J12+L12+N12+P12+R12+T12</f>
        <v>125.37199999999999</v>
      </c>
      <c r="W12" s="59">
        <f>I12+K12+M12+O12+Q12+S12+U12</f>
        <v>7060071.5901360288</v>
      </c>
      <c r="X12" s="107">
        <f>E12-V12</f>
        <v>551.25200000000007</v>
      </c>
      <c r="Y12" s="59">
        <f>G12-W12</f>
        <v>31042645.759863973</v>
      </c>
    </row>
    <row r="13" spans="1:27" s="16" customFormat="1" ht="15" x14ac:dyDescent="0.25">
      <c r="A13" s="132" t="s">
        <v>22</v>
      </c>
      <c r="B13" s="133" t="s">
        <v>15</v>
      </c>
      <c r="C13" s="6" t="s">
        <v>16</v>
      </c>
      <c r="D13" s="6" t="s">
        <v>17</v>
      </c>
      <c r="E13" s="140">
        <v>676.62400000000002</v>
      </c>
      <c r="F13" s="30"/>
      <c r="G13" s="31"/>
      <c r="H13" s="129">
        <f>H12</f>
        <v>35.142000000000003</v>
      </c>
      <c r="I13" s="31"/>
      <c r="J13" s="129">
        <f>J12</f>
        <v>43.41</v>
      </c>
      <c r="K13" s="31"/>
      <c r="L13" s="129">
        <f>L12</f>
        <v>46.82</v>
      </c>
      <c r="M13" s="31"/>
      <c r="N13" s="129"/>
      <c r="O13" s="31"/>
      <c r="P13" s="129"/>
      <c r="Q13" s="31"/>
      <c r="R13" s="129"/>
      <c r="S13" s="31"/>
      <c r="T13" s="129"/>
      <c r="U13" s="67"/>
      <c r="V13" s="130">
        <f>H13+J13+L13+N13+P13+R13+T13</f>
        <v>125.37199999999999</v>
      </c>
      <c r="W13" s="70"/>
      <c r="X13" s="130">
        <f>E13-V13</f>
        <v>551.25200000000007</v>
      </c>
      <c r="Y13" s="70"/>
    </row>
    <row r="14" spans="1:27" s="16" customFormat="1" ht="15" customHeight="1" x14ac:dyDescent="0.25">
      <c r="A14" s="77" t="s">
        <v>23</v>
      </c>
      <c r="B14" s="19"/>
      <c r="C14" s="23"/>
      <c r="D14" s="23"/>
      <c r="E14" s="23"/>
      <c r="F14" s="23"/>
      <c r="G14" s="23"/>
      <c r="H14" s="135"/>
      <c r="I14" s="136"/>
      <c r="J14" s="135"/>
      <c r="K14" s="23"/>
      <c r="L14" s="94"/>
      <c r="M14" s="23"/>
      <c r="N14" s="94"/>
      <c r="O14" s="23"/>
      <c r="P14" s="94"/>
      <c r="Q14" s="23"/>
      <c r="R14" s="94"/>
      <c r="S14" s="23"/>
      <c r="T14" s="94"/>
      <c r="U14" s="66"/>
      <c r="V14" s="106"/>
      <c r="W14" s="69"/>
      <c r="X14" s="106"/>
      <c r="Y14" s="69"/>
    </row>
    <row r="15" spans="1:27" s="16" customFormat="1" ht="45" x14ac:dyDescent="0.25">
      <c r="A15" s="78" t="s">
        <v>24</v>
      </c>
      <c r="B15" s="13" t="s">
        <v>20</v>
      </c>
      <c r="C15" s="6" t="s">
        <v>21</v>
      </c>
      <c r="D15" s="6" t="s">
        <v>98</v>
      </c>
      <c r="E15" s="25">
        <v>295.15199999999999</v>
      </c>
      <c r="F15" s="30">
        <f>G15/E15</f>
        <v>56312.985275383537</v>
      </c>
      <c r="G15" s="30">
        <v>16620890.23</v>
      </c>
      <c r="H15" s="142">
        <v>29.047000000000001</v>
      </c>
      <c r="I15" s="30">
        <f>F15*H15</f>
        <v>1635723.2832940656</v>
      </c>
      <c r="J15" s="142">
        <v>35.08</v>
      </c>
      <c r="K15" s="30">
        <f>F15*J15</f>
        <v>1975459.5234604543</v>
      </c>
      <c r="L15" s="95">
        <v>22.535</v>
      </c>
      <c r="M15" s="30">
        <f>F15*L15</f>
        <v>1269013.123180768</v>
      </c>
      <c r="N15" s="95"/>
      <c r="O15" s="30">
        <f>F15*N15</f>
        <v>0</v>
      </c>
      <c r="P15" s="95"/>
      <c r="Q15" s="30">
        <f>F15*P15</f>
        <v>0</v>
      </c>
      <c r="R15" s="95"/>
      <c r="S15" s="30">
        <f>F15*R15</f>
        <v>0</v>
      </c>
      <c r="T15" s="95"/>
      <c r="U15" s="53">
        <f>F15*T15</f>
        <v>0</v>
      </c>
      <c r="V15" s="107">
        <f>H15+J15+L15+N15+P15+R15+T15</f>
        <v>86.661999999999992</v>
      </c>
      <c r="W15" s="59">
        <f>I15+K15+M15+O15+Q15+S15+U15</f>
        <v>4880195.9299352877</v>
      </c>
      <c r="X15" s="107">
        <f>E15-V15</f>
        <v>208.49</v>
      </c>
      <c r="Y15" s="59">
        <f>G15-W15</f>
        <v>11740694.300064713</v>
      </c>
    </row>
    <row r="16" spans="1:27" s="16" customFormat="1" ht="15" x14ac:dyDescent="0.25">
      <c r="A16" s="132" t="s">
        <v>25</v>
      </c>
      <c r="B16" s="133" t="s">
        <v>15</v>
      </c>
      <c r="C16" s="6" t="s">
        <v>16</v>
      </c>
      <c r="D16" s="6" t="s">
        <v>17</v>
      </c>
      <c r="E16" s="140">
        <v>295.15199999999999</v>
      </c>
      <c r="F16" s="30"/>
      <c r="G16" s="31"/>
      <c r="H16" s="129">
        <f>H15</f>
        <v>29.047000000000001</v>
      </c>
      <c r="I16" s="31"/>
      <c r="J16" s="129">
        <f>J15</f>
        <v>35.08</v>
      </c>
      <c r="K16" s="31"/>
      <c r="L16" s="129">
        <f>L15</f>
        <v>22.535</v>
      </c>
      <c r="M16" s="31"/>
      <c r="N16" s="129"/>
      <c r="O16" s="31"/>
      <c r="P16" s="129"/>
      <c r="Q16" s="31"/>
      <c r="R16" s="129"/>
      <c r="S16" s="31"/>
      <c r="T16" s="129"/>
      <c r="U16" s="67"/>
      <c r="V16" s="130">
        <f>H16+J16+L16+N16+P16+R16+T16</f>
        <v>86.661999999999992</v>
      </c>
      <c r="W16" s="70"/>
      <c r="X16" s="130">
        <f>E16-V16</f>
        <v>208.49</v>
      </c>
      <c r="Y16" s="70"/>
    </row>
    <row r="17" spans="1:26" s="16" customFormat="1" ht="15" customHeight="1" x14ac:dyDescent="0.25">
      <c r="A17" s="77" t="s">
        <v>26</v>
      </c>
      <c r="B17" s="19"/>
      <c r="C17" s="23"/>
      <c r="D17" s="23"/>
      <c r="E17" s="23"/>
      <c r="F17" s="23"/>
      <c r="G17" s="23"/>
      <c r="H17" s="137"/>
      <c r="I17" s="138"/>
      <c r="J17" s="137"/>
      <c r="K17" s="23"/>
      <c r="L17" s="94"/>
      <c r="M17" s="23"/>
      <c r="N17" s="94"/>
      <c r="O17" s="23"/>
      <c r="P17" s="94"/>
      <c r="Q17" s="23"/>
      <c r="R17" s="94"/>
      <c r="S17" s="23"/>
      <c r="T17" s="94"/>
      <c r="U17" s="66"/>
      <c r="V17" s="106"/>
      <c r="W17" s="69"/>
      <c r="X17" s="106"/>
      <c r="Y17" s="69"/>
    </row>
    <row r="18" spans="1:26" s="16" customFormat="1" ht="45" x14ac:dyDescent="0.25">
      <c r="A18" s="78" t="s">
        <v>27</v>
      </c>
      <c r="B18" s="9" t="s">
        <v>28</v>
      </c>
      <c r="C18" s="6" t="s">
        <v>29</v>
      </c>
      <c r="D18" s="6" t="s">
        <v>98</v>
      </c>
      <c r="E18" s="25">
        <v>284.85599999999999</v>
      </c>
      <c r="F18" s="30">
        <f>G18/E18</f>
        <v>135261.81453085068</v>
      </c>
      <c r="G18" s="30">
        <v>38530139.439999998</v>
      </c>
      <c r="H18" s="95"/>
      <c r="I18" s="30">
        <f>F18*H18</f>
        <v>0</v>
      </c>
      <c r="J18" s="142">
        <v>14.2</v>
      </c>
      <c r="K18" s="30">
        <f>F18*J18</f>
        <v>1920717.7663380795</v>
      </c>
      <c r="L18" s="95">
        <v>33.948999999999998</v>
      </c>
      <c r="M18" s="30">
        <f>F18*L18</f>
        <v>4592003.3415078493</v>
      </c>
      <c r="N18" s="95"/>
      <c r="O18" s="30">
        <f>F18*N18</f>
        <v>0</v>
      </c>
      <c r="P18" s="95"/>
      <c r="Q18" s="30">
        <f>F18*P18</f>
        <v>0</v>
      </c>
      <c r="R18" s="95"/>
      <c r="S18" s="30">
        <f>F18*R18</f>
        <v>0</v>
      </c>
      <c r="T18" s="95"/>
      <c r="U18" s="53">
        <f>F18*T18</f>
        <v>0</v>
      </c>
      <c r="V18" s="107">
        <f>H18+J18+L18+N18+P18+R18+T18</f>
        <v>48.149000000000001</v>
      </c>
      <c r="W18" s="59">
        <f>I18+K18+M18+O18+Q18+S18+U18</f>
        <v>6512721.1078459285</v>
      </c>
      <c r="X18" s="107">
        <f>E18-V18</f>
        <v>236.70699999999999</v>
      </c>
      <c r="Y18" s="59">
        <f>G18-W18</f>
        <v>32017418.332154069</v>
      </c>
    </row>
    <row r="19" spans="1:26" s="16" customFormat="1" ht="15" x14ac:dyDescent="0.25">
      <c r="A19" s="132" t="s">
        <v>30</v>
      </c>
      <c r="B19" s="134" t="s">
        <v>15</v>
      </c>
      <c r="C19" s="6" t="s">
        <v>16</v>
      </c>
      <c r="D19" s="6" t="s">
        <v>17</v>
      </c>
      <c r="E19" s="140">
        <v>284.85599999999999</v>
      </c>
      <c r="F19" s="30"/>
      <c r="G19" s="31"/>
      <c r="H19" s="129"/>
      <c r="I19" s="31"/>
      <c r="J19" s="129">
        <f>J18</f>
        <v>14.2</v>
      </c>
      <c r="K19" s="31"/>
      <c r="L19" s="129">
        <f>L18</f>
        <v>33.948999999999998</v>
      </c>
      <c r="M19" s="31"/>
      <c r="N19" s="129"/>
      <c r="O19" s="31"/>
      <c r="P19" s="129"/>
      <c r="Q19" s="31"/>
      <c r="R19" s="129"/>
      <c r="S19" s="31"/>
      <c r="T19" s="129"/>
      <c r="U19" s="67"/>
      <c r="V19" s="130">
        <f>H19+J19+L19+N19+P19+R19+T19</f>
        <v>48.149000000000001</v>
      </c>
      <c r="W19" s="70"/>
      <c r="X19" s="130">
        <f>E19-V19</f>
        <v>236.70699999999999</v>
      </c>
      <c r="Y19" s="70"/>
    </row>
    <row r="20" spans="1:26" s="16" customFormat="1" ht="15" customHeight="1" x14ac:dyDescent="0.25">
      <c r="A20" s="77" t="s">
        <v>31</v>
      </c>
      <c r="B20" s="19"/>
      <c r="C20" s="23"/>
      <c r="D20" s="23"/>
      <c r="E20" s="23"/>
      <c r="F20" s="23"/>
      <c r="G20" s="23"/>
      <c r="H20" s="94"/>
      <c r="I20" s="23"/>
      <c r="J20" s="94"/>
      <c r="K20" s="23"/>
      <c r="L20" s="94"/>
      <c r="M20" s="23"/>
      <c r="N20" s="94"/>
      <c r="O20" s="23"/>
      <c r="P20" s="94"/>
      <c r="Q20" s="23"/>
      <c r="R20" s="94"/>
      <c r="S20" s="23"/>
      <c r="T20" s="94"/>
      <c r="U20" s="66"/>
      <c r="V20" s="106"/>
      <c r="W20" s="69"/>
      <c r="X20" s="106"/>
      <c r="Y20" s="69"/>
    </row>
    <row r="21" spans="1:26" s="16" customFormat="1" ht="15" x14ac:dyDescent="0.25">
      <c r="A21" s="78" t="s">
        <v>32</v>
      </c>
      <c r="B21" s="9" t="s">
        <v>33</v>
      </c>
      <c r="C21" s="6" t="s">
        <v>34</v>
      </c>
      <c r="D21" s="6" t="s">
        <v>98</v>
      </c>
      <c r="E21" s="25">
        <v>103.27200000000001</v>
      </c>
      <c r="F21" s="30">
        <f>G21/E21</f>
        <v>79181.81753040514</v>
      </c>
      <c r="G21" s="30">
        <v>8177264.6600000001</v>
      </c>
      <c r="H21" s="95"/>
      <c r="I21" s="30">
        <f>F21*H21</f>
        <v>0</v>
      </c>
      <c r="J21" s="139"/>
      <c r="K21" s="30">
        <f>F21*J21</f>
        <v>0</v>
      </c>
      <c r="L21" s="95"/>
      <c r="M21" s="30">
        <f>F21*L21</f>
        <v>0</v>
      </c>
      <c r="N21" s="95"/>
      <c r="O21" s="30">
        <f>F21*N21</f>
        <v>0</v>
      </c>
      <c r="P21" s="95"/>
      <c r="Q21" s="30">
        <f>F21*P21</f>
        <v>0</v>
      </c>
      <c r="R21" s="95"/>
      <c r="S21" s="30">
        <f>F21*R21</f>
        <v>0</v>
      </c>
      <c r="T21" s="95"/>
      <c r="U21" s="53">
        <f>F21*T21</f>
        <v>0</v>
      </c>
      <c r="V21" s="107">
        <f>H21+J21+L21+N21+P21+R21+T21</f>
        <v>0</v>
      </c>
      <c r="W21" s="59">
        <f>I21+K21+M21+O21+Q21+S21+U21</f>
        <v>0</v>
      </c>
      <c r="X21" s="107">
        <f>E21-V21</f>
        <v>103.27200000000001</v>
      </c>
      <c r="Y21" s="59">
        <f>G21-W21</f>
        <v>8177264.6600000001</v>
      </c>
    </row>
    <row r="22" spans="1:26" s="16" customFormat="1" ht="22.5" x14ac:dyDescent="0.25">
      <c r="A22" s="78" t="s">
        <v>35</v>
      </c>
      <c r="B22" s="9" t="s">
        <v>36</v>
      </c>
      <c r="C22" s="6" t="s">
        <v>37</v>
      </c>
      <c r="D22" s="6" t="s">
        <v>17</v>
      </c>
      <c r="E22" s="26">
        <v>1.0327200000000001</v>
      </c>
      <c r="F22" s="30"/>
      <c r="G22" s="31"/>
      <c r="H22" s="96"/>
      <c r="I22" s="31"/>
      <c r="J22" s="96"/>
      <c r="K22" s="31"/>
      <c r="L22" s="96"/>
      <c r="M22" s="31"/>
      <c r="N22" s="96"/>
      <c r="O22" s="31"/>
      <c r="P22" s="96"/>
      <c r="Q22" s="31"/>
      <c r="R22" s="96"/>
      <c r="S22" s="31"/>
      <c r="T22" s="96"/>
      <c r="U22" s="67"/>
      <c r="V22" s="108"/>
      <c r="W22" s="70"/>
      <c r="X22" s="108"/>
      <c r="Y22" s="70"/>
    </row>
    <row r="23" spans="1:26" s="16" customFormat="1" ht="15" x14ac:dyDescent="0.25">
      <c r="A23" s="132" t="s">
        <v>38</v>
      </c>
      <c r="B23" s="134" t="s">
        <v>15</v>
      </c>
      <c r="C23" s="6" t="s">
        <v>16</v>
      </c>
      <c r="D23" s="6" t="s">
        <v>17</v>
      </c>
      <c r="E23" s="140">
        <v>103.27200000000001</v>
      </c>
      <c r="F23" s="30"/>
      <c r="G23" s="31"/>
      <c r="H23" s="129"/>
      <c r="I23" s="31"/>
      <c r="J23" s="129"/>
      <c r="K23" s="31"/>
      <c r="L23" s="129"/>
      <c r="M23" s="31"/>
      <c r="N23" s="129"/>
      <c r="O23" s="31"/>
      <c r="P23" s="129"/>
      <c r="Q23" s="31"/>
      <c r="R23" s="129"/>
      <c r="S23" s="31"/>
      <c r="T23" s="129"/>
      <c r="U23" s="67"/>
      <c r="V23" s="130">
        <f>H23+J23+L23+N23+P23+R23+T23</f>
        <v>0</v>
      </c>
      <c r="W23" s="70"/>
      <c r="X23" s="130">
        <f>E23-V23</f>
        <v>103.27200000000001</v>
      </c>
      <c r="Y23" s="70"/>
    </row>
    <row r="24" spans="1:26" s="16" customFormat="1" ht="15" customHeight="1" x14ac:dyDescent="0.25">
      <c r="A24" s="77" t="s">
        <v>39</v>
      </c>
      <c r="B24" s="19"/>
      <c r="C24" s="23"/>
      <c r="D24" s="23"/>
      <c r="E24" s="23"/>
      <c r="F24" s="23"/>
      <c r="G24" s="23"/>
      <c r="H24" s="94"/>
      <c r="I24" s="23"/>
      <c r="J24" s="94"/>
      <c r="K24" s="23"/>
      <c r="L24" s="94"/>
      <c r="M24" s="23"/>
      <c r="N24" s="94"/>
      <c r="O24" s="23"/>
      <c r="P24" s="94"/>
      <c r="Q24" s="23"/>
      <c r="R24" s="94"/>
      <c r="S24" s="23"/>
      <c r="T24" s="94"/>
      <c r="U24" s="66"/>
      <c r="V24" s="106"/>
      <c r="W24" s="69"/>
      <c r="X24" s="106"/>
      <c r="Y24" s="69"/>
    </row>
    <row r="25" spans="1:26" s="16" customFormat="1" ht="15" customHeight="1" x14ac:dyDescent="0.25">
      <c r="A25" s="79" t="s">
        <v>40</v>
      </c>
      <c r="B25" s="14"/>
      <c r="C25" s="5"/>
      <c r="D25" s="5"/>
      <c r="E25" s="7"/>
      <c r="F25" s="7"/>
      <c r="G25" s="7"/>
      <c r="H25" s="94"/>
      <c r="I25" s="7"/>
      <c r="J25" s="94"/>
      <c r="K25" s="7"/>
      <c r="L25" s="94"/>
      <c r="M25" s="7"/>
      <c r="N25" s="94"/>
      <c r="O25" s="7"/>
      <c r="P25" s="94"/>
      <c r="Q25" s="7"/>
      <c r="R25" s="94"/>
      <c r="S25" s="7"/>
      <c r="T25" s="94"/>
      <c r="U25" s="8"/>
      <c r="V25" s="106"/>
      <c r="W25" s="68"/>
      <c r="X25" s="106"/>
      <c r="Y25" s="68"/>
      <c r="Z25" s="1"/>
    </row>
    <row r="26" spans="1:26" s="16" customFormat="1" ht="33.75" x14ac:dyDescent="0.25">
      <c r="A26" s="78" t="s">
        <v>41</v>
      </c>
      <c r="B26" s="9" t="s">
        <v>42</v>
      </c>
      <c r="C26" s="6" t="s">
        <v>43</v>
      </c>
      <c r="D26" s="6" t="s">
        <v>98</v>
      </c>
      <c r="E26" s="25">
        <v>66.872</v>
      </c>
      <c r="F26" s="30">
        <f>G26/E26</f>
        <v>88815.117388443599</v>
      </c>
      <c r="G26" s="30">
        <v>5939244.5300000003</v>
      </c>
      <c r="H26" s="95"/>
      <c r="I26" s="30">
        <f>F26*H26</f>
        <v>0</v>
      </c>
      <c r="J26" s="95"/>
      <c r="K26" s="30">
        <f>F26*J26</f>
        <v>0</v>
      </c>
      <c r="L26" s="95"/>
      <c r="M26" s="30">
        <f>F26*L26</f>
        <v>0</v>
      </c>
      <c r="N26" s="95"/>
      <c r="O26" s="30">
        <f>F26*N26</f>
        <v>0</v>
      </c>
      <c r="P26" s="95"/>
      <c r="Q26" s="30">
        <f>F26*P26</f>
        <v>0</v>
      </c>
      <c r="R26" s="95"/>
      <c r="S26" s="30">
        <f>F26*R26</f>
        <v>0</v>
      </c>
      <c r="T26" s="95"/>
      <c r="U26" s="53">
        <f>F26*T26</f>
        <v>0</v>
      </c>
      <c r="V26" s="107">
        <f>H26+J26+L26+N26+P26+R26+T26</f>
        <v>0</v>
      </c>
      <c r="W26" s="59">
        <f>I26+K26+M26+O26+Q26+S26+U26</f>
        <v>0</v>
      </c>
      <c r="X26" s="107">
        <f>E26-V26</f>
        <v>66.872</v>
      </c>
      <c r="Y26" s="59">
        <f>G26-W26</f>
        <v>5939244.5300000003</v>
      </c>
    </row>
    <row r="27" spans="1:26" s="16" customFormat="1" ht="15" x14ac:dyDescent="0.25">
      <c r="A27" s="132" t="s">
        <v>44</v>
      </c>
      <c r="B27" s="133" t="s">
        <v>15</v>
      </c>
      <c r="C27" s="6" t="s">
        <v>16</v>
      </c>
      <c r="D27" s="6" t="s">
        <v>17</v>
      </c>
      <c r="E27" s="140">
        <v>66.872</v>
      </c>
      <c r="F27" s="30"/>
      <c r="G27" s="31"/>
      <c r="H27" s="129"/>
      <c r="I27" s="31"/>
      <c r="J27" s="129"/>
      <c r="K27" s="31"/>
      <c r="L27" s="129"/>
      <c r="M27" s="31"/>
      <c r="N27" s="129"/>
      <c r="O27" s="31"/>
      <c r="P27" s="129"/>
      <c r="Q27" s="31"/>
      <c r="R27" s="129"/>
      <c r="S27" s="31"/>
      <c r="T27" s="129"/>
      <c r="U27" s="67"/>
      <c r="V27" s="130">
        <f>H27+J27+L27+N27+P27+R27+T27</f>
        <v>0</v>
      </c>
      <c r="W27" s="70"/>
      <c r="X27" s="130">
        <f>E27-V27</f>
        <v>66.872</v>
      </c>
      <c r="Y27" s="70"/>
    </row>
    <row r="28" spans="1:26" s="16" customFormat="1" ht="15" customHeight="1" x14ac:dyDescent="0.25">
      <c r="A28" s="77" t="s">
        <v>45</v>
      </c>
      <c r="B28" s="19"/>
      <c r="C28" s="23"/>
      <c r="D28" s="23"/>
      <c r="E28" s="23"/>
      <c r="F28" s="23"/>
      <c r="G28" s="23"/>
      <c r="H28" s="94"/>
      <c r="I28" s="23"/>
      <c r="J28" s="94"/>
      <c r="K28" s="23"/>
      <c r="L28" s="94"/>
      <c r="M28" s="23"/>
      <c r="N28" s="94"/>
      <c r="O28" s="23"/>
      <c r="P28" s="94"/>
      <c r="Q28" s="23"/>
      <c r="R28" s="94"/>
      <c r="S28" s="23"/>
      <c r="T28" s="94"/>
      <c r="U28" s="66"/>
      <c r="V28" s="106"/>
      <c r="W28" s="69"/>
      <c r="X28" s="106"/>
      <c r="Y28" s="69"/>
    </row>
    <row r="29" spans="1:26" s="16" customFormat="1" ht="33.75" x14ac:dyDescent="0.25">
      <c r="A29" s="78" t="s">
        <v>46</v>
      </c>
      <c r="B29" s="9" t="s">
        <v>47</v>
      </c>
      <c r="C29" s="6" t="s">
        <v>48</v>
      </c>
      <c r="D29" s="6" t="s">
        <v>98</v>
      </c>
      <c r="E29" s="25">
        <v>233.27199999999999</v>
      </c>
      <c r="F29" s="30">
        <f>G29/E29</f>
        <v>97565.648556191911</v>
      </c>
      <c r="G29" s="30">
        <v>22759333.969999999</v>
      </c>
      <c r="H29" s="95"/>
      <c r="I29" s="30">
        <f>F29*H29</f>
        <v>0</v>
      </c>
      <c r="J29" s="95"/>
      <c r="K29" s="30">
        <f>F29*J29</f>
        <v>0</v>
      </c>
      <c r="L29" s="95"/>
      <c r="M29" s="30">
        <f>F29*L29</f>
        <v>0</v>
      </c>
      <c r="N29" s="95"/>
      <c r="O29" s="30">
        <f>F29*N29</f>
        <v>0</v>
      </c>
      <c r="P29" s="95"/>
      <c r="Q29" s="30">
        <f>F29*P29</f>
        <v>0</v>
      </c>
      <c r="R29" s="95"/>
      <c r="S29" s="30">
        <f>F29*R29</f>
        <v>0</v>
      </c>
      <c r="T29" s="95"/>
      <c r="U29" s="53">
        <f>F29*T29</f>
        <v>0</v>
      </c>
      <c r="V29" s="107">
        <f>H29+J29+L29+N29+P29+R29+T29</f>
        <v>0</v>
      </c>
      <c r="W29" s="59">
        <f>I29+K29+M29+O29+Q29+S29+U29</f>
        <v>0</v>
      </c>
      <c r="X29" s="107">
        <f>E29-V29</f>
        <v>233.27199999999999</v>
      </c>
      <c r="Y29" s="59">
        <f>G29-W29</f>
        <v>22759333.969999999</v>
      </c>
    </row>
    <row r="30" spans="1:26" s="16" customFormat="1" ht="15" x14ac:dyDescent="0.25">
      <c r="A30" s="132" t="s">
        <v>49</v>
      </c>
      <c r="B30" s="133" t="s">
        <v>15</v>
      </c>
      <c r="C30" s="6" t="s">
        <v>16</v>
      </c>
      <c r="D30" s="6" t="s">
        <v>17</v>
      </c>
      <c r="E30" s="140">
        <v>233.27199999999999</v>
      </c>
      <c r="F30" s="30"/>
      <c r="G30" s="31"/>
      <c r="H30" s="129"/>
      <c r="I30" s="31"/>
      <c r="J30" s="129"/>
      <c r="K30" s="31"/>
      <c r="L30" s="129"/>
      <c r="M30" s="31"/>
      <c r="N30" s="129"/>
      <c r="O30" s="31"/>
      <c r="P30" s="129"/>
      <c r="Q30" s="31"/>
      <c r="R30" s="129"/>
      <c r="S30" s="31"/>
      <c r="T30" s="129"/>
      <c r="U30" s="67"/>
      <c r="V30" s="130">
        <f>H30+J30+L30+N30+P30+R30+T30</f>
        <v>0</v>
      </c>
      <c r="W30" s="70"/>
      <c r="X30" s="130">
        <f>E30-V30</f>
        <v>233.27199999999999</v>
      </c>
      <c r="Y30" s="70"/>
    </row>
    <row r="31" spans="1:26" s="16" customFormat="1" ht="33.75" x14ac:dyDescent="0.25">
      <c r="A31" s="78" t="s">
        <v>50</v>
      </c>
      <c r="B31" s="9" t="s">
        <v>51</v>
      </c>
      <c r="C31" s="6" t="s">
        <v>52</v>
      </c>
      <c r="D31" s="6" t="s">
        <v>53</v>
      </c>
      <c r="E31" s="27">
        <v>52.7</v>
      </c>
      <c r="F31" s="30">
        <f t="shared" ref="F31:F36" si="0">G31/E31</f>
        <v>81882.556166982919</v>
      </c>
      <c r="G31" s="30">
        <v>4315210.71</v>
      </c>
      <c r="H31" s="97"/>
      <c r="I31" s="30">
        <f>F31*H31</f>
        <v>0</v>
      </c>
      <c r="J31" s="97"/>
      <c r="K31" s="30">
        <f>F31*J31</f>
        <v>0</v>
      </c>
      <c r="L31" s="97"/>
      <c r="M31" s="30">
        <f>F31*L31</f>
        <v>0</v>
      </c>
      <c r="N31" s="97"/>
      <c r="O31" s="30">
        <f>F31*N31</f>
        <v>0</v>
      </c>
      <c r="P31" s="97"/>
      <c r="Q31" s="30">
        <f>F31*P31</f>
        <v>0</v>
      </c>
      <c r="R31" s="97"/>
      <c r="S31" s="30">
        <f>F31*R31</f>
        <v>0</v>
      </c>
      <c r="T31" s="97"/>
      <c r="U31" s="53">
        <f>F31*T31</f>
        <v>0</v>
      </c>
      <c r="V31" s="107">
        <f>H31+J31+L31+N31+P31+R31+T31</f>
        <v>0</v>
      </c>
      <c r="W31" s="59">
        <f>I31+K31+M31+O31+Q31+S31+U31</f>
        <v>0</v>
      </c>
      <c r="X31" s="107">
        <f>E31-V31</f>
        <v>52.7</v>
      </c>
      <c r="Y31" s="59">
        <f>G31-W31</f>
        <v>4315210.71</v>
      </c>
    </row>
    <row r="32" spans="1:26" s="16" customFormat="1" ht="15" x14ac:dyDescent="0.25">
      <c r="A32" s="78" t="s">
        <v>54</v>
      </c>
      <c r="B32" s="9" t="s">
        <v>55</v>
      </c>
      <c r="C32" s="6" t="s">
        <v>16</v>
      </c>
      <c r="D32" s="6" t="s">
        <v>17</v>
      </c>
      <c r="E32" s="27">
        <v>56.7</v>
      </c>
      <c r="F32" s="30"/>
      <c r="G32" s="31"/>
      <c r="H32" s="97"/>
      <c r="I32" s="31"/>
      <c r="J32" s="97"/>
      <c r="K32" s="31"/>
      <c r="L32" s="97"/>
      <c r="M32" s="31"/>
      <c r="N32" s="97"/>
      <c r="O32" s="31"/>
      <c r="P32" s="97"/>
      <c r="Q32" s="31"/>
      <c r="R32" s="97"/>
      <c r="S32" s="31"/>
      <c r="T32" s="97"/>
      <c r="U32" s="67"/>
      <c r="V32" s="109"/>
      <c r="W32" s="70"/>
      <c r="X32" s="109"/>
      <c r="Y32" s="70"/>
    </row>
    <row r="33" spans="1:35" s="16" customFormat="1" ht="33.75" x14ac:dyDescent="0.25">
      <c r="A33" s="78" t="s">
        <v>56</v>
      </c>
      <c r="B33" s="13" t="s">
        <v>57</v>
      </c>
      <c r="C33" s="6" t="s">
        <v>58</v>
      </c>
      <c r="D33" s="6" t="s">
        <v>17</v>
      </c>
      <c r="E33" s="28">
        <v>1.8972</v>
      </c>
      <c r="F33" s="30">
        <f t="shared" si="0"/>
        <v>211120.20872865262</v>
      </c>
      <c r="G33" s="30">
        <v>400537.25999999978</v>
      </c>
      <c r="H33" s="98"/>
      <c r="I33" s="30">
        <f>F33*H33</f>
        <v>0</v>
      </c>
      <c r="J33" s="98"/>
      <c r="K33" s="30">
        <f>F33*J33</f>
        <v>0</v>
      </c>
      <c r="L33" s="98"/>
      <c r="M33" s="30">
        <f t="shared" ref="M33:M36" si="1">F33*L33</f>
        <v>0</v>
      </c>
      <c r="N33" s="98"/>
      <c r="O33" s="30">
        <f t="shared" ref="O33:O36" si="2">F33*N33</f>
        <v>0</v>
      </c>
      <c r="P33" s="98"/>
      <c r="Q33" s="30">
        <f t="shared" ref="Q33:Q36" si="3">F33*P33</f>
        <v>0</v>
      </c>
      <c r="R33" s="98"/>
      <c r="S33" s="30">
        <f t="shared" ref="S33:S36" si="4">F33*R33</f>
        <v>0</v>
      </c>
      <c r="T33" s="98"/>
      <c r="U33" s="53">
        <f t="shared" ref="U33:U36" si="5">F33*T33</f>
        <v>0</v>
      </c>
      <c r="V33" s="107">
        <f t="shared" ref="V33:W36" si="6">H33+J33+L33+N33+P33+R33+T33</f>
        <v>0</v>
      </c>
      <c r="W33" s="59">
        <f t="shared" si="6"/>
        <v>0</v>
      </c>
      <c r="X33" s="107">
        <f t="shared" ref="X33:X36" si="7">E33-V33</f>
        <v>1.8972</v>
      </c>
      <c r="Y33" s="59">
        <f t="shared" ref="Y33:Y36" si="8">G33-W33</f>
        <v>400537.25999999978</v>
      </c>
    </row>
    <row r="34" spans="1:35" s="16" customFormat="1" ht="45" x14ac:dyDescent="0.25">
      <c r="A34" s="78" t="s">
        <v>59</v>
      </c>
      <c r="B34" s="9" t="s">
        <v>60</v>
      </c>
      <c r="C34" s="6" t="s">
        <v>61</v>
      </c>
      <c r="D34" s="6" t="s">
        <v>62</v>
      </c>
      <c r="E34" s="28">
        <v>65.675700000000006</v>
      </c>
      <c r="F34" s="30">
        <f t="shared" si="0"/>
        <v>275475.7047127019</v>
      </c>
      <c r="G34" s="30">
        <v>18092059.739999998</v>
      </c>
      <c r="H34" s="98"/>
      <c r="I34" s="30">
        <f>F34*H34</f>
        <v>0</v>
      </c>
      <c r="J34" s="98"/>
      <c r="K34" s="30">
        <f>F34*J34</f>
        <v>0</v>
      </c>
      <c r="L34" s="98"/>
      <c r="M34" s="30">
        <f t="shared" si="1"/>
        <v>0</v>
      </c>
      <c r="N34" s="98"/>
      <c r="O34" s="30">
        <f t="shared" si="2"/>
        <v>0</v>
      </c>
      <c r="P34" s="98"/>
      <c r="Q34" s="30">
        <f t="shared" si="3"/>
        <v>0</v>
      </c>
      <c r="R34" s="98"/>
      <c r="S34" s="30">
        <f t="shared" si="4"/>
        <v>0</v>
      </c>
      <c r="T34" s="98"/>
      <c r="U34" s="53">
        <f t="shared" si="5"/>
        <v>0</v>
      </c>
      <c r="V34" s="107">
        <f t="shared" si="6"/>
        <v>0</v>
      </c>
      <c r="W34" s="59">
        <f t="shared" si="6"/>
        <v>0</v>
      </c>
      <c r="X34" s="107">
        <f t="shared" si="7"/>
        <v>65.675700000000006</v>
      </c>
      <c r="Y34" s="59">
        <f t="shared" si="8"/>
        <v>18092059.739999998</v>
      </c>
    </row>
    <row r="35" spans="1:35" s="16" customFormat="1" ht="22.5" x14ac:dyDescent="0.25">
      <c r="A35" s="78" t="s">
        <v>63</v>
      </c>
      <c r="B35" s="9" t="s">
        <v>64</v>
      </c>
      <c r="C35" s="6" t="s">
        <v>65</v>
      </c>
      <c r="D35" s="6" t="s">
        <v>17</v>
      </c>
      <c r="E35" s="25">
        <v>3.7959999999999998</v>
      </c>
      <c r="F35" s="30">
        <f t="shared" si="0"/>
        <v>148109.40024587285</v>
      </c>
      <c r="G35" s="30">
        <v>562223.28333333333</v>
      </c>
      <c r="H35" s="95"/>
      <c r="I35" s="30">
        <f>F35*H35</f>
        <v>0</v>
      </c>
      <c r="J35" s="95"/>
      <c r="K35" s="30">
        <f>F35*J35</f>
        <v>0</v>
      </c>
      <c r="L35" s="95"/>
      <c r="M35" s="30">
        <f t="shared" si="1"/>
        <v>0</v>
      </c>
      <c r="N35" s="95"/>
      <c r="O35" s="30">
        <f t="shared" si="2"/>
        <v>0</v>
      </c>
      <c r="P35" s="95"/>
      <c r="Q35" s="30">
        <f t="shared" si="3"/>
        <v>0</v>
      </c>
      <c r="R35" s="95"/>
      <c r="S35" s="30">
        <f t="shared" si="4"/>
        <v>0</v>
      </c>
      <c r="T35" s="95"/>
      <c r="U35" s="53">
        <f t="shared" si="5"/>
        <v>0</v>
      </c>
      <c r="V35" s="107">
        <f t="shared" si="6"/>
        <v>0</v>
      </c>
      <c r="W35" s="59">
        <f t="shared" si="6"/>
        <v>0</v>
      </c>
      <c r="X35" s="107">
        <f t="shared" si="7"/>
        <v>3.7959999999999998</v>
      </c>
      <c r="Y35" s="59">
        <f t="shared" si="8"/>
        <v>562223.28333333333</v>
      </c>
    </row>
    <row r="36" spans="1:35" s="16" customFormat="1" ht="33.75" x14ac:dyDescent="0.25">
      <c r="A36" s="78" t="s">
        <v>66</v>
      </c>
      <c r="B36" s="9" t="s">
        <v>57</v>
      </c>
      <c r="C36" s="6" t="s">
        <v>58</v>
      </c>
      <c r="D36" s="6" t="s">
        <v>17</v>
      </c>
      <c r="E36" s="28">
        <v>2.3643000000000001</v>
      </c>
      <c r="F36" s="30">
        <f t="shared" si="0"/>
        <v>211120.20471175402</v>
      </c>
      <c r="G36" s="30">
        <v>499151.50000000006</v>
      </c>
      <c r="H36" s="98"/>
      <c r="I36" s="30">
        <f>F36*H36</f>
        <v>0</v>
      </c>
      <c r="J36" s="98"/>
      <c r="K36" s="30">
        <f>F36*J36</f>
        <v>0</v>
      </c>
      <c r="L36" s="98"/>
      <c r="M36" s="30">
        <f t="shared" si="1"/>
        <v>0</v>
      </c>
      <c r="N36" s="98"/>
      <c r="O36" s="30">
        <f t="shared" si="2"/>
        <v>0</v>
      </c>
      <c r="P36" s="98"/>
      <c r="Q36" s="30">
        <f t="shared" si="3"/>
        <v>0</v>
      </c>
      <c r="R36" s="98"/>
      <c r="S36" s="30">
        <f t="shared" si="4"/>
        <v>0</v>
      </c>
      <c r="T36" s="98"/>
      <c r="U36" s="53">
        <f t="shared" si="5"/>
        <v>0</v>
      </c>
      <c r="V36" s="107">
        <f t="shared" si="6"/>
        <v>0</v>
      </c>
      <c r="W36" s="59">
        <f t="shared" si="6"/>
        <v>0</v>
      </c>
      <c r="X36" s="107">
        <f t="shared" si="7"/>
        <v>2.3643000000000001</v>
      </c>
      <c r="Y36" s="59">
        <f t="shared" si="8"/>
        <v>499151.50000000006</v>
      </c>
    </row>
    <row r="37" spans="1:35" s="16" customFormat="1" ht="15" x14ac:dyDescent="0.25">
      <c r="A37" s="78" t="s">
        <v>67</v>
      </c>
      <c r="B37" s="9" t="s">
        <v>68</v>
      </c>
      <c r="C37" s="6" t="s">
        <v>16</v>
      </c>
      <c r="D37" s="6" t="s">
        <v>17</v>
      </c>
      <c r="E37" s="29">
        <v>54</v>
      </c>
      <c r="F37" s="30"/>
      <c r="G37" s="31"/>
      <c r="H37" s="99"/>
      <c r="I37" s="31"/>
      <c r="J37" s="99"/>
      <c r="K37" s="31"/>
      <c r="L37" s="99"/>
      <c r="M37" s="31"/>
      <c r="N37" s="99"/>
      <c r="O37" s="31"/>
      <c r="P37" s="99"/>
      <c r="Q37" s="31"/>
      <c r="R37" s="99"/>
      <c r="S37" s="31"/>
      <c r="T37" s="99"/>
      <c r="U37" s="67"/>
      <c r="V37" s="110"/>
      <c r="W37" s="70"/>
      <c r="X37" s="110"/>
      <c r="Y37" s="70"/>
    </row>
    <row r="38" spans="1:35" s="16" customFormat="1" ht="15" customHeight="1" x14ac:dyDescent="0.25">
      <c r="A38" s="77" t="s">
        <v>69</v>
      </c>
      <c r="B38" s="19"/>
      <c r="C38" s="23"/>
      <c r="D38" s="23"/>
      <c r="E38" s="23"/>
      <c r="F38" s="23"/>
      <c r="G38" s="23"/>
      <c r="H38" s="94"/>
      <c r="I38" s="23"/>
      <c r="J38" s="94"/>
      <c r="K38" s="23"/>
      <c r="L38" s="94"/>
      <c r="M38" s="23"/>
      <c r="N38" s="94"/>
      <c r="O38" s="23"/>
      <c r="P38" s="94"/>
      <c r="Q38" s="23"/>
      <c r="R38" s="94"/>
      <c r="S38" s="23"/>
      <c r="T38" s="94"/>
      <c r="U38" s="66"/>
      <c r="V38" s="106"/>
      <c r="W38" s="69"/>
      <c r="X38" s="106"/>
      <c r="Y38" s="69"/>
    </row>
    <row r="39" spans="1:35" s="16" customFormat="1" ht="45" x14ac:dyDescent="0.25">
      <c r="A39" s="78" t="s">
        <v>70</v>
      </c>
      <c r="B39" s="9" t="s">
        <v>71</v>
      </c>
      <c r="C39" s="6" t="s">
        <v>72</v>
      </c>
      <c r="D39" s="6" t="s">
        <v>73</v>
      </c>
      <c r="E39" s="25">
        <v>4.3680000000000003</v>
      </c>
      <c r="F39" s="30">
        <f>G39/E39</f>
        <v>208958.32875457875</v>
      </c>
      <c r="G39" s="30">
        <v>912729.98</v>
      </c>
      <c r="H39" s="95"/>
      <c r="I39" s="30">
        <f>F39*H39</f>
        <v>0</v>
      </c>
      <c r="J39" s="95"/>
      <c r="K39" s="30">
        <f>F39*J39</f>
        <v>0</v>
      </c>
      <c r="L39" s="95"/>
      <c r="M39" s="30">
        <f>F39*L39</f>
        <v>0</v>
      </c>
      <c r="N39" s="95"/>
      <c r="O39" s="30">
        <f>F39*N39</f>
        <v>0</v>
      </c>
      <c r="P39" s="95"/>
      <c r="Q39" s="30">
        <f>F39*P39</f>
        <v>0</v>
      </c>
      <c r="R39" s="95"/>
      <c r="S39" s="30">
        <f>F39*R39</f>
        <v>0</v>
      </c>
      <c r="T39" s="95"/>
      <c r="U39" s="53">
        <f>F39*T39</f>
        <v>0</v>
      </c>
      <c r="V39" s="107">
        <f>H39+J39+L39+N39+P39+R39+T39</f>
        <v>0</v>
      </c>
      <c r="W39" s="59">
        <f>I39+K39+M39+O39+Q39+S39+U39</f>
        <v>0</v>
      </c>
      <c r="X39" s="107">
        <f>E39-V39</f>
        <v>4.3680000000000003</v>
      </c>
      <c r="Y39" s="59">
        <f>G39-W39</f>
        <v>912729.98</v>
      </c>
    </row>
    <row r="40" spans="1:35" s="16" customFormat="1" ht="15" x14ac:dyDescent="0.25">
      <c r="A40" s="132" t="s">
        <v>74</v>
      </c>
      <c r="B40" s="133" t="s">
        <v>15</v>
      </c>
      <c r="C40" s="6" t="s">
        <v>16</v>
      </c>
      <c r="D40" s="6" t="s">
        <v>17</v>
      </c>
      <c r="E40" s="140">
        <v>4.3680000000000003</v>
      </c>
      <c r="F40" s="30"/>
      <c r="G40" s="31"/>
      <c r="H40" s="129"/>
      <c r="I40" s="31"/>
      <c r="J40" s="129"/>
      <c r="K40" s="31"/>
      <c r="L40" s="129"/>
      <c r="M40" s="31"/>
      <c r="N40" s="129"/>
      <c r="O40" s="31"/>
      <c r="P40" s="129"/>
      <c r="Q40" s="31"/>
      <c r="R40" s="129"/>
      <c r="S40" s="31"/>
      <c r="T40" s="129"/>
      <c r="U40" s="67"/>
      <c r="V40" s="130">
        <f>H40+J40+L40+N40+P40+R40+T40</f>
        <v>0</v>
      </c>
      <c r="W40" s="70"/>
      <c r="X40" s="130">
        <f>E40-V40</f>
        <v>4.3680000000000003</v>
      </c>
      <c r="Y40" s="70"/>
    </row>
    <row r="41" spans="1:35" s="16" customFormat="1" ht="15" customHeight="1" x14ac:dyDescent="0.25">
      <c r="A41" s="77" t="s">
        <v>75</v>
      </c>
      <c r="B41" s="19"/>
      <c r="C41" s="23"/>
      <c r="D41" s="23"/>
      <c r="E41" s="23"/>
      <c r="F41" s="23"/>
      <c r="G41" s="23"/>
      <c r="H41" s="94"/>
      <c r="I41" s="23"/>
      <c r="J41" s="94"/>
      <c r="K41" s="23"/>
      <c r="L41" s="94"/>
      <c r="M41" s="23"/>
      <c r="N41" s="94"/>
      <c r="O41" s="23"/>
      <c r="P41" s="94"/>
      <c r="Q41" s="23"/>
      <c r="R41" s="94"/>
      <c r="S41" s="23"/>
      <c r="T41" s="94"/>
      <c r="U41" s="66"/>
      <c r="V41" s="106"/>
      <c r="W41" s="69"/>
      <c r="X41" s="106"/>
      <c r="Y41" s="69"/>
    </row>
    <row r="42" spans="1:35" s="16" customFormat="1" ht="56.25" x14ac:dyDescent="0.25">
      <c r="A42" s="78" t="s">
        <v>76</v>
      </c>
      <c r="B42" s="9" t="s">
        <v>77</v>
      </c>
      <c r="C42" s="6" t="s">
        <v>78</v>
      </c>
      <c r="D42" s="6" t="s">
        <v>79</v>
      </c>
      <c r="E42" s="28">
        <v>47.659599999999998</v>
      </c>
      <c r="F42" s="30">
        <f>G42/E42</f>
        <v>11614.347721480388</v>
      </c>
      <c r="G42" s="30">
        <v>553535.16666666663</v>
      </c>
      <c r="H42" s="98"/>
      <c r="I42" s="30">
        <f>F42*H42</f>
        <v>0</v>
      </c>
      <c r="J42" s="98"/>
      <c r="K42" s="30">
        <f>F42*J42</f>
        <v>0</v>
      </c>
      <c r="L42" s="98">
        <v>0.23100000000000001</v>
      </c>
      <c r="M42" s="30">
        <f t="shared" ref="M42:M45" si="9">F42*L42</f>
        <v>2682.9143236619698</v>
      </c>
      <c r="N42" s="98"/>
      <c r="O42" s="30">
        <f t="shared" ref="O42:O45" si="10">F42*N42</f>
        <v>0</v>
      </c>
      <c r="P42" s="98"/>
      <c r="Q42" s="30">
        <f t="shared" ref="Q42:Q45" si="11">F42*P42</f>
        <v>0</v>
      </c>
      <c r="R42" s="98"/>
      <c r="S42" s="30">
        <f t="shared" ref="S42:S45" si="12">F42*R42</f>
        <v>0</v>
      </c>
      <c r="T42" s="98"/>
      <c r="U42" s="53">
        <f t="shared" ref="U42:U45" si="13">F42*T42</f>
        <v>0</v>
      </c>
      <c r="V42" s="107">
        <f t="shared" ref="V42:W45" si="14">H42+J42+L42+N42+P42+R42+T42</f>
        <v>0.23100000000000001</v>
      </c>
      <c r="W42" s="59">
        <f t="shared" si="14"/>
        <v>2682.9143236619698</v>
      </c>
      <c r="X42" s="107">
        <f t="shared" ref="X42:X45" si="15">E42-V42</f>
        <v>47.428599999999996</v>
      </c>
      <c r="Y42" s="59">
        <f t="shared" ref="Y42:Y45" si="16">G42-W42</f>
        <v>550852.25234300469</v>
      </c>
    </row>
    <row r="43" spans="1:35" s="16" customFormat="1" ht="33.75" x14ac:dyDescent="0.25">
      <c r="A43" s="78" t="s">
        <v>80</v>
      </c>
      <c r="B43" s="9" t="s">
        <v>81</v>
      </c>
      <c r="C43" s="6" t="s">
        <v>82</v>
      </c>
      <c r="D43" s="6" t="s">
        <v>83</v>
      </c>
      <c r="E43" s="27">
        <v>571.9</v>
      </c>
      <c r="F43" s="30">
        <f t="shared" ref="F43:F45" si="17">G43/E43</f>
        <v>298.32727166754097</v>
      </c>
      <c r="G43" s="30">
        <v>170613.36666666667</v>
      </c>
      <c r="H43" s="97"/>
      <c r="I43" s="30">
        <f>F43*H43</f>
        <v>0</v>
      </c>
      <c r="J43" s="97"/>
      <c r="K43" s="30">
        <f>F43*J43</f>
        <v>0</v>
      </c>
      <c r="L43" s="97">
        <v>2.8</v>
      </c>
      <c r="M43" s="30">
        <f t="shared" si="9"/>
        <v>835.31636066911472</v>
      </c>
      <c r="N43" s="97"/>
      <c r="O43" s="30">
        <f t="shared" si="10"/>
        <v>0</v>
      </c>
      <c r="P43" s="97"/>
      <c r="Q43" s="30">
        <f t="shared" si="11"/>
        <v>0</v>
      </c>
      <c r="R43" s="97"/>
      <c r="S43" s="30">
        <f t="shared" si="12"/>
        <v>0</v>
      </c>
      <c r="T43" s="97"/>
      <c r="U43" s="53">
        <f t="shared" si="13"/>
        <v>0</v>
      </c>
      <c r="V43" s="107">
        <f t="shared" si="14"/>
        <v>2.8</v>
      </c>
      <c r="W43" s="59">
        <f t="shared" si="14"/>
        <v>835.31636066911472</v>
      </c>
      <c r="X43" s="107">
        <f t="shared" si="15"/>
        <v>569.1</v>
      </c>
      <c r="Y43" s="59">
        <f t="shared" si="16"/>
        <v>169778.05030599755</v>
      </c>
    </row>
    <row r="44" spans="1:35" s="16" customFormat="1" ht="56.25" x14ac:dyDescent="0.25">
      <c r="A44" s="78" t="s">
        <v>84</v>
      </c>
      <c r="B44" s="13" t="s">
        <v>85</v>
      </c>
      <c r="C44" s="6" t="s">
        <v>86</v>
      </c>
      <c r="D44" s="6" t="s">
        <v>79</v>
      </c>
      <c r="E44" s="28">
        <v>20.565200000000001</v>
      </c>
      <c r="F44" s="30">
        <f t="shared" si="17"/>
        <v>14111.306965164451</v>
      </c>
      <c r="G44" s="30">
        <v>290201.84999999998</v>
      </c>
      <c r="H44" s="98"/>
      <c r="I44" s="30">
        <f>F44*H44</f>
        <v>0</v>
      </c>
      <c r="J44" s="98"/>
      <c r="K44" s="30">
        <f>F44*J44</f>
        <v>0</v>
      </c>
      <c r="L44" s="98"/>
      <c r="M44" s="30">
        <f t="shared" si="9"/>
        <v>0</v>
      </c>
      <c r="N44" s="98"/>
      <c r="O44" s="30">
        <f t="shared" si="10"/>
        <v>0</v>
      </c>
      <c r="P44" s="98"/>
      <c r="Q44" s="30">
        <f t="shared" si="11"/>
        <v>0</v>
      </c>
      <c r="R44" s="98"/>
      <c r="S44" s="30">
        <f t="shared" si="12"/>
        <v>0</v>
      </c>
      <c r="T44" s="98"/>
      <c r="U44" s="53">
        <f t="shared" si="13"/>
        <v>0</v>
      </c>
      <c r="V44" s="107">
        <f t="shared" si="14"/>
        <v>0</v>
      </c>
      <c r="W44" s="59">
        <f t="shared" si="14"/>
        <v>0</v>
      </c>
      <c r="X44" s="107">
        <f t="shared" si="15"/>
        <v>20.565200000000001</v>
      </c>
      <c r="Y44" s="59">
        <f t="shared" si="16"/>
        <v>290201.84999999998</v>
      </c>
    </row>
    <row r="45" spans="1:35" s="16" customFormat="1" ht="34.5" thickBot="1" x14ac:dyDescent="0.3">
      <c r="A45" s="80" t="s">
        <v>87</v>
      </c>
      <c r="B45" s="48" t="s">
        <v>88</v>
      </c>
      <c r="C45" s="6" t="s">
        <v>89</v>
      </c>
      <c r="D45" s="49" t="s">
        <v>83</v>
      </c>
      <c r="E45" s="50">
        <v>781.5</v>
      </c>
      <c r="F45" s="51">
        <f t="shared" si="17"/>
        <v>373.39136276391554</v>
      </c>
      <c r="G45" s="51">
        <v>291805.34999999998</v>
      </c>
      <c r="H45" s="100"/>
      <c r="I45" s="51">
        <f>F45*H45</f>
        <v>0</v>
      </c>
      <c r="J45" s="100"/>
      <c r="K45" s="51">
        <f>F45*J45</f>
        <v>0</v>
      </c>
      <c r="L45" s="100"/>
      <c r="M45" s="51">
        <f t="shared" si="9"/>
        <v>0</v>
      </c>
      <c r="N45" s="100"/>
      <c r="O45" s="51">
        <f t="shared" si="10"/>
        <v>0</v>
      </c>
      <c r="P45" s="100"/>
      <c r="Q45" s="51">
        <f t="shared" si="11"/>
        <v>0</v>
      </c>
      <c r="R45" s="100"/>
      <c r="S45" s="51">
        <f t="shared" si="12"/>
        <v>0</v>
      </c>
      <c r="T45" s="100"/>
      <c r="U45" s="54">
        <f t="shared" si="13"/>
        <v>0</v>
      </c>
      <c r="V45" s="111">
        <f t="shared" si="14"/>
        <v>0</v>
      </c>
      <c r="W45" s="60">
        <f t="shared" si="14"/>
        <v>0</v>
      </c>
      <c r="X45" s="111">
        <f t="shared" si="15"/>
        <v>781.5</v>
      </c>
      <c r="Y45" s="60">
        <f t="shared" si="16"/>
        <v>291805.34999999998</v>
      </c>
    </row>
    <row r="46" spans="1:35" s="16" customFormat="1" ht="13.5" customHeight="1" thickTop="1" x14ac:dyDescent="0.25">
      <c r="A46" s="81"/>
      <c r="B46" s="45" t="s">
        <v>94</v>
      </c>
      <c r="C46" s="24"/>
      <c r="D46" s="46"/>
      <c r="E46" s="46"/>
      <c r="F46" s="46"/>
      <c r="G46" s="47">
        <f>SUM(G8:G45)</f>
        <v>170247806.63666666</v>
      </c>
      <c r="H46" s="101"/>
      <c r="I46" s="47">
        <f>SUM(I8:I45)</f>
        <v>4223260.2721536923</v>
      </c>
      <c r="J46" s="101"/>
      <c r="K46" s="47">
        <f>SUM(K8:K45)+0.02</f>
        <v>7512597.3896023473</v>
      </c>
      <c r="L46" s="101"/>
      <c r="M46" s="47">
        <f>SUM(M8:M45)</f>
        <v>9966807.0347986054</v>
      </c>
      <c r="N46" s="101"/>
      <c r="O46" s="47">
        <f>SUM(O8:O45)</f>
        <v>0</v>
      </c>
      <c r="P46" s="101"/>
      <c r="Q46" s="47">
        <f>SUM(Q8:Q45)</f>
        <v>0</v>
      </c>
      <c r="R46" s="101"/>
      <c r="S46" s="47">
        <f>SUM(S8:S45)</f>
        <v>0</v>
      </c>
      <c r="T46" s="101"/>
      <c r="U46" s="55">
        <f>SUM(U8:U45)</f>
        <v>0</v>
      </c>
      <c r="V46" s="112"/>
      <c r="W46" s="61">
        <f>SUM(W8:W45)</f>
        <v>21702664.676554646</v>
      </c>
      <c r="X46" s="112"/>
      <c r="Y46" s="61">
        <f>SUM(Y8:Y45)</f>
        <v>148545141.96011198</v>
      </c>
      <c r="AI46" s="10"/>
    </row>
    <row r="47" spans="1:35" s="41" customFormat="1" ht="13.5" customHeight="1" x14ac:dyDescent="0.25">
      <c r="A47" s="82"/>
      <c r="B47" s="38" t="s">
        <v>93</v>
      </c>
      <c r="C47" s="39"/>
      <c r="D47" s="39"/>
      <c r="E47" s="39"/>
      <c r="F47" s="40"/>
      <c r="G47" s="40">
        <f>G46*0.0253738294118085</f>
        <v>4319838.8033333393</v>
      </c>
      <c r="H47" s="102"/>
      <c r="I47" s="40">
        <v>0</v>
      </c>
      <c r="J47" s="102"/>
      <c r="K47" s="40">
        <v>0</v>
      </c>
      <c r="L47" s="102"/>
      <c r="M47" s="40">
        <v>0</v>
      </c>
      <c r="N47" s="102"/>
      <c r="O47" s="40">
        <v>0</v>
      </c>
      <c r="P47" s="102"/>
      <c r="Q47" s="40">
        <v>0</v>
      </c>
      <c r="R47" s="102"/>
      <c r="S47" s="40">
        <v>0</v>
      </c>
      <c r="T47" s="102"/>
      <c r="U47" s="56">
        <v>0</v>
      </c>
      <c r="V47" s="113"/>
      <c r="W47" s="62">
        <v>0</v>
      </c>
      <c r="X47" s="113"/>
      <c r="Y47" s="62">
        <v>0</v>
      </c>
      <c r="AI47" s="42"/>
    </row>
    <row r="48" spans="1:35" s="16" customFormat="1" ht="13.5" customHeight="1" x14ac:dyDescent="0.25">
      <c r="A48" s="83"/>
      <c r="B48" s="33" t="s">
        <v>90</v>
      </c>
      <c r="C48" s="24"/>
      <c r="D48" s="24"/>
      <c r="E48" s="24"/>
      <c r="F48" s="24"/>
      <c r="G48" s="32">
        <f>G46+G47</f>
        <v>174567645.44</v>
      </c>
      <c r="H48" s="103"/>
      <c r="I48" s="32">
        <f>I46-0.04</f>
        <v>4223260.2321536923</v>
      </c>
      <c r="J48" s="103"/>
      <c r="K48" s="32">
        <f>K46</f>
        <v>7512597.3896023473</v>
      </c>
      <c r="L48" s="103"/>
      <c r="M48" s="32">
        <f>M46</f>
        <v>9966807.0347986054</v>
      </c>
      <c r="N48" s="103"/>
      <c r="O48" s="32">
        <f>O46</f>
        <v>0</v>
      </c>
      <c r="P48" s="103"/>
      <c r="Q48" s="32">
        <f>Q46</f>
        <v>0</v>
      </c>
      <c r="R48" s="103"/>
      <c r="S48" s="32">
        <f>S46</f>
        <v>0</v>
      </c>
      <c r="T48" s="103"/>
      <c r="U48" s="57">
        <f>U46</f>
        <v>0</v>
      </c>
      <c r="V48" s="114"/>
      <c r="W48" s="63">
        <f>W46</f>
        <v>21702664.676554646</v>
      </c>
      <c r="X48" s="114"/>
      <c r="Y48" s="63">
        <f>Y46</f>
        <v>148545141.96011198</v>
      </c>
      <c r="AI48" s="10"/>
    </row>
    <row r="49" spans="1:35" s="36" customFormat="1" ht="13.5" customHeight="1" x14ac:dyDescent="0.25">
      <c r="A49" s="84"/>
      <c r="B49" s="34" t="s">
        <v>95</v>
      </c>
      <c r="C49" s="35"/>
      <c r="D49" s="35"/>
      <c r="E49" s="35"/>
      <c r="F49" s="35"/>
      <c r="G49" s="43"/>
      <c r="H49" s="103"/>
      <c r="I49" s="44">
        <v>0.2</v>
      </c>
      <c r="J49" s="103"/>
      <c r="K49" s="44">
        <v>0.22</v>
      </c>
      <c r="L49" s="103"/>
      <c r="M49" s="44">
        <v>0.22</v>
      </c>
      <c r="N49" s="103"/>
      <c r="O49" s="44">
        <v>0.22</v>
      </c>
      <c r="P49" s="103"/>
      <c r="Q49" s="44">
        <v>0.22</v>
      </c>
      <c r="R49" s="103"/>
      <c r="S49" s="44">
        <v>0.22</v>
      </c>
      <c r="T49" s="103"/>
      <c r="U49" s="58">
        <v>0.22</v>
      </c>
      <c r="V49" s="114"/>
      <c r="W49" s="64"/>
      <c r="X49" s="114"/>
      <c r="Y49" s="64"/>
      <c r="AI49" s="37"/>
    </row>
    <row r="50" spans="1:35" s="16" customFormat="1" ht="13.5" customHeight="1" thickBot="1" x14ac:dyDescent="0.3">
      <c r="A50" s="85"/>
      <c r="B50" s="86" t="s">
        <v>90</v>
      </c>
      <c r="C50" s="87"/>
      <c r="D50" s="87"/>
      <c r="E50" s="87"/>
      <c r="F50" s="87"/>
      <c r="G50" s="88"/>
      <c r="H50" s="104"/>
      <c r="I50" s="88">
        <f>I48*1.2</f>
        <v>5067912.2785844309</v>
      </c>
      <c r="J50" s="104"/>
      <c r="K50" s="88">
        <f>K48*1.22</f>
        <v>9165368.8153148629</v>
      </c>
      <c r="L50" s="104"/>
      <c r="M50" s="88">
        <f>M48*1.22</f>
        <v>12159504.582454298</v>
      </c>
      <c r="N50" s="104"/>
      <c r="O50" s="88">
        <f>O48*1.22</f>
        <v>0</v>
      </c>
      <c r="P50" s="104"/>
      <c r="Q50" s="88">
        <f>Q48*1.22</f>
        <v>0</v>
      </c>
      <c r="R50" s="104"/>
      <c r="S50" s="88">
        <f>S48*1.22</f>
        <v>0</v>
      </c>
      <c r="T50" s="104"/>
      <c r="U50" s="89">
        <f>U48*1.22</f>
        <v>0</v>
      </c>
      <c r="V50" s="115"/>
      <c r="W50" s="65">
        <f>I50+K50+M50+O50+Q50+S50+U50</f>
        <v>26392785.676353592</v>
      </c>
      <c r="X50" s="115"/>
      <c r="Y50" s="65"/>
      <c r="AI50" s="10"/>
    </row>
    <row r="51" spans="1:35" ht="11.25" customHeight="1" x14ac:dyDescent="0.2">
      <c r="H51" s="105" t="s">
        <v>106</v>
      </c>
      <c r="J51" s="105" t="s">
        <v>106</v>
      </c>
      <c r="L51" s="105" t="s">
        <v>106</v>
      </c>
    </row>
    <row r="52" spans="1:35" ht="16.5" customHeight="1" x14ac:dyDescent="0.2">
      <c r="B52" s="141" t="s">
        <v>110</v>
      </c>
      <c r="E52" s="127">
        <f>415.338+56.277</f>
        <v>471.61500000000001</v>
      </c>
      <c r="H52" s="127">
        <f>415.338+56.277</f>
        <v>471.61500000000001</v>
      </c>
      <c r="J52" s="20"/>
      <c r="L52" s="20"/>
      <c r="V52" s="127">
        <f>H52+J52+L52+N52+P52+R52+T52</f>
        <v>471.61500000000001</v>
      </c>
      <c r="X52" s="127">
        <f>E52-V52</f>
        <v>0</v>
      </c>
    </row>
    <row r="53" spans="1:35" ht="16.5" customHeight="1" x14ac:dyDescent="0.2">
      <c r="B53" s="141" t="s">
        <v>109</v>
      </c>
      <c r="E53" s="127">
        <v>64.923000000000002</v>
      </c>
      <c r="H53" s="127"/>
      <c r="J53" s="127">
        <v>64.923000000000002</v>
      </c>
      <c r="L53" s="20"/>
      <c r="V53" s="127"/>
      <c r="X53" s="127"/>
    </row>
    <row r="54" spans="1:35" ht="16.5" customHeight="1" thickBot="1" x14ac:dyDescent="0.25">
      <c r="A54" s="144"/>
      <c r="B54" s="145" t="s">
        <v>108</v>
      </c>
      <c r="C54" s="146"/>
      <c r="D54" s="146"/>
      <c r="E54" s="147">
        <v>8.8290000000000006</v>
      </c>
      <c r="F54" s="146"/>
      <c r="G54" s="146"/>
      <c r="H54" s="147"/>
      <c r="I54" s="146"/>
      <c r="J54" s="127">
        <v>8.8290000000000006</v>
      </c>
      <c r="K54" s="146"/>
      <c r="L54" s="20"/>
      <c r="M54" s="146"/>
      <c r="N54" s="148"/>
      <c r="O54" s="146"/>
      <c r="P54" s="148"/>
      <c r="Q54" s="146"/>
      <c r="R54" s="148"/>
      <c r="S54" s="146"/>
      <c r="T54" s="148"/>
      <c r="U54" s="146"/>
      <c r="V54" s="147">
        <f>H54+J54+L54+N54+P54+R54+T54</f>
        <v>8.8290000000000006</v>
      </c>
      <c r="W54" s="146"/>
      <c r="X54" s="147">
        <f>E54-V54</f>
        <v>0</v>
      </c>
      <c r="Y54" s="146"/>
    </row>
    <row r="55" spans="1:35" ht="15" customHeight="1" thickTop="1" thickBot="1" x14ac:dyDescent="0.25">
      <c r="A55" s="151"/>
      <c r="B55" s="151" t="s">
        <v>107</v>
      </c>
      <c r="C55" s="150"/>
      <c r="D55" s="150"/>
      <c r="E55" s="149">
        <f>SUM(E52:E54)</f>
        <v>545.36699999999996</v>
      </c>
      <c r="F55" s="150"/>
      <c r="G55" s="150"/>
      <c r="H55" s="149">
        <f>SUM(H52:H54)</f>
        <v>471.61500000000001</v>
      </c>
      <c r="I55" s="150"/>
      <c r="J55" s="150">
        <f>SUM(J52:J54)</f>
        <v>73.75200000000001</v>
      </c>
      <c r="K55" s="150"/>
      <c r="L55" s="150">
        <f>SUM(L52:L54)</f>
        <v>0</v>
      </c>
      <c r="M55" s="150"/>
      <c r="N55" s="150"/>
      <c r="O55" s="150"/>
      <c r="P55" s="150"/>
      <c r="Q55" s="150"/>
      <c r="R55" s="150"/>
      <c r="S55" s="150"/>
      <c r="T55" s="150"/>
      <c r="U55" s="150"/>
      <c r="V55" s="149">
        <f>SUM(V52:V54)</f>
        <v>480.44400000000002</v>
      </c>
      <c r="W55" s="150"/>
      <c r="X55" s="149"/>
      <c r="Y55" s="150"/>
    </row>
    <row r="56" spans="1:35" ht="15" customHeight="1" thickTop="1" x14ac:dyDescent="0.2">
      <c r="B56" s="141" t="s">
        <v>111</v>
      </c>
      <c r="E56" s="128">
        <f>E10+E13+E16+E19+E23+E27+E30+E40</f>
        <v>2078.0239999999999</v>
      </c>
      <c r="F56" s="180" t="s">
        <v>112</v>
      </c>
      <c r="G56" s="181"/>
      <c r="H56" s="128">
        <f>H10+H13+H16+H19+H23+H27+H30+H40</f>
        <v>81.95</v>
      </c>
      <c r="J56" s="128">
        <f>J10+J13+J16+J19+J23+J27+J30+J40</f>
        <v>126.89</v>
      </c>
      <c r="L56" s="131">
        <f>L10+L13+L16+L19+L23+L27+L30+L40</f>
        <v>146.07900000000001</v>
      </c>
      <c r="N56" s="131">
        <f>N10+N13+N16+N19+N23+N27+N30+N40</f>
        <v>0</v>
      </c>
      <c r="P56" s="131">
        <f>P10+P13+P16+P19+P23+P27+P30+P40</f>
        <v>0</v>
      </c>
      <c r="R56" s="131">
        <f>R10+R13+R16+R19+R23+R27+R30+R40</f>
        <v>0</v>
      </c>
      <c r="T56" s="131">
        <f>T10+T13+T16+T19+T23+T27+T30+T40</f>
        <v>0</v>
      </c>
      <c r="V56" s="131">
        <f>V10+V13+V16+V19+V23+V27+V30+V40</f>
        <v>354.91899999999998</v>
      </c>
      <c r="X56" s="128">
        <f>X10+X13+X16+X19+X23+X27+X30+X40</f>
        <v>1723.1049999999998</v>
      </c>
    </row>
    <row r="58" spans="1:35" ht="11.25" customHeight="1" x14ac:dyDescent="0.2">
      <c r="V58" s="127"/>
    </row>
  </sheetData>
  <autoFilter ref="A6:AM50" xr:uid="{00000000-0001-0000-0000-000000000000}"/>
  <mergeCells count="10">
    <mergeCell ref="T4:U4"/>
    <mergeCell ref="V4:W4"/>
    <mergeCell ref="X4:Y4"/>
    <mergeCell ref="F56:G56"/>
    <mergeCell ref="H4:I4"/>
    <mergeCell ref="J4:K4"/>
    <mergeCell ref="L4:M4"/>
    <mergeCell ref="N4:O4"/>
    <mergeCell ref="P4:Q4"/>
    <mergeCell ref="R4:S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расчет КМД vs КМ</vt:lpstr>
      <vt:lpstr>расчет (2)</vt:lpstr>
      <vt:lpstr>расчет</vt:lpstr>
      <vt:lpstr>КМД</vt:lpstr>
      <vt:lpstr>КМ</vt:lpstr>
      <vt:lpstr>КМ!Заголовки_для_печати</vt:lpstr>
      <vt:lpstr>КМД!Заголовки_для_печати</vt:lpstr>
      <vt:lpstr>'расчет КМД vs КМ'!Заголовки_для_печати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2026-05-07T09:57:15Z</dcterms:modified>
</cp:coreProperties>
</file>