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63C74974-E4C4-4121-92EA-DBD58E38CEB3}" xr6:coauthVersionLast="47" xr6:coauthVersionMax="47" xr10:uidLastSave="{00000000-0000-0000-0000-000000000000}"/>
  <bookViews>
    <workbookView xWindow="28680" yWindow="1290" windowWidth="29040" windowHeight="15720" tabRatio="918" firstSheet="1" activeTab="1" xr2:uid="{70FC66F0-CCF7-419D-8059-542A0C8F9047}"/>
  </bookViews>
  <sheets>
    <sheet name="свод" sheetId="1" state="hidden" r:id="rId1"/>
    <sheet name="свод_ВК,ВС" sheetId="1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9" l="1"/>
  <c r="F26" i="19"/>
  <c r="G26" i="19"/>
  <c r="H26" i="19"/>
  <c r="I26" i="19"/>
  <c r="J26" i="19"/>
  <c r="K26" i="19"/>
  <c r="L26" i="19"/>
  <c r="P28" i="19"/>
  <c r="D25" i="19"/>
  <c r="E25" i="19"/>
  <c r="F25" i="19"/>
  <c r="O25" i="19" s="1"/>
  <c r="P25" i="19"/>
  <c r="D24" i="19"/>
  <c r="F24" i="19"/>
  <c r="O24" i="19" s="1"/>
  <c r="P24" i="19"/>
  <c r="D23" i="19"/>
  <c r="E23" i="19"/>
  <c r="F23" i="19"/>
  <c r="C23" i="19" s="1"/>
  <c r="P23" i="19"/>
  <c r="D22" i="19"/>
  <c r="E22" i="19"/>
  <c r="P22" i="19"/>
  <c r="F22" i="19"/>
  <c r="D21" i="19"/>
  <c r="E21" i="19"/>
  <c r="F21" i="19"/>
  <c r="P21" i="19"/>
  <c r="D20" i="19"/>
  <c r="E20" i="19"/>
  <c r="F20" i="19"/>
  <c r="C20" i="19" s="1"/>
  <c r="P20" i="19"/>
  <c r="D19" i="19"/>
  <c r="E19" i="19"/>
  <c r="F19" i="19"/>
  <c r="P19" i="19"/>
  <c r="D18" i="19"/>
  <c r="E18" i="19"/>
  <c r="F18" i="19"/>
  <c r="P18" i="19"/>
  <c r="D17" i="19"/>
  <c r="E17" i="19"/>
  <c r="F17" i="19"/>
  <c r="C17" i="19" s="1"/>
  <c r="P17" i="19"/>
  <c r="D16" i="19"/>
  <c r="E16" i="19"/>
  <c r="F16" i="19"/>
  <c r="O16" i="19" s="1"/>
  <c r="P16" i="19"/>
  <c r="D15" i="19"/>
  <c r="E15" i="19"/>
  <c r="F15" i="19"/>
  <c r="P15" i="19"/>
  <c r="E14" i="19"/>
  <c r="D14" i="19"/>
  <c r="F14" i="19"/>
  <c r="P14" i="19"/>
  <c r="P13" i="19"/>
  <c r="D13" i="19"/>
  <c r="E13" i="19"/>
  <c r="F13" i="19"/>
  <c r="O13" i="19" s="1"/>
  <c r="D12" i="19"/>
  <c r="E12" i="19"/>
  <c r="F12" i="19"/>
  <c r="O12" i="19" s="1"/>
  <c r="P12" i="19"/>
  <c r="D11" i="19"/>
  <c r="E11" i="19"/>
  <c r="F11" i="19"/>
  <c r="P11" i="19"/>
  <c r="D10" i="19"/>
  <c r="E10" i="19"/>
  <c r="P10" i="19"/>
  <c r="F10" i="19"/>
  <c r="O10" i="19" s="1"/>
  <c r="E9" i="19"/>
  <c r="D9" i="19"/>
  <c r="F9" i="19"/>
  <c r="O9" i="19" s="1"/>
  <c r="P9" i="19"/>
  <c r="P8" i="19"/>
  <c r="F8" i="19"/>
  <c r="O8" i="19" s="1"/>
  <c r="D8" i="19"/>
  <c r="E8" i="19"/>
  <c r="P7" i="19"/>
  <c r="F7" i="19"/>
  <c r="O7" i="19" s="1"/>
  <c r="D7" i="19"/>
  <c r="E7" i="19"/>
  <c r="P6" i="19"/>
  <c r="D6" i="19"/>
  <c r="E6" i="19"/>
  <c r="F6" i="19"/>
  <c r="F5" i="19"/>
  <c r="O5" i="19" s="1"/>
  <c r="Q5" i="19" s="1"/>
  <c r="P5" i="19"/>
  <c r="D5" i="19"/>
  <c r="E5" i="19"/>
  <c r="P4" i="19"/>
  <c r="E24" i="19"/>
  <c r="D27" i="19"/>
  <c r="E27" i="19"/>
  <c r="F27" i="19"/>
  <c r="F4" i="19"/>
  <c r="O4" i="19" s="1"/>
  <c r="Q4" i="19" s="1"/>
  <c r="D4" i="19"/>
  <c r="E4" i="19"/>
  <c r="D26" i="19" l="1"/>
  <c r="C27" i="19"/>
  <c r="C19" i="19"/>
  <c r="O26" i="19"/>
  <c r="C24" i="19"/>
  <c r="C8" i="19"/>
  <c r="C6" i="19"/>
  <c r="O17" i="19"/>
  <c r="O20" i="19"/>
  <c r="C21" i="19"/>
  <c r="C9" i="19"/>
  <c r="C12" i="19"/>
  <c r="O6" i="19"/>
  <c r="Q6" i="19" s="1"/>
  <c r="O27" i="19"/>
  <c r="C25" i="19"/>
  <c r="O23" i="19"/>
  <c r="C22" i="19"/>
  <c r="O22" i="19"/>
  <c r="O21" i="19"/>
  <c r="O19" i="19"/>
  <c r="C18" i="19"/>
  <c r="O18" i="19"/>
  <c r="C16" i="19"/>
  <c r="C15" i="19"/>
  <c r="O15" i="19"/>
  <c r="C14" i="19"/>
  <c r="O14" i="19"/>
  <c r="C13" i="19"/>
  <c r="C11" i="19"/>
  <c r="O11" i="19"/>
  <c r="Q11" i="19" s="1"/>
  <c r="C10" i="19"/>
  <c r="Q12" i="19"/>
  <c r="Q10" i="19"/>
  <c r="Q9" i="19"/>
  <c r="Q8" i="19"/>
  <c r="Q7" i="19"/>
  <c r="C7" i="19"/>
  <c r="C5" i="19"/>
  <c r="C4" i="19"/>
  <c r="C26" i="19" l="1"/>
  <c r="C29" i="19" s="1"/>
  <c r="Q13" i="19"/>
  <c r="Q14" i="19"/>
  <c r="Q15" i="19"/>
  <c r="N14" i="19"/>
  <c r="N15" i="19"/>
  <c r="N5" i="19"/>
  <c r="N6" i="19"/>
  <c r="N8" i="19"/>
  <c r="N9" i="19"/>
  <c r="N10" i="19"/>
  <c r="N11" i="19"/>
  <c r="N12" i="19"/>
  <c r="N13" i="19"/>
  <c r="N7" i="19"/>
  <c r="Q18" i="19" l="1"/>
  <c r="Q17" i="19"/>
  <c r="Q16" i="19"/>
  <c r="Q19" i="19" l="1"/>
  <c r="Q20" i="19"/>
  <c r="Q21" i="19"/>
  <c r="Q26" i="19" l="1"/>
  <c r="Q23" i="19"/>
  <c r="Q25" i="19"/>
  <c r="Q22" i="19"/>
  <c r="Q27" i="19"/>
  <c r="Q24" i="19"/>
  <c r="S21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19" i="1"/>
  <c r="P18" i="1"/>
  <c r="E16" i="1"/>
  <c r="C16" i="1" s="1"/>
  <c r="E15" i="1"/>
  <c r="C15" i="1" s="1"/>
  <c r="E14" i="1"/>
  <c r="C14" i="1" s="1"/>
  <c r="E13" i="1"/>
  <c r="C13" i="1" s="1"/>
  <c r="E12" i="1"/>
  <c r="C12" i="1" s="1"/>
  <c r="E10" i="1"/>
  <c r="C10" i="1" s="1"/>
  <c r="E11" i="1"/>
  <c r="C11" i="1" s="1"/>
  <c r="F16" i="1"/>
  <c r="D16" i="1" s="1"/>
  <c r="F15" i="1"/>
  <c r="D15" i="1" s="1"/>
  <c r="F14" i="1"/>
  <c r="D14" i="1" s="1"/>
  <c r="F13" i="1"/>
  <c r="D13" i="1" s="1"/>
  <c r="F12" i="1"/>
  <c r="D12" i="1" s="1"/>
  <c r="F11" i="1"/>
  <c r="D11" i="1" s="1"/>
  <c r="F10" i="1"/>
  <c r="D10" i="1" s="1"/>
  <c r="E9" i="1"/>
  <c r="C9" i="1" s="1"/>
  <c r="F9" i="1"/>
  <c r="D9" i="1" s="1"/>
  <c r="E8" i="1"/>
  <c r="C8" i="1" s="1"/>
  <c r="F8" i="1"/>
  <c r="D8" i="1" s="1"/>
  <c r="E7" i="1"/>
  <c r="C7" i="1" s="1"/>
  <c r="F7" i="1"/>
  <c r="D7" i="1" s="1"/>
  <c r="E6" i="1"/>
  <c r="C6" i="1" s="1"/>
  <c r="F6" i="1"/>
  <c r="D6" i="1" s="1"/>
  <c r="E5" i="1"/>
  <c r="C5" i="1" s="1"/>
  <c r="F5" i="1"/>
  <c r="D5" i="1" s="1"/>
  <c r="E4" i="1"/>
  <c r="C4" i="1" s="1"/>
  <c r="F4" i="1"/>
  <c r="D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N16" i="19" l="1"/>
  <c r="O16" i="1"/>
  <c r="O6" i="1"/>
  <c r="O10" i="1"/>
  <c r="Q10" i="1" s="1"/>
  <c r="O8" i="1"/>
  <c r="O15" i="1"/>
  <c r="O14" i="1"/>
  <c r="Q14" i="1" s="1"/>
  <c r="O12" i="1"/>
  <c r="O11" i="1"/>
  <c r="Q11" i="1" s="1"/>
  <c r="O9" i="1"/>
  <c r="O13" i="1"/>
  <c r="O7" i="1"/>
  <c r="O5" i="1"/>
  <c r="N18" i="19" l="1"/>
  <c r="N4" i="19"/>
  <c r="N17" i="19"/>
  <c r="Q16" i="1"/>
  <c r="Q6" i="1"/>
  <c r="Q8" i="1"/>
  <c r="Q12" i="1"/>
  <c r="Q15" i="1"/>
  <c r="Q13" i="1"/>
  <c r="Q7" i="1"/>
  <c r="Q5" i="1"/>
  <c r="O4" i="1"/>
  <c r="N19" i="19" l="1"/>
  <c r="Q4" i="1"/>
  <c r="C18" i="1"/>
  <c r="Q9" i="1"/>
  <c r="N20" i="19" l="1"/>
  <c r="Q18" i="1"/>
  <c r="C19" i="1"/>
  <c r="C20" i="1" s="1"/>
  <c r="Q19" i="1" l="1"/>
  <c r="C21" i="1"/>
  <c r="S22" i="1" s="1"/>
  <c r="N27" i="19" l="1"/>
  <c r="N25" i="19"/>
  <c r="N24" i="19"/>
  <c r="N23" i="19"/>
  <c r="N22" i="19"/>
  <c r="N21" i="19"/>
  <c r="N26" i="19" l="1"/>
  <c r="R26" i="19" s="1"/>
  <c r="P20" i="1"/>
  <c r="Q20" i="1" s="1"/>
  <c r="P21" i="1" l="1"/>
  <c r="Q21" i="1" s="1"/>
  <c r="C30" i="19" l="1"/>
  <c r="C31" i="19" l="1"/>
  <c r="C32" i="19" s="1"/>
  <c r="P32" i="19" l="1"/>
  <c r="R3" i="19"/>
</calcChain>
</file>

<file path=xl/sharedStrings.xml><?xml version="1.0" encoding="utf-8"?>
<sst xmlns="http://schemas.openxmlformats.org/spreadsheetml/2006/main" count="114" uniqueCount="79">
  <si>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</si>
  <si>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</si>
  <si>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</si>
  <si>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</si>
  <si>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</si>
  <si>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</si>
  <si>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</si>
  <si>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</si>
  <si>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</si>
  <si>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</si>
  <si>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</si>
  <si>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</si>
  <si>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</si>
  <si>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</si>
  <si>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</si>
  <si>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</si>
  <si>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</si>
  <si>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</si>
  <si>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</si>
  <si>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</si>
  <si>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</si>
  <si>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</si>
  <si>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</si>
  <si>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</si>
  <si>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</si>
  <si>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</si>
  <si>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</si>
  <si>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</si>
  <si>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</si>
  <si>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</si>
  <si>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</si>
  <si>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</si>
  <si>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</si>
  <si>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</si>
  <si>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</si>
  <si>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</si>
  <si>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</si>
  <si>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</si>
  <si>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</si>
  <si>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</si>
  <si>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</si>
  <si>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Материалы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</si>
  <si>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</si>
  <si>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</si>
  <si>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</si>
  <si>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</si>
  <si>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</si>
  <si>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</si>
  <si>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</si>
  <si>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</si>
  <si>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</si>
  <si>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</si>
  <si>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>Кд</t>
  </si>
  <si>
    <t>Непредвиденные 3%</t>
  </si>
  <si>
    <t>Оборудование</t>
  </si>
  <si>
    <t>Внутрикорпусные сети водопровода и канализации, 07.02.010 Станция разгрузки вагонов (код SAP 01.04.001) код ГП 1.1
07.02.011 Здание трансбордера (код SAP 01.04.002) код ГП 1.2</t>
  </si>
  <si>
    <t>проверка</t>
  </si>
  <si>
    <t>Внутрикорпусные сети водопровода и каналзации, 07.04.030 Тоннель (код SAP 01.02.025) код ГП 2.1.0
07.04.020 Пересыпная станция №1 (код SAP 01.02.001) код ГП 2.2.1</t>
  </si>
  <si>
    <t>Внутренние системы водоснабжения и канализации, 07.04.040 Конвейерная галерея №1 (код SAP 01.02.006) код ГП 2.1.1</t>
  </si>
  <si>
    <t>Внутренние системы водоснабжения и канализации, Пересыпная станция № 4. Конвейерная галерея № 6</t>
  </si>
  <si>
    <t>Внутренние системы водоснабжения и канализации, Конвейерная галерея № 2, Конвейерная галерея №7</t>
  </si>
  <si>
    <t>Внутренние системы водоснабжения и канализации, Конвейерная галерея № 2, Конвейерная галерея №6</t>
  </si>
  <si>
    <t>Внутренние системы водоснабжения и канализации, 07.04.042 Конвейерная галерея №3 (код SAP 01.02.011) код ГП 2.1.3</t>
  </si>
  <si>
    <t>Внутренние системы водоснабжения и канализации, 07.04.043 Конвейерная галерея №4 (код SAP 01.02.007) код ГП 2.1.4</t>
  </si>
  <si>
    <t>Внутренние системы водоснабжения и канализации, 07.04.044 Конвейерная галерея №5 (код SAP 01.02.012) код ГП 2.1.5</t>
  </si>
  <si>
    <t>Внутренние системы водоснабжения и канализации, 07.04.050 Конвейерная галерея №11 (код SAP 01.02.008) код ГП 2.1.11</t>
  </si>
  <si>
    <t>Внутренние системы водоснабжения и канализации, 07.04.051 Конвейерная галерея №12 (код SAP 01.02.008) код ГП 2.1.12</t>
  </si>
  <si>
    <t>Внутренние системы водоснабжения и канализации, 07.04.021 Пересыпная станция №2 (код SAP 01.02.002) код ГП 2.2.2</t>
  </si>
  <si>
    <t>Внутренние системы водоснабжения и канализации, 07.04.022 Пересыпная станция №3 (код SAP 01.02.003) код ГП 2.2.3</t>
  </si>
  <si>
    <t>Водопровод производственно-противопожарный В2, 07.04.024 Пересыпная станция №5 (код SAP 01.02.019) код ГП 2.2.5
07.04.052 Конвейерная галерея №13 (код SAP 01.02.009) код ГП 2.1.13</t>
  </si>
  <si>
    <t>Внутренние системы водоснабжения и канализации, 07.04.025 Пересыпная станция №6 (код SAP 01.02.020) код ГП 2.2.6</t>
  </si>
  <si>
    <t>Внутренние системы водоснабжения и канализации, 07.04.026 Приводная станция  (код SAP 01.02.005) код ГП 2.2.7</t>
  </si>
  <si>
    <t>Внутренние системы водоснабжения и канализации, 07.03.010 Крытый склад № 1 (код SAP 01.01.001) код ГП 3.1</t>
  </si>
  <si>
    <t>Внутренние системы водоснабжения  и канализации, 07.03.011 Крытый склад № 2 (код SAP 01.01.002) код ГП 3.2</t>
  </si>
  <si>
    <t>Внутренние системы водоснабжения  и канализации, 07.03.012 Купольный склад  (код SAP 01.01.005) код ГП 3.3.1</t>
  </si>
  <si>
    <t>Воздухоснабжение, 07.03.012 Купольный склад  (код SAP 01.01.005) код ГП 3.3.1</t>
  </si>
  <si>
    <t>Внутренние системы водоснабжения и канализации, 07.06.053 Морской пункт пропуска (код SAP 01.05.021) код ГП 8.4</t>
  </si>
  <si>
    <t>всего, без 3%</t>
  </si>
  <si>
    <t>с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</si>
</sst>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7" formatCode="0.00000"/>
    <numFmt numFmtId="171" formatCode="_-* #,##0.00\ _₽_-;\-* #,##0.00\ _₽_-;_-* &quot;-&quot;??\ _₽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7" fillId="0" borderId="0"/>
    <xf numFmtId="171" fontId="13" fillId="0" borderId="0" applyFont="0" applyFill="0" applyBorder="0" applyAlignment="0" applyProtection="0"/>
  </cellStyleXfs>
  <cellXfs count="110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/>
    </xf>
    <xf numFmtId="4" fontId="3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1" fillId="4" borderId="0" xfId="0" applyNumberFormat="1" applyFont="1" applyFill="1" applyAlignment="1">
      <alignment horizontal="center" vertical="center"/>
    </xf>
    <xf numFmtId="167" fontId="12" fillId="0" borderId="0" xfId="0" applyNumberFormat="1" applyFont="1"/>
    <xf numFmtId="4" fontId="3" fillId="0" borderId="5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171" fontId="0" fillId="0" borderId="0" xfId="0" applyNumberFormat="1"/>
    <xf numFmtId="4" fontId="0" fillId="0" borderId="0" xfId="0" applyNumberFormat="1" applyAlignment="1">
      <alignment vertical="center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/>
    </xf>
    <xf numFmtId="4" fontId="3" fillId="0" borderId="23" xfId="0" applyNumberFormat="1" applyFont="1" applyBorder="1" applyAlignment="1">
      <alignment horizontal="right" vertical="center"/>
    </xf>
    <xf numFmtId="4" fontId="3" fillId="0" borderId="24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2" fillId="5" borderId="8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left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</cellXfs>
  <cellStyles count="3">
    <cellStyle name="Обычный" xfId="0" builtinId="0"/>
    <cellStyle name="Обычный 2" xfId="1" xr:uid="{CBD9308A-39FB-4584-A319-893F6541A376}"/>
    <cellStyle name="Финансовый 2" xfId="2" xr:uid="{EA693DC2-A2E7-4099-9A98-0DE2527730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1.1,%201.2-&#1042;&#1050;%20&#1057;&#1056;&#1042;,%20&#1058;&#1088;&#1072;&#1085;&#1089;&#1073;&#1086;&#1088;&#1076;&#1077;&#1088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11-&#1042;&#1050;%20&#1050;&#1043;%20&#8470;1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12-&#1042;&#1050;%20&#1050;&#1043;%20&#8470;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2-&#1042;&#1050;%20&#1055;&#1057;%20&#8470;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3-&#1042;&#1050;%20&#1055;&#1057;%20&#8470;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4%202.1.6-&#1042;&#1050;%20&#1055;&#1057;&#8470;4,%20&#1050;&#1043;&#8470;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5,2.1.13-&#1042;&#1050;%20&#1055;&#1057;&#8470;5,%20&#1050;&#1043;&#8470;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6_&#1042;&#1050;%20&#1055;&#1057;%20&#8470;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2.7-&#1042;&#1050;%20&#1055;&#1088;&#1057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1-&#1042;&#1050;%20&#1050;&#1088;&#1099;&#1090;&#1099;&#1081;%20&#1089;&#1082;&#1083;&#1072;&#1076;%20&#8470;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2-&#1042;&#1050;%20&#1050;&#1088;&#1099;&#1090;&#1099;&#1081;%20&#1089;&#1082;&#1083;&#1072;&#1076;%20&#8470;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0,2.2.1-&#1042;&#1050;%20&#1058;&#1086;&#1085;&#1085;&#1077;&#1083;&#1100;,&#1055;&#1057;%20&#8470;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3-&#1042;&#1050;%20&#1050;&#1091;&#1087;.&#1089;&#1082;&#1083;&#1072;&#1076;&#1099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3.3-&#1042;&#1057;%20&#1050;&#1091;&#1087;.&#1089;&#1082;&#1083;&#1072;&#1076;&#109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8.4-&#1042;&#105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1-&#1042;&#1050;%20&#1050;&#1043;%20&#8470;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2,2.1.7-&#1042;&#1050;1%20&#1050;&#1043;&#8470;2%20&#1080;%20&#1050;&#1043;%20&#8470;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2,2.1.7-&#1042;&#1050;2%20&#1050;&#1043;&#8470;2%20&#1080;%20&#1050;&#1043;%20&#8470;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2,2.1.7-&#1042;&#1050;3%20&#1050;&#1043;&#8470;2%20&#1080;%20&#1050;&#1043;%20&#8470;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3-&#1042;&#1050;%20&#1050;&#1043;%20&#8470;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4-&#1042;&#1050;%20&#1050;&#1043;%20&#8470;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%201632-2021-2.1.5-&#1042;&#1050;%20&#1050;&#1043;%20&#8470;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1.1, 1.2-ВК СРВ, Тран"/>
    </sheetNames>
    <sheetDataSet>
      <sheetData sheetId="0">
        <row r="755">
          <cell r="L755">
            <v>4817069</v>
          </cell>
        </row>
        <row r="758">
          <cell r="L758">
            <v>1183882</v>
          </cell>
        </row>
        <row r="769">
          <cell r="L769">
            <v>10310110</v>
          </cell>
        </row>
        <row r="773">
          <cell r="L773">
            <v>12743295.6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1-ВК КГ №11 - По"/>
    </sheetNames>
    <sheetDataSet>
      <sheetData sheetId="0">
        <row r="98">
          <cell r="L98">
            <v>262959</v>
          </cell>
        </row>
        <row r="101">
          <cell r="L101">
            <v>9753</v>
          </cell>
        </row>
        <row r="112">
          <cell r="L112">
            <v>530864</v>
          </cell>
        </row>
        <row r="116">
          <cell r="L116">
            <v>656148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2-ВК КГ №12 - По"/>
    </sheetNames>
    <sheetDataSet>
      <sheetData sheetId="0">
        <row r="105">
          <cell r="L105">
            <v>606290</v>
          </cell>
        </row>
        <row r="108">
          <cell r="L108">
            <v>6646</v>
          </cell>
        </row>
        <row r="119">
          <cell r="L119">
            <v>921948</v>
          </cell>
        </row>
        <row r="123">
          <cell r="L123">
            <v>1139527.2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2-ВК ПС №2 - Полн"/>
    </sheetNames>
    <sheetDataSet>
      <sheetData sheetId="0">
        <row r="265">
          <cell r="L265">
            <v>3786272</v>
          </cell>
        </row>
        <row r="268">
          <cell r="L268">
            <v>389447</v>
          </cell>
        </row>
        <row r="279">
          <cell r="L279">
            <v>6451214</v>
          </cell>
        </row>
        <row r="283">
          <cell r="L283">
            <v>7973700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3-ВК ПС №3 - Полн"/>
    </sheetNames>
    <sheetDataSet>
      <sheetData sheetId="0">
        <row r="281">
          <cell r="L281">
            <v>654474</v>
          </cell>
        </row>
        <row r="284">
          <cell r="L284">
            <v>265006</v>
          </cell>
        </row>
        <row r="295">
          <cell r="L295">
            <v>1453235</v>
          </cell>
        </row>
        <row r="299">
          <cell r="L299">
            <v>1796198.3999999999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4 2.1.6-ВК ПС №4,"/>
    </sheetNames>
    <sheetDataSet>
      <sheetData sheetId="0">
        <row r="300">
          <cell r="L300">
            <v>2270788</v>
          </cell>
        </row>
        <row r="303">
          <cell r="L303">
            <v>233211</v>
          </cell>
        </row>
        <row r="314">
          <cell r="L314">
            <v>3901843</v>
          </cell>
        </row>
        <row r="318">
          <cell r="L318">
            <v>4822677.5999999996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5,2.1.13-ВК ПС №5"/>
    </sheetNames>
    <sheetDataSet>
      <sheetData sheetId="0">
        <row r="289">
          <cell r="L289">
            <v>789058</v>
          </cell>
        </row>
        <row r="292">
          <cell r="L292">
            <v>367058</v>
          </cell>
        </row>
        <row r="303">
          <cell r="L303">
            <v>5832263</v>
          </cell>
        </row>
        <row r="307">
          <cell r="L307">
            <v>7208677.2000000002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6_ВК ПС №6 - Полн"/>
    </sheetNames>
    <sheetDataSet>
      <sheetData sheetId="0">
        <row r="270">
          <cell r="L270">
            <v>724753</v>
          </cell>
        </row>
        <row r="273">
          <cell r="L273">
            <v>183224</v>
          </cell>
        </row>
        <row r="284">
          <cell r="L284">
            <v>1345214</v>
          </cell>
        </row>
        <row r="288">
          <cell r="L288">
            <v>1662684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2.7-ВК ПрС - Полный"/>
    </sheetNames>
    <sheetDataSet>
      <sheetData sheetId="0">
        <row r="273">
          <cell r="L273">
            <v>877165</v>
          </cell>
        </row>
        <row r="276">
          <cell r="L276">
            <v>96670</v>
          </cell>
        </row>
        <row r="287">
          <cell r="L287">
            <v>1448733</v>
          </cell>
        </row>
        <row r="291">
          <cell r="L291">
            <v>1790634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1-ВК Крытый склад №"/>
    </sheetNames>
    <sheetDataSet>
      <sheetData sheetId="0">
        <row r="342">
          <cell r="L342">
            <v>336268.3</v>
          </cell>
        </row>
        <row r="345">
          <cell r="L345">
            <v>8535.2900000000009</v>
          </cell>
        </row>
        <row r="356">
          <cell r="L356">
            <v>2580122.21</v>
          </cell>
        </row>
        <row r="360">
          <cell r="L360">
            <v>3189031.06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2-ВК Крытый склад №"/>
    </sheetNames>
    <sheetDataSet>
      <sheetData sheetId="0">
        <row r="340">
          <cell r="L340">
            <v>370303.84</v>
          </cell>
        </row>
        <row r="343">
          <cell r="L343">
            <v>8535.2900000000009</v>
          </cell>
        </row>
        <row r="354">
          <cell r="L354">
            <v>2442204.06</v>
          </cell>
        </row>
        <row r="358">
          <cell r="L358">
            <v>3018564.22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0,2.2.1-ВК Тоннел"/>
    </sheetNames>
    <sheetDataSet>
      <sheetData sheetId="0">
        <row r="394">
          <cell r="L394">
            <v>3646188</v>
          </cell>
        </row>
        <row r="397">
          <cell r="L397">
            <v>813011</v>
          </cell>
        </row>
        <row r="408">
          <cell r="L408">
            <v>6433378</v>
          </cell>
        </row>
        <row r="412">
          <cell r="L412">
            <v>7951654.7999999998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К Куп.склады - П"/>
    </sheetNames>
    <sheetDataSet>
      <sheetData sheetId="0">
        <row r="142">
          <cell r="L142">
            <v>66941.55</v>
          </cell>
        </row>
        <row r="145">
          <cell r="L145">
            <v>386231.72</v>
          </cell>
        </row>
        <row r="156">
          <cell r="L156">
            <v>709934.21</v>
          </cell>
        </row>
        <row r="160">
          <cell r="L160">
            <v>877478.69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3.3-ВС Куп.склады - П"/>
    </sheetNames>
    <sheetDataSet>
      <sheetData sheetId="0">
        <row r="93">
          <cell r="L93">
            <v>839757.89</v>
          </cell>
        </row>
        <row r="104">
          <cell r="L104">
            <v>1313738.2</v>
          </cell>
        </row>
        <row r="108">
          <cell r="L108">
            <v>1623780.42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8.4-ВК - Полный локал"/>
    </sheetNames>
    <sheetDataSet>
      <sheetData sheetId="0">
        <row r="472">
          <cell r="L472">
            <v>572916.52</v>
          </cell>
        </row>
        <row r="475">
          <cell r="L475">
            <v>79265.83</v>
          </cell>
        </row>
        <row r="486">
          <cell r="L486">
            <v>1598284.39</v>
          </cell>
        </row>
        <row r="490">
          <cell r="L490">
            <v>1975479.5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1-ВК КГ №1 - Полн"/>
    </sheetNames>
    <sheetDataSet>
      <sheetData sheetId="0">
        <row r="136">
          <cell r="L136">
            <v>1045214</v>
          </cell>
        </row>
        <row r="139">
          <cell r="L139">
            <v>9563</v>
          </cell>
        </row>
        <row r="150">
          <cell r="L150">
            <v>1533781</v>
          </cell>
        </row>
        <row r="154">
          <cell r="L154">
            <v>1895752.8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1 КГ№2 "/>
    </sheetNames>
    <sheetDataSet>
      <sheetData sheetId="0">
        <row r="282">
          <cell r="L282">
            <v>1997890</v>
          </cell>
        </row>
        <row r="285">
          <cell r="L285">
            <v>282429</v>
          </cell>
        </row>
        <row r="296">
          <cell r="L296">
            <v>3361322</v>
          </cell>
        </row>
        <row r="300">
          <cell r="L300">
            <v>4154594.4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2 КГ №2"/>
    </sheetNames>
    <sheetDataSet>
      <sheetData sheetId="0">
        <row r="137">
          <cell r="L137">
            <v>941071</v>
          </cell>
        </row>
        <row r="140">
          <cell r="L140">
            <v>15508</v>
          </cell>
        </row>
        <row r="151">
          <cell r="L151">
            <v>1483842</v>
          </cell>
        </row>
        <row r="155">
          <cell r="L155">
            <v>1834028.4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2,2.1.7-ВК3 КГ №2"/>
    </sheetNames>
    <sheetDataSet>
      <sheetData sheetId="0">
        <row r="282">
          <cell r="L282">
            <v>1716693</v>
          </cell>
        </row>
        <row r="285">
          <cell r="L285">
            <v>280214</v>
          </cell>
        </row>
        <row r="296">
          <cell r="L296">
            <v>2907501</v>
          </cell>
        </row>
        <row r="300">
          <cell r="L300">
            <v>3593671.2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3-ВК КГ №3 - Полн"/>
    </sheetNames>
    <sheetDataSet>
      <sheetData sheetId="0">
        <row r="126">
          <cell r="L126">
            <v>1119263</v>
          </cell>
        </row>
        <row r="129">
          <cell r="L129">
            <v>32511</v>
          </cell>
        </row>
        <row r="140">
          <cell r="L140">
            <v>2530026</v>
          </cell>
        </row>
        <row r="144">
          <cell r="L144">
            <v>3127112.4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4-ВК КГ №4 - Полн"/>
    </sheetNames>
    <sheetDataSet>
      <sheetData sheetId="0">
        <row r="102">
          <cell r="L102">
            <v>249970</v>
          </cell>
        </row>
        <row r="105">
          <cell r="L105">
            <v>9753</v>
          </cell>
        </row>
        <row r="116">
          <cell r="L116">
            <v>517594</v>
          </cell>
        </row>
        <row r="120">
          <cell r="L120">
            <v>639746.4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32-2021-2.1.5-ВК КГ №5 - Полн"/>
    </sheetNames>
    <sheetDataSet>
      <sheetData sheetId="0">
        <row r="112">
          <cell r="L112">
            <v>613200</v>
          </cell>
        </row>
        <row r="115">
          <cell r="L115">
            <v>9830</v>
          </cell>
        </row>
        <row r="126">
          <cell r="L126">
            <v>972840</v>
          </cell>
        </row>
        <row r="130">
          <cell r="L130">
            <v>1202430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B2CC-5481-41EC-A635-5FE3401A3199}">
  <dimension ref="A1:T33"/>
  <sheetViews>
    <sheetView workbookViewId="0">
      <selection activeCell="C5" sqref="C5"/>
    </sheetView>
  </sheetViews>
  <sheetFormatPr defaultRowHeight="15" outlineLevelCol="1" x14ac:dyDescent="0.25"/>
  <cols>
    <col min="2" max="2" width="64.5703125" customWidth="1"/>
    <col min="3" max="4" width="12.7109375" bestFit="1" customWidth="1"/>
    <col min="5" max="5" width="12.7109375" customWidth="1" outlineLevel="1"/>
    <col min="6" max="6" width="13.28515625" customWidth="1" outlineLevel="1"/>
    <col min="7" max="12" width="10.7109375" style="23" customWidth="1" outlineLevel="1"/>
    <col min="13" max="13" width="12.42578125" style="23" customWidth="1" outlineLevel="1"/>
    <col min="14" max="14" width="10.7109375" style="23" customWidth="1" outlineLevel="1"/>
    <col min="15" max="15" width="26.140625" customWidth="1"/>
    <col min="16" max="16" width="17.42578125" customWidth="1"/>
    <col min="17" max="17" width="17.28515625" customWidth="1"/>
    <col min="18" max="18" width="13.5703125" bestFit="1" customWidth="1"/>
    <col min="19" max="19" width="14.5703125" customWidth="1"/>
    <col min="20" max="20" width="14.28515625" bestFit="1" customWidth="1"/>
  </cols>
  <sheetData>
    <row r="1" spans="1:17" ht="25.5" customHeight="1" thickBot="1" x14ac:dyDescent="0.3">
      <c r="A1" s="53" t="s">
        <v>0</v>
      </c>
      <c r="B1" s="53" t="s">
        <v>1</v>
      </c>
      <c r="C1" s="55" t="s">
        <v>2</v>
      </c>
      <c r="D1" s="56"/>
      <c r="E1" s="51" t="s">
        <v>48</v>
      </c>
      <c r="F1" s="51" t="s">
        <v>5</v>
      </c>
      <c r="G1" s="49" t="s">
        <v>42</v>
      </c>
      <c r="H1" s="24"/>
      <c r="I1" s="49" t="s">
        <v>43</v>
      </c>
      <c r="J1" s="24"/>
      <c r="K1" s="49" t="s">
        <v>45</v>
      </c>
      <c r="L1" s="49" t="s">
        <v>44</v>
      </c>
      <c r="M1" s="49" t="s">
        <v>46</v>
      </c>
      <c r="N1" s="49" t="s">
        <v>47</v>
      </c>
      <c r="O1" s="53" t="s">
        <v>3</v>
      </c>
    </row>
    <row r="2" spans="1:17" ht="35.25" customHeight="1" thickBot="1" x14ac:dyDescent="0.3">
      <c r="A2" s="54"/>
      <c r="B2" s="54"/>
      <c r="C2" s="1" t="s">
        <v>4</v>
      </c>
      <c r="D2" s="1" t="s">
        <v>5</v>
      </c>
      <c r="E2" s="52"/>
      <c r="F2" s="52"/>
      <c r="G2" s="50"/>
      <c r="H2" s="32"/>
      <c r="I2" s="50"/>
      <c r="J2" s="32"/>
      <c r="K2" s="50"/>
      <c r="L2" s="50"/>
      <c r="M2" s="50"/>
      <c r="N2" s="50"/>
      <c r="O2" s="57"/>
    </row>
    <row r="3" spans="1:17" ht="15.75" thickBot="1" x14ac:dyDescent="0.3">
      <c r="A3" s="2">
        <v>1</v>
      </c>
      <c r="B3" s="3">
        <v>2</v>
      </c>
      <c r="C3" s="3">
        <v>3</v>
      </c>
      <c r="D3" s="3">
        <v>4</v>
      </c>
      <c r="E3" s="33"/>
      <c r="F3" s="33"/>
      <c r="G3" s="28">
        <v>1.052</v>
      </c>
      <c r="H3" s="28"/>
      <c r="I3" s="28">
        <v>1.0209999999999999</v>
      </c>
      <c r="J3" s="28"/>
      <c r="K3" s="28">
        <v>1.0349999999999999</v>
      </c>
      <c r="L3" s="28">
        <v>1.0249999999999999</v>
      </c>
      <c r="M3" s="28">
        <v>1.02</v>
      </c>
      <c r="N3" s="28">
        <v>1</v>
      </c>
      <c r="O3" s="3">
        <v>5</v>
      </c>
    </row>
    <row r="4" spans="1:17" s="27" customFormat="1" ht="35.1" customHeight="1" thickBot="1" x14ac:dyDescent="0.3">
      <c r="A4" s="4">
        <v>1</v>
      </c>
      <c r="B4" s="17" t="s">
        <v>27</v>
      </c>
      <c r="C4" s="29" t="e">
        <f>E4*G3*I3*K3*L3*M3*N3-448028.54</f>
        <v>#REF!</v>
      </c>
      <c r="D4" s="30" t="e">
        <f>F4*G3*I3*K3*L3*M3*N3</f>
        <v>#REF!</v>
      </c>
      <c r="E4" s="34" t="e">
        <f>#REF!+#REF!+#REF!+#REF!</f>
        <v>#REF!</v>
      </c>
      <c r="F4" s="34" t="e">
        <f>#REF!</f>
        <v>#REF!</v>
      </c>
      <c r="G4" s="21"/>
      <c r="H4" s="21"/>
      <c r="I4" s="21"/>
      <c r="J4" s="21"/>
      <c r="K4" s="21"/>
      <c r="L4" s="21"/>
      <c r="M4" s="21"/>
      <c r="N4" s="21"/>
      <c r="O4" s="29" t="e">
        <f>C4+D4</f>
        <v>#REF!</v>
      </c>
      <c r="P4" s="37" t="e">
        <f>#REF!</f>
        <v>#REF!</v>
      </c>
      <c r="Q4" s="37" t="e">
        <f>O4-P4</f>
        <v>#REF!</v>
      </c>
    </row>
    <row r="5" spans="1:17" ht="35.1" customHeight="1" thickBot="1" x14ac:dyDescent="0.3">
      <c r="A5" s="5">
        <v>2</v>
      </c>
      <c r="B5" s="18" t="s">
        <v>28</v>
      </c>
      <c r="C5" s="29" t="e">
        <f>E5*G3*I3*K3*L3*M3*N3-25408.41</f>
        <v>#REF!</v>
      </c>
      <c r="D5" s="30" t="e">
        <f>F5*G3*I3*K3*L3*M3*N3</f>
        <v>#REF!</v>
      </c>
      <c r="E5" s="35" t="e">
        <f>#REF!+#REF!+#REF!+#REF!</f>
        <v>#REF!</v>
      </c>
      <c r="F5" s="35" t="e">
        <f>#REF!</f>
        <v>#REF!</v>
      </c>
      <c r="G5" s="22"/>
      <c r="H5" s="22"/>
      <c r="I5" s="22"/>
      <c r="J5" s="22"/>
      <c r="K5" s="22"/>
      <c r="L5" s="22"/>
      <c r="M5" s="22"/>
      <c r="N5" s="22"/>
      <c r="O5" s="29" t="e">
        <f>C5+D5</f>
        <v>#REF!</v>
      </c>
      <c r="P5" s="37" t="e">
        <f>#REF!</f>
        <v>#REF!</v>
      </c>
      <c r="Q5" s="37" t="e">
        <f t="shared" ref="Q5:Q16" si="0">O5-P5</f>
        <v>#REF!</v>
      </c>
    </row>
    <row r="6" spans="1:17" ht="35.1" customHeight="1" thickBot="1" x14ac:dyDescent="0.3">
      <c r="A6" s="5">
        <v>3</v>
      </c>
      <c r="B6" s="18" t="s">
        <v>29</v>
      </c>
      <c r="C6" s="31" t="e">
        <f>E6*G3*I3*K3*L3*M3*N3-80362.07</f>
        <v>#REF!</v>
      </c>
      <c r="D6" s="30" t="e">
        <f>F6*G3*I3*K3*L3*M3*N3</f>
        <v>#REF!</v>
      </c>
      <c r="E6" s="36" t="e">
        <f>#REF!+#REF!+#REF!+#REF!</f>
        <v>#REF!</v>
      </c>
      <c r="F6" s="35" t="e">
        <f>#REF!</f>
        <v>#REF!</v>
      </c>
      <c r="G6" s="22"/>
      <c r="H6" s="22"/>
      <c r="I6" s="22"/>
      <c r="J6" s="22"/>
      <c r="K6" s="22"/>
      <c r="L6" s="22"/>
      <c r="M6" s="22"/>
      <c r="N6" s="22"/>
      <c r="O6" s="20" t="e">
        <f t="shared" ref="O6:O16" si="1">C6+D6</f>
        <v>#REF!</v>
      </c>
      <c r="P6" s="37" t="e">
        <f>#REF!</f>
        <v>#REF!</v>
      </c>
      <c r="Q6" s="37" t="e">
        <f t="shared" si="0"/>
        <v>#REF!</v>
      </c>
    </row>
    <row r="7" spans="1:17" ht="35.1" customHeight="1" thickBot="1" x14ac:dyDescent="0.3">
      <c r="A7" s="5">
        <f>A6+1</f>
        <v>4</v>
      </c>
      <c r="B7" s="18" t="s">
        <v>30</v>
      </c>
      <c r="C7" s="29" t="e">
        <f>E7*G3*I3*K3*L3*M3*N3-6586.96</f>
        <v>#REF!</v>
      </c>
      <c r="D7" s="20" t="e">
        <f>F7*G3*I3*K3*L3*M3*N3</f>
        <v>#REF!</v>
      </c>
      <c r="E7" s="35" t="e">
        <f>#REF!-#REF!</f>
        <v>#REF!</v>
      </c>
      <c r="F7" s="35" t="e">
        <f>#REF!</f>
        <v>#REF!</v>
      </c>
      <c r="G7" s="22"/>
      <c r="H7" s="22"/>
      <c r="I7" s="22"/>
      <c r="J7" s="22"/>
      <c r="K7" s="22"/>
      <c r="L7" s="22"/>
      <c r="M7" s="22"/>
      <c r="N7" s="22"/>
      <c r="O7" s="29" t="e">
        <f t="shared" si="1"/>
        <v>#REF!</v>
      </c>
      <c r="P7" s="37" t="e">
        <f>#REF!</f>
        <v>#REF!</v>
      </c>
      <c r="Q7" s="37" t="e">
        <f t="shared" si="0"/>
        <v>#REF!</v>
      </c>
    </row>
    <row r="8" spans="1:17" ht="35.1" customHeight="1" thickBot="1" x14ac:dyDescent="0.3">
      <c r="A8" s="5">
        <f t="shared" ref="A8:A16" si="2">A7+1</f>
        <v>5</v>
      </c>
      <c r="B8" s="18" t="s">
        <v>31</v>
      </c>
      <c r="C8" s="20" t="e">
        <f>E8*G3*I3*K3*L3*M3*N3-1385.16</f>
        <v>#REF!</v>
      </c>
      <c r="D8" s="30" t="e">
        <f>F8*G3*I3*K3*L3*M3*N3</f>
        <v>#REF!</v>
      </c>
      <c r="E8" s="35" t="e">
        <f>#REF!-#REF!</f>
        <v>#REF!</v>
      </c>
      <c r="F8" s="35" t="e">
        <f>#REF!</f>
        <v>#REF!</v>
      </c>
      <c r="G8" s="25"/>
      <c r="H8" s="26"/>
      <c r="I8" s="26"/>
      <c r="J8" s="26"/>
      <c r="K8" s="26"/>
      <c r="L8" s="26"/>
      <c r="M8" s="26"/>
      <c r="N8" s="26"/>
      <c r="O8" s="20" t="e">
        <f t="shared" si="1"/>
        <v>#REF!</v>
      </c>
      <c r="P8" s="37" t="e">
        <f>#REF!</f>
        <v>#REF!</v>
      </c>
      <c r="Q8" s="37" t="e">
        <f t="shared" si="0"/>
        <v>#REF!</v>
      </c>
    </row>
    <row r="9" spans="1:17" ht="35.1" customHeight="1" thickBot="1" x14ac:dyDescent="0.3">
      <c r="A9" s="5">
        <f t="shared" si="2"/>
        <v>6</v>
      </c>
      <c r="B9" s="18" t="s">
        <v>32</v>
      </c>
      <c r="C9" s="29" t="e">
        <f>E9*G3*I3*K3*L3*M3*N3-12956.45</f>
        <v>#REF!</v>
      </c>
      <c r="D9" s="20" t="e">
        <f>F9*G3*I3*K3*L3*M3*N3</f>
        <v>#REF!</v>
      </c>
      <c r="E9" s="35" t="e">
        <f>#REF!-#REF!</f>
        <v>#REF!</v>
      </c>
      <c r="F9" s="35" t="e">
        <f>#REF!</f>
        <v>#REF!</v>
      </c>
      <c r="G9" s="21"/>
      <c r="H9" s="21"/>
      <c r="I9" s="21"/>
      <c r="J9" s="21"/>
      <c r="K9" s="21"/>
      <c r="L9" s="21"/>
      <c r="M9" s="21"/>
      <c r="N9" s="21"/>
      <c r="O9" s="29" t="e">
        <f t="shared" si="1"/>
        <v>#REF!</v>
      </c>
      <c r="P9" s="37" t="e">
        <f>#REF!</f>
        <v>#REF!</v>
      </c>
      <c r="Q9" s="37" t="e">
        <f t="shared" si="0"/>
        <v>#REF!</v>
      </c>
    </row>
    <row r="10" spans="1:17" ht="35.1" customHeight="1" thickBot="1" x14ac:dyDescent="0.3">
      <c r="A10" s="5">
        <f t="shared" si="2"/>
        <v>7</v>
      </c>
      <c r="B10" s="18" t="s">
        <v>33</v>
      </c>
      <c r="C10" s="20" t="e">
        <f>E10*G3*I3*K3*L3*M3*N3-1477.19</f>
        <v>#REF!</v>
      </c>
      <c r="D10" s="30" t="e">
        <f>F10*G3*I3*K3*L3*M3*N3</f>
        <v>#REF!</v>
      </c>
      <c r="E10" s="35" t="e">
        <f>#REF!-#REF!</f>
        <v>#REF!</v>
      </c>
      <c r="F10" s="35" t="e">
        <f>#REF!</f>
        <v>#REF!</v>
      </c>
      <c r="G10" s="22"/>
      <c r="H10" s="22"/>
      <c r="I10" s="22"/>
      <c r="J10" s="22"/>
      <c r="K10" s="22"/>
      <c r="L10" s="22"/>
      <c r="M10" s="22"/>
      <c r="N10" s="22"/>
      <c r="O10" s="20" t="e">
        <f t="shared" si="1"/>
        <v>#REF!</v>
      </c>
      <c r="P10" s="37" t="e">
        <f>#REF!</f>
        <v>#REF!</v>
      </c>
      <c r="Q10" s="37" t="e">
        <f t="shared" si="0"/>
        <v>#REF!</v>
      </c>
    </row>
    <row r="11" spans="1:17" ht="35.1" customHeight="1" thickBot="1" x14ac:dyDescent="0.3">
      <c r="A11" s="5">
        <f t="shared" si="2"/>
        <v>8</v>
      </c>
      <c r="B11" s="18" t="s">
        <v>34</v>
      </c>
      <c r="C11" s="29" t="e">
        <f>E11*G3*I3*K3*L3*M3*N3-3228.93</f>
        <v>#REF!</v>
      </c>
      <c r="D11" s="20" t="e">
        <f>F11*G3*I3*K3*L3*M3*N3</f>
        <v>#REF!</v>
      </c>
      <c r="E11" s="35" t="e">
        <f>#REF!-#REF!</f>
        <v>#REF!</v>
      </c>
      <c r="F11" s="35" t="e">
        <f>#REF!</f>
        <v>#REF!</v>
      </c>
      <c r="G11" s="22"/>
      <c r="H11" s="22"/>
      <c r="I11" s="22"/>
      <c r="J11" s="22"/>
      <c r="K11" s="22"/>
      <c r="L11" s="22"/>
      <c r="M11" s="22"/>
      <c r="N11" s="22"/>
      <c r="O11" s="29" t="e">
        <f t="shared" si="1"/>
        <v>#REF!</v>
      </c>
      <c r="P11" s="37" t="e">
        <f>#REF!</f>
        <v>#REF!</v>
      </c>
      <c r="Q11" s="37" t="e">
        <f t="shared" si="0"/>
        <v>#REF!</v>
      </c>
    </row>
    <row r="12" spans="1:17" ht="35.1" customHeight="1" thickBot="1" x14ac:dyDescent="0.3">
      <c r="A12" s="5">
        <f t="shared" si="2"/>
        <v>9</v>
      </c>
      <c r="B12" s="18" t="s">
        <v>35</v>
      </c>
      <c r="C12" s="20" t="e">
        <f>E12*G3*I3*K3*L3*M3*N3-9159.78</f>
        <v>#REF!</v>
      </c>
      <c r="D12" s="30" t="e">
        <f>F12*G3*I3*K3*L3*M3*N3</f>
        <v>#REF!</v>
      </c>
      <c r="E12" s="35" t="e">
        <f>#REF!-#REF!</f>
        <v>#REF!</v>
      </c>
      <c r="F12" s="35" t="e">
        <f>#REF!</f>
        <v>#REF!</v>
      </c>
      <c r="G12" s="22"/>
      <c r="H12" s="22"/>
      <c r="I12" s="22"/>
      <c r="J12" s="22"/>
      <c r="K12" s="22"/>
      <c r="L12" s="22"/>
      <c r="M12" s="22"/>
      <c r="N12" s="22"/>
      <c r="O12" s="20" t="e">
        <f t="shared" si="1"/>
        <v>#REF!</v>
      </c>
      <c r="P12" s="37" t="e">
        <f>#REF!</f>
        <v>#REF!</v>
      </c>
      <c r="Q12" s="37" t="e">
        <f t="shared" si="0"/>
        <v>#REF!</v>
      </c>
    </row>
    <row r="13" spans="1:17" ht="35.1" customHeight="1" thickBot="1" x14ac:dyDescent="0.3">
      <c r="A13" s="5">
        <f t="shared" si="2"/>
        <v>10</v>
      </c>
      <c r="B13" s="18" t="s">
        <v>36</v>
      </c>
      <c r="C13" s="29" t="e">
        <f>E13*G3*I3*K3*L3*M3*N3-104195.42</f>
        <v>#REF!</v>
      </c>
      <c r="D13" s="20" t="e">
        <f>F13*G3*I3*K3*L3*M3*N3</f>
        <v>#REF!</v>
      </c>
      <c r="E13" s="35" t="e">
        <f>#REF!-#REF!</f>
        <v>#REF!</v>
      </c>
      <c r="F13" s="35" t="e">
        <f>#REF!</f>
        <v>#REF!</v>
      </c>
      <c r="G13" s="22"/>
      <c r="H13" s="22"/>
      <c r="I13" s="22"/>
      <c r="J13" s="22"/>
      <c r="K13" s="22"/>
      <c r="L13" s="22"/>
      <c r="M13" s="22"/>
      <c r="N13" s="22"/>
      <c r="O13" s="29" t="e">
        <f t="shared" si="1"/>
        <v>#REF!</v>
      </c>
      <c r="P13" s="37" t="e">
        <f>#REF!</f>
        <v>#REF!</v>
      </c>
      <c r="Q13" s="37" t="e">
        <f t="shared" si="0"/>
        <v>#REF!</v>
      </c>
    </row>
    <row r="14" spans="1:17" ht="35.1" customHeight="1" thickBot="1" x14ac:dyDescent="0.3">
      <c r="A14" s="5">
        <f t="shared" si="2"/>
        <v>11</v>
      </c>
      <c r="B14" s="18" t="s">
        <v>37</v>
      </c>
      <c r="C14" s="20" t="e">
        <f>E14*G3*I3*K3*L3*M3*N3-31726.79</f>
        <v>#REF!</v>
      </c>
      <c r="D14" s="30" t="e">
        <f>F14*G3*I3*K3*L3*M3*N3</f>
        <v>#REF!</v>
      </c>
      <c r="E14" s="35" t="e">
        <f>#REF!-#REF!</f>
        <v>#REF!</v>
      </c>
      <c r="F14" s="35" t="e">
        <f>#REF!</f>
        <v>#REF!</v>
      </c>
      <c r="G14" s="22"/>
      <c r="H14" s="22"/>
      <c r="I14" s="22"/>
      <c r="J14" s="22"/>
      <c r="K14" s="22"/>
      <c r="L14" s="22"/>
      <c r="M14" s="22"/>
      <c r="N14" s="22"/>
      <c r="O14" s="20" t="e">
        <f t="shared" si="1"/>
        <v>#REF!</v>
      </c>
      <c r="P14" s="37" t="e">
        <f>#REF!</f>
        <v>#REF!</v>
      </c>
      <c r="Q14" s="37" t="e">
        <f t="shared" si="0"/>
        <v>#REF!</v>
      </c>
    </row>
    <row r="15" spans="1:17" ht="35.1" customHeight="1" thickBot="1" x14ac:dyDescent="0.3">
      <c r="A15" s="5">
        <f t="shared" si="2"/>
        <v>12</v>
      </c>
      <c r="B15" s="18" t="s">
        <v>38</v>
      </c>
      <c r="C15" s="29" t="e">
        <f>E15*G3*I3*K3*L3*M3*N3-3446.36</f>
        <v>#REF!</v>
      </c>
      <c r="D15" s="30" t="e">
        <f>F15*G3*I3*K3*L3*M3*N3</f>
        <v>#REF!</v>
      </c>
      <c r="E15" s="35" t="e">
        <f>#REF!-#REF!</f>
        <v>#REF!</v>
      </c>
      <c r="F15" s="35" t="e">
        <f>#REF!</f>
        <v>#REF!</v>
      </c>
      <c r="G15" s="22"/>
      <c r="H15" s="22"/>
      <c r="I15" s="22"/>
      <c r="J15" s="22"/>
      <c r="K15" s="22"/>
      <c r="L15" s="22"/>
      <c r="M15" s="22"/>
      <c r="N15" s="22"/>
      <c r="O15" s="29" t="e">
        <f t="shared" si="1"/>
        <v>#REF!</v>
      </c>
      <c r="P15" s="37" t="e">
        <f>#REF!</f>
        <v>#REF!</v>
      </c>
      <c r="Q15" s="37" t="e">
        <f t="shared" si="0"/>
        <v>#REF!</v>
      </c>
    </row>
    <row r="16" spans="1:17" ht="35.1" customHeight="1" thickBot="1" x14ac:dyDescent="0.3">
      <c r="A16" s="5">
        <f t="shared" si="2"/>
        <v>13</v>
      </c>
      <c r="B16" s="18" t="s">
        <v>39</v>
      </c>
      <c r="C16" s="20" t="e">
        <f>E16*G3*I3*K3*L3*M3*N3-5063.53</f>
        <v>#REF!</v>
      </c>
      <c r="D16" s="20" t="e">
        <f>F16*G3*I3*K3*L3*M3*N3</f>
        <v>#REF!</v>
      </c>
      <c r="E16" s="36" t="e">
        <f>#REF!-#REF!</f>
        <v>#REF!</v>
      </c>
      <c r="F16" s="36" t="e">
        <f>#REF!</f>
        <v>#REF!</v>
      </c>
      <c r="G16" s="22"/>
      <c r="H16" s="22"/>
      <c r="I16" s="22"/>
      <c r="J16" s="22"/>
      <c r="K16" s="22"/>
      <c r="L16" s="22"/>
      <c r="M16" s="22"/>
      <c r="N16" s="22"/>
      <c r="O16" s="20" t="e">
        <f t="shared" si="1"/>
        <v>#REF!</v>
      </c>
      <c r="P16" s="37" t="e">
        <f>#REF!</f>
        <v>#REF!</v>
      </c>
      <c r="Q16" s="37" t="e">
        <f t="shared" si="0"/>
        <v>#REF!</v>
      </c>
    </row>
    <row r="17" spans="1:20" ht="29.25" customHeight="1" thickBot="1" x14ac:dyDescent="0.3">
      <c r="A17" s="6"/>
      <c r="B17" s="7" t="s">
        <v>6</v>
      </c>
      <c r="C17" s="58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0"/>
      <c r="P17" s="37"/>
      <c r="Q17" s="37"/>
      <c r="R17" s="19"/>
    </row>
    <row r="18" spans="1:20" ht="29.25" customHeight="1" thickBot="1" x14ac:dyDescent="0.3">
      <c r="A18" s="6"/>
      <c r="B18" s="14" t="s">
        <v>40</v>
      </c>
      <c r="C18" s="46" t="e">
        <f>SUM(O4:O16)</f>
        <v>#REF!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37" t="e">
        <f>#REF!+#REF!+#REF!+#REF!+#REF!+#REF!+#REF!+#REF!+#REF!+#REF!+#REF!+#REF!+#REF!</f>
        <v>#REF!</v>
      </c>
      <c r="Q18" s="37" t="e">
        <f>C18-P18</f>
        <v>#REF!</v>
      </c>
      <c r="R18" s="19"/>
    </row>
    <row r="19" spans="1:20" ht="29.25" customHeight="1" thickBot="1" x14ac:dyDescent="0.3">
      <c r="A19" s="9"/>
      <c r="B19" s="8" t="s">
        <v>7</v>
      </c>
      <c r="C19" s="46" t="e">
        <f>C18*0.03</f>
        <v>#REF!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37" t="e">
        <f>#REF!+#REF!+#REF!+#REF!+#REF!+#REF!+#REF!+#REF!+#REF!+#REF!+#REF!+#REF!+#REF!</f>
        <v>#REF!</v>
      </c>
      <c r="Q19" s="37" t="e">
        <f t="shared" ref="Q19:Q21" si="3">C19-P19</f>
        <v>#REF!</v>
      </c>
      <c r="R19" s="19"/>
    </row>
    <row r="20" spans="1:20" ht="29.25" customHeight="1" thickBot="1" x14ac:dyDescent="0.3">
      <c r="A20" s="10"/>
      <c r="B20" s="11" t="s">
        <v>8</v>
      </c>
      <c r="C20" s="73" t="e">
        <f>C18+C19</f>
        <v>#REF!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5"/>
      <c r="P20" s="37" t="e">
        <f>#REF!+#REF!+#REF!+#REF!+#REF!+#REF!+#REF!+#REF!+#REF!+#REF!+#REF!+#REF!+#REF!</f>
        <v>#REF!</v>
      </c>
      <c r="Q20" s="37" t="e">
        <f t="shared" si="3"/>
        <v>#REF!</v>
      </c>
      <c r="S20" t="s">
        <v>51</v>
      </c>
    </row>
    <row r="21" spans="1:20" ht="29.25" customHeight="1" thickBot="1" x14ac:dyDescent="0.3">
      <c r="A21" s="15"/>
      <c r="B21" s="16" t="s">
        <v>49</v>
      </c>
      <c r="C21" s="73" t="e">
        <f>C20*1.2</f>
        <v>#REF!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/>
      <c r="P21" s="37" t="e">
        <f>#REF!+#REF!+#REF!+#REF!+#REF!+#REF!+#REF!+#REF!+#REF!+#REF!+#REF!+#REF!+#REF!</f>
        <v>#REF!</v>
      </c>
      <c r="Q21" s="37" t="e">
        <f t="shared" si="3"/>
        <v>#REF!</v>
      </c>
      <c r="S21" s="38" t="e">
        <f>#REF!</f>
        <v>#REF!</v>
      </c>
      <c r="T21" s="19"/>
    </row>
    <row r="22" spans="1:20" ht="29.25" customHeight="1" x14ac:dyDescent="0.25">
      <c r="A22" s="78"/>
      <c r="B22" s="76" t="s">
        <v>9</v>
      </c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6"/>
      <c r="P22" s="80" t="s">
        <v>50</v>
      </c>
      <c r="Q22" s="81"/>
      <c r="S22" s="39" t="e">
        <f>S21/C21</f>
        <v>#REF!</v>
      </c>
    </row>
    <row r="23" spans="1:20" ht="57" customHeight="1" thickBot="1" x14ac:dyDescent="0.3">
      <c r="A23" s="79"/>
      <c r="B23" s="77"/>
      <c r="C23" s="84" t="s">
        <v>10</v>
      </c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6"/>
      <c r="P23" s="80"/>
      <c r="Q23" s="81"/>
    </row>
    <row r="24" spans="1:20" ht="63.75" customHeight="1" thickBot="1" x14ac:dyDescent="0.3">
      <c r="A24" s="9"/>
      <c r="B24" s="12" t="s">
        <v>11</v>
      </c>
      <c r="C24" s="61" t="s">
        <v>12</v>
      </c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3"/>
    </row>
    <row r="25" spans="1:20" ht="51.75" customHeight="1" thickBot="1" x14ac:dyDescent="0.3">
      <c r="A25" s="9"/>
      <c r="B25" s="12" t="s">
        <v>13</v>
      </c>
      <c r="C25" s="61" t="s">
        <v>14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3"/>
    </row>
    <row r="26" spans="1:20" ht="56.25" customHeight="1" thickBot="1" x14ac:dyDescent="0.3">
      <c r="A26" s="9"/>
      <c r="B26" s="12" t="s">
        <v>15</v>
      </c>
      <c r="C26" s="61" t="s">
        <v>16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3"/>
    </row>
    <row r="27" spans="1:20" ht="29.25" customHeight="1" x14ac:dyDescent="0.25">
      <c r="A27" s="78"/>
      <c r="B27" s="76" t="s">
        <v>17</v>
      </c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6"/>
    </row>
    <row r="28" spans="1:20" ht="29.25" customHeight="1" x14ac:dyDescent="0.25">
      <c r="A28" s="82"/>
      <c r="B28" s="83"/>
      <c r="C28" s="67" t="s">
        <v>18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9"/>
    </row>
    <row r="29" spans="1:20" ht="29.25" customHeight="1" thickBot="1" x14ac:dyDescent="0.3">
      <c r="A29" s="79"/>
      <c r="B29" s="77"/>
      <c r="C29" s="70" t="s">
        <v>19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2"/>
    </row>
    <row r="30" spans="1:20" ht="29.25" customHeight="1" thickBot="1" x14ac:dyDescent="0.3">
      <c r="A30" s="9"/>
      <c r="B30" s="12" t="s">
        <v>20</v>
      </c>
      <c r="C30" s="61" t="s">
        <v>21</v>
      </c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3"/>
    </row>
    <row r="31" spans="1:20" ht="29.25" customHeight="1" thickBot="1" x14ac:dyDescent="0.3">
      <c r="A31" s="9"/>
      <c r="B31" s="12" t="s">
        <v>22</v>
      </c>
      <c r="C31" s="61" t="s">
        <v>23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</row>
    <row r="32" spans="1:20" ht="29.25" customHeight="1" thickBot="1" x14ac:dyDescent="0.3">
      <c r="A32" s="9"/>
      <c r="B32" s="12" t="s">
        <v>24</v>
      </c>
      <c r="C32" s="61" t="s">
        <v>25</v>
      </c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3"/>
    </row>
    <row r="33" spans="1:15" ht="29.25" customHeight="1" thickBot="1" x14ac:dyDescent="0.3">
      <c r="A33" s="9"/>
      <c r="B33" s="12" t="s">
        <v>26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3"/>
    </row>
  </sheetData>
  <mergeCells count="34">
    <mergeCell ref="B22:B23"/>
    <mergeCell ref="A22:A23"/>
    <mergeCell ref="P22:Q23"/>
    <mergeCell ref="C30:O30"/>
    <mergeCell ref="C31:O31"/>
    <mergeCell ref="A27:A29"/>
    <mergeCell ref="B27:B29"/>
    <mergeCell ref="C22:O22"/>
    <mergeCell ref="C23:O23"/>
    <mergeCell ref="C32:O32"/>
    <mergeCell ref="C33:O33"/>
    <mergeCell ref="G1:G2"/>
    <mergeCell ref="I1:I2"/>
    <mergeCell ref="K1:K2"/>
    <mergeCell ref="L1:L2"/>
    <mergeCell ref="M1:M2"/>
    <mergeCell ref="C24:O24"/>
    <mergeCell ref="C25:O25"/>
    <mergeCell ref="C26:O26"/>
    <mergeCell ref="C27:O27"/>
    <mergeCell ref="C28:O28"/>
    <mergeCell ref="C29:O29"/>
    <mergeCell ref="C19:O19"/>
    <mergeCell ref="C20:O20"/>
    <mergeCell ref="C21:O21"/>
    <mergeCell ref="C18:O18"/>
    <mergeCell ref="N1:N2"/>
    <mergeCell ref="E1:E2"/>
    <mergeCell ref="F1:F2"/>
    <mergeCell ref="A1:A2"/>
    <mergeCell ref="B1:B2"/>
    <mergeCell ref="C1:D1"/>
    <mergeCell ref="O1:O2"/>
    <mergeCell ref="C17:O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A09F-FD1C-48FB-B717-D01AAA4C6499}">
  <dimension ref="A1:U44"/>
  <sheetViews>
    <sheetView tabSelected="1" workbookViewId="0">
      <pane ySplit="3" topLeftCell="A22" activePane="bottomLeft" state="frozen"/>
      <selection pane="bottomLeft" activeCell="C29" sqref="C29:N29"/>
    </sheetView>
  </sheetViews>
  <sheetFormatPr defaultRowHeight="15" outlineLevelCol="1" x14ac:dyDescent="0.25"/>
  <cols>
    <col min="1" max="1" width="6.28515625" customWidth="1"/>
    <col min="2" max="2" width="50.7109375" customWidth="1"/>
    <col min="3" max="3" width="16" customWidth="1"/>
    <col min="4" max="4" width="14.28515625" customWidth="1"/>
    <col min="5" max="5" width="15.5703125" customWidth="1"/>
    <col min="6" max="6" width="13.140625" hidden="1" customWidth="1"/>
    <col min="7" max="10" width="10.7109375" style="23" hidden="1" customWidth="1" outlineLevel="1"/>
    <col min="11" max="11" width="12.42578125" style="23" hidden="1" customWidth="1" outlineLevel="1"/>
    <col min="12" max="12" width="10.7109375" style="23" hidden="1" customWidth="1" outlineLevel="1"/>
    <col min="13" max="13" width="10.7109375" style="23" customWidth="1" outlineLevel="1"/>
    <col min="14" max="14" width="19.7109375" customWidth="1"/>
    <col min="15" max="15" width="17.42578125" style="98" hidden="1" customWidth="1" outlineLevel="1"/>
    <col min="16" max="16" width="17.28515625" hidden="1" customWidth="1" outlineLevel="1"/>
    <col min="17" max="17" width="13.5703125" hidden="1" customWidth="1" outlineLevel="1"/>
    <col min="18" max="18" width="18.5703125" customWidth="1" collapsed="1"/>
    <col min="19" max="19" width="17.5703125" customWidth="1"/>
    <col min="20" max="20" width="22.28515625" customWidth="1"/>
  </cols>
  <sheetData>
    <row r="1" spans="1:21" ht="25.5" customHeight="1" thickBot="1" x14ac:dyDescent="0.3">
      <c r="A1" s="53" t="s">
        <v>0</v>
      </c>
      <c r="B1" s="53" t="s">
        <v>1</v>
      </c>
      <c r="C1" s="55" t="s">
        <v>2</v>
      </c>
      <c r="D1" s="95"/>
      <c r="E1" s="56"/>
      <c r="F1" s="43"/>
      <c r="G1" s="49" t="s">
        <v>42</v>
      </c>
      <c r="H1" s="49" t="s">
        <v>43</v>
      </c>
      <c r="I1" s="49" t="s">
        <v>45</v>
      </c>
      <c r="J1" s="49" t="s">
        <v>44</v>
      </c>
      <c r="K1" s="49" t="s">
        <v>46</v>
      </c>
      <c r="L1" s="49" t="s">
        <v>53</v>
      </c>
      <c r="M1" s="49" t="s">
        <v>52</v>
      </c>
      <c r="N1" s="53" t="s">
        <v>3</v>
      </c>
      <c r="O1" s="37"/>
      <c r="P1" s="19"/>
    </row>
    <row r="2" spans="1:21" ht="35.25" customHeight="1" thickBot="1" x14ac:dyDescent="0.3">
      <c r="A2" s="54"/>
      <c r="B2" s="54"/>
      <c r="C2" s="1" t="s">
        <v>4</v>
      </c>
      <c r="D2" s="1" t="s">
        <v>41</v>
      </c>
      <c r="E2" s="1" t="s">
        <v>54</v>
      </c>
      <c r="F2" s="94" t="s">
        <v>77</v>
      </c>
      <c r="G2" s="96"/>
      <c r="H2" s="96"/>
      <c r="I2" s="96"/>
      <c r="J2" s="96"/>
      <c r="K2" s="96"/>
      <c r="L2" s="96"/>
      <c r="M2" s="96"/>
      <c r="N2" s="57"/>
      <c r="O2" s="37" t="s">
        <v>78</v>
      </c>
    </row>
    <row r="3" spans="1:21" ht="15.75" thickBot="1" x14ac:dyDescent="0.3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28">
        <v>1.052</v>
      </c>
      <c r="H3" s="28">
        <v>1.0209999999999999</v>
      </c>
      <c r="I3" s="28">
        <v>1.0349999999999999</v>
      </c>
      <c r="J3" s="28">
        <v>1.0249999999999999</v>
      </c>
      <c r="K3" s="28">
        <v>1.02</v>
      </c>
      <c r="L3" s="93">
        <v>1</v>
      </c>
      <c r="M3" s="93">
        <v>1</v>
      </c>
      <c r="N3" s="3">
        <v>7</v>
      </c>
      <c r="O3" s="93">
        <v>1.2</v>
      </c>
      <c r="P3" s="93" t="s">
        <v>56</v>
      </c>
      <c r="R3" s="19">
        <f>C32</f>
        <v>74876868.959999993</v>
      </c>
    </row>
    <row r="4" spans="1:21" s="27" customFormat="1" ht="64.5" customHeight="1" thickBot="1" x14ac:dyDescent="0.3">
      <c r="A4" s="4">
        <v>1</v>
      </c>
      <c r="B4" s="17" t="s">
        <v>55</v>
      </c>
      <c r="C4" s="31">
        <f>F4-E4-D4</f>
        <v>3527508.16</v>
      </c>
      <c r="D4" s="40">
        <f>'[1]1632-2021-1.1, 1.2-ВК СРВ, Тран'!$L$755*G3*H3*I3*J3*K3*L3*M3</f>
        <v>5598719.8399999999</v>
      </c>
      <c r="E4" s="40">
        <f>'[1]1632-2021-1.1, 1.2-ВК СРВ, Тран'!$L$758*L3</f>
        <v>1183882</v>
      </c>
      <c r="F4" s="20">
        <f>'[1]1632-2021-1.1, 1.2-ВК СРВ, Тран'!$L$769*L3</f>
        <v>10310110</v>
      </c>
      <c r="G4" s="21"/>
      <c r="H4" s="21"/>
      <c r="I4" s="21"/>
      <c r="J4" s="21"/>
      <c r="K4" s="21"/>
      <c r="L4" s="21"/>
      <c r="M4" s="21"/>
      <c r="N4" s="31">
        <f>C4+D4+E4</f>
        <v>10310110</v>
      </c>
      <c r="O4" s="37">
        <f>F4*O3</f>
        <v>12372132</v>
      </c>
      <c r="P4" s="37">
        <f>'[1]1632-2021-1.1, 1.2-ВК СРВ, Тран'!$L$773</f>
        <v>12743295.6</v>
      </c>
      <c r="Q4" s="45">
        <f>O4-P4</f>
        <v>-371163.6</v>
      </c>
    </row>
    <row r="5" spans="1:21" ht="53.25" customHeight="1" thickBot="1" x14ac:dyDescent="0.3">
      <c r="A5" s="5">
        <v>2</v>
      </c>
      <c r="B5" s="18" t="s">
        <v>57</v>
      </c>
      <c r="C5" s="31">
        <f t="shared" ref="C5:C27" si="0">F5-E5-D5</f>
        <v>1382523.39</v>
      </c>
      <c r="D5" s="40">
        <f>'[2]1632-2021-2.1.0,2.2.1-ВК Тоннел'!$L$394*G3*H3*I3*J3*K3*L3*M3</f>
        <v>4237843.6100000003</v>
      </c>
      <c r="E5" s="40">
        <f>'[2]1632-2021-2.1.0,2.2.1-ВК Тоннел'!$L$397*L3</f>
        <v>813011</v>
      </c>
      <c r="F5" s="20">
        <f>'[2]1632-2021-2.1.0,2.2.1-ВК Тоннел'!$L$408*L3</f>
        <v>6433378</v>
      </c>
      <c r="G5" s="42"/>
      <c r="H5" s="42"/>
      <c r="I5" s="42"/>
      <c r="J5" s="42"/>
      <c r="K5" s="42"/>
      <c r="L5" s="26"/>
      <c r="M5" s="26"/>
      <c r="N5" s="31">
        <f t="shared" ref="N5:N27" si="1">C5+D5+E5</f>
        <v>6433378</v>
      </c>
      <c r="O5" s="37">
        <f>F5*O3</f>
        <v>7720053.5999999996</v>
      </c>
      <c r="P5" s="37">
        <f>'[2]1632-2021-2.1.0,2.2.1-ВК Тоннел'!$L$412</f>
        <v>7951654.7999999998</v>
      </c>
      <c r="Q5" s="45">
        <f t="shared" ref="Q5:Q27" si="2">O5-P5</f>
        <v>-231601.2</v>
      </c>
    </row>
    <row r="6" spans="1:21" ht="41.25" customHeight="1" thickBot="1" x14ac:dyDescent="0.3">
      <c r="A6" s="5">
        <v>3</v>
      </c>
      <c r="B6" s="18" t="s">
        <v>58</v>
      </c>
      <c r="C6" s="31">
        <f t="shared" si="0"/>
        <v>309400.37</v>
      </c>
      <c r="D6" s="40">
        <f>'[3]1632-2021-2.1.1-ВК КГ №1 - Полн'!$L$136*G3*H3*I3*J3*K3*L3*M3</f>
        <v>1214817.6299999999</v>
      </c>
      <c r="E6" s="40">
        <f>'[3]1632-2021-2.1.1-ВК КГ №1 - Полн'!$L$139*L3</f>
        <v>9563</v>
      </c>
      <c r="F6" s="20">
        <f>'[3]1632-2021-2.1.1-ВК КГ №1 - Полн'!$L$150*L3</f>
        <v>1533781</v>
      </c>
      <c r="G6" s="21"/>
      <c r="H6" s="21"/>
      <c r="I6" s="21"/>
      <c r="J6" s="21"/>
      <c r="K6" s="21"/>
      <c r="L6" s="41"/>
      <c r="M6" s="41"/>
      <c r="N6" s="31">
        <f t="shared" si="1"/>
        <v>1533781</v>
      </c>
      <c r="O6" s="37">
        <f>F6*O3</f>
        <v>1840537.2</v>
      </c>
      <c r="P6" s="37">
        <f>'[3]1632-2021-2.1.1-ВК КГ №1 - Полн'!$L$154</f>
        <v>1895752.8</v>
      </c>
      <c r="Q6" s="45">
        <f t="shared" si="2"/>
        <v>-55215.6</v>
      </c>
    </row>
    <row r="7" spans="1:21" ht="37.5" customHeight="1" thickBot="1" x14ac:dyDescent="0.3">
      <c r="A7" s="5">
        <v>4</v>
      </c>
      <c r="B7" s="18" t="s">
        <v>59</v>
      </c>
      <c r="C7" s="31">
        <f t="shared" si="0"/>
        <v>756811.59</v>
      </c>
      <c r="D7" s="40">
        <f>'[4]1632-2021-2.1.2,2.1.7-ВК1 КГ№2 '!$L$282*G3*H3*I3*J3*K3*L3*M3</f>
        <v>2322081.41</v>
      </c>
      <c r="E7" s="40">
        <f>'[4]1632-2021-2.1.2,2.1.7-ВК1 КГ№2 '!$L$285*L3</f>
        <v>282429</v>
      </c>
      <c r="F7" s="20">
        <f>'[4]1632-2021-2.1.2,2.1.7-ВК1 КГ№2 '!$L$296*L3</f>
        <v>3361322</v>
      </c>
      <c r="G7" s="42"/>
      <c r="H7" s="42"/>
      <c r="I7" s="42"/>
      <c r="J7" s="42"/>
      <c r="K7" s="42"/>
      <c r="L7" s="26"/>
      <c r="M7" s="26"/>
      <c r="N7" s="31">
        <f t="shared" si="1"/>
        <v>3361322</v>
      </c>
      <c r="O7" s="37">
        <f>F7*O3</f>
        <v>4033586.4</v>
      </c>
      <c r="P7" s="37">
        <f>'[4]1632-2021-2.1.2,2.1.7-ВК1 КГ№2 '!$L$300</f>
        <v>4154594.4</v>
      </c>
      <c r="Q7" s="45">
        <f t="shared" si="2"/>
        <v>-121008</v>
      </c>
    </row>
    <row r="8" spans="1:21" ht="38.25" customHeight="1" thickBot="1" x14ac:dyDescent="0.3">
      <c r="A8" s="5">
        <v>5</v>
      </c>
      <c r="B8" s="18" t="s">
        <v>60</v>
      </c>
      <c r="C8" s="31">
        <f t="shared" si="0"/>
        <v>374558.33</v>
      </c>
      <c r="D8" s="40">
        <f>'[5]1632-2021-2.1.2,2.1.7-ВК2 КГ №2'!$L$137*G3*H3*I3*J3*K3*L3*M3</f>
        <v>1093775.67</v>
      </c>
      <c r="E8" s="40">
        <f>'[5]1632-2021-2.1.2,2.1.7-ВК2 КГ №2'!$L$140*L3</f>
        <v>15508</v>
      </c>
      <c r="F8" s="20">
        <f>'[5]1632-2021-2.1.2,2.1.7-ВК2 КГ №2'!$L$151*L3</f>
        <v>1483842</v>
      </c>
      <c r="G8" s="21"/>
      <c r="H8" s="21"/>
      <c r="I8" s="21"/>
      <c r="J8" s="21"/>
      <c r="K8" s="21"/>
      <c r="L8" s="41"/>
      <c r="M8" s="41"/>
      <c r="N8" s="31">
        <f t="shared" si="1"/>
        <v>1483842</v>
      </c>
      <c r="O8" s="37">
        <f>F8*O3</f>
        <v>1780610.4</v>
      </c>
      <c r="P8" s="37">
        <f>'[5]1632-2021-2.1.2,2.1.7-ВК2 КГ №2'!$L$155</f>
        <v>1834028.4</v>
      </c>
      <c r="Q8" s="45">
        <f t="shared" si="2"/>
        <v>-53418</v>
      </c>
    </row>
    <row r="9" spans="1:21" ht="39.75" customHeight="1" thickBot="1" x14ac:dyDescent="0.3">
      <c r="A9" s="5">
        <v>6</v>
      </c>
      <c r="B9" s="18" t="s">
        <v>61</v>
      </c>
      <c r="C9" s="31">
        <f t="shared" si="0"/>
        <v>632031.55000000005</v>
      </c>
      <c r="D9" s="40">
        <f>'[6]1632-2021-2.1.2,2.1.7-ВК3 КГ №2'!$L$282*G3*H3*I3*J3*K3*L3*M3</f>
        <v>1995255.45</v>
      </c>
      <c r="E9" s="40">
        <f>'[6]1632-2021-2.1.2,2.1.7-ВК3 КГ №2'!$L$285</f>
        <v>280214</v>
      </c>
      <c r="F9" s="20">
        <f>'[6]1632-2021-2.1.2,2.1.7-ВК3 КГ №2'!$L$296*L3</f>
        <v>2907501</v>
      </c>
      <c r="G9" s="42"/>
      <c r="H9" s="42"/>
      <c r="I9" s="42"/>
      <c r="J9" s="42"/>
      <c r="K9" s="42"/>
      <c r="L9" s="42"/>
      <c r="M9" s="42"/>
      <c r="N9" s="31">
        <f t="shared" si="1"/>
        <v>2907501</v>
      </c>
      <c r="O9" s="37">
        <f>F9*O3</f>
        <v>3489001.2</v>
      </c>
      <c r="P9" s="37">
        <f>'[6]1632-2021-2.1.2,2.1.7-ВК3 КГ №2'!$L$300</f>
        <v>3593671.2</v>
      </c>
      <c r="Q9" s="45">
        <f t="shared" si="2"/>
        <v>-104670</v>
      </c>
    </row>
    <row r="10" spans="1:21" ht="39.75" customHeight="1" thickBot="1" x14ac:dyDescent="0.3">
      <c r="A10" s="5">
        <v>7</v>
      </c>
      <c r="B10" s="18" t="s">
        <v>62</v>
      </c>
      <c r="C10" s="31">
        <f t="shared" si="0"/>
        <v>1196632.67</v>
      </c>
      <c r="D10" s="40">
        <f>'[7]1632-2021-2.1.3-ВК КГ №3 - Полн'!$L$126*G3*H3*I3*J3*K3*L3*M3</f>
        <v>1300882.33</v>
      </c>
      <c r="E10" s="40">
        <f>'[7]1632-2021-2.1.3-ВК КГ №3 - Полн'!$L$129</f>
        <v>32511</v>
      </c>
      <c r="F10" s="20">
        <f>'[7]1632-2021-2.1.3-ВК КГ №3 - Полн'!$L$140*L3</f>
        <v>2530026</v>
      </c>
      <c r="G10" s="21"/>
      <c r="H10" s="21"/>
      <c r="I10" s="21"/>
      <c r="J10" s="21"/>
      <c r="K10" s="21"/>
      <c r="L10" s="41"/>
      <c r="M10" s="41"/>
      <c r="N10" s="31">
        <f t="shared" si="1"/>
        <v>2530026</v>
      </c>
      <c r="O10" s="37">
        <f>F10*O3</f>
        <v>3036031.2</v>
      </c>
      <c r="P10" s="37">
        <f>'[7]1632-2021-2.1.3-ВК КГ №3 - Полн'!$L$144</f>
        <v>3127112.4</v>
      </c>
      <c r="Q10" s="45">
        <f t="shared" si="2"/>
        <v>-91081.2</v>
      </c>
    </row>
    <row r="11" spans="1:21" ht="37.5" customHeight="1" thickBot="1" x14ac:dyDescent="0.3">
      <c r="A11" s="5">
        <v>8</v>
      </c>
      <c r="B11" s="18" t="s">
        <v>63</v>
      </c>
      <c r="C11" s="31">
        <f t="shared" si="0"/>
        <v>217309.14</v>
      </c>
      <c r="D11" s="40">
        <f>'[8]1632-2021-2.1.4-ВК КГ №4 - Полн'!$L$102*G3*H3*I3*J3*K3*L3*M3</f>
        <v>290531.86</v>
      </c>
      <c r="E11" s="40">
        <f>'[8]1632-2021-2.1.4-ВК КГ №4 - Полн'!$L$105*L3</f>
        <v>9753</v>
      </c>
      <c r="F11" s="20">
        <f>'[8]1632-2021-2.1.4-ВК КГ №4 - Полн'!$L$116*L3</f>
        <v>517594</v>
      </c>
      <c r="G11" s="42"/>
      <c r="H11" s="42"/>
      <c r="I11" s="42"/>
      <c r="J11" s="42"/>
      <c r="K11" s="42"/>
      <c r="L11" s="26"/>
      <c r="M11" s="26"/>
      <c r="N11" s="31">
        <f t="shared" si="1"/>
        <v>517594</v>
      </c>
      <c r="O11" s="37">
        <f>F11*O3</f>
        <v>621112.80000000005</v>
      </c>
      <c r="P11" s="37">
        <f>'[8]1632-2021-2.1.4-ВК КГ №4 - Полн'!$L$120</f>
        <v>639746.4</v>
      </c>
      <c r="Q11" s="45">
        <f t="shared" si="2"/>
        <v>-18633.599999999999</v>
      </c>
    </row>
    <row r="12" spans="1:21" ht="42" customHeight="1" thickBot="1" x14ac:dyDescent="0.3">
      <c r="A12" s="5">
        <v>9</v>
      </c>
      <c r="B12" s="18" t="s">
        <v>64</v>
      </c>
      <c r="C12" s="31">
        <f t="shared" si="0"/>
        <v>250307.94</v>
      </c>
      <c r="D12" s="40">
        <f>'[9]1632-2021-2.1.5-ВК КГ №5 - Полн'!$L$112*G3*H3*I3*J3*K3*L3*M3</f>
        <v>712702.06</v>
      </c>
      <c r="E12" s="40">
        <f>'[9]1632-2021-2.1.5-ВК КГ №5 - Полн'!$L$115*L3</f>
        <v>9830</v>
      </c>
      <c r="F12" s="20">
        <f>'[9]1632-2021-2.1.5-ВК КГ №5 - Полн'!$L$126*L3</f>
        <v>972840</v>
      </c>
      <c r="G12" s="21"/>
      <c r="H12" s="21"/>
      <c r="I12" s="21"/>
      <c r="J12" s="21"/>
      <c r="K12" s="21"/>
      <c r="L12" s="41"/>
      <c r="M12" s="41"/>
      <c r="N12" s="31">
        <f t="shared" si="1"/>
        <v>972840</v>
      </c>
      <c r="O12" s="37">
        <f>F12*O3</f>
        <v>1167408</v>
      </c>
      <c r="P12" s="37">
        <f>'[9]1632-2021-2.1.5-ВК КГ №5 - Полн'!$L$130</f>
        <v>1202430</v>
      </c>
      <c r="Q12" s="45">
        <f t="shared" si="2"/>
        <v>-35022</v>
      </c>
    </row>
    <row r="13" spans="1:21" ht="35.1" customHeight="1" thickBot="1" x14ac:dyDescent="0.3">
      <c r="A13" s="5">
        <v>10</v>
      </c>
      <c r="B13" s="18" t="s">
        <v>65</v>
      </c>
      <c r="C13" s="31">
        <f t="shared" si="0"/>
        <v>215482.46</v>
      </c>
      <c r="D13" s="40">
        <f>'[10]1632-2021-2.1.11-ВК КГ №11 - По'!$L$98*G3*H3*I3*J3*K3*L3*M3</f>
        <v>305628.53999999998</v>
      </c>
      <c r="E13" s="40">
        <f>'[10]1632-2021-2.1.11-ВК КГ №11 - По'!$L$101*L3</f>
        <v>9753</v>
      </c>
      <c r="F13" s="20">
        <f>'[10]1632-2021-2.1.11-ВК КГ №11 - По'!$L$112*L3</f>
        <v>530864</v>
      </c>
      <c r="G13" s="42"/>
      <c r="H13" s="42"/>
      <c r="I13" s="42"/>
      <c r="J13" s="42"/>
      <c r="K13" s="42"/>
      <c r="L13" s="26"/>
      <c r="M13" s="26"/>
      <c r="N13" s="31">
        <f t="shared" si="1"/>
        <v>530864</v>
      </c>
      <c r="O13" s="37">
        <f>F13*O3</f>
        <v>637036.80000000005</v>
      </c>
      <c r="P13" s="37">
        <f>'[10]1632-2021-2.1.11-ВК КГ №11 - По'!$L$116</f>
        <v>656148</v>
      </c>
      <c r="Q13" s="45">
        <f t="shared" si="2"/>
        <v>-19111.2</v>
      </c>
    </row>
    <row r="14" spans="1:21" ht="42" customHeight="1" thickBot="1" x14ac:dyDescent="0.3">
      <c r="A14" s="5">
        <v>11</v>
      </c>
      <c r="B14" s="18" t="s">
        <v>66</v>
      </c>
      <c r="C14" s="31">
        <f t="shared" si="0"/>
        <v>210631.2</v>
      </c>
      <c r="D14" s="40">
        <f>'[11]1632-2021-2.1.12-ВК КГ №12 - По'!$L$105*G3*H3*I3*J3*K3*L3*M3</f>
        <v>704670.8</v>
      </c>
      <c r="E14" s="40">
        <f>'[11]1632-2021-2.1.12-ВК КГ №12 - По'!$L$108*L3</f>
        <v>6646</v>
      </c>
      <c r="F14" s="20">
        <f>'[11]1632-2021-2.1.12-ВК КГ №12 - По'!$L$119*L3</f>
        <v>921948</v>
      </c>
      <c r="G14" s="21"/>
      <c r="H14" s="21"/>
      <c r="I14" s="21"/>
      <c r="J14" s="21"/>
      <c r="K14" s="21"/>
      <c r="L14" s="41"/>
      <c r="M14" s="41"/>
      <c r="N14" s="31">
        <f t="shared" si="1"/>
        <v>921948</v>
      </c>
      <c r="O14" s="37">
        <f>F14*O3</f>
        <v>1106337.6000000001</v>
      </c>
      <c r="P14" s="37">
        <f>'[11]1632-2021-2.1.12-ВК КГ №12 - По'!$L$123</f>
        <v>1139527.2</v>
      </c>
      <c r="Q14" s="45">
        <f t="shared" si="2"/>
        <v>-33189.599999999999</v>
      </c>
    </row>
    <row r="15" spans="1:21" ht="38.25" customHeight="1" thickBot="1" x14ac:dyDescent="0.3">
      <c r="A15" s="5">
        <v>12</v>
      </c>
      <c r="B15" s="18" t="s">
        <v>67</v>
      </c>
      <c r="C15" s="31">
        <f t="shared" si="0"/>
        <v>1661108.39</v>
      </c>
      <c r="D15" s="40">
        <f>'[12]1632-2021-2.2.2-ВК ПС №2 - Полн'!$L$265*G3*H3*I3*J3*K3*L3*M3</f>
        <v>4400658.6100000003</v>
      </c>
      <c r="E15" s="40">
        <f>'[12]1632-2021-2.2.2-ВК ПС №2 - Полн'!$L$268*L3</f>
        <v>389447</v>
      </c>
      <c r="F15" s="20">
        <f>'[12]1632-2021-2.2.2-ВК ПС №2 - Полн'!$L$279*L3</f>
        <v>6451214</v>
      </c>
      <c r="G15" s="42"/>
      <c r="H15" s="42"/>
      <c r="I15" s="42"/>
      <c r="J15" s="42"/>
      <c r="K15" s="42"/>
      <c r="L15" s="26"/>
      <c r="M15" s="26"/>
      <c r="N15" s="31">
        <f t="shared" si="1"/>
        <v>6451214</v>
      </c>
      <c r="O15" s="37">
        <f>F15*O3</f>
        <v>7741456.7999999998</v>
      </c>
      <c r="P15" s="44">
        <f>'[12]1632-2021-2.2.2-ВК ПС №2 - Полн'!$L$283</f>
        <v>7973700</v>
      </c>
      <c r="Q15" s="45">
        <f t="shared" si="2"/>
        <v>-232243.20000000001</v>
      </c>
      <c r="R15" s="44"/>
      <c r="S15" s="44"/>
      <c r="T15" s="44"/>
      <c r="U15" s="44"/>
    </row>
    <row r="16" spans="1:21" ht="42.75" customHeight="1" thickBot="1" x14ac:dyDescent="0.3">
      <c r="A16" s="5">
        <v>13</v>
      </c>
      <c r="B16" s="18" t="s">
        <v>68</v>
      </c>
      <c r="C16" s="31">
        <f t="shared" si="0"/>
        <v>427555.53</v>
      </c>
      <c r="D16" s="40">
        <f>'[13]1632-2021-2.2.3-ВК ПС №3 - Полн'!$L$281*G3*H3*I3*J3*K3*L3*M3</f>
        <v>760673.47</v>
      </c>
      <c r="E16" s="40">
        <f>'[13]1632-2021-2.2.3-ВК ПС №3 - Полн'!$L$284*L3</f>
        <v>265006</v>
      </c>
      <c r="F16" s="20">
        <f>'[13]1632-2021-2.2.3-ВК ПС №3 - Полн'!$L$295*L3</f>
        <v>1453235</v>
      </c>
      <c r="G16" s="42"/>
      <c r="H16" s="42"/>
      <c r="I16" s="42"/>
      <c r="J16" s="42"/>
      <c r="K16" s="42"/>
      <c r="L16" s="26"/>
      <c r="M16" s="26"/>
      <c r="N16" s="31">
        <f t="shared" si="1"/>
        <v>1453235</v>
      </c>
      <c r="O16" s="37">
        <f>F16*O3</f>
        <v>1743882</v>
      </c>
      <c r="P16" s="37">
        <f>'[13]1632-2021-2.2.3-ВК ПС №3 - Полн'!$L$299</f>
        <v>1796198.3999999999</v>
      </c>
      <c r="Q16" s="45">
        <f t="shared" si="2"/>
        <v>-52316.4</v>
      </c>
    </row>
    <row r="17" spans="1:21" ht="35.1" customHeight="1" thickBot="1" x14ac:dyDescent="0.3">
      <c r="A17" s="5">
        <v>14</v>
      </c>
      <c r="B17" s="18" t="s">
        <v>59</v>
      </c>
      <c r="C17" s="31">
        <f t="shared" si="0"/>
        <v>1029370.28</v>
      </c>
      <c r="D17" s="40">
        <f>'[14]1632-2021-2.2.4 2.1.6-ВК ПС №4,'!$L$300*G3*H3*I3*J3*K3*L3*M3</f>
        <v>2639261.7200000002</v>
      </c>
      <c r="E17" s="40">
        <f>'[14]1632-2021-2.2.4 2.1.6-ВК ПС №4,'!$L$303*L3</f>
        <v>233211</v>
      </c>
      <c r="F17" s="20">
        <f>'[14]1632-2021-2.2.4 2.1.6-ВК ПС №4,'!$L$314*L3</f>
        <v>3901843</v>
      </c>
      <c r="G17" s="21"/>
      <c r="H17" s="21"/>
      <c r="I17" s="21"/>
      <c r="J17" s="21"/>
      <c r="K17" s="21"/>
      <c r="L17" s="41"/>
      <c r="M17" s="41"/>
      <c r="N17" s="31">
        <f t="shared" si="1"/>
        <v>3901843</v>
      </c>
      <c r="O17" s="37">
        <f>F17*O3</f>
        <v>4682211.5999999996</v>
      </c>
      <c r="P17" s="37">
        <f>'[14]1632-2021-2.2.4 2.1.6-ВК ПС №4,'!$L$318</f>
        <v>4822677.5999999996</v>
      </c>
      <c r="Q17" s="45">
        <f t="shared" si="2"/>
        <v>-140466</v>
      </c>
    </row>
    <row r="18" spans="1:21" ht="66.75" customHeight="1" thickBot="1" x14ac:dyDescent="0.3">
      <c r="A18" s="5">
        <v>15</v>
      </c>
      <c r="B18" s="18" t="s">
        <v>69</v>
      </c>
      <c r="C18" s="31">
        <f t="shared" si="0"/>
        <v>4548109.01</v>
      </c>
      <c r="D18" s="40">
        <f>'[15]1632-2021-2.2.5,2.1.13-ВК ПС №5'!$L$289*G3*H3*I3*J3*K3*L3*M3</f>
        <v>917095.99</v>
      </c>
      <c r="E18" s="40">
        <f>'[15]1632-2021-2.2.5,2.1.13-ВК ПС №5'!$L$292</f>
        <v>367058</v>
      </c>
      <c r="F18" s="20">
        <f>'[15]1632-2021-2.2.5,2.1.13-ВК ПС №5'!$L$303*L3</f>
        <v>5832263</v>
      </c>
      <c r="G18" s="42"/>
      <c r="H18" s="42"/>
      <c r="I18" s="42"/>
      <c r="J18" s="42"/>
      <c r="K18" s="42"/>
      <c r="L18" s="26"/>
      <c r="M18" s="26"/>
      <c r="N18" s="31">
        <f t="shared" si="1"/>
        <v>5832263</v>
      </c>
      <c r="O18" s="37">
        <f>F18*O3</f>
        <v>6998715.5999999996</v>
      </c>
      <c r="P18" s="37">
        <f>'[15]1632-2021-2.2.5,2.1.13-ВК ПС №5'!$L$307</f>
        <v>7208677.2000000002</v>
      </c>
      <c r="Q18" s="45">
        <f t="shared" si="2"/>
        <v>-209961.60000000001</v>
      </c>
    </row>
    <row r="19" spans="1:21" ht="41.25" customHeight="1" thickBot="1" x14ac:dyDescent="0.3">
      <c r="A19" s="5">
        <v>16</v>
      </c>
      <c r="B19" s="18" t="s">
        <v>70</v>
      </c>
      <c r="C19" s="31">
        <f t="shared" si="0"/>
        <v>319633.58</v>
      </c>
      <c r="D19" s="40">
        <f>'[16]1632-2021-2.2.6_ВК ПС №6 - Полн'!$L$270*G3*H3*I3*J3*K3*L3*M3</f>
        <v>842356.42</v>
      </c>
      <c r="E19" s="40">
        <f>'[16]1632-2021-2.2.6_ВК ПС №6 - Полн'!$L$273*L3</f>
        <v>183224</v>
      </c>
      <c r="F19" s="20">
        <f>'[16]1632-2021-2.2.6_ВК ПС №6 - Полн'!$L$284*L3</f>
        <v>1345214</v>
      </c>
      <c r="G19" s="21"/>
      <c r="H19" s="21"/>
      <c r="I19" s="21"/>
      <c r="J19" s="21"/>
      <c r="K19" s="21"/>
      <c r="L19" s="41"/>
      <c r="M19" s="41"/>
      <c r="N19" s="31">
        <f t="shared" si="1"/>
        <v>1345214</v>
      </c>
      <c r="O19" s="37">
        <f>F19*O3</f>
        <v>1614256.8</v>
      </c>
      <c r="P19" s="37">
        <f>'[16]1632-2021-2.2.6_ВК ПС №6 - Полн'!$L$288</f>
        <v>1662684</v>
      </c>
      <c r="Q19" s="45">
        <f t="shared" si="2"/>
        <v>-48427.199999999997</v>
      </c>
    </row>
    <row r="20" spans="1:21" ht="37.5" customHeight="1" thickBot="1" x14ac:dyDescent="0.3">
      <c r="A20" s="5">
        <v>17</v>
      </c>
      <c r="B20" s="18" t="s">
        <v>71</v>
      </c>
      <c r="C20" s="31">
        <f t="shared" si="0"/>
        <v>332563.15999999997</v>
      </c>
      <c r="D20" s="40">
        <f>'[17]1632-2021-2.2.7-ВК ПрС - Полный'!$L$273*G3*H3*I3*J3*K3*L3*M3</f>
        <v>1019499.84</v>
      </c>
      <c r="E20" s="40">
        <f>'[17]1632-2021-2.2.7-ВК ПрС - Полный'!$L$276*L3</f>
        <v>96670</v>
      </c>
      <c r="F20" s="20">
        <f>'[17]1632-2021-2.2.7-ВК ПрС - Полный'!$L$287*L3</f>
        <v>1448733</v>
      </c>
      <c r="G20" s="42"/>
      <c r="H20" s="42"/>
      <c r="I20" s="42"/>
      <c r="J20" s="42"/>
      <c r="K20" s="42"/>
      <c r="L20" s="42"/>
      <c r="M20" s="42"/>
      <c r="N20" s="31">
        <f t="shared" si="1"/>
        <v>1448733</v>
      </c>
      <c r="O20" s="37">
        <f>F20*O3</f>
        <v>1738479.6</v>
      </c>
      <c r="P20" s="37">
        <f>'[17]1632-2021-2.2.7-ВК ПрС - Полный'!$L$291</f>
        <v>1790634</v>
      </c>
      <c r="Q20" s="45">
        <f t="shared" si="2"/>
        <v>-52154.400000000001</v>
      </c>
    </row>
    <row r="21" spans="1:21" ht="35.1" customHeight="1" thickBot="1" x14ac:dyDescent="0.3">
      <c r="A21" s="5">
        <v>18</v>
      </c>
      <c r="B21" s="18" t="s">
        <v>72</v>
      </c>
      <c r="C21" s="31">
        <f t="shared" si="0"/>
        <v>2180753.41</v>
      </c>
      <c r="D21" s="40">
        <f>'[18]1632-2021-3.1-ВК Крытый склад №'!$L$342*G3*H3*I3*J3*K3*L3*M3</f>
        <v>390833.51</v>
      </c>
      <c r="E21" s="40">
        <f>'[18]1632-2021-3.1-ВК Крытый склад №'!$L$345*L3</f>
        <v>8535.2900000000009</v>
      </c>
      <c r="F21" s="20">
        <f>'[18]1632-2021-3.1-ВК Крытый склад №'!$L$356*L3</f>
        <v>2580122.21</v>
      </c>
      <c r="G21" s="21"/>
      <c r="H21" s="21"/>
      <c r="I21" s="21"/>
      <c r="J21" s="21"/>
      <c r="K21" s="21"/>
      <c r="L21" s="41"/>
      <c r="M21" s="41"/>
      <c r="N21" s="31">
        <f t="shared" si="1"/>
        <v>2580122.21</v>
      </c>
      <c r="O21" s="37">
        <f>F21*O3</f>
        <v>3096146.65</v>
      </c>
      <c r="P21" s="37">
        <f>'[18]1632-2021-3.1-ВК Крытый склад №'!$L$360</f>
        <v>3189031.06</v>
      </c>
      <c r="Q21" s="45">
        <f t="shared" si="2"/>
        <v>-92884.41</v>
      </c>
    </row>
    <row r="22" spans="1:21" ht="35.1" customHeight="1" thickBot="1" x14ac:dyDescent="0.3">
      <c r="A22" s="5">
        <v>19</v>
      </c>
      <c r="B22" s="18" t="s">
        <v>73</v>
      </c>
      <c r="C22" s="31">
        <f t="shared" si="0"/>
        <v>2003276.87</v>
      </c>
      <c r="D22" s="40">
        <f>'[19]1632-2021-3.2-ВК Крытый склад №'!$L$340*G3*H3*I3*J3*K3*L3*M3</f>
        <v>430391.9</v>
      </c>
      <c r="E22" s="40">
        <f>'[19]1632-2021-3.2-ВК Крытый склад №'!$L$343*L3</f>
        <v>8535.2900000000009</v>
      </c>
      <c r="F22" s="20">
        <f>'[19]1632-2021-3.2-ВК Крытый склад №'!$L$354*L3</f>
        <v>2442204.06</v>
      </c>
      <c r="G22" s="42"/>
      <c r="H22" s="42"/>
      <c r="I22" s="42"/>
      <c r="J22" s="42"/>
      <c r="K22" s="42"/>
      <c r="L22" s="26"/>
      <c r="M22" s="26"/>
      <c r="N22" s="31">
        <f t="shared" si="1"/>
        <v>2442204.06</v>
      </c>
      <c r="O22" s="37">
        <f>F22*O3</f>
        <v>2930644.87</v>
      </c>
      <c r="P22" s="37">
        <f>'[19]1632-2021-3.2-ВК Крытый склад №'!$L$358</f>
        <v>3018564.22</v>
      </c>
      <c r="Q22" s="45">
        <f t="shared" si="2"/>
        <v>-87919.35</v>
      </c>
    </row>
    <row r="23" spans="1:21" ht="35.1" customHeight="1" thickBot="1" x14ac:dyDescent="0.3">
      <c r="A23" s="5">
        <v>20</v>
      </c>
      <c r="B23" s="18" t="s">
        <v>74</v>
      </c>
      <c r="C23" s="31">
        <f t="shared" si="0"/>
        <v>245898.54</v>
      </c>
      <c r="D23" s="40">
        <f>'[20]1632-2021-3.3-ВК Куп.склады - П'!$L$142*G3*H3*I3*J3*K3*L3*M3</f>
        <v>77803.95</v>
      </c>
      <c r="E23" s="40">
        <f>'[20]1632-2021-3.3-ВК Куп.склады - П'!$L$145*L3</f>
        <v>386231.72</v>
      </c>
      <c r="F23" s="20">
        <f>'[20]1632-2021-3.3-ВК Куп.склады - П'!$L$156*L3</f>
        <v>709934.21</v>
      </c>
      <c r="G23" s="21"/>
      <c r="H23" s="21"/>
      <c r="I23" s="21"/>
      <c r="J23" s="21"/>
      <c r="K23" s="21"/>
      <c r="L23" s="41"/>
      <c r="M23" s="41"/>
      <c r="N23" s="31">
        <f t="shared" si="1"/>
        <v>709934.21</v>
      </c>
      <c r="O23" s="37">
        <f>F23*O3</f>
        <v>851921.05</v>
      </c>
      <c r="P23" s="37">
        <f>'[20]1632-2021-3.3-ВК Куп.склады - П'!$L$160</f>
        <v>877478.69</v>
      </c>
      <c r="Q23" s="45">
        <f t="shared" si="2"/>
        <v>-25557.64</v>
      </c>
    </row>
    <row r="24" spans="1:21" ht="35.1" customHeight="1" thickBot="1" x14ac:dyDescent="0.3">
      <c r="A24" s="5">
        <v>21</v>
      </c>
      <c r="B24" s="18" t="s">
        <v>75</v>
      </c>
      <c r="C24" s="31">
        <f t="shared" si="0"/>
        <v>337715.4</v>
      </c>
      <c r="D24" s="40">
        <f>'[21]1632-2021-3.3-ВС Куп.склады - П'!$L$93*G3*H3*I3*J3*K3*L3*M3</f>
        <v>976022.8</v>
      </c>
      <c r="E24" s="40">
        <f>'[1]1632-2021-1.1, 1.2-ВК СРВ, Тран'!$L$758*L23</f>
        <v>0</v>
      </c>
      <c r="F24" s="20">
        <f>'[21]1632-2021-3.3-ВС Куп.склады - П'!$L$104*L3</f>
        <v>1313738.2</v>
      </c>
      <c r="G24" s="42"/>
      <c r="H24" s="42"/>
      <c r="I24" s="42"/>
      <c r="J24" s="42"/>
      <c r="K24" s="42"/>
      <c r="L24" s="26"/>
      <c r="M24" s="26"/>
      <c r="N24" s="31">
        <f t="shared" si="1"/>
        <v>1313738.2</v>
      </c>
      <c r="O24" s="37">
        <f>F24*O3</f>
        <v>1576485.84</v>
      </c>
      <c r="P24" s="37">
        <f>'[21]1632-2021-3.3-ВС Куп.склады - П'!$L$108</f>
        <v>1623780.42</v>
      </c>
      <c r="Q24" s="45">
        <f t="shared" si="2"/>
        <v>-47294.58</v>
      </c>
    </row>
    <row r="25" spans="1:21" ht="46.5" customHeight="1" thickBot="1" x14ac:dyDescent="0.3">
      <c r="A25" s="99">
        <v>22</v>
      </c>
      <c r="B25" s="100" t="s">
        <v>76</v>
      </c>
      <c r="C25" s="101">
        <f t="shared" si="0"/>
        <v>853136.65</v>
      </c>
      <c r="D25" s="102">
        <f>'[22]1632-2021-8.4-ВК - Полный локал'!$L$472*G3*H3*I3*J3*K3*L3*M3</f>
        <v>665881.91</v>
      </c>
      <c r="E25" s="102">
        <f>'[22]1632-2021-8.4-ВК - Полный локал'!$L$475</f>
        <v>79265.83</v>
      </c>
      <c r="F25" s="103">
        <f>'[22]1632-2021-8.4-ВК - Полный локал'!$L$486*L3</f>
        <v>1598284.39</v>
      </c>
      <c r="G25" s="104"/>
      <c r="H25" s="104"/>
      <c r="I25" s="104"/>
      <c r="J25" s="104"/>
      <c r="K25" s="104"/>
      <c r="L25" s="105"/>
      <c r="M25" s="105"/>
      <c r="N25" s="101">
        <f t="shared" si="1"/>
        <v>1598284.39</v>
      </c>
      <c r="O25" s="37">
        <f>F25*O3</f>
        <v>1917941.27</v>
      </c>
      <c r="P25" s="37">
        <f>'[22]1632-2021-8.4-ВК - Полный локал'!$L$490</f>
        <v>1975479.5</v>
      </c>
      <c r="Q25" s="45">
        <f t="shared" si="2"/>
        <v>-57538.23</v>
      </c>
    </row>
    <row r="26" spans="1:21" ht="35.1" customHeight="1" thickTop="1" thickBot="1" x14ac:dyDescent="0.3">
      <c r="A26" s="106"/>
      <c r="B26" s="107"/>
      <c r="C26" s="108">
        <f>SUM(C4:C25)</f>
        <v>23012317.620000001</v>
      </c>
      <c r="D26" s="108">
        <f t="shared" ref="D26:L26" si="3">SUM(D4:D25)</f>
        <v>32897389.32</v>
      </c>
      <c r="E26" s="108">
        <f t="shared" si="3"/>
        <v>4670284.13</v>
      </c>
      <c r="F26" s="108">
        <f t="shared" si="3"/>
        <v>60579991.07</v>
      </c>
      <c r="G26" s="108">
        <f t="shared" si="3"/>
        <v>0</v>
      </c>
      <c r="H26" s="108">
        <f t="shared" si="3"/>
        <v>0</v>
      </c>
      <c r="I26" s="108">
        <f t="shared" si="3"/>
        <v>0</v>
      </c>
      <c r="J26" s="108">
        <f t="shared" si="3"/>
        <v>0</v>
      </c>
      <c r="K26" s="108">
        <f t="shared" si="3"/>
        <v>0</v>
      </c>
      <c r="L26" s="108">
        <f t="shared" si="3"/>
        <v>0</v>
      </c>
      <c r="M26" s="109"/>
      <c r="N26" s="108">
        <f>SUM(N4:N25)</f>
        <v>60579991.07</v>
      </c>
      <c r="O26" s="37">
        <f>F26*O3</f>
        <v>72695989.280000001</v>
      </c>
      <c r="P26" s="44"/>
      <c r="Q26" s="45">
        <f t="shared" si="2"/>
        <v>72695989.280000001</v>
      </c>
      <c r="R26" s="44">
        <f>N26-C29</f>
        <v>0</v>
      </c>
      <c r="S26" s="44"/>
      <c r="T26" s="44"/>
      <c r="U26" s="44"/>
    </row>
    <row r="27" spans="1:21" ht="35.1" hidden="1" customHeight="1" thickBot="1" x14ac:dyDescent="0.3">
      <c r="A27" s="5">
        <v>24</v>
      </c>
      <c r="B27" s="18"/>
      <c r="C27" s="31">
        <f t="shared" si="0"/>
        <v>0</v>
      </c>
      <c r="D27" s="40">
        <f>'[1]1632-2021-1.1, 1.2-ВК СРВ, Тран'!$L$755*G26*H26*I26*J26*K26*L26*M26</f>
        <v>0</v>
      </c>
      <c r="E27" s="40">
        <f>'[1]1632-2021-1.1, 1.2-ВК СРВ, Тран'!$L$758*L26</f>
        <v>0</v>
      </c>
      <c r="F27" s="20">
        <f>'[1]1632-2021-1.1, 1.2-ВК СРВ, Тран'!$L$769*L26</f>
        <v>0</v>
      </c>
      <c r="G27" s="21"/>
      <c r="H27" s="21"/>
      <c r="I27" s="21"/>
      <c r="J27" s="21"/>
      <c r="K27" s="21"/>
      <c r="L27" s="41"/>
      <c r="M27" s="41"/>
      <c r="N27" s="31">
        <f t="shared" si="1"/>
        <v>0</v>
      </c>
      <c r="O27" s="37">
        <f>F27*O3</f>
        <v>0</v>
      </c>
      <c r="P27" s="44"/>
      <c r="Q27" s="45">
        <f t="shared" si="2"/>
        <v>0</v>
      </c>
      <c r="R27" s="44"/>
      <c r="S27" s="44"/>
      <c r="T27" s="44"/>
      <c r="U27" s="44"/>
    </row>
    <row r="28" spans="1:21" ht="29.25" customHeight="1" thickBot="1" x14ac:dyDescent="0.3">
      <c r="A28" s="6"/>
      <c r="B28" s="7" t="s">
        <v>6</v>
      </c>
      <c r="C28" s="87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9"/>
      <c r="O28" s="97"/>
      <c r="P28" s="44">
        <f>SUM(P4:P27)</f>
        <v>74876866.290000007</v>
      </c>
      <c r="Q28" s="44"/>
      <c r="R28" s="44"/>
      <c r="S28" s="44"/>
      <c r="T28" s="44"/>
      <c r="U28" s="44"/>
    </row>
    <row r="29" spans="1:21" ht="29.25" customHeight="1" thickBot="1" x14ac:dyDescent="0.3">
      <c r="A29" s="6"/>
      <c r="B29" s="14" t="s">
        <v>40</v>
      </c>
      <c r="C29" s="46">
        <f>C26+D26+E26</f>
        <v>60579991.07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/>
      <c r="O29" s="97"/>
      <c r="P29" s="44"/>
      <c r="Q29" s="44"/>
      <c r="R29" s="44"/>
      <c r="S29" s="44"/>
      <c r="T29" s="44"/>
      <c r="U29" s="44"/>
    </row>
    <row r="30" spans="1:21" ht="29.25" customHeight="1" thickBot="1" x14ac:dyDescent="0.3">
      <c r="A30" s="13"/>
      <c r="B30" s="8" t="s">
        <v>7</v>
      </c>
      <c r="C30" s="46">
        <f>C29*0.03</f>
        <v>1817399.73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  <c r="O30" s="97"/>
      <c r="P30" s="44"/>
      <c r="Q30" s="44"/>
      <c r="R30" s="44"/>
      <c r="S30" s="44"/>
      <c r="T30" s="44"/>
      <c r="U30" s="44"/>
    </row>
    <row r="31" spans="1:21" ht="29.25" customHeight="1" thickBot="1" x14ac:dyDescent="0.3">
      <c r="A31" s="10"/>
      <c r="B31" s="11" t="s">
        <v>8</v>
      </c>
      <c r="C31" s="73">
        <f>C29+C30</f>
        <v>62397390.799999997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5"/>
      <c r="O31" s="97"/>
      <c r="P31" s="44"/>
      <c r="Q31" s="44"/>
      <c r="R31" s="44"/>
      <c r="S31" s="44"/>
      <c r="T31" s="44"/>
      <c r="U31" s="44"/>
    </row>
    <row r="32" spans="1:21" ht="29.25" customHeight="1" thickBot="1" x14ac:dyDescent="0.3">
      <c r="A32" s="15"/>
      <c r="B32" s="16" t="s">
        <v>49</v>
      </c>
      <c r="C32" s="73">
        <f>C31*1.2</f>
        <v>74876868.959999993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5"/>
      <c r="O32" s="97"/>
      <c r="P32" s="44">
        <f>P28-C32</f>
        <v>-2.67</v>
      </c>
      <c r="Q32" s="44"/>
      <c r="R32" s="44"/>
      <c r="S32" s="44"/>
      <c r="T32" s="44"/>
      <c r="U32" s="44"/>
    </row>
    <row r="33" spans="1:21" ht="29.25" customHeight="1" x14ac:dyDescent="0.25">
      <c r="A33" s="78"/>
      <c r="B33" s="76" t="s">
        <v>9</v>
      </c>
      <c r="C33" s="90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2"/>
      <c r="O33" s="97"/>
      <c r="P33" s="44"/>
      <c r="Q33" s="44"/>
      <c r="R33" s="44"/>
      <c r="S33" s="44"/>
      <c r="T33" s="44"/>
      <c r="U33" s="44"/>
    </row>
    <row r="34" spans="1:21" ht="57" customHeight="1" thickBot="1" x14ac:dyDescent="0.3">
      <c r="A34" s="79"/>
      <c r="B34" s="77"/>
      <c r="C34" s="84" t="s">
        <v>10</v>
      </c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6"/>
      <c r="O34" s="97"/>
      <c r="P34" s="44"/>
      <c r="Q34" s="44"/>
      <c r="R34" s="44"/>
      <c r="S34" s="44"/>
      <c r="T34" s="44"/>
      <c r="U34" s="44"/>
    </row>
    <row r="35" spans="1:21" ht="63.75" customHeight="1" thickBot="1" x14ac:dyDescent="0.3">
      <c r="A35" s="13"/>
      <c r="B35" s="12" t="s">
        <v>11</v>
      </c>
      <c r="C35" s="61" t="s">
        <v>12</v>
      </c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3"/>
    </row>
    <row r="36" spans="1:21" ht="51.75" customHeight="1" thickBot="1" x14ac:dyDescent="0.3">
      <c r="A36" s="13"/>
      <c r="B36" s="12" t="s">
        <v>13</v>
      </c>
      <c r="C36" s="61" t="s">
        <v>14</v>
      </c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21" ht="56.25" customHeight="1" thickBot="1" x14ac:dyDescent="0.3">
      <c r="A37" s="13"/>
      <c r="B37" s="12" t="s">
        <v>15</v>
      </c>
      <c r="C37" s="61" t="s">
        <v>16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</row>
    <row r="38" spans="1:21" ht="29.25" customHeight="1" x14ac:dyDescent="0.25">
      <c r="A38" s="78"/>
      <c r="B38" s="76" t="s">
        <v>17</v>
      </c>
      <c r="C38" s="64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6"/>
    </row>
    <row r="39" spans="1:21" ht="29.25" customHeight="1" x14ac:dyDescent="0.25">
      <c r="A39" s="82"/>
      <c r="B39" s="83"/>
      <c r="C39" s="67" t="s">
        <v>18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</row>
    <row r="40" spans="1:21" ht="29.25" customHeight="1" thickBot="1" x14ac:dyDescent="0.3">
      <c r="A40" s="79"/>
      <c r="B40" s="77"/>
      <c r="C40" s="70" t="s">
        <v>19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2"/>
    </row>
    <row r="41" spans="1:21" ht="29.25" customHeight="1" thickBot="1" x14ac:dyDescent="0.3">
      <c r="A41" s="13"/>
      <c r="B41" s="12" t="s">
        <v>20</v>
      </c>
      <c r="C41" s="61" t="s">
        <v>21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3"/>
    </row>
    <row r="42" spans="1:21" ht="29.25" customHeight="1" thickBot="1" x14ac:dyDescent="0.3">
      <c r="A42" s="13"/>
      <c r="B42" s="12" t="s">
        <v>22</v>
      </c>
      <c r="C42" s="61" t="s">
        <v>23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3"/>
    </row>
    <row r="43" spans="1:21" ht="29.25" customHeight="1" thickBot="1" x14ac:dyDescent="0.3">
      <c r="A43" s="13"/>
      <c r="B43" s="12" t="s">
        <v>24</v>
      </c>
      <c r="C43" s="61" t="s">
        <v>25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3"/>
    </row>
    <row r="44" spans="1:21" ht="29.25" customHeight="1" thickBot="1" x14ac:dyDescent="0.3">
      <c r="A44" s="13"/>
      <c r="B44" s="12" t="s">
        <v>26</v>
      </c>
      <c r="C44" s="61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3"/>
    </row>
  </sheetData>
  <mergeCells count="32">
    <mergeCell ref="A33:A34"/>
    <mergeCell ref="B33:B34"/>
    <mergeCell ref="C33:N33"/>
    <mergeCell ref="H1:H2"/>
    <mergeCell ref="I1:I2"/>
    <mergeCell ref="J1:J2"/>
    <mergeCell ref="K1:K2"/>
    <mergeCell ref="L1:L2"/>
    <mergeCell ref="N1:N2"/>
    <mergeCell ref="A1:A2"/>
    <mergeCell ref="B1:B2"/>
    <mergeCell ref="G1:G2"/>
    <mergeCell ref="A38:A40"/>
    <mergeCell ref="B38:B40"/>
    <mergeCell ref="C38:N38"/>
    <mergeCell ref="C39:N39"/>
    <mergeCell ref="C40:N40"/>
    <mergeCell ref="C41:N41"/>
    <mergeCell ref="C42:N42"/>
    <mergeCell ref="C43:N43"/>
    <mergeCell ref="C44:N44"/>
    <mergeCell ref="M1:M2"/>
    <mergeCell ref="C34:N34"/>
    <mergeCell ref="C35:N35"/>
    <mergeCell ref="C36:N36"/>
    <mergeCell ref="C37:N37"/>
    <mergeCell ref="C28:N28"/>
    <mergeCell ref="C29:N29"/>
    <mergeCell ref="C30:N30"/>
    <mergeCell ref="C31:N31"/>
    <mergeCell ref="C32:N32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свод_ВК,ВС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2025-04-17T07:56:12Z</dcterms:created>
  <dcterms:modified xsi:type="dcterms:W3CDTF">2025-04-23T18:38:12Z</dcterms:modified>
</cp:coreProperties>
</file>