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"/>
    </mc:Choice>
  </mc:AlternateContent>
  <xr:revisionPtr revIDLastSave="0" documentId="13_ncr:1_{84A01D78-5F92-4596-9709-4F26E165DBFF}" xr6:coauthVersionLast="47" xr6:coauthVersionMax="47" xr10:uidLastSave="{00000000-0000-0000-0000-000000000000}"/>
  <bookViews>
    <workbookView xWindow="28680" yWindow="1290" windowWidth="29040" windowHeight="15720" xr2:uid="{D1A0EB4E-1671-4C4B-9A10-2D734F4E8649}"/>
  </bookViews>
  <sheets>
    <sheet name="реестр (2)" sheetId="2" r:id="rId1"/>
    <sheet name="реестр" sheetId="1" state="hidden" r:id="rId2"/>
  </sheets>
  <definedNames>
    <definedName name="_xlnm._FilterDatabase" localSheetId="1" hidden="1">реестр!$A$2:$H$18</definedName>
    <definedName name="_xlnm._FilterDatabase" localSheetId="0" hidden="1">'реестр (2)'!$A$2:$I$18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G16" i="2"/>
  <c r="G13" i="2"/>
  <c r="G10" i="2"/>
  <c r="G9" i="2"/>
  <c r="G7" i="2"/>
  <c r="G6" i="2"/>
  <c r="K23" i="2"/>
  <c r="K19" i="2"/>
  <c r="J15" i="2"/>
  <c r="J18" i="2"/>
  <c r="I18" i="2"/>
  <c r="H18" i="2"/>
  <c r="J6" i="2"/>
  <c r="I6" i="2"/>
  <c r="H6" i="2"/>
  <c r="J16" i="2"/>
  <c r="I16" i="2"/>
  <c r="H16" i="2"/>
  <c r="I15" i="2"/>
  <c r="H15" i="2"/>
  <c r="J5" i="2"/>
  <c r="I5" i="2"/>
  <c r="H5" i="2"/>
  <c r="J12" i="2"/>
  <c r="I12" i="2"/>
  <c r="H12" i="2"/>
  <c r="J13" i="2"/>
  <c r="I13" i="2"/>
  <c r="H13" i="2"/>
  <c r="J10" i="2"/>
  <c r="I10" i="2"/>
  <c r="H10" i="2"/>
  <c r="H19" i="2" s="1"/>
  <c r="J9" i="2"/>
  <c r="I9" i="2"/>
  <c r="H9" i="2"/>
  <c r="J7" i="2"/>
  <c r="I7" i="2"/>
  <c r="H7" i="2"/>
  <c r="H15" i="1"/>
  <c r="H14" i="1"/>
  <c r="H18" i="1"/>
  <c r="H17" i="1"/>
  <c r="H11" i="1"/>
  <c r="H9" i="1"/>
  <c r="H8" i="1"/>
  <c r="H7" i="1"/>
  <c r="H5" i="1"/>
  <c r="H12" i="1"/>
  <c r="G18" i="1"/>
  <c r="G17" i="1"/>
  <c r="G15" i="1"/>
  <c r="G14" i="1"/>
  <c r="G12" i="1"/>
  <c r="G11" i="1"/>
  <c r="G9" i="1"/>
  <c r="G8" i="1"/>
  <c r="G7" i="1"/>
  <c r="G5" i="1"/>
  <c r="G19" i="1" s="1"/>
  <c r="I11" i="1"/>
  <c r="I14" i="1"/>
  <c r="I15" i="1"/>
  <c r="I17" i="1"/>
  <c r="I18" i="1"/>
  <c r="I12" i="1"/>
  <c r="I9" i="1"/>
  <c r="I19" i="1" s="1"/>
  <c r="I8" i="1"/>
  <c r="I5" i="1"/>
  <c r="I7" i="1"/>
  <c r="I19" i="2" l="1"/>
  <c r="I20" i="2" s="1"/>
  <c r="I21" i="2" s="1"/>
  <c r="J19" i="2"/>
  <c r="J20" i="2" s="1"/>
  <c r="H20" i="2"/>
  <c r="G20" i="1"/>
  <c r="I20" i="1"/>
  <c r="I21" i="1" s="1"/>
  <c r="I22" i="2" l="1"/>
  <c r="I23" i="2"/>
  <c r="H21" i="2"/>
  <c r="H22" i="2" s="1"/>
  <c r="J21" i="2"/>
  <c r="J22" i="2" s="1"/>
  <c r="G21" i="1"/>
  <c r="G23" i="1" s="1"/>
  <c r="G22" i="1"/>
  <c r="I22" i="1"/>
  <c r="I23" i="1" s="1"/>
  <c r="H23" i="2" l="1"/>
  <c r="J23" i="2"/>
  <c r="H19" i="1"/>
  <c r="H20" i="1" l="1"/>
  <c r="H21" i="1" s="1"/>
  <c r="H22" i="1" s="1"/>
  <c r="H23" i="1" s="1"/>
</calcChain>
</file>

<file path=xl/sharedStrings.xml><?xml version="1.0" encoding="utf-8"?>
<sst xmlns="http://schemas.openxmlformats.org/spreadsheetml/2006/main" count="164" uniqueCount="92">
  <si>
    <t>Наружные сети канализации</t>
  </si>
  <si>
    <t>№ тома</t>
  </si>
  <si>
    <t>Наименование</t>
  </si>
  <si>
    <t>№</t>
  </si>
  <si>
    <t>№ сметы</t>
  </si>
  <si>
    <t>Глава 2. Основные объекты строительства</t>
  </si>
  <si>
    <t>Архитектурные решения. Конструктивные и объемно-планировочные решения, в т.ч.:</t>
  </si>
  <si>
    <t>Глава 5. Объекты транспортного хозяйства и связи</t>
  </si>
  <si>
    <t>Глава 6. Наружные сети и сооружения водоснабжения, водоотведения, теплоснабжения и газоснабжения</t>
  </si>
  <si>
    <t>глава 4. Объекты энергетического хозяйства</t>
  </si>
  <si>
    <t>02-01</t>
  </si>
  <si>
    <t>04-01</t>
  </si>
  <si>
    <t>05-01</t>
  </si>
  <si>
    <t>06-01</t>
  </si>
  <si>
    <t>статус (проект)</t>
  </si>
  <si>
    <t>статус (смета)</t>
  </si>
  <si>
    <t>Трансбордер. Архитектурно-строительные решения.</t>
  </si>
  <si>
    <t xml:space="preserve"> 132-23-АС </t>
  </si>
  <si>
    <t>05-05-02</t>
  </si>
  <si>
    <t>07-01</t>
  </si>
  <si>
    <t xml:space="preserve"> 132-23-АС1</t>
  </si>
  <si>
    <t>Ограждение. Архитектурно-строительные решения.</t>
  </si>
  <si>
    <t>07-05-02</t>
  </si>
  <si>
    <t>Глава 7.Благоустройство</t>
  </si>
  <si>
    <t>цех №217</t>
  </si>
  <si>
    <t xml:space="preserve"> 132-23-АС2</t>
  </si>
  <si>
    <t xml:space="preserve"> Архитектурно-строительные решения.</t>
  </si>
  <si>
    <t xml:space="preserve"> 02-05-01.</t>
  </si>
  <si>
    <t xml:space="preserve"> 132-23-ГП</t>
  </si>
  <si>
    <t>07-05-01</t>
  </si>
  <si>
    <t>132-23-КС</t>
  </si>
  <si>
    <t>Контактная сеть</t>
  </si>
  <si>
    <t>04-05-03</t>
  </si>
  <si>
    <t>Наружные сети водоснабжения</t>
  </si>
  <si>
    <t>06-05-01</t>
  </si>
  <si>
    <t>132-23-НВК</t>
  </si>
  <si>
    <t>06-05-02</t>
  </si>
  <si>
    <t>132-23-ПЖ</t>
  </si>
  <si>
    <t xml:space="preserve">Железнодорожные пути </t>
  </si>
  <si>
    <t>05-05-01</t>
  </si>
  <si>
    <t>132-23-ЭМ</t>
  </si>
  <si>
    <t>Силовое электрооборудование</t>
  </si>
  <si>
    <t>04-05-02</t>
  </si>
  <si>
    <t>Электроснабжение</t>
  </si>
  <si>
    <t>04-05-01</t>
  </si>
  <si>
    <t>к ВОР замечаний нет</t>
  </si>
  <si>
    <t>Непредвиденные-3%</t>
  </si>
  <si>
    <t>Итого</t>
  </si>
  <si>
    <t xml:space="preserve"> ВЗиС-8,2%</t>
  </si>
  <si>
    <t xml:space="preserve"> ЗУ-2,4%</t>
  </si>
  <si>
    <t>Договор</t>
  </si>
  <si>
    <t>ВСЕГО, с НДС</t>
  </si>
  <si>
    <t xml:space="preserve">Стройинформ </t>
  </si>
  <si>
    <t>22.12/отпр. 24.01/ответ 24.01-отработано</t>
  </si>
  <si>
    <t xml:space="preserve"> 23.01/ответ 26.01/отпр.26.01-отработано</t>
  </si>
  <si>
    <t>отправлено 11.01/ответ 22.01-отработано</t>
  </si>
  <si>
    <t xml:space="preserve"> 23.01/ответ 25.01/отпр.26.01-отработано</t>
  </si>
  <si>
    <t>отпр. 19.12/ответ 22.01/отпр. 23.01-отработано</t>
  </si>
  <si>
    <t>отправлено 21.12/отработаны 18.01-отработано</t>
  </si>
  <si>
    <t>отправлено 11.01-отработано</t>
  </si>
  <si>
    <t>оформлено</t>
  </si>
  <si>
    <t>сумма, с НДС (Минстрой 3 кв. 23г.)</t>
  </si>
  <si>
    <t>сумма, с НДС (Минстрой 4 кв. 23г.)</t>
  </si>
  <si>
    <t>132-23-ЭС</t>
  </si>
  <si>
    <t>ГНБ</t>
  </si>
  <si>
    <t>отправлено 12.01/вопрос по ГНБ</t>
  </si>
  <si>
    <t>Отверстия</t>
  </si>
  <si>
    <t>отправлено 23.01/вопрос по отверстиям</t>
  </si>
  <si>
    <t xml:space="preserve">новый № </t>
  </si>
  <si>
    <t>02-01-01</t>
  </si>
  <si>
    <t>Защитное сооружение. Архитектурно-строительные решения.</t>
  </si>
  <si>
    <t>02-02-01</t>
  </si>
  <si>
    <t>Трансбордер.Силовое электрооборудование</t>
  </si>
  <si>
    <t>Электроснабжение.Переустройство кабельных линий.</t>
  </si>
  <si>
    <t>07-01-01</t>
  </si>
  <si>
    <t>06-01-01</t>
  </si>
  <si>
    <t>06-01-02</t>
  </si>
  <si>
    <t>05-01-01</t>
  </si>
  <si>
    <t>05-01-02</t>
  </si>
  <si>
    <t>04-01-01</t>
  </si>
  <si>
    <t>04-01-02</t>
  </si>
  <si>
    <t>02-03-01</t>
  </si>
  <si>
    <t>02</t>
  </si>
  <si>
    <t>04</t>
  </si>
  <si>
    <t>05</t>
  </si>
  <si>
    <t>06</t>
  </si>
  <si>
    <t>07</t>
  </si>
  <si>
    <t xml:space="preserve">Проект ООО "КиКГЕОСТРОЙ" </t>
  </si>
  <si>
    <t>Генеральный план</t>
  </si>
  <si>
    <t>на проверке НВ</t>
  </si>
  <si>
    <t>ГНБ-проектировщики, без ГНБ на проверке НВ</t>
  </si>
  <si>
    <t>новые замеч.09.02, СДО отработано, вопрос по прайсам и к Владу-отправлено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</si>
</sst>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Font="1"/>
    <xf numFmtId="0" fontId="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1" fillId="2" borderId="0" xfId="0" applyFont="1" applyFill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/>
    <xf numFmtId="0" fontId="4" fillId="7" borderId="3" xfId="0" applyFont="1" applyFill="1" applyBorder="1" applyAlignment="1">
      <alignment horizontal="center" vertical="center"/>
    </xf>
    <xf numFmtId="4" fontId="7" fillId="7" borderId="3" xfId="0" applyNumberFormat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3" xfId="0" applyFont="1" applyFill="1" applyBorder="1"/>
    <xf numFmtId="4" fontId="10" fillId="7" borderId="3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4" xfId="0" applyFont="1" applyFill="1" applyBorder="1"/>
    <xf numFmtId="4" fontId="10" fillId="7" borderId="4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4" fontId="5" fillId="6" borderId="0" xfId="0" applyNumberFormat="1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>
      <alignment horizontal="center" vertical="center"/>
    </xf>
    <xf numFmtId="4" fontId="1" fillId="5" borderId="4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4" fontId="13" fillId="7" borderId="3" xfId="0" applyNumberFormat="1" applyFont="1" applyFill="1" applyBorder="1" applyAlignment="1">
      <alignment horizontal="center" vertical="center" wrapText="1"/>
    </xf>
    <xf numFmtId="4" fontId="9" fillId="5" borderId="4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" fontId="0" fillId="5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4" fontId="0" fillId="5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14" fillId="7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49" fontId="6" fillId="8" borderId="4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2905-88D8-4F73-ACF4-35594AD6A826}">
  <dimension ref="A1:K24"/>
  <sheetViews>
    <sheetView tabSelected="1" topLeftCell="C1" zoomScale="115" zoomScaleNormal="115" workbookViewId="0">
      <pane ySplit="2" topLeftCell="A7" activePane="bottomLeft" state="frozen"/>
      <selection pane="bottomLeft" activeCell="G13" sqref="G13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36" customWidth="1"/>
    <col min="4" max="5" width="15.140625" style="1" customWidth="1"/>
    <col min="6" max="6" width="28.140625" style="1" customWidth="1"/>
    <col min="7" max="7" width="34.42578125" style="1" customWidth="1"/>
    <col min="8" max="9" width="34.42578125" customWidth="1"/>
    <col min="10" max="10" width="22.140625" style="15" hidden="1" customWidth="1"/>
    <col min="11" max="11" width="14.42578125" customWidth="1"/>
  </cols>
  <sheetData>
    <row r="1" spans="1:10" x14ac:dyDescent="0.25">
      <c r="A1" s="92" t="s">
        <v>24</v>
      </c>
      <c r="B1" s="92"/>
      <c r="C1" s="92"/>
      <c r="D1" s="92"/>
      <c r="E1" s="92"/>
      <c r="F1" s="92"/>
      <c r="G1" s="12"/>
    </row>
    <row r="2" spans="1:10" x14ac:dyDescent="0.25">
      <c r="A2" s="2" t="s">
        <v>3</v>
      </c>
      <c r="B2" s="2" t="s">
        <v>1</v>
      </c>
      <c r="C2" s="3" t="s">
        <v>2</v>
      </c>
      <c r="D2" s="2" t="s">
        <v>4</v>
      </c>
      <c r="E2" s="2" t="s">
        <v>68</v>
      </c>
      <c r="F2" s="2" t="s">
        <v>14</v>
      </c>
      <c r="G2" s="2" t="s">
        <v>15</v>
      </c>
      <c r="H2" s="2" t="s">
        <v>61</v>
      </c>
      <c r="I2" s="2" t="s">
        <v>62</v>
      </c>
      <c r="J2" s="15" t="s">
        <v>52</v>
      </c>
    </row>
    <row r="3" spans="1:10" ht="30" x14ac:dyDescent="0.25">
      <c r="A3" s="4"/>
      <c r="B3" s="4"/>
      <c r="C3" s="5" t="s">
        <v>5</v>
      </c>
      <c r="D3" s="4"/>
      <c r="E3" s="4"/>
      <c r="F3" s="70" t="s">
        <v>87</v>
      </c>
      <c r="G3" s="4"/>
      <c r="H3" s="4"/>
      <c r="I3" s="4"/>
      <c r="J3" s="35"/>
    </row>
    <row r="4" spans="1:10" ht="28.5" customHeight="1" x14ac:dyDescent="0.25">
      <c r="A4" s="6"/>
      <c r="B4" s="6"/>
      <c r="C4" s="21" t="s">
        <v>6</v>
      </c>
      <c r="D4" s="7" t="s">
        <v>10</v>
      </c>
      <c r="E4" s="7" t="s">
        <v>82</v>
      </c>
      <c r="F4" s="71"/>
      <c r="G4" s="13"/>
      <c r="H4" s="13"/>
      <c r="I4" s="13"/>
      <c r="J4" s="35"/>
    </row>
    <row r="5" spans="1:10" ht="31.5" customHeight="1" x14ac:dyDescent="0.25">
      <c r="A5" s="27">
        <v>1</v>
      </c>
      <c r="B5" s="57" t="s">
        <v>17</v>
      </c>
      <c r="C5" s="58" t="s">
        <v>16</v>
      </c>
      <c r="D5" s="59" t="s">
        <v>18</v>
      </c>
      <c r="E5" s="88" t="s">
        <v>69</v>
      </c>
      <c r="F5" s="72" t="s">
        <v>57</v>
      </c>
      <c r="G5" s="60" t="s">
        <v>89</v>
      </c>
      <c r="H5" s="80">
        <f>4626050.16*1.2</f>
        <v>5551260.1919999998</v>
      </c>
      <c r="I5" s="61">
        <f>4738064.69*1.2</f>
        <v>5685677.6280000005</v>
      </c>
      <c r="J5" s="35">
        <f>4882866.72*1.2</f>
        <v>5859440.0639999993</v>
      </c>
    </row>
    <row r="6" spans="1:10" ht="33.75" customHeight="1" x14ac:dyDescent="0.25">
      <c r="A6" s="32">
        <v>2</v>
      </c>
      <c r="B6" s="9" t="s">
        <v>20</v>
      </c>
      <c r="C6" s="10" t="s">
        <v>21</v>
      </c>
      <c r="D6" s="11" t="s">
        <v>22</v>
      </c>
      <c r="E6" s="88" t="s">
        <v>71</v>
      </c>
      <c r="F6" s="72" t="s">
        <v>58</v>
      </c>
      <c r="G6" s="60" t="str">
        <f>G5</f>
        <v>на проверке НВ</v>
      </c>
      <c r="H6" s="80">
        <f>1519280.78*1.2</f>
        <v>1823136.936</v>
      </c>
      <c r="I6" s="61">
        <f>1562105.02*1.2</f>
        <v>1874526.024</v>
      </c>
      <c r="J6" s="85">
        <f>1716857.09*1.2</f>
        <v>2060228.5079999999</v>
      </c>
    </row>
    <row r="7" spans="1:10" s="26" customFormat="1" ht="45" customHeight="1" x14ac:dyDescent="0.25">
      <c r="A7" s="27">
        <v>3</v>
      </c>
      <c r="B7" s="57" t="s">
        <v>25</v>
      </c>
      <c r="C7" s="58" t="s">
        <v>70</v>
      </c>
      <c r="D7" s="59" t="s">
        <v>27</v>
      </c>
      <c r="E7" s="88" t="s">
        <v>81</v>
      </c>
      <c r="F7" s="72" t="s">
        <v>53</v>
      </c>
      <c r="G7" s="60" t="str">
        <f>G5</f>
        <v>на проверке НВ</v>
      </c>
      <c r="H7" s="80">
        <f>2905586.85*1.2</f>
        <v>3486704.22</v>
      </c>
      <c r="I7" s="61">
        <f>2987170.83*1.2</f>
        <v>3584604.9959999998</v>
      </c>
      <c r="J7" s="52">
        <f>3003320.39*1.2</f>
        <v>3603984.4679999999</v>
      </c>
    </row>
    <row r="8" spans="1:10" ht="30" x14ac:dyDescent="0.25">
      <c r="A8" s="4"/>
      <c r="B8" s="4"/>
      <c r="C8" s="5" t="s">
        <v>9</v>
      </c>
      <c r="D8" s="8" t="s">
        <v>11</v>
      </c>
      <c r="E8" s="8" t="s">
        <v>83</v>
      </c>
      <c r="F8" s="70"/>
      <c r="G8" s="14"/>
      <c r="H8" s="81"/>
      <c r="I8" s="14"/>
      <c r="J8" s="35"/>
    </row>
    <row r="9" spans="1:10" ht="30.75" customHeight="1" x14ac:dyDescent="0.25">
      <c r="A9" s="28">
        <v>4</v>
      </c>
      <c r="B9" s="62" t="s">
        <v>63</v>
      </c>
      <c r="C9" s="63" t="s">
        <v>73</v>
      </c>
      <c r="D9" s="64" t="s">
        <v>44</v>
      </c>
      <c r="E9" s="89" t="s">
        <v>79</v>
      </c>
      <c r="F9" s="72" t="s">
        <v>54</v>
      </c>
      <c r="G9" s="60" t="str">
        <f>G5</f>
        <v>на проверке НВ</v>
      </c>
      <c r="H9" s="80">
        <f>194296.53*1.2</f>
        <v>233155.83599999998</v>
      </c>
      <c r="I9" s="61">
        <f>199717.64*1.2</f>
        <v>239661.16800000001</v>
      </c>
      <c r="J9" s="35">
        <f>169249*1.2</f>
        <v>203098.8</v>
      </c>
    </row>
    <row r="10" spans="1:10" ht="30.75" customHeight="1" x14ac:dyDescent="0.25">
      <c r="A10" s="28">
        <v>5</v>
      </c>
      <c r="B10" s="62" t="s">
        <v>40</v>
      </c>
      <c r="C10" s="63" t="s">
        <v>72</v>
      </c>
      <c r="D10" s="64" t="s">
        <v>42</v>
      </c>
      <c r="E10" s="89" t="s">
        <v>80</v>
      </c>
      <c r="F10" s="73" t="s">
        <v>45</v>
      </c>
      <c r="G10" s="60" t="str">
        <f>G9</f>
        <v>на проверке НВ</v>
      </c>
      <c r="H10" s="80">
        <f>51082.94*1.2</f>
        <v>61299.527999999998</v>
      </c>
      <c r="I10" s="61">
        <f>52229.26*1.2</f>
        <v>62675.112000000001</v>
      </c>
      <c r="J10" s="35">
        <f>57069.38*1.2</f>
        <v>68483.255999999994</v>
      </c>
    </row>
    <row r="11" spans="1:10" ht="30" x14ac:dyDescent="0.25">
      <c r="A11" s="4"/>
      <c r="B11" s="4"/>
      <c r="C11" s="5" t="s">
        <v>7</v>
      </c>
      <c r="D11" s="8" t="s">
        <v>12</v>
      </c>
      <c r="E11" s="8" t="s">
        <v>84</v>
      </c>
      <c r="F11" s="70"/>
      <c r="G11" s="30"/>
      <c r="H11" s="81"/>
      <c r="I11" s="14"/>
      <c r="J11" s="35"/>
    </row>
    <row r="12" spans="1:10" ht="44.25" customHeight="1" x14ac:dyDescent="0.25">
      <c r="A12" s="27">
        <v>6</v>
      </c>
      <c r="B12" s="57" t="s">
        <v>37</v>
      </c>
      <c r="C12" s="58" t="s">
        <v>38</v>
      </c>
      <c r="D12" s="59" t="s">
        <v>39</v>
      </c>
      <c r="E12" s="88" t="s">
        <v>77</v>
      </c>
      <c r="F12" s="72" t="s">
        <v>56</v>
      </c>
      <c r="G12" s="91" t="s">
        <v>91</v>
      </c>
      <c r="H12" s="80">
        <f>22100507.91*1.2</f>
        <v>26520609.491999999</v>
      </c>
      <c r="I12" s="61">
        <f>22794788.93*1.2</f>
        <v>27353746.715999998</v>
      </c>
      <c r="J12" s="69">
        <f>23128258.87*1.2</f>
        <v>27753910.644000001</v>
      </c>
    </row>
    <row r="13" spans="1:10" ht="30.75" customHeight="1" x14ac:dyDescent="0.25">
      <c r="A13" s="28">
        <v>7</v>
      </c>
      <c r="B13" s="62" t="s">
        <v>30</v>
      </c>
      <c r="C13" s="63" t="s">
        <v>31</v>
      </c>
      <c r="D13" s="64" t="s">
        <v>32</v>
      </c>
      <c r="E13" s="88" t="s">
        <v>78</v>
      </c>
      <c r="F13" s="72" t="s">
        <v>55</v>
      </c>
      <c r="G13" s="60" t="str">
        <f>G10</f>
        <v>на проверке НВ</v>
      </c>
      <c r="H13" s="80">
        <f>1671034.78*1.2</f>
        <v>2005241.736</v>
      </c>
      <c r="I13" s="61">
        <f>1716769.73*1.2</f>
        <v>2060123.676</v>
      </c>
      <c r="J13" s="35">
        <f>1653311.36*1.2</f>
        <v>1983973.632</v>
      </c>
    </row>
    <row r="14" spans="1:10" ht="60" x14ac:dyDescent="0.25">
      <c r="A14" s="4"/>
      <c r="B14" s="4"/>
      <c r="C14" s="5" t="s">
        <v>8</v>
      </c>
      <c r="D14" s="8" t="s">
        <v>13</v>
      </c>
      <c r="E14" s="8" t="s">
        <v>85</v>
      </c>
      <c r="F14" s="70"/>
      <c r="G14" s="25"/>
      <c r="H14" s="81"/>
      <c r="I14" s="14"/>
      <c r="J14" s="35"/>
    </row>
    <row r="15" spans="1:10" ht="35.25" customHeight="1" x14ac:dyDescent="0.25">
      <c r="A15" s="9">
        <v>8</v>
      </c>
      <c r="B15" s="32" t="s">
        <v>35</v>
      </c>
      <c r="C15" s="33" t="s">
        <v>33</v>
      </c>
      <c r="D15" s="34" t="s">
        <v>34</v>
      </c>
      <c r="E15" s="34" t="s">
        <v>75</v>
      </c>
      <c r="F15" s="74" t="s">
        <v>65</v>
      </c>
      <c r="G15" s="79" t="s">
        <v>90</v>
      </c>
      <c r="H15" s="51">
        <f>4215813*1.2</f>
        <v>5058975.5999999996</v>
      </c>
      <c r="I15" s="51">
        <f>4334417.98*1.2</f>
        <v>5201301.5760000004</v>
      </c>
      <c r="J15" s="56">
        <f>3686071.99*1.2</f>
        <v>4423286.3880000003</v>
      </c>
    </row>
    <row r="16" spans="1:10" ht="26.25" customHeight="1" x14ac:dyDescent="0.25">
      <c r="A16" s="32">
        <v>9</v>
      </c>
      <c r="B16" s="32" t="s">
        <v>35</v>
      </c>
      <c r="C16" s="33" t="s">
        <v>0</v>
      </c>
      <c r="D16" s="34" t="s">
        <v>36</v>
      </c>
      <c r="E16" s="34" t="s">
        <v>76</v>
      </c>
      <c r="F16" s="74" t="s">
        <v>67</v>
      </c>
      <c r="G16" s="29" t="str">
        <f>G10</f>
        <v>на проверке НВ</v>
      </c>
      <c r="H16" s="51">
        <f>5601658.13*1.2</f>
        <v>6721989.7560000001</v>
      </c>
      <c r="I16" s="51">
        <f>5760226.96*1.2</f>
        <v>6912272.352</v>
      </c>
      <c r="J16" s="56">
        <f>6027807.05*1.2</f>
        <v>7233368.46</v>
      </c>
    </row>
    <row r="17" spans="1:11" x14ac:dyDescent="0.25">
      <c r="A17" s="22"/>
      <c r="B17" s="22"/>
      <c r="C17" s="23" t="s">
        <v>23</v>
      </c>
      <c r="D17" s="24" t="s">
        <v>19</v>
      </c>
      <c r="E17" s="24" t="s">
        <v>86</v>
      </c>
      <c r="F17" s="75"/>
      <c r="G17" s="25"/>
      <c r="H17" s="82"/>
      <c r="I17" s="25"/>
      <c r="J17" s="35"/>
    </row>
    <row r="18" spans="1:11" ht="33.75" customHeight="1" thickBot="1" x14ac:dyDescent="0.3">
      <c r="A18" s="31">
        <v>10</v>
      </c>
      <c r="B18" s="65" t="s">
        <v>28</v>
      </c>
      <c r="C18" s="66" t="s">
        <v>88</v>
      </c>
      <c r="D18" s="67" t="s">
        <v>29</v>
      </c>
      <c r="E18" s="90" t="s">
        <v>74</v>
      </c>
      <c r="F18" s="76" t="s">
        <v>59</v>
      </c>
      <c r="G18" s="78" t="str">
        <f>G16</f>
        <v>на проверке НВ</v>
      </c>
      <c r="H18" s="83">
        <f>17170386.03*1.2</f>
        <v>20604463.236000001</v>
      </c>
      <c r="I18" s="68">
        <f>17645372.89*1.2</f>
        <v>21174447.467999998</v>
      </c>
      <c r="J18" s="84">
        <f>18158993.68*1.2</f>
        <v>21790792.415999997</v>
      </c>
    </row>
    <row r="19" spans="1:11" ht="20.25" customHeight="1" thickTop="1" x14ac:dyDescent="0.25">
      <c r="A19" s="38"/>
      <c r="B19" s="38"/>
      <c r="C19" s="39"/>
      <c r="D19" s="38"/>
      <c r="E19" s="38"/>
      <c r="F19" s="77"/>
      <c r="G19" s="40" t="s">
        <v>47</v>
      </c>
      <c r="H19" s="86">
        <f>SUM(H3:H18)</f>
        <v>72066836.532000005</v>
      </c>
      <c r="I19" s="41">
        <f>SUM(I3:I18)</f>
        <v>74149036.715999991</v>
      </c>
      <c r="J19" s="35">
        <f>SUM(J3:J18)</f>
        <v>74980566.636000007</v>
      </c>
      <c r="K19" s="55">
        <f>J19-I19</f>
        <v>831529.92000001669</v>
      </c>
    </row>
    <row r="20" spans="1:11" s="36" customFormat="1" ht="20.25" customHeight="1" x14ac:dyDescent="0.25">
      <c r="A20" s="42"/>
      <c r="B20" s="42"/>
      <c r="C20" s="43"/>
      <c r="D20" s="42"/>
      <c r="E20" s="42"/>
      <c r="F20" s="44"/>
      <c r="G20" s="42" t="s">
        <v>48</v>
      </c>
      <c r="H20" s="44">
        <f>H19*0.082</f>
        <v>5909480.5956240008</v>
      </c>
      <c r="I20" s="44">
        <f>I19*0.082</f>
        <v>6080221.0107119996</v>
      </c>
      <c r="J20" s="53">
        <f>J19*0.082</f>
        <v>6148406.4641520008</v>
      </c>
    </row>
    <row r="21" spans="1:11" s="36" customFormat="1" ht="20.25" customHeight="1" x14ac:dyDescent="0.25">
      <c r="A21" s="42"/>
      <c r="B21" s="42"/>
      <c r="C21" s="43"/>
      <c r="D21" s="45"/>
      <c r="E21" s="45"/>
      <c r="F21" s="44"/>
      <c r="G21" s="42" t="s">
        <v>49</v>
      </c>
      <c r="H21" s="44">
        <f>(H19+H20)*0.024</f>
        <v>1871431.6110629761</v>
      </c>
      <c r="I21" s="44">
        <f>(I19+I20)*0.024</f>
        <v>1925502.1854410877</v>
      </c>
      <c r="J21" s="53">
        <f>(J19+J20)*0.024</f>
        <v>1947095.3544036485</v>
      </c>
    </row>
    <row r="22" spans="1:11" s="36" customFormat="1" ht="20.25" customHeight="1" thickBot="1" x14ac:dyDescent="0.3">
      <c r="A22" s="46"/>
      <c r="B22" s="46"/>
      <c r="C22" s="47"/>
      <c r="D22" s="46"/>
      <c r="E22" s="46"/>
      <c r="F22" s="48"/>
      <c r="G22" s="46" t="s">
        <v>46</v>
      </c>
      <c r="H22" s="48">
        <f>(H19+H20+H21)*0.03</f>
        <v>2395432.4621606092</v>
      </c>
      <c r="I22" s="48">
        <f>(I19+I20+I21)*0.03</f>
        <v>2464642.7973645921</v>
      </c>
      <c r="J22" s="54">
        <f>(J19+J20+J21)*0.03</f>
        <v>2492282.0536366696</v>
      </c>
    </row>
    <row r="23" spans="1:11" ht="20.25" customHeight="1" thickTop="1" x14ac:dyDescent="0.25">
      <c r="A23" s="16"/>
      <c r="B23" s="16"/>
      <c r="C23" s="17"/>
      <c r="D23" s="16"/>
      <c r="E23" s="16"/>
      <c r="F23" s="19"/>
      <c r="G23" s="18" t="s">
        <v>51</v>
      </c>
      <c r="H23" s="87">
        <f>H19+H20+H21+H22</f>
        <v>82243181.200847581</v>
      </c>
      <c r="I23" s="20">
        <f>I19+I20+I21+I22</f>
        <v>84619402.709517673</v>
      </c>
      <c r="J23" s="35">
        <f>J19+J20+J21+J22</f>
        <v>85568350.508192331</v>
      </c>
      <c r="K23" s="55">
        <f>I23-J23</f>
        <v>-948947.79867465794</v>
      </c>
    </row>
    <row r="24" spans="1:11" x14ac:dyDescent="0.25">
      <c r="G24" s="37" t="s">
        <v>50</v>
      </c>
      <c r="H24" s="49"/>
      <c r="I24" s="49">
        <v>150000000</v>
      </c>
      <c r="J24" s="50"/>
    </row>
  </sheetData>
  <autoFilter ref="A2:I18" xr:uid="{93BB48C0-0305-4203-82CC-A137A2884909}"/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48C0-0305-4203-82CC-A137A2884909}">
  <dimension ref="A1:J24"/>
  <sheetViews>
    <sheetView topLeftCell="B1" zoomScale="115" zoomScaleNormal="115" workbookViewId="0">
      <pane ySplit="2" topLeftCell="A3" activePane="bottomLeft" state="frozen"/>
      <selection pane="bottomLeft" activeCell="E18" sqref="E18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33.140625" customWidth="1"/>
    <col min="4" max="4" width="15.140625" style="1" customWidth="1"/>
    <col min="5" max="5" width="28.140625" style="1" customWidth="1"/>
    <col min="6" max="6" width="21.28515625" style="1" customWidth="1"/>
    <col min="7" max="8" width="34.42578125" customWidth="1"/>
    <col min="9" max="9" width="22.140625" style="15" customWidth="1"/>
    <col min="10" max="10" width="14.42578125" customWidth="1"/>
  </cols>
  <sheetData>
    <row r="1" spans="1:9" x14ac:dyDescent="0.25">
      <c r="A1" s="92" t="s">
        <v>24</v>
      </c>
      <c r="B1" s="92"/>
      <c r="C1" s="92"/>
      <c r="D1" s="92"/>
      <c r="E1" s="92"/>
      <c r="F1" s="12"/>
    </row>
    <row r="2" spans="1:9" x14ac:dyDescent="0.25">
      <c r="A2" s="2" t="s">
        <v>3</v>
      </c>
      <c r="B2" s="2" t="s">
        <v>1</v>
      </c>
      <c r="C2" s="3" t="s">
        <v>2</v>
      </c>
      <c r="D2" s="2" t="s">
        <v>4</v>
      </c>
      <c r="E2" s="2" t="s">
        <v>14</v>
      </c>
      <c r="F2" s="2" t="s">
        <v>15</v>
      </c>
      <c r="G2" s="2" t="s">
        <v>61</v>
      </c>
      <c r="H2" s="2" t="s">
        <v>62</v>
      </c>
      <c r="I2" s="15" t="s">
        <v>52</v>
      </c>
    </row>
    <row r="3" spans="1:9" ht="30" x14ac:dyDescent="0.25">
      <c r="A3" s="4"/>
      <c r="B3" s="4"/>
      <c r="C3" s="5" t="s">
        <v>5</v>
      </c>
      <c r="D3" s="4"/>
      <c r="E3" s="70"/>
      <c r="F3" s="4"/>
      <c r="G3" s="4"/>
      <c r="H3" s="4"/>
      <c r="I3" s="35"/>
    </row>
    <row r="4" spans="1:9" ht="38.25" x14ac:dyDescent="0.25">
      <c r="A4" s="6"/>
      <c r="B4" s="6"/>
      <c r="C4" s="21" t="s">
        <v>6</v>
      </c>
      <c r="D4" s="7" t="s">
        <v>10</v>
      </c>
      <c r="E4" s="71"/>
      <c r="F4" s="13"/>
      <c r="G4" s="13"/>
      <c r="H4" s="13"/>
      <c r="I4" s="35"/>
    </row>
    <row r="5" spans="1:9" s="26" customFormat="1" ht="45" customHeight="1" x14ac:dyDescent="0.25">
      <c r="A5" s="27">
        <v>1</v>
      </c>
      <c r="B5" s="57" t="s">
        <v>25</v>
      </c>
      <c r="C5" s="58" t="s">
        <v>26</v>
      </c>
      <c r="D5" s="59" t="s">
        <v>27</v>
      </c>
      <c r="E5" s="72" t="s">
        <v>53</v>
      </c>
      <c r="F5" s="60" t="s">
        <v>60</v>
      </c>
      <c r="G5" s="80">
        <f>2905586.85*1.2</f>
        <v>3486704.22</v>
      </c>
      <c r="H5" s="61">
        <f>2987170.83*1.2</f>
        <v>3584604.9959999998</v>
      </c>
      <c r="I5" s="52">
        <f>3003320.39*1.2</f>
        <v>3603984.4679999999</v>
      </c>
    </row>
    <row r="6" spans="1:9" ht="30" x14ac:dyDescent="0.25">
      <c r="A6" s="4"/>
      <c r="B6" s="4"/>
      <c r="C6" s="5" t="s">
        <v>9</v>
      </c>
      <c r="D6" s="8" t="s">
        <v>11</v>
      </c>
      <c r="E6" s="70"/>
      <c r="F6" s="14"/>
      <c r="G6" s="81"/>
      <c r="H6" s="14"/>
      <c r="I6" s="35"/>
    </row>
    <row r="7" spans="1:9" ht="30.75" customHeight="1" x14ac:dyDescent="0.25">
      <c r="A7" s="28">
        <v>2</v>
      </c>
      <c r="B7" s="62" t="s">
        <v>63</v>
      </c>
      <c r="C7" s="63" t="s">
        <v>43</v>
      </c>
      <c r="D7" s="64" t="s">
        <v>44</v>
      </c>
      <c r="E7" s="72" t="s">
        <v>54</v>
      </c>
      <c r="F7" s="60" t="s">
        <v>60</v>
      </c>
      <c r="G7" s="80">
        <f>194296.53*1.2</f>
        <v>233155.83599999998</v>
      </c>
      <c r="H7" s="61">
        <f>199717.64*1.2</f>
        <v>239661.16800000001</v>
      </c>
      <c r="I7" s="35">
        <f>169249*1.2</f>
        <v>203098.8</v>
      </c>
    </row>
    <row r="8" spans="1:9" ht="30.75" customHeight="1" x14ac:dyDescent="0.25">
      <c r="A8" s="28">
        <v>3</v>
      </c>
      <c r="B8" s="62" t="s">
        <v>40</v>
      </c>
      <c r="C8" s="63" t="s">
        <v>41</v>
      </c>
      <c r="D8" s="64" t="s">
        <v>42</v>
      </c>
      <c r="E8" s="73" t="s">
        <v>45</v>
      </c>
      <c r="F8" s="60" t="s">
        <v>60</v>
      </c>
      <c r="G8" s="80">
        <f>51082.94*1.2</f>
        <v>61299.527999999998</v>
      </c>
      <c r="H8" s="61">
        <f>52229.26*1.2</f>
        <v>62675.112000000001</v>
      </c>
      <c r="I8" s="35">
        <f>57069.38*1.2</f>
        <v>68483.255999999994</v>
      </c>
    </row>
    <row r="9" spans="1:9" ht="30.75" customHeight="1" x14ac:dyDescent="0.25">
      <c r="A9" s="28">
        <v>4</v>
      </c>
      <c r="B9" s="62" t="s">
        <v>30</v>
      </c>
      <c r="C9" s="63" t="s">
        <v>31</v>
      </c>
      <c r="D9" s="64" t="s">
        <v>32</v>
      </c>
      <c r="E9" s="72" t="s">
        <v>55</v>
      </c>
      <c r="F9" s="60" t="s">
        <v>60</v>
      </c>
      <c r="G9" s="80">
        <f>1671034.78*1.2</f>
        <v>2005241.736</v>
      </c>
      <c r="H9" s="61">
        <f>1716769.73*1.2</f>
        <v>2060123.676</v>
      </c>
      <c r="I9" s="35">
        <f>1653311.36*1.2</f>
        <v>1983973.632</v>
      </c>
    </row>
    <row r="10" spans="1:9" ht="30" x14ac:dyDescent="0.25">
      <c r="A10" s="4"/>
      <c r="B10" s="4"/>
      <c r="C10" s="5" t="s">
        <v>7</v>
      </c>
      <c r="D10" s="8" t="s">
        <v>12</v>
      </c>
      <c r="E10" s="70"/>
      <c r="F10" s="30"/>
      <c r="G10" s="81"/>
      <c r="H10" s="14"/>
      <c r="I10" s="35"/>
    </row>
    <row r="11" spans="1:9" ht="27" customHeight="1" x14ac:dyDescent="0.25">
      <c r="A11" s="27">
        <v>5</v>
      </c>
      <c r="B11" s="57" t="s">
        <v>37</v>
      </c>
      <c r="C11" s="58" t="s">
        <v>38</v>
      </c>
      <c r="D11" s="59" t="s">
        <v>39</v>
      </c>
      <c r="E11" s="72" t="s">
        <v>56</v>
      </c>
      <c r="F11" s="60" t="s">
        <v>60</v>
      </c>
      <c r="G11" s="80">
        <f>22100507.91*1.2</f>
        <v>26520609.491999999</v>
      </c>
      <c r="H11" s="61">
        <f>22794788.93*1.2</f>
        <v>27353746.715999998</v>
      </c>
      <c r="I11" s="69">
        <f>23128258.87*1.2</f>
        <v>27753910.644000001</v>
      </c>
    </row>
    <row r="12" spans="1:9" ht="31.5" customHeight="1" x14ac:dyDescent="0.25">
      <c r="A12" s="27">
        <v>6</v>
      </c>
      <c r="B12" s="57" t="s">
        <v>17</v>
      </c>
      <c r="C12" s="58" t="s">
        <v>16</v>
      </c>
      <c r="D12" s="59" t="s">
        <v>18</v>
      </c>
      <c r="E12" s="72" t="s">
        <v>57</v>
      </c>
      <c r="F12" s="60" t="s">
        <v>60</v>
      </c>
      <c r="G12" s="80">
        <f>4626050.16*1.2</f>
        <v>5551260.1919999998</v>
      </c>
      <c r="H12" s="61">
        <f>4738064.69*1.2</f>
        <v>5685677.6280000005</v>
      </c>
      <c r="I12" s="35">
        <f>4882866.72*1.2</f>
        <v>5859440.0639999993</v>
      </c>
    </row>
    <row r="13" spans="1:9" ht="60" x14ac:dyDescent="0.25">
      <c r="A13" s="4"/>
      <c r="B13" s="4"/>
      <c r="C13" s="5" t="s">
        <v>8</v>
      </c>
      <c r="D13" s="8" t="s">
        <v>13</v>
      </c>
      <c r="E13" s="70"/>
      <c r="F13" s="25"/>
      <c r="G13" s="81"/>
      <c r="H13" s="14"/>
      <c r="I13" s="35"/>
    </row>
    <row r="14" spans="1:9" ht="20.25" customHeight="1" x14ac:dyDescent="0.25">
      <c r="A14" s="9">
        <v>7</v>
      </c>
      <c r="B14" s="32" t="s">
        <v>35</v>
      </c>
      <c r="C14" s="33" t="s">
        <v>33</v>
      </c>
      <c r="D14" s="34" t="s">
        <v>34</v>
      </c>
      <c r="E14" s="74" t="s">
        <v>65</v>
      </c>
      <c r="F14" s="79" t="s">
        <v>64</v>
      </c>
      <c r="G14" s="51">
        <f>4215813*1.2</f>
        <v>5058975.5999999996</v>
      </c>
      <c r="H14" s="51">
        <f>4334417.98*1.2</f>
        <v>5201301.5760000004</v>
      </c>
      <c r="I14" s="56">
        <f>3686071.99</f>
        <v>3686071.99</v>
      </c>
    </row>
    <row r="15" spans="1:9" ht="26.25" customHeight="1" x14ac:dyDescent="0.25">
      <c r="A15" s="32">
        <v>8</v>
      </c>
      <c r="B15" s="32" t="s">
        <v>35</v>
      </c>
      <c r="C15" s="33" t="s">
        <v>0</v>
      </c>
      <c r="D15" s="34" t="s">
        <v>36</v>
      </c>
      <c r="E15" s="74" t="s">
        <v>67</v>
      </c>
      <c r="F15" s="29" t="s">
        <v>66</v>
      </c>
      <c r="G15" s="51">
        <f>5601658.13*1.2</f>
        <v>6721989.7560000001</v>
      </c>
      <c r="H15" s="51">
        <f>5760226.96*1.2</f>
        <v>6912272.352</v>
      </c>
      <c r="I15" s="56">
        <f>6027807.05*1.2</f>
        <v>7233368.46</v>
      </c>
    </row>
    <row r="16" spans="1:9" x14ac:dyDescent="0.25">
      <c r="A16" s="22"/>
      <c r="B16" s="22"/>
      <c r="C16" s="23" t="s">
        <v>23</v>
      </c>
      <c r="D16" s="24" t="s">
        <v>19</v>
      </c>
      <c r="E16" s="75"/>
      <c r="F16" s="25"/>
      <c r="G16" s="82"/>
      <c r="H16" s="25"/>
      <c r="I16" s="35"/>
    </row>
    <row r="17" spans="1:10" ht="33.75" customHeight="1" x14ac:dyDescent="0.25">
      <c r="A17" s="32">
        <v>9</v>
      </c>
      <c r="B17" s="9" t="s">
        <v>20</v>
      </c>
      <c r="C17" s="10" t="s">
        <v>21</v>
      </c>
      <c r="D17" s="11" t="s">
        <v>22</v>
      </c>
      <c r="E17" s="72" t="s">
        <v>58</v>
      </c>
      <c r="F17" s="60" t="s">
        <v>60</v>
      </c>
      <c r="G17" s="80">
        <f>1519280.78*1.2</f>
        <v>1823136.936</v>
      </c>
      <c r="H17" s="61">
        <f>1562105.02*1.2</f>
        <v>1874526.024</v>
      </c>
      <c r="I17" s="85">
        <f>1716857.09*1.2</f>
        <v>2060228.5079999999</v>
      </c>
    </row>
    <row r="18" spans="1:10" ht="33.75" customHeight="1" thickBot="1" x14ac:dyDescent="0.3">
      <c r="A18" s="31">
        <v>10</v>
      </c>
      <c r="B18" s="65" t="s">
        <v>28</v>
      </c>
      <c r="C18" s="66" t="s">
        <v>21</v>
      </c>
      <c r="D18" s="67" t="s">
        <v>29</v>
      </c>
      <c r="E18" s="76" t="s">
        <v>59</v>
      </c>
      <c r="F18" s="78" t="s">
        <v>60</v>
      </c>
      <c r="G18" s="83">
        <f>17170386.03*1.2</f>
        <v>20604463.236000001</v>
      </c>
      <c r="H18" s="68">
        <f>17645372.89*1.2</f>
        <v>21174447.467999998</v>
      </c>
      <c r="I18" s="84">
        <f>18158993.68*1.2</f>
        <v>21790792.415999997</v>
      </c>
    </row>
    <row r="19" spans="1:10" ht="20.25" customHeight="1" thickTop="1" x14ac:dyDescent="0.25">
      <c r="A19" s="38"/>
      <c r="B19" s="38"/>
      <c r="C19" s="39"/>
      <c r="D19" s="38"/>
      <c r="E19" s="77"/>
      <c r="F19" s="40" t="s">
        <v>47</v>
      </c>
      <c r="G19" s="86">
        <f>SUM(G3:G18)</f>
        <v>72066836.532000005</v>
      </c>
      <c r="H19" s="41">
        <f>SUM(H3:H18)</f>
        <v>74149036.715999991</v>
      </c>
      <c r="I19" s="35">
        <f>SUM(I3:I18)</f>
        <v>74243352.237999991</v>
      </c>
      <c r="J19" s="55"/>
    </row>
    <row r="20" spans="1:10" s="36" customFormat="1" ht="20.25" customHeight="1" x14ac:dyDescent="0.25">
      <c r="A20" s="42"/>
      <c r="B20" s="42"/>
      <c r="C20" s="43"/>
      <c r="D20" s="42"/>
      <c r="E20" s="44"/>
      <c r="F20" s="42" t="s">
        <v>48</v>
      </c>
      <c r="G20" s="44">
        <f>G19*0.082</f>
        <v>5909480.5956240008</v>
      </c>
      <c r="H20" s="44">
        <f>H19*0.082</f>
        <v>6080221.0107119996</v>
      </c>
      <c r="I20" s="53">
        <f>I19*0.082</f>
        <v>6087954.8835159997</v>
      </c>
    </row>
    <row r="21" spans="1:10" s="36" customFormat="1" ht="20.25" customHeight="1" x14ac:dyDescent="0.25">
      <c r="A21" s="42"/>
      <c r="B21" s="42"/>
      <c r="C21" s="43"/>
      <c r="D21" s="45"/>
      <c r="E21" s="44"/>
      <c r="F21" s="42" t="s">
        <v>49</v>
      </c>
      <c r="G21" s="44">
        <f>(G19+G20)*0.024</f>
        <v>1871431.6110629761</v>
      </c>
      <c r="H21" s="44">
        <f>(H19+H20)*0.024</f>
        <v>1925502.1854410877</v>
      </c>
      <c r="I21" s="53">
        <f>(I19+I20)*0.024</f>
        <v>1927951.3709163838</v>
      </c>
    </row>
    <row r="22" spans="1:10" s="36" customFormat="1" ht="20.25" customHeight="1" thickBot="1" x14ac:dyDescent="0.3">
      <c r="A22" s="46"/>
      <c r="B22" s="46"/>
      <c r="C22" s="47"/>
      <c r="D22" s="46"/>
      <c r="E22" s="48"/>
      <c r="F22" s="46" t="s">
        <v>46</v>
      </c>
      <c r="G22" s="48">
        <f>(G19+G20+G21)*0.03</f>
        <v>2395432.4621606092</v>
      </c>
      <c r="H22" s="48">
        <f>(H19+H20+H21)*0.03</f>
        <v>2464642.7973645921</v>
      </c>
      <c r="I22" s="54">
        <f>(I19+I20+I21)*0.03</f>
        <v>2467777.7547729709</v>
      </c>
    </row>
    <row r="23" spans="1:10" ht="20.25" customHeight="1" thickTop="1" x14ac:dyDescent="0.25">
      <c r="A23" s="16"/>
      <c r="B23" s="16"/>
      <c r="C23" s="17"/>
      <c r="D23" s="16"/>
      <c r="E23" s="19"/>
      <c r="F23" s="18" t="s">
        <v>51</v>
      </c>
      <c r="G23" s="87">
        <f>G19+G20+G21+G22</f>
        <v>82243181.200847581</v>
      </c>
      <c r="H23" s="20">
        <f>H19+H20+H21+H22</f>
        <v>84619402.709517673</v>
      </c>
      <c r="I23" s="35">
        <f>I19+I20+I21+I22</f>
        <v>84727036.247205347</v>
      </c>
      <c r="J23" s="55"/>
    </row>
    <row r="24" spans="1:10" x14ac:dyDescent="0.25">
      <c r="F24" s="37" t="s">
        <v>50</v>
      </c>
      <c r="G24" s="49"/>
      <c r="H24" s="49">
        <v>150000000</v>
      </c>
      <c r="I24" s="50"/>
    </row>
  </sheetData>
  <autoFilter ref="A2:H18" xr:uid="{93BB48C0-0305-4203-82CC-A137A2884909}"/>
  <mergeCells count="1">
    <mergeCell ref="A1:E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(2)</vt:lpstr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2023-11-20T14:20:17Z</dcterms:created>
  <dcterms:modified xsi:type="dcterms:W3CDTF">2024-02-20T13:55:13Z</dcterms:modified>
</cp:coreProperties>
</file>