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217 цех_132-23\2 заход_\"/>
    </mc:Choice>
  </mc:AlternateContent>
  <xr:revisionPtr revIDLastSave="0" documentId="13_ncr:1_{CACCC638-FDDB-43A2-A250-49AF648B4D76}" xr6:coauthVersionLast="47" xr6:coauthVersionMax="47" xr10:uidLastSave="{00000000-0000-0000-0000-000000000000}"/>
  <bookViews>
    <workbookView xWindow="28680" yWindow="1290" windowWidth="29040" windowHeight="15720" xr2:uid="{D1A0EB4E-1671-4C4B-9A10-2D734F4E8649}"/>
  </bookViews>
  <sheets>
    <sheet name="реестр(после отв. на замеч.)" sheetId="3" r:id="rId1"/>
    <sheet name="реестр (1)" sheetId="2" state="hidden" r:id="rId2"/>
    <sheet name="реестр" sheetId="1" state="hidden" r:id="rId3"/>
  </sheets>
  <definedNames>
    <definedName name="_xlnm._FilterDatabase" localSheetId="2" hidden="1">реестр!$A$2:$H$18</definedName>
    <definedName name="_xlnm._FilterDatabase" localSheetId="1" hidden="1">'реестр (1)'!$A$2:$I$18</definedName>
    <definedName name="_xlnm._FilterDatabase" localSheetId="0" hidden="1">'реестр(после отв. на замеч.)'!$A$2:$I$18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3" l="1"/>
  <c r="I13" i="3"/>
  <c r="I9" i="3" l="1"/>
  <c r="I10" i="3" l="1"/>
  <c r="F18" i="3"/>
  <c r="F7" i="3"/>
  <c r="K23" i="2"/>
  <c r="K19" i="2"/>
  <c r="J15" i="2"/>
  <c r="J18" i="2"/>
  <c r="I18" i="2"/>
  <c r="H18" i="2"/>
  <c r="J6" i="2"/>
  <c r="I6" i="2"/>
  <c r="H6" i="2"/>
  <c r="J16" i="2"/>
  <c r="I16" i="2"/>
  <c r="H16" i="2"/>
  <c r="I15" i="2"/>
  <c r="H15" i="2"/>
  <c r="J5" i="2"/>
  <c r="I5" i="2"/>
  <c r="H5" i="2"/>
  <c r="J12" i="2"/>
  <c r="I12" i="2"/>
  <c r="H12" i="2"/>
  <c r="J13" i="2"/>
  <c r="I13" i="2"/>
  <c r="H13" i="2"/>
  <c r="J10" i="2"/>
  <c r="I10" i="2"/>
  <c r="H10" i="2"/>
  <c r="H19" i="2" s="1"/>
  <c r="J9" i="2"/>
  <c r="I9" i="2"/>
  <c r="H9" i="2"/>
  <c r="J7" i="2"/>
  <c r="I7" i="2"/>
  <c r="H7" i="2"/>
  <c r="H15" i="1"/>
  <c r="H14" i="1"/>
  <c r="H18" i="1"/>
  <c r="H17" i="1"/>
  <c r="H11" i="1"/>
  <c r="H9" i="1"/>
  <c r="H8" i="1"/>
  <c r="H7" i="1"/>
  <c r="H5" i="1"/>
  <c r="H12" i="1"/>
  <c r="G18" i="1"/>
  <c r="G17" i="1"/>
  <c r="G15" i="1"/>
  <c r="G14" i="1"/>
  <c r="G12" i="1"/>
  <c r="G11" i="1"/>
  <c r="G9" i="1"/>
  <c r="G8" i="1"/>
  <c r="G7" i="1"/>
  <c r="G5" i="1"/>
  <c r="G19" i="1" s="1"/>
  <c r="I11" i="1"/>
  <c r="I14" i="1"/>
  <c r="I15" i="1"/>
  <c r="I17" i="1"/>
  <c r="I18" i="1"/>
  <c r="I12" i="1"/>
  <c r="I9" i="1"/>
  <c r="I19" i="1" s="1"/>
  <c r="I8" i="1"/>
  <c r="I5" i="1"/>
  <c r="I7" i="1"/>
  <c r="I19" i="3" l="1"/>
  <c r="I19" i="2"/>
  <c r="I20" i="2" s="1"/>
  <c r="I21" i="2" s="1"/>
  <c r="J19" i="2"/>
  <c r="J20" i="2" s="1"/>
  <c r="H20" i="2"/>
  <c r="G20" i="1"/>
  <c r="I20" i="1"/>
  <c r="I21" i="1" s="1"/>
  <c r="I20" i="3" l="1"/>
  <c r="I22" i="3" s="1"/>
  <c r="I23" i="3" s="1"/>
  <c r="I21" i="3"/>
  <c r="I22" i="2"/>
  <c r="I23" i="2"/>
  <c r="H21" i="2"/>
  <c r="H22" i="2" s="1"/>
  <c r="J21" i="2"/>
  <c r="J22" i="2" s="1"/>
  <c r="G21" i="1"/>
  <c r="G23" i="1" s="1"/>
  <c r="G22" i="1"/>
  <c r="I22" i="1"/>
  <c r="I23" i="1" s="1"/>
  <c r="H23" i="2" l="1"/>
  <c r="J23" i="2"/>
  <c r="H19" i="1"/>
  <c r="H20" i="1" l="1"/>
  <c r="H21" i="1" s="1"/>
  <c r="H22" i="1" s="1"/>
  <c r="H23" i="1" s="1"/>
</calcChain>
</file>

<file path=xl/sharedStrings.xml><?xml version="1.0" encoding="utf-8"?>
<sst xmlns="http://schemas.openxmlformats.org/spreadsheetml/2006/main" count="278" uniqueCount="116">
  <si>
    <t>Наружные сети канализации</t>
  </si>
  <si>
    <t>№ тома</t>
  </si>
  <si>
    <t>Наименование</t>
  </si>
  <si>
    <t>№</t>
  </si>
  <si>
    <t>№ сметы</t>
  </si>
  <si>
    <t>Глава 2. Основные объекты строительства</t>
  </si>
  <si>
    <t>Архитектурные решения. Конструктивные и объемно-планировочные решения, в т.ч.:</t>
  </si>
  <si>
    <t>Глава 5. Объекты транспортного хозяйства и связи</t>
  </si>
  <si>
    <t>Глава 6. Наружные сети и сооружения водоснабжения, водоотведения, теплоснабжения и газоснабжения</t>
  </si>
  <si>
    <t>глава 4. Объекты энергетического хозяйства</t>
  </si>
  <si>
    <t>02-01</t>
  </si>
  <si>
    <t>04-01</t>
  </si>
  <si>
    <t>05-01</t>
  </si>
  <si>
    <t>06-01</t>
  </si>
  <si>
    <t>статус (проект)</t>
  </si>
  <si>
    <t>статус (смета)</t>
  </si>
  <si>
    <t>Трансбордер. Архитектурно-строительные решения.</t>
  </si>
  <si>
    <t xml:space="preserve"> 132-23-АС </t>
  </si>
  <si>
    <t>05-05-02</t>
  </si>
  <si>
    <t>07-01</t>
  </si>
  <si>
    <t xml:space="preserve"> 132-23-АС1</t>
  </si>
  <si>
    <t>Ограждение. Архитектурно-строительные решения.</t>
  </si>
  <si>
    <t>07-05-02</t>
  </si>
  <si>
    <t>Глава 7.Благоустройство</t>
  </si>
  <si>
    <t>цех №217</t>
  </si>
  <si>
    <t xml:space="preserve"> 132-23-АС2</t>
  </si>
  <si>
    <t xml:space="preserve"> Архитектурно-строительные решения.</t>
  </si>
  <si>
    <t xml:space="preserve"> 02-05-01.</t>
  </si>
  <si>
    <t xml:space="preserve"> 132-23-ГП</t>
  </si>
  <si>
    <t>07-05-01</t>
  </si>
  <si>
    <t>132-23-КС</t>
  </si>
  <si>
    <t>Контактная сеть</t>
  </si>
  <si>
    <t>04-05-03</t>
  </si>
  <si>
    <t>Наружные сети водоснабжения</t>
  </si>
  <si>
    <t>06-05-01</t>
  </si>
  <si>
    <t>132-23-НВК</t>
  </si>
  <si>
    <t>06-05-02</t>
  </si>
  <si>
    <t>132-23-ПЖ</t>
  </si>
  <si>
    <t xml:space="preserve">Железнодорожные пути </t>
  </si>
  <si>
    <t>05-05-01</t>
  </si>
  <si>
    <t>132-23-ЭМ</t>
  </si>
  <si>
    <t>Силовое электрооборудование</t>
  </si>
  <si>
    <t>04-05-02</t>
  </si>
  <si>
    <t>Электроснабжение</t>
  </si>
  <si>
    <t>04-05-01</t>
  </si>
  <si>
    <t>к ВОР замечаний нет</t>
  </si>
  <si>
    <t>Непредвиденные-3%</t>
  </si>
  <si>
    <t>Итого</t>
  </si>
  <si>
    <t xml:space="preserve"> ВЗиС-8,2%</t>
  </si>
  <si>
    <t xml:space="preserve"> ЗУ-2,4%</t>
  </si>
  <si>
    <t>Договор</t>
  </si>
  <si>
    <t>ВСЕГО, с НДС</t>
  </si>
  <si>
    <t xml:space="preserve">Стройинформ </t>
  </si>
  <si>
    <t>22.12/отпр. 24.01/ответ 24.01-отработано</t>
  </si>
  <si>
    <t xml:space="preserve"> 23.01/ответ 26.01/отпр.26.01-отработано</t>
  </si>
  <si>
    <t>отправлено 11.01/ответ 22.01-отработано</t>
  </si>
  <si>
    <t xml:space="preserve"> 23.01/ответ 25.01/отпр.26.01-отработано</t>
  </si>
  <si>
    <t>отпр. 19.12/ответ 22.01/отпр. 23.01-отработано</t>
  </si>
  <si>
    <t>отправлено 21.12/отработаны 18.01-отработано</t>
  </si>
  <si>
    <t>отправлено 11.01-отработано</t>
  </si>
  <si>
    <t>оформлено</t>
  </si>
  <si>
    <t>сумма, с НДС (Минстрой 3 кв. 23г.)</t>
  </si>
  <si>
    <t>сумма, с НДС (Минстрой 4 кв. 23г.)</t>
  </si>
  <si>
    <t>132-23-ЭС</t>
  </si>
  <si>
    <t>ГНБ</t>
  </si>
  <si>
    <t>отправлено 12.01/вопрос по ГНБ</t>
  </si>
  <si>
    <t>Отверстия</t>
  </si>
  <si>
    <t>отправлено 23.01/вопрос по отверстиям</t>
  </si>
  <si>
    <t xml:space="preserve">новый № </t>
  </si>
  <si>
    <t>02-01-01</t>
  </si>
  <si>
    <t>Защитное сооружение. Архитектурно-строительные решения.</t>
  </si>
  <si>
    <t>02-02-01</t>
  </si>
  <si>
    <t>Трансбордер.Силовое электрооборудование</t>
  </si>
  <si>
    <t>Электроснабжение.Переустройство кабельных линий.</t>
  </si>
  <si>
    <t>07-01-01</t>
  </si>
  <si>
    <t>06-01-01</t>
  </si>
  <si>
    <t>06-01-02</t>
  </si>
  <si>
    <t>05-01-01</t>
  </si>
  <si>
    <t>05-01-02</t>
  </si>
  <si>
    <t>04-01-01</t>
  </si>
  <si>
    <t>04-01-02</t>
  </si>
  <si>
    <t>02-03-01</t>
  </si>
  <si>
    <t>02</t>
  </si>
  <si>
    <t>04</t>
  </si>
  <si>
    <t>05</t>
  </si>
  <si>
    <t>06</t>
  </si>
  <si>
    <t>07</t>
  </si>
  <si>
    <t xml:space="preserve">Проект ООО "КиКГЕОСТРОЙ" </t>
  </si>
  <si>
    <t>Генеральный план</t>
  </si>
  <si>
    <t>ок</t>
  </si>
  <si>
    <t>новые замеч.09.02, в работе</t>
  </si>
  <si>
    <t>замечания</t>
  </si>
  <si>
    <t>-</t>
  </si>
  <si>
    <t xml:space="preserve"> </t>
  </si>
  <si>
    <t>отпр. замечания, 22.02</t>
  </si>
  <si>
    <t>отпр. 22.02/ответ 26.02</t>
  </si>
  <si>
    <t>отпр. замечания, 26.02</t>
  </si>
  <si>
    <r>
      <t>от 09.02,</t>
    </r>
    <r>
      <rPr>
        <b/>
        <sz val="11"/>
        <color rgb="FFFF0000"/>
        <rFont val="Calibri"/>
        <family val="2"/>
        <charset val="204"/>
        <scheme val="minor"/>
      </rPr>
      <t>СДО отработано</t>
    </r>
    <r>
      <rPr>
        <b/>
        <sz val="11"/>
        <color theme="4"/>
        <rFont val="Calibri"/>
        <family val="2"/>
        <charset val="204"/>
        <scheme val="minor"/>
      </rPr>
      <t>,Исх № 132-К от 21.02.2024г.-отправлено, ждем ответ.</t>
    </r>
  </si>
  <si>
    <t>1.Нет письма разрешающего замену расценок ФССЦ на коммерческую стоимость на данный объект .                                                                                                                                          2.Согласно письму на 417 ж.д. путь стоимость комплекта разрешенная к закупке коммерческим отделом ООО «Проминжиниринг» составляет 159 000 руб. Заменить стоимость , или пересогласовать новые цены.  Откорректировать только после проверки коммерческого отдела тех.заказчика.</t>
  </si>
  <si>
    <t>отпр. замечания, 22.02/ответ +</t>
  </si>
  <si>
    <t>отпр. замечания, 26.02/на доработку 04.03</t>
  </si>
  <si>
    <t>СДО +/-</t>
  </si>
  <si>
    <t>отпр. замечания, 15.03</t>
  </si>
  <si>
    <t>отпр. замечания, 15.03/ответ +</t>
  </si>
  <si>
    <t>СДО отработано</t>
  </si>
  <si>
    <t>Исх. №133 от 26.09.2023 г.</t>
  </si>
  <si>
    <t>Генеральному директору 
ООО «КиКГЕОСТРОЙ» Кесслеру Ю.Ф.</t>
  </si>
  <si>
    <t>При составлении сметных расчетов на капитальный ремонт ж/д пути от испьпательного центра до обкаточной линии с удлинением трансбордера, ж/д пути от цеха №217 до обкаточной линии с удлинением трансбордера, на территории АО «Метровагонмаш» , возможно применение следующих повышающих коэффициентов:                                                                                                                                                                                                                                     1. При составлении сметных расчетов, на работы вьшолняемые в условиях реконструкции и капитального ремонта по сборникам ФЕР, аналогичных технологическим процессам в новом, возможно применение коэффициента 1, 15 к нормам затрат труда и 1,25 к нормам времени эксплуатации строительных машин, согласно «Методики определения сметной стоимости строительства, реконструкции, капитального ремонта ... », утвержденной приказом №421/пр от 04.2020г, а именно п.58,59,60 , с учетом п.3.1.11.2. «Инструкции о порядке составления, оформления и согласования сметной документации .... » АО «ТМХ» утвержденная приказом генерального директора №65 от 16.03.2020г.                                                                               2.При составлении сметных расчетов , на работы на территории предприятия, (кроме внутри помещения), возможно применение коэффициента 1, 15 к нормам затрат труда и 1, 15 к нормам времени эксплуатации строительных машин, при соответствующем обосновании в рабочей документации в общих указаниях или ПОСе. Обоснованием для применения является наличие в зоне производства работ одного или нескольких из перечисленных ниже факторов:
-	разветвленная сеть транспортных и инженерных коммуникаций;
-	стесненные условия для складирования материалов;
-	действующее технологическое оборудование;
-	движение технологического транспорта.</t>
  </si>
  <si>
    <t xml:space="preserve"> ВЗиС-2,8*0,8%</t>
  </si>
  <si>
    <t xml:space="preserve"> ВЗиС-2,24%</t>
  </si>
  <si>
    <t>ОБЩЕЕ замечание-указать в ВОР или в общих данных  коэф-ты из письма исх.№133 от 26.09.2323г.</t>
  </si>
  <si>
    <t>п.25 №332/пр, на территории действ. предприятия, применяем 0,8</t>
  </si>
  <si>
    <t>по ТЗ это новое строительство, п. 20 №325/пр НЕ применяем 0,8</t>
  </si>
  <si>
    <t>к-ты указать в ВОР</t>
  </si>
  <si>
    <r>
      <t>СДО отработано,замечания к прайсам отправлено Григорию(05.03)</t>
    </r>
    <r>
      <rPr>
        <b/>
        <sz val="11"/>
        <color rgb="FFFF0000"/>
        <rFont val="Calibri"/>
        <family val="2"/>
        <charset val="204"/>
        <scheme val="minor"/>
      </rPr>
      <t>!!!НО</t>
    </r>
    <r>
      <rPr>
        <b/>
        <sz val="11"/>
        <rFont val="Calibri"/>
        <family val="2"/>
        <charset val="204"/>
        <scheme val="minor"/>
      </rPr>
      <t xml:space="preserve"> ждем сначала корректировки проекта от проектировщиков</t>
    </r>
  </si>
  <si>
    <t>к-ты указать в ВОР,Павлу отправлено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</si>
</sst>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b/>
      <sz val="11"/>
      <color theme="4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 wrapText="1"/>
    </xf>
    <xf numFmtId="49" fontId="6" fillId="5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4" fillId="0" borderId="3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  <xf numFmtId="0" fontId="0" fillId="3" borderId="3" xfId="0" applyFill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 wrapText="1"/>
    </xf>
    <xf numFmtId="49" fontId="1" fillId="3" borderId="3" xfId="0" applyNumberFormat="1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0" borderId="0" xfId="0" applyFont="1"/>
    <xf numFmtId="0" fontId="0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4" fontId="9" fillId="6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 wrapText="1"/>
    </xf>
    <xf numFmtId="49" fontId="6" fillId="6" borderId="1" xfId="0" applyNumberFormat="1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10" fillId="0" borderId="0" xfId="0" applyFont="1"/>
    <xf numFmtId="0" fontId="1" fillId="2" borderId="0" xfId="0" applyFont="1" applyFill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3" xfId="0" applyFill="1" applyBorder="1"/>
    <xf numFmtId="0" fontId="4" fillId="7" borderId="3" xfId="0" applyFont="1" applyFill="1" applyBorder="1" applyAlignment="1">
      <alignment horizontal="center" vertical="center"/>
    </xf>
    <xf numFmtId="4" fontId="7" fillId="7" borderId="3" xfId="0" applyNumberFormat="1" applyFont="1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/>
    </xf>
    <xf numFmtId="0" fontId="10" fillId="7" borderId="3" xfId="0" applyFont="1" applyFill="1" applyBorder="1"/>
    <xf numFmtId="4" fontId="10" fillId="7" borderId="3" xfId="0" applyNumberFormat="1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center"/>
    </xf>
    <xf numFmtId="0" fontId="10" fillId="7" borderId="4" xfId="0" applyFont="1" applyFill="1" applyBorder="1"/>
    <xf numFmtId="4" fontId="10" fillId="7" borderId="4" xfId="0" applyNumberFormat="1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2" fontId="5" fillId="0" borderId="0" xfId="0" applyNumberFormat="1" applyFont="1" applyAlignment="1">
      <alignment horizontal="left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0" fillId="0" borderId="0" xfId="0" applyNumberFormat="1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4" fontId="10" fillId="0" borderId="5" xfId="0" applyNumberFormat="1" applyFont="1" applyBorder="1" applyAlignment="1">
      <alignment horizontal="center" vertical="center"/>
    </xf>
    <xf numFmtId="4" fontId="0" fillId="0" borderId="0" xfId="0" applyNumberFormat="1"/>
    <xf numFmtId="4" fontId="5" fillId="6" borderId="0" xfId="0" applyNumberFormat="1" applyFont="1" applyFill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left" vertical="center" wrapText="1"/>
    </xf>
    <xf numFmtId="49" fontId="0" fillId="5" borderId="1" xfId="0" applyNumberFormat="1" applyFont="1" applyFill="1" applyBorder="1" applyAlignment="1">
      <alignment horizontal="center" vertical="center"/>
    </xf>
    <xf numFmtId="4" fontId="9" fillId="5" borderId="1" xfId="0" applyNumberFormat="1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 wrapText="1"/>
    </xf>
    <xf numFmtId="49" fontId="0" fillId="5" borderId="1" xfId="0" applyNumberForma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left" vertical="center" wrapText="1"/>
    </xf>
    <xf numFmtId="49" fontId="6" fillId="5" borderId="4" xfId="0" applyNumberFormat="1" applyFont="1" applyFill="1" applyBorder="1" applyAlignment="1">
      <alignment horizontal="center" vertical="center"/>
    </xf>
    <xf numFmtId="4" fontId="1" fillId="5" borderId="4" xfId="0" applyNumberFormat="1" applyFont="1" applyFill="1" applyBorder="1" applyAlignment="1">
      <alignment horizontal="center" vertical="center"/>
    </xf>
    <xf numFmtId="4" fontId="5" fillId="5" borderId="0" xfId="0" applyNumberFormat="1" applyFont="1" applyFill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4" fontId="13" fillId="7" borderId="3" xfId="0" applyNumberFormat="1" applyFont="1" applyFill="1" applyBorder="1" applyAlignment="1">
      <alignment horizontal="center" vertical="center" wrapText="1"/>
    </xf>
    <xf numFmtId="4" fontId="9" fillId="5" borderId="4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" fontId="0" fillId="5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4" fontId="0" fillId="5" borderId="4" xfId="0" applyNumberFormat="1" applyFont="1" applyFill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/>
    </xf>
    <xf numFmtId="4" fontId="14" fillId="7" borderId="3" xfId="0" applyNumberFormat="1" applyFont="1" applyFill="1" applyBorder="1" applyAlignment="1">
      <alignment horizontal="center" vertical="center"/>
    </xf>
    <xf numFmtId="4" fontId="14" fillId="0" borderId="3" xfId="0" applyNumberFormat="1" applyFont="1" applyBorder="1" applyAlignment="1">
      <alignment horizontal="center" vertical="center"/>
    </xf>
    <xf numFmtId="49" fontId="0" fillId="8" borderId="1" xfId="0" applyNumberFormat="1" applyFont="1" applyFill="1" applyBorder="1" applyAlignment="1">
      <alignment horizontal="center" vertical="center"/>
    </xf>
    <xf numFmtId="49" fontId="0" fillId="8" borderId="1" xfId="0" applyNumberFormat="1" applyFill="1" applyBorder="1" applyAlignment="1">
      <alignment horizontal="center" vertical="center"/>
    </xf>
    <xf numFmtId="49" fontId="6" fillId="8" borderId="4" xfId="0" applyNumberFormat="1" applyFont="1" applyFill="1" applyBorder="1" applyAlignment="1">
      <alignment horizontal="center" vertical="center"/>
    </xf>
    <xf numFmtId="4" fontId="15" fillId="5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4" fontId="10" fillId="5" borderId="1" xfId="0" applyNumberFormat="1" applyFont="1" applyFill="1" applyBorder="1" applyAlignment="1">
      <alignment horizontal="center" vertical="center"/>
    </xf>
    <xf numFmtId="4" fontId="16" fillId="5" borderId="1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8" fillId="0" borderId="0" xfId="0" applyFont="1"/>
    <xf numFmtId="4" fontId="10" fillId="5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0" fillId="0" borderId="6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7" fillId="5" borderId="6" xfId="0" applyFont="1" applyFill="1" applyBorder="1" applyAlignment="1">
      <alignment horizontal="left" vertical="center" wrapText="1"/>
    </xf>
    <xf numFmtId="0" fontId="17" fillId="5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E8BF9-B09F-4003-9740-C334FEA00735}">
  <sheetPr>
    <tabColor rgb="FFFF0000"/>
  </sheetPr>
  <dimension ref="A1:R24"/>
  <sheetViews>
    <sheetView tabSelected="1" zoomScaleNormal="100" workbookViewId="0">
      <pane ySplit="2" topLeftCell="A3" activePane="bottomLeft" state="frozen"/>
      <selection pane="bottomLeft" activeCell="H9" sqref="H9:H10"/>
    </sheetView>
  </sheetViews>
  <sheetFormatPr defaultRowHeight="15" x14ac:dyDescent="0.25"/>
  <cols>
    <col min="1" max="1" width="6.28515625" style="1" customWidth="1"/>
    <col min="2" max="2" width="12.5703125" style="1" customWidth="1"/>
    <col min="3" max="3" width="36" customWidth="1"/>
    <col min="4" max="4" width="15.140625" style="1" hidden="1" customWidth="1"/>
    <col min="5" max="5" width="15.140625" style="1" customWidth="1"/>
    <col min="6" max="6" width="24" style="1" customWidth="1"/>
    <col min="7" max="7" width="31.5703125" style="1" customWidth="1"/>
    <col min="8" max="8" width="43.85546875" style="1" customWidth="1"/>
    <col min="9" max="9" width="26" customWidth="1"/>
    <col min="10" max="10" width="14.42578125" customWidth="1"/>
  </cols>
  <sheetData>
    <row r="1" spans="1:18" ht="9.75" customHeight="1" x14ac:dyDescent="0.25">
      <c r="A1" s="103" t="s">
        <v>24</v>
      </c>
      <c r="B1" s="103"/>
      <c r="C1" s="103"/>
      <c r="D1" s="103"/>
      <c r="E1" s="103"/>
      <c r="F1" s="103"/>
      <c r="G1" s="12"/>
      <c r="H1" s="12"/>
    </row>
    <row r="2" spans="1:18" ht="44.25" customHeight="1" x14ac:dyDescent="0.35">
      <c r="A2" s="2" t="s">
        <v>3</v>
      </c>
      <c r="B2" s="2" t="s">
        <v>1</v>
      </c>
      <c r="C2" s="3" t="s">
        <v>2</v>
      </c>
      <c r="D2" s="2" t="s">
        <v>4</v>
      </c>
      <c r="E2" s="2" t="s">
        <v>68</v>
      </c>
      <c r="F2" s="2" t="s">
        <v>14</v>
      </c>
      <c r="G2" s="2" t="s">
        <v>15</v>
      </c>
      <c r="H2" s="2" t="s">
        <v>91</v>
      </c>
      <c r="I2" s="100" t="s">
        <v>61</v>
      </c>
      <c r="J2" s="108" t="s">
        <v>110</v>
      </c>
      <c r="K2" s="109"/>
      <c r="L2" s="109"/>
      <c r="M2" s="109"/>
      <c r="N2" s="109"/>
      <c r="O2" s="109"/>
      <c r="P2" s="109"/>
      <c r="Q2" s="109"/>
      <c r="R2" s="101"/>
    </row>
    <row r="3" spans="1:18" ht="30" x14ac:dyDescent="0.25">
      <c r="A3" s="4"/>
      <c r="B3" s="4"/>
      <c r="C3" s="5" t="s">
        <v>5</v>
      </c>
      <c r="D3" s="4"/>
      <c r="E3" s="4"/>
      <c r="F3" s="70" t="s">
        <v>87</v>
      </c>
      <c r="G3" s="4"/>
      <c r="H3" s="4"/>
      <c r="I3" s="4"/>
      <c r="J3" s="99" t="s">
        <v>105</v>
      </c>
      <c r="N3" s="106" t="s">
        <v>106</v>
      </c>
      <c r="O3" s="107"/>
      <c r="P3" s="107"/>
      <c r="Q3" s="107"/>
    </row>
    <row r="4" spans="1:18" ht="28.5" customHeight="1" x14ac:dyDescent="0.25">
      <c r="A4" s="6"/>
      <c r="B4" s="6"/>
      <c r="C4" s="21" t="s">
        <v>6</v>
      </c>
      <c r="D4" s="7" t="s">
        <v>10</v>
      </c>
      <c r="E4" s="7" t="s">
        <v>82</v>
      </c>
      <c r="F4" s="71"/>
      <c r="G4" s="13"/>
      <c r="H4" s="13"/>
      <c r="I4" s="13"/>
      <c r="J4" s="104" t="s">
        <v>107</v>
      </c>
      <c r="K4" s="105"/>
      <c r="L4" s="105"/>
      <c r="M4" s="105"/>
      <c r="N4" s="105"/>
      <c r="O4" s="105"/>
      <c r="P4" s="105"/>
      <c r="Q4" s="105"/>
    </row>
    <row r="5" spans="1:18" ht="75.75" customHeight="1" x14ac:dyDescent="0.25">
      <c r="A5" s="92">
        <v>1</v>
      </c>
      <c r="B5" s="57" t="s">
        <v>17</v>
      </c>
      <c r="C5" s="58" t="s">
        <v>16</v>
      </c>
      <c r="D5" s="59" t="s">
        <v>18</v>
      </c>
      <c r="E5" s="88" t="s">
        <v>69</v>
      </c>
      <c r="F5" s="72" t="s">
        <v>94</v>
      </c>
      <c r="G5" s="60" t="s">
        <v>114</v>
      </c>
      <c r="H5" s="60"/>
      <c r="I5" s="61"/>
      <c r="J5" s="104"/>
      <c r="K5" s="105"/>
      <c r="L5" s="105"/>
      <c r="M5" s="105"/>
      <c r="N5" s="105"/>
      <c r="O5" s="105"/>
      <c r="P5" s="105"/>
      <c r="Q5" s="105"/>
    </row>
    <row r="6" spans="1:18" ht="33.75" customHeight="1" x14ac:dyDescent="0.25">
      <c r="A6" s="93">
        <v>2</v>
      </c>
      <c r="B6" s="9" t="s">
        <v>20</v>
      </c>
      <c r="C6" s="10" t="s">
        <v>21</v>
      </c>
      <c r="D6" s="11" t="s">
        <v>22</v>
      </c>
      <c r="E6" s="88" t="s">
        <v>71</v>
      </c>
      <c r="F6" s="72" t="s">
        <v>96</v>
      </c>
      <c r="G6" s="60" t="s">
        <v>101</v>
      </c>
      <c r="H6" s="60"/>
      <c r="I6" s="61"/>
      <c r="J6" s="104"/>
      <c r="K6" s="105"/>
      <c r="L6" s="105"/>
      <c r="M6" s="105"/>
      <c r="N6" s="105"/>
      <c r="O6" s="105"/>
      <c r="P6" s="105"/>
      <c r="Q6" s="105"/>
    </row>
    <row r="7" spans="1:18" s="26" customFormat="1" ht="45" customHeight="1" x14ac:dyDescent="0.25">
      <c r="A7" s="92">
        <v>3</v>
      </c>
      <c r="B7" s="57" t="s">
        <v>25</v>
      </c>
      <c r="C7" s="58" t="s">
        <v>70</v>
      </c>
      <c r="D7" s="59" t="s">
        <v>27</v>
      </c>
      <c r="E7" s="88" t="s">
        <v>81</v>
      </c>
      <c r="F7" s="72" t="str">
        <f>F6</f>
        <v>отпр. замечания, 26.02</v>
      </c>
      <c r="G7" s="60" t="s">
        <v>101</v>
      </c>
      <c r="H7" s="60"/>
      <c r="I7" s="61"/>
      <c r="J7" s="104"/>
      <c r="K7" s="105"/>
      <c r="L7" s="105"/>
      <c r="M7" s="105"/>
      <c r="N7" s="105"/>
      <c r="O7" s="105"/>
      <c r="P7" s="105"/>
      <c r="Q7" s="105"/>
    </row>
    <row r="8" spans="1:18" ht="30" x14ac:dyDescent="0.25">
      <c r="A8" s="4"/>
      <c r="B8" s="4"/>
      <c r="C8" s="5" t="s">
        <v>9</v>
      </c>
      <c r="D8" s="8" t="s">
        <v>11</v>
      </c>
      <c r="E8" s="8" t="s">
        <v>83</v>
      </c>
      <c r="F8" s="70"/>
      <c r="G8" s="14"/>
      <c r="H8" s="14"/>
      <c r="I8" s="14"/>
      <c r="J8" s="104"/>
      <c r="K8" s="105"/>
      <c r="L8" s="105"/>
      <c r="M8" s="105"/>
      <c r="N8" s="105"/>
      <c r="O8" s="105"/>
      <c r="P8" s="105"/>
      <c r="Q8" s="105"/>
    </row>
    <row r="9" spans="1:18" ht="30.75" customHeight="1" x14ac:dyDescent="0.25">
      <c r="A9" s="94">
        <v>4</v>
      </c>
      <c r="B9" s="62" t="s">
        <v>63</v>
      </c>
      <c r="C9" s="63" t="s">
        <v>73</v>
      </c>
      <c r="D9" s="64" t="s">
        <v>44</v>
      </c>
      <c r="E9" s="89" t="s">
        <v>79</v>
      </c>
      <c r="F9" s="72" t="s">
        <v>103</v>
      </c>
      <c r="G9" s="60" t="s">
        <v>104</v>
      </c>
      <c r="H9" s="102" t="s">
        <v>115</v>
      </c>
      <c r="I9" s="61">
        <f>217774.54*1.2</f>
        <v>261329.448</v>
      </c>
      <c r="J9" s="104"/>
      <c r="K9" s="105"/>
      <c r="L9" s="105"/>
      <c r="M9" s="105"/>
      <c r="N9" s="105"/>
      <c r="O9" s="105"/>
      <c r="P9" s="105"/>
      <c r="Q9" s="105"/>
    </row>
    <row r="10" spans="1:18" ht="30.75" customHeight="1" x14ac:dyDescent="0.25">
      <c r="A10" s="62">
        <v>5</v>
      </c>
      <c r="B10" s="62" t="s">
        <v>40</v>
      </c>
      <c r="C10" s="63" t="s">
        <v>72</v>
      </c>
      <c r="D10" s="64" t="s">
        <v>42</v>
      </c>
      <c r="E10" s="64" t="s">
        <v>80</v>
      </c>
      <c r="F10" s="72" t="s">
        <v>95</v>
      </c>
      <c r="G10" s="60" t="s">
        <v>104</v>
      </c>
      <c r="H10" s="102" t="s">
        <v>115</v>
      </c>
      <c r="I10" s="61">
        <f>92959.95*1.2</f>
        <v>111551.93999999999</v>
      </c>
      <c r="J10" s="104"/>
      <c r="K10" s="105"/>
      <c r="L10" s="105"/>
      <c r="M10" s="105"/>
      <c r="N10" s="105"/>
      <c r="O10" s="105"/>
      <c r="P10" s="105"/>
      <c r="Q10" s="105"/>
    </row>
    <row r="11" spans="1:18" ht="30" x14ac:dyDescent="0.25">
      <c r="A11" s="4"/>
      <c r="B11" s="4"/>
      <c r="C11" s="5" t="s">
        <v>7</v>
      </c>
      <c r="D11" s="8" t="s">
        <v>12</v>
      </c>
      <c r="E11" s="8" t="s">
        <v>84</v>
      </c>
      <c r="F11" s="70"/>
      <c r="G11" s="30"/>
      <c r="H11" s="30"/>
      <c r="I11" s="14"/>
      <c r="J11" s="104"/>
      <c r="K11" s="105"/>
      <c r="L11" s="105"/>
      <c r="M11" s="105"/>
      <c r="N11" s="105"/>
      <c r="O11" s="105"/>
      <c r="P11" s="105"/>
      <c r="Q11" s="105"/>
    </row>
    <row r="12" spans="1:18" ht="90.75" customHeight="1" x14ac:dyDescent="0.25">
      <c r="A12" s="57">
        <v>6</v>
      </c>
      <c r="B12" s="57" t="s">
        <v>37</v>
      </c>
      <c r="C12" s="58" t="s">
        <v>38</v>
      </c>
      <c r="D12" s="59" t="s">
        <v>39</v>
      </c>
      <c r="E12" s="59" t="s">
        <v>77</v>
      </c>
      <c r="F12" s="72" t="s">
        <v>92</v>
      </c>
      <c r="G12" s="91" t="s">
        <v>97</v>
      </c>
      <c r="H12" s="98" t="s">
        <v>98</v>
      </c>
      <c r="I12" s="61">
        <v>20027100</v>
      </c>
      <c r="J12" s="104"/>
      <c r="K12" s="105"/>
      <c r="L12" s="105"/>
      <c r="M12" s="105"/>
      <c r="N12" s="105"/>
      <c r="O12" s="105"/>
      <c r="P12" s="105"/>
      <c r="Q12" s="105"/>
    </row>
    <row r="13" spans="1:18" ht="30.75" customHeight="1" x14ac:dyDescent="0.25">
      <c r="A13" s="94">
        <v>7</v>
      </c>
      <c r="B13" s="62" t="s">
        <v>30</v>
      </c>
      <c r="C13" s="63" t="s">
        <v>31</v>
      </c>
      <c r="D13" s="64" t="s">
        <v>32</v>
      </c>
      <c r="E13" s="88" t="s">
        <v>78</v>
      </c>
      <c r="F13" s="72" t="s">
        <v>99</v>
      </c>
      <c r="G13" s="60" t="str">
        <f>G9</f>
        <v>СДО отработано</v>
      </c>
      <c r="H13" s="102" t="s">
        <v>113</v>
      </c>
      <c r="I13" s="61">
        <f>1528494.78*1.2</f>
        <v>1834193.736</v>
      </c>
      <c r="J13" s="104"/>
      <c r="K13" s="105"/>
      <c r="L13" s="105"/>
      <c r="M13" s="105"/>
      <c r="N13" s="105"/>
      <c r="O13" s="105"/>
      <c r="P13" s="105"/>
      <c r="Q13" s="105"/>
    </row>
    <row r="14" spans="1:18" ht="60" x14ac:dyDescent="0.25">
      <c r="A14" s="4"/>
      <c r="B14" s="4"/>
      <c r="C14" s="5" t="s">
        <v>8</v>
      </c>
      <c r="D14" s="8" t="s">
        <v>13</v>
      </c>
      <c r="E14" s="8" t="s">
        <v>85</v>
      </c>
      <c r="F14" s="70"/>
      <c r="G14" s="25"/>
      <c r="H14" s="25"/>
      <c r="I14" s="14"/>
    </row>
    <row r="15" spans="1:18" ht="42" customHeight="1" x14ac:dyDescent="0.25">
      <c r="A15" s="9">
        <v>8</v>
      </c>
      <c r="B15" s="9" t="s">
        <v>35</v>
      </c>
      <c r="C15" s="10" t="s">
        <v>33</v>
      </c>
      <c r="D15" s="11" t="s">
        <v>34</v>
      </c>
      <c r="E15" s="88" t="s">
        <v>75</v>
      </c>
      <c r="F15" s="72" t="s">
        <v>102</v>
      </c>
      <c r="G15" s="60"/>
      <c r="H15" s="96"/>
      <c r="I15" s="97"/>
    </row>
    <row r="16" spans="1:18" ht="46.5" customHeight="1" x14ac:dyDescent="0.25">
      <c r="A16" s="9">
        <v>9</v>
      </c>
      <c r="B16" s="9" t="s">
        <v>35</v>
      </c>
      <c r="C16" s="10" t="s">
        <v>0</v>
      </c>
      <c r="D16" s="11" t="s">
        <v>36</v>
      </c>
      <c r="E16" s="88" t="s">
        <v>76</v>
      </c>
      <c r="F16" s="72" t="s">
        <v>100</v>
      </c>
      <c r="G16" s="60" t="s">
        <v>101</v>
      </c>
      <c r="H16" s="60"/>
      <c r="I16" s="97"/>
    </row>
    <row r="17" spans="1:10" x14ac:dyDescent="0.25">
      <c r="A17" s="22"/>
      <c r="B17" s="22"/>
      <c r="C17" s="23" t="s">
        <v>23</v>
      </c>
      <c r="D17" s="24" t="s">
        <v>19</v>
      </c>
      <c r="E17" s="24" t="s">
        <v>86</v>
      </c>
      <c r="F17" s="75" t="s">
        <v>93</v>
      </c>
      <c r="G17" s="25"/>
      <c r="H17" s="25"/>
      <c r="I17" s="25"/>
    </row>
    <row r="18" spans="1:10" ht="33.75" customHeight="1" thickBot="1" x14ac:dyDescent="0.3">
      <c r="A18" s="95">
        <v>10</v>
      </c>
      <c r="B18" s="65" t="s">
        <v>28</v>
      </c>
      <c r="C18" s="66" t="s">
        <v>88</v>
      </c>
      <c r="D18" s="67" t="s">
        <v>29</v>
      </c>
      <c r="E18" s="90" t="s">
        <v>74</v>
      </c>
      <c r="F18" s="76" t="str">
        <f>F16</f>
        <v>отпр. замечания, 26.02/на доработку 04.03</v>
      </c>
      <c r="G18" s="78" t="s">
        <v>101</v>
      </c>
      <c r="H18" s="78"/>
      <c r="I18" s="68"/>
    </row>
    <row r="19" spans="1:10" ht="20.25" customHeight="1" thickTop="1" x14ac:dyDescent="0.25">
      <c r="A19" s="38"/>
      <c r="B19" s="38"/>
      <c r="C19" s="39"/>
      <c r="D19" s="38"/>
      <c r="E19" s="38"/>
      <c r="F19" s="77"/>
      <c r="G19" s="40" t="s">
        <v>47</v>
      </c>
      <c r="H19" s="40" t="s">
        <v>47</v>
      </c>
      <c r="I19" s="41">
        <f>SUM(I3:I18)</f>
        <v>22234175.124000002</v>
      </c>
      <c r="J19" s="55"/>
    </row>
    <row r="20" spans="1:10" s="36" customFormat="1" ht="20.25" customHeight="1" x14ac:dyDescent="0.25">
      <c r="A20" s="42"/>
      <c r="B20" s="42"/>
      <c r="C20" s="43"/>
      <c r="D20" s="42"/>
      <c r="E20" s="42"/>
      <c r="F20" s="44"/>
      <c r="G20" s="42" t="s">
        <v>108</v>
      </c>
      <c r="H20" s="42" t="s">
        <v>109</v>
      </c>
      <c r="I20" s="44">
        <f>I19*0.0224</f>
        <v>498045.52277760004</v>
      </c>
      <c r="J20" s="36" t="s">
        <v>111</v>
      </c>
    </row>
    <row r="21" spans="1:10" s="36" customFormat="1" ht="20.25" customHeight="1" x14ac:dyDescent="0.25">
      <c r="A21" s="42"/>
      <c r="B21" s="42"/>
      <c r="C21" s="43"/>
      <c r="D21" s="45"/>
      <c r="E21" s="45"/>
      <c r="F21" s="44"/>
      <c r="G21" s="42" t="s">
        <v>49</v>
      </c>
      <c r="H21" s="42" t="s">
        <v>49</v>
      </c>
      <c r="I21" s="44">
        <f>(I19+I20)*0.024</f>
        <v>545573.29552266246</v>
      </c>
      <c r="J21" s="36" t="s">
        <v>112</v>
      </c>
    </row>
    <row r="22" spans="1:10" s="36" customFormat="1" ht="20.25" customHeight="1" thickBot="1" x14ac:dyDescent="0.3">
      <c r="A22" s="46"/>
      <c r="B22" s="46"/>
      <c r="C22" s="47"/>
      <c r="D22" s="46"/>
      <c r="E22" s="46"/>
      <c r="F22" s="48"/>
      <c r="G22" s="46" t="s">
        <v>46</v>
      </c>
      <c r="H22" s="46" t="s">
        <v>46</v>
      </c>
      <c r="I22" s="48">
        <f>(I19+I20+I21)*0.03</f>
        <v>698333.81826900784</v>
      </c>
    </row>
    <row r="23" spans="1:10" ht="20.25" customHeight="1" thickTop="1" x14ac:dyDescent="0.25">
      <c r="A23" s="16"/>
      <c r="B23" s="16"/>
      <c r="C23" s="17"/>
      <c r="D23" s="16"/>
      <c r="E23" s="16"/>
      <c r="F23" s="19"/>
      <c r="G23" s="18" t="s">
        <v>51</v>
      </c>
      <c r="H23" s="18" t="s">
        <v>51</v>
      </c>
      <c r="I23" s="20">
        <f>I19+I20+I21+I22</f>
        <v>23976127.760569271</v>
      </c>
      <c r="J23" s="55"/>
    </row>
    <row r="24" spans="1:10" x14ac:dyDescent="0.25">
      <c r="G24" s="37" t="s">
        <v>50</v>
      </c>
      <c r="H24" s="37" t="s">
        <v>50</v>
      </c>
      <c r="I24" s="49">
        <v>150000000</v>
      </c>
    </row>
  </sheetData>
  <autoFilter ref="A2:I18" xr:uid="{93BB48C0-0305-4203-82CC-A137A2884909}"/>
  <mergeCells count="4">
    <mergeCell ref="A1:F1"/>
    <mergeCell ref="J4:Q13"/>
    <mergeCell ref="N3:Q3"/>
    <mergeCell ref="J2:Q2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A2905-88D8-4F73-ACF4-35594AD6A826}">
  <dimension ref="A1:K26"/>
  <sheetViews>
    <sheetView topLeftCell="C1" zoomScale="115" zoomScaleNormal="115" workbookViewId="0">
      <pane ySplit="2" topLeftCell="A3" activePane="bottomLeft" state="frozen"/>
      <selection pane="bottomLeft" activeCell="I13" sqref="I13"/>
    </sheetView>
  </sheetViews>
  <sheetFormatPr defaultRowHeight="15" x14ac:dyDescent="0.25"/>
  <cols>
    <col min="1" max="1" width="6.28515625" style="1" customWidth="1"/>
    <col min="2" max="2" width="12.5703125" style="1" customWidth="1"/>
    <col min="3" max="3" width="36" customWidth="1"/>
    <col min="4" max="5" width="15.140625" style="1" customWidth="1"/>
    <col min="6" max="6" width="28.140625" style="1" customWidth="1"/>
    <col min="7" max="7" width="21.28515625" style="1" customWidth="1"/>
    <col min="8" max="9" width="34.42578125" customWidth="1"/>
    <col min="10" max="10" width="22.140625" style="15" customWidth="1"/>
    <col min="11" max="11" width="14.42578125" customWidth="1"/>
  </cols>
  <sheetData>
    <row r="1" spans="1:10" x14ac:dyDescent="0.25">
      <c r="A1" s="103" t="s">
        <v>24</v>
      </c>
      <c r="B1" s="103"/>
      <c r="C1" s="103"/>
      <c r="D1" s="103"/>
      <c r="E1" s="103"/>
      <c r="F1" s="103"/>
      <c r="G1" s="12"/>
    </row>
    <row r="2" spans="1:10" x14ac:dyDescent="0.25">
      <c r="A2" s="2" t="s">
        <v>3</v>
      </c>
      <c r="B2" s="2" t="s">
        <v>1</v>
      </c>
      <c r="C2" s="3" t="s">
        <v>2</v>
      </c>
      <c r="D2" s="2" t="s">
        <v>4</v>
      </c>
      <c r="E2" s="2" t="s">
        <v>68</v>
      </c>
      <c r="F2" s="2" t="s">
        <v>14</v>
      </c>
      <c r="G2" s="2" t="s">
        <v>15</v>
      </c>
      <c r="H2" s="2" t="s">
        <v>61</v>
      </c>
      <c r="I2" s="2" t="s">
        <v>62</v>
      </c>
      <c r="J2" s="15" t="s">
        <v>52</v>
      </c>
    </row>
    <row r="3" spans="1:10" ht="30" x14ac:dyDescent="0.25">
      <c r="A3" s="4"/>
      <c r="B3" s="4"/>
      <c r="C3" s="5" t="s">
        <v>5</v>
      </c>
      <c r="D3" s="4"/>
      <c r="E3" s="4"/>
      <c r="F3" s="70" t="s">
        <v>87</v>
      </c>
      <c r="G3" s="4"/>
      <c r="H3" s="4"/>
      <c r="I3" s="4"/>
      <c r="J3" s="35"/>
    </row>
    <row r="4" spans="1:10" ht="28.5" customHeight="1" x14ac:dyDescent="0.25">
      <c r="A4" s="6"/>
      <c r="B4" s="6"/>
      <c r="C4" s="21" t="s">
        <v>6</v>
      </c>
      <c r="D4" s="7" t="s">
        <v>10</v>
      </c>
      <c r="E4" s="7" t="s">
        <v>82</v>
      </c>
      <c r="F4" s="71"/>
      <c r="G4" s="13"/>
      <c r="H4" s="13"/>
      <c r="I4" s="13"/>
      <c r="J4" s="35"/>
    </row>
    <row r="5" spans="1:10" ht="31.5" customHeight="1" x14ac:dyDescent="0.25">
      <c r="A5" s="27">
        <v>1</v>
      </c>
      <c r="B5" s="57" t="s">
        <v>17</v>
      </c>
      <c r="C5" s="58" t="s">
        <v>16</v>
      </c>
      <c r="D5" s="59" t="s">
        <v>18</v>
      </c>
      <c r="E5" s="88" t="s">
        <v>69</v>
      </c>
      <c r="F5" s="72" t="s">
        <v>57</v>
      </c>
      <c r="G5" s="60" t="s">
        <v>60</v>
      </c>
      <c r="H5" s="80">
        <f>4626050.16*1.2</f>
        <v>5551260.1919999998</v>
      </c>
      <c r="I5" s="61">
        <f>4738064.69*1.2</f>
        <v>5685677.6280000005</v>
      </c>
      <c r="J5" s="35">
        <f>4882866.72*1.2</f>
        <v>5859440.0639999993</v>
      </c>
    </row>
    <row r="6" spans="1:10" ht="33.75" customHeight="1" x14ac:dyDescent="0.25">
      <c r="A6" s="32">
        <v>2</v>
      </c>
      <c r="B6" s="9" t="s">
        <v>20</v>
      </c>
      <c r="C6" s="10" t="s">
        <v>21</v>
      </c>
      <c r="D6" s="11" t="s">
        <v>22</v>
      </c>
      <c r="E6" s="88" t="s">
        <v>71</v>
      </c>
      <c r="F6" s="72" t="s">
        <v>58</v>
      </c>
      <c r="G6" s="60" t="s">
        <v>60</v>
      </c>
      <c r="H6" s="80">
        <f>1519280.78*1.2</f>
        <v>1823136.936</v>
      </c>
      <c r="I6" s="61">
        <f>1562105.02*1.2</f>
        <v>1874526.024</v>
      </c>
      <c r="J6" s="85">
        <f>1716857.09*1.2</f>
        <v>2060228.5079999999</v>
      </c>
    </row>
    <row r="7" spans="1:10" s="26" customFormat="1" ht="45" customHeight="1" x14ac:dyDescent="0.25">
      <c r="A7" s="27">
        <v>3</v>
      </c>
      <c r="B7" s="57" t="s">
        <v>25</v>
      </c>
      <c r="C7" s="58" t="s">
        <v>70</v>
      </c>
      <c r="D7" s="59" t="s">
        <v>27</v>
      </c>
      <c r="E7" s="88" t="s">
        <v>81</v>
      </c>
      <c r="F7" s="72" t="s">
        <v>53</v>
      </c>
      <c r="G7" s="60" t="s">
        <v>60</v>
      </c>
      <c r="H7" s="80">
        <f>2905586.85*1.2</f>
        <v>3486704.22</v>
      </c>
      <c r="I7" s="61">
        <f>2987170.83*1.2</f>
        <v>3584604.9959999998</v>
      </c>
      <c r="J7" s="52">
        <f>3003320.39*1.2</f>
        <v>3603984.4679999999</v>
      </c>
    </row>
    <row r="8" spans="1:10" ht="30" x14ac:dyDescent="0.25">
      <c r="A8" s="4"/>
      <c r="B8" s="4"/>
      <c r="C8" s="5" t="s">
        <v>9</v>
      </c>
      <c r="D8" s="8" t="s">
        <v>11</v>
      </c>
      <c r="E8" s="8" t="s">
        <v>83</v>
      </c>
      <c r="F8" s="70"/>
      <c r="G8" s="14"/>
      <c r="H8" s="81"/>
      <c r="I8" s="14"/>
      <c r="J8" s="35"/>
    </row>
    <row r="9" spans="1:10" ht="30.75" customHeight="1" x14ac:dyDescent="0.25">
      <c r="A9" s="28">
        <v>4</v>
      </c>
      <c r="B9" s="62" t="s">
        <v>63</v>
      </c>
      <c r="C9" s="63" t="s">
        <v>73</v>
      </c>
      <c r="D9" s="64" t="s">
        <v>44</v>
      </c>
      <c r="E9" s="89" t="s">
        <v>79</v>
      </c>
      <c r="F9" s="72" t="s">
        <v>54</v>
      </c>
      <c r="G9" s="60" t="s">
        <v>60</v>
      </c>
      <c r="H9" s="80">
        <f>194296.53*1.2</f>
        <v>233155.83599999998</v>
      </c>
      <c r="I9" s="61">
        <f>199717.64*1.2</f>
        <v>239661.16800000001</v>
      </c>
      <c r="J9" s="35">
        <f>169249*1.2</f>
        <v>203098.8</v>
      </c>
    </row>
    <row r="10" spans="1:10" ht="30.75" customHeight="1" x14ac:dyDescent="0.25">
      <c r="A10" s="28">
        <v>5</v>
      </c>
      <c r="B10" s="62" t="s">
        <v>40</v>
      </c>
      <c r="C10" s="63" t="s">
        <v>72</v>
      </c>
      <c r="D10" s="64" t="s">
        <v>42</v>
      </c>
      <c r="E10" s="89" t="s">
        <v>80</v>
      </c>
      <c r="F10" s="73" t="s">
        <v>45</v>
      </c>
      <c r="G10" s="60" t="s">
        <v>60</v>
      </c>
      <c r="H10" s="80">
        <f>51082.94*1.2</f>
        <v>61299.527999999998</v>
      </c>
      <c r="I10" s="61">
        <f>52229.26*1.2</f>
        <v>62675.112000000001</v>
      </c>
      <c r="J10" s="35">
        <f>57069.38*1.2</f>
        <v>68483.255999999994</v>
      </c>
    </row>
    <row r="11" spans="1:10" ht="30" x14ac:dyDescent="0.25">
      <c r="A11" s="4"/>
      <c r="B11" s="4"/>
      <c r="C11" s="5" t="s">
        <v>7</v>
      </c>
      <c r="D11" s="8" t="s">
        <v>12</v>
      </c>
      <c r="E11" s="8" t="s">
        <v>84</v>
      </c>
      <c r="F11" s="70"/>
      <c r="G11" s="30"/>
      <c r="H11" s="81"/>
      <c r="I11" s="14"/>
      <c r="J11" s="35"/>
    </row>
    <row r="12" spans="1:10" ht="27" customHeight="1" x14ac:dyDescent="0.25">
      <c r="A12" s="27">
        <v>6</v>
      </c>
      <c r="B12" s="57" t="s">
        <v>37</v>
      </c>
      <c r="C12" s="58" t="s">
        <v>38</v>
      </c>
      <c r="D12" s="59" t="s">
        <v>39</v>
      </c>
      <c r="E12" s="88" t="s">
        <v>77</v>
      </c>
      <c r="F12" s="72" t="s">
        <v>56</v>
      </c>
      <c r="G12" s="91" t="s">
        <v>90</v>
      </c>
      <c r="H12" s="80">
        <f>22100507.91*1.2</f>
        <v>26520609.491999999</v>
      </c>
      <c r="I12" s="61">
        <f>22794788.93*1.2</f>
        <v>27353746.715999998</v>
      </c>
      <c r="J12" s="69">
        <f>23128258.87*1.2</f>
        <v>27753910.644000001</v>
      </c>
    </row>
    <row r="13" spans="1:10" ht="30.75" customHeight="1" x14ac:dyDescent="0.25">
      <c r="A13" s="28">
        <v>7</v>
      </c>
      <c r="B13" s="62" t="s">
        <v>30</v>
      </c>
      <c r="C13" s="63" t="s">
        <v>31</v>
      </c>
      <c r="D13" s="64" t="s">
        <v>32</v>
      </c>
      <c r="E13" s="88" t="s">
        <v>78</v>
      </c>
      <c r="F13" s="72" t="s">
        <v>55</v>
      </c>
      <c r="G13" s="60" t="s">
        <v>60</v>
      </c>
      <c r="H13" s="80">
        <f>1671034.78*1.2</f>
        <v>2005241.736</v>
      </c>
      <c r="I13" s="61">
        <f>1716769.73*1.2</f>
        <v>2060123.676</v>
      </c>
      <c r="J13" s="35">
        <f>1653311.36*1.2</f>
        <v>1983973.632</v>
      </c>
    </row>
    <row r="14" spans="1:10" ht="60" x14ac:dyDescent="0.25">
      <c r="A14" s="4"/>
      <c r="B14" s="4"/>
      <c r="C14" s="5" t="s">
        <v>8</v>
      </c>
      <c r="D14" s="8" t="s">
        <v>13</v>
      </c>
      <c r="E14" s="8" t="s">
        <v>85</v>
      </c>
      <c r="F14" s="70"/>
      <c r="G14" s="25"/>
      <c r="H14" s="81"/>
      <c r="I14" s="14"/>
      <c r="J14" s="35"/>
    </row>
    <row r="15" spans="1:10" ht="20.25" customHeight="1" x14ac:dyDescent="0.25">
      <c r="A15" s="9">
        <v>8</v>
      </c>
      <c r="B15" s="32" t="s">
        <v>35</v>
      </c>
      <c r="C15" s="33" t="s">
        <v>33</v>
      </c>
      <c r="D15" s="34" t="s">
        <v>34</v>
      </c>
      <c r="E15" s="34" t="s">
        <v>75</v>
      </c>
      <c r="F15" s="74" t="s">
        <v>65</v>
      </c>
      <c r="G15" s="79" t="s">
        <v>64</v>
      </c>
      <c r="H15" s="51">
        <f>4215813*1.2</f>
        <v>5058975.5999999996</v>
      </c>
      <c r="I15" s="51">
        <f>4334417.98*1.2</f>
        <v>5201301.5760000004</v>
      </c>
      <c r="J15" s="56">
        <f>3686071.99*1.2</f>
        <v>4423286.3880000003</v>
      </c>
    </row>
    <row r="16" spans="1:10" ht="26.25" customHeight="1" x14ac:dyDescent="0.25">
      <c r="A16" s="32">
        <v>9</v>
      </c>
      <c r="B16" s="32" t="s">
        <v>35</v>
      </c>
      <c r="C16" s="33" t="s">
        <v>0</v>
      </c>
      <c r="D16" s="34" t="s">
        <v>36</v>
      </c>
      <c r="E16" s="34" t="s">
        <v>76</v>
      </c>
      <c r="F16" s="74" t="s">
        <v>67</v>
      </c>
      <c r="G16" s="29" t="s">
        <v>66</v>
      </c>
      <c r="H16" s="51">
        <f>5601658.13*1.2</f>
        <v>6721989.7560000001</v>
      </c>
      <c r="I16" s="51">
        <f>5760226.96*1.2</f>
        <v>6912272.352</v>
      </c>
      <c r="J16" s="56">
        <f>6027807.05*1.2</f>
        <v>7233368.46</v>
      </c>
    </row>
    <row r="17" spans="1:11" x14ac:dyDescent="0.25">
      <c r="A17" s="22"/>
      <c r="B17" s="22"/>
      <c r="C17" s="23" t="s">
        <v>23</v>
      </c>
      <c r="D17" s="24" t="s">
        <v>19</v>
      </c>
      <c r="E17" s="24" t="s">
        <v>86</v>
      </c>
      <c r="F17" s="75"/>
      <c r="G17" s="25"/>
      <c r="H17" s="82"/>
      <c r="I17" s="25"/>
      <c r="J17" s="35"/>
    </row>
    <row r="18" spans="1:11" ht="33.75" customHeight="1" thickBot="1" x14ac:dyDescent="0.3">
      <c r="A18" s="31">
        <v>10</v>
      </c>
      <c r="B18" s="65" t="s">
        <v>28</v>
      </c>
      <c r="C18" s="66" t="s">
        <v>88</v>
      </c>
      <c r="D18" s="67" t="s">
        <v>29</v>
      </c>
      <c r="E18" s="90" t="s">
        <v>74</v>
      </c>
      <c r="F18" s="76" t="s">
        <v>59</v>
      </c>
      <c r="G18" s="78" t="s">
        <v>60</v>
      </c>
      <c r="H18" s="83">
        <f>17170386.03*1.2</f>
        <v>20604463.236000001</v>
      </c>
      <c r="I18" s="68">
        <f>17645372.89*1.2</f>
        <v>21174447.467999998</v>
      </c>
      <c r="J18" s="84">
        <f>18158993.68*1.2</f>
        <v>21790792.415999997</v>
      </c>
    </row>
    <row r="19" spans="1:11" ht="20.25" customHeight="1" thickTop="1" x14ac:dyDescent="0.25">
      <c r="A19" s="38"/>
      <c r="B19" s="38"/>
      <c r="C19" s="39"/>
      <c r="D19" s="38"/>
      <c r="E19" s="38"/>
      <c r="F19" s="77"/>
      <c r="G19" s="40" t="s">
        <v>47</v>
      </c>
      <c r="H19" s="86">
        <f>SUM(H3:H18)</f>
        <v>72066836.532000005</v>
      </c>
      <c r="I19" s="41">
        <f>SUM(I3:I18)</f>
        <v>74149036.715999991</v>
      </c>
      <c r="J19" s="35">
        <f>SUM(J3:J18)</f>
        <v>74980566.636000007</v>
      </c>
      <c r="K19" s="55">
        <f>J19-I19</f>
        <v>831529.92000001669</v>
      </c>
    </row>
    <row r="20" spans="1:11" s="36" customFormat="1" ht="20.25" customHeight="1" x14ac:dyDescent="0.25">
      <c r="A20" s="42"/>
      <c r="B20" s="42"/>
      <c r="C20" s="43"/>
      <c r="D20" s="42"/>
      <c r="E20" s="42"/>
      <c r="F20" s="44"/>
      <c r="G20" s="42" t="s">
        <v>48</v>
      </c>
      <c r="H20" s="44">
        <f>H19*0.082</f>
        <v>5909480.5956240008</v>
      </c>
      <c r="I20" s="44">
        <f>I19*0.082</f>
        <v>6080221.0107119996</v>
      </c>
      <c r="J20" s="53">
        <f>J19*0.082</f>
        <v>6148406.4641520008</v>
      </c>
    </row>
    <row r="21" spans="1:11" s="36" customFormat="1" ht="20.25" customHeight="1" x14ac:dyDescent="0.25">
      <c r="A21" s="42"/>
      <c r="B21" s="42"/>
      <c r="C21" s="43"/>
      <c r="D21" s="45"/>
      <c r="E21" s="45"/>
      <c r="F21" s="44"/>
      <c r="G21" s="42" t="s">
        <v>49</v>
      </c>
      <c r="H21" s="44">
        <f>(H19+H20)*0.024</f>
        <v>1871431.6110629761</v>
      </c>
      <c r="I21" s="44">
        <f>(I19+I20)*0.024</f>
        <v>1925502.1854410877</v>
      </c>
      <c r="J21" s="53">
        <f>(J19+J20)*0.024</f>
        <v>1947095.3544036485</v>
      </c>
    </row>
    <row r="22" spans="1:11" s="36" customFormat="1" ht="20.25" customHeight="1" thickBot="1" x14ac:dyDescent="0.3">
      <c r="A22" s="46"/>
      <c r="B22" s="46"/>
      <c r="C22" s="47"/>
      <c r="D22" s="46"/>
      <c r="E22" s="46"/>
      <c r="F22" s="48"/>
      <c r="G22" s="46" t="s">
        <v>46</v>
      </c>
      <c r="H22" s="48">
        <f>(H19+H20+H21)*0.03</f>
        <v>2395432.4621606092</v>
      </c>
      <c r="I22" s="48">
        <f>(I19+I20+I21)*0.03</f>
        <v>2464642.7973645921</v>
      </c>
      <c r="J22" s="54">
        <f>(J19+J20+J21)*0.03</f>
        <v>2492282.0536366696</v>
      </c>
    </row>
    <row r="23" spans="1:11" ht="20.25" customHeight="1" thickTop="1" x14ac:dyDescent="0.25">
      <c r="A23" s="16"/>
      <c r="B23" s="16"/>
      <c r="C23" s="17"/>
      <c r="D23" s="16"/>
      <c r="E23" s="16"/>
      <c r="F23" s="19"/>
      <c r="G23" s="18" t="s">
        <v>51</v>
      </c>
      <c r="H23" s="87">
        <f>H19+H20+H21+H22</f>
        <v>82243181.200847581</v>
      </c>
      <c r="I23" s="20">
        <f>I19+I20+I21+I22</f>
        <v>84619402.709517673</v>
      </c>
      <c r="J23" s="35">
        <f>J19+J20+J21+J22</f>
        <v>85568350.508192331</v>
      </c>
      <c r="K23" s="55">
        <f>I23-J23</f>
        <v>-948947.79867465794</v>
      </c>
    </row>
    <row r="24" spans="1:11" x14ac:dyDescent="0.25">
      <c r="G24" s="37" t="s">
        <v>50</v>
      </c>
      <c r="H24" s="49"/>
      <c r="I24" s="49">
        <v>150000000</v>
      </c>
      <c r="J24" s="50"/>
    </row>
    <row r="26" spans="1:11" x14ac:dyDescent="0.25">
      <c r="I26" t="s">
        <v>89</v>
      </c>
    </row>
  </sheetData>
  <autoFilter ref="A2:I18" xr:uid="{93BB48C0-0305-4203-82CC-A137A2884909}"/>
  <mergeCells count="1">
    <mergeCell ref="A1:F1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B48C0-0305-4203-82CC-A137A2884909}">
  <dimension ref="A1:J24"/>
  <sheetViews>
    <sheetView topLeftCell="B1" zoomScale="115" zoomScaleNormal="115" workbookViewId="0">
      <pane ySplit="2" topLeftCell="A3" activePane="bottomLeft" state="frozen"/>
      <selection pane="bottomLeft" activeCell="E18" sqref="E18"/>
    </sheetView>
  </sheetViews>
  <sheetFormatPr defaultRowHeight="15" x14ac:dyDescent="0.25"/>
  <cols>
    <col min="1" max="1" width="6.28515625" style="1" customWidth="1"/>
    <col min="2" max="2" width="12.5703125" style="1" customWidth="1"/>
    <col min="3" max="3" width="33.140625" customWidth="1"/>
    <col min="4" max="4" width="15.140625" style="1" customWidth="1"/>
    <col min="5" max="5" width="28.140625" style="1" customWidth="1"/>
    <col min="6" max="6" width="21.28515625" style="1" customWidth="1"/>
    <col min="7" max="8" width="34.42578125" customWidth="1"/>
    <col min="9" max="9" width="22.140625" style="15" customWidth="1"/>
    <col min="10" max="10" width="14.42578125" customWidth="1"/>
  </cols>
  <sheetData>
    <row r="1" spans="1:9" x14ac:dyDescent="0.25">
      <c r="A1" s="103" t="s">
        <v>24</v>
      </c>
      <c r="B1" s="103"/>
      <c r="C1" s="103"/>
      <c r="D1" s="103"/>
      <c r="E1" s="103"/>
      <c r="F1" s="12"/>
    </row>
    <row r="2" spans="1:9" x14ac:dyDescent="0.25">
      <c r="A2" s="2" t="s">
        <v>3</v>
      </c>
      <c r="B2" s="2" t="s">
        <v>1</v>
      </c>
      <c r="C2" s="3" t="s">
        <v>2</v>
      </c>
      <c r="D2" s="2" t="s">
        <v>4</v>
      </c>
      <c r="E2" s="2" t="s">
        <v>14</v>
      </c>
      <c r="F2" s="2" t="s">
        <v>15</v>
      </c>
      <c r="G2" s="2" t="s">
        <v>61</v>
      </c>
      <c r="H2" s="2" t="s">
        <v>62</v>
      </c>
      <c r="I2" s="15" t="s">
        <v>52</v>
      </c>
    </row>
    <row r="3" spans="1:9" ht="30" x14ac:dyDescent="0.25">
      <c r="A3" s="4"/>
      <c r="B3" s="4"/>
      <c r="C3" s="5" t="s">
        <v>5</v>
      </c>
      <c r="D3" s="4"/>
      <c r="E3" s="70"/>
      <c r="F3" s="4"/>
      <c r="G3" s="4"/>
      <c r="H3" s="4"/>
      <c r="I3" s="35"/>
    </row>
    <row r="4" spans="1:9" ht="38.25" x14ac:dyDescent="0.25">
      <c r="A4" s="6"/>
      <c r="B4" s="6"/>
      <c r="C4" s="21" t="s">
        <v>6</v>
      </c>
      <c r="D4" s="7" t="s">
        <v>10</v>
      </c>
      <c r="E4" s="71"/>
      <c r="F4" s="13"/>
      <c r="G4" s="13"/>
      <c r="H4" s="13"/>
      <c r="I4" s="35"/>
    </row>
    <row r="5" spans="1:9" s="26" customFormat="1" ht="45" customHeight="1" x14ac:dyDescent="0.25">
      <c r="A5" s="27">
        <v>1</v>
      </c>
      <c r="B5" s="57" t="s">
        <v>25</v>
      </c>
      <c r="C5" s="58" t="s">
        <v>26</v>
      </c>
      <c r="D5" s="59" t="s">
        <v>27</v>
      </c>
      <c r="E5" s="72" t="s">
        <v>53</v>
      </c>
      <c r="F5" s="60" t="s">
        <v>60</v>
      </c>
      <c r="G5" s="80">
        <f>2905586.85*1.2</f>
        <v>3486704.22</v>
      </c>
      <c r="H5" s="61">
        <f>2987170.83*1.2</f>
        <v>3584604.9959999998</v>
      </c>
      <c r="I5" s="52">
        <f>3003320.39*1.2</f>
        <v>3603984.4679999999</v>
      </c>
    </row>
    <row r="6" spans="1:9" ht="30" x14ac:dyDescent="0.25">
      <c r="A6" s="4"/>
      <c r="B6" s="4"/>
      <c r="C6" s="5" t="s">
        <v>9</v>
      </c>
      <c r="D6" s="8" t="s">
        <v>11</v>
      </c>
      <c r="E6" s="70"/>
      <c r="F6" s="14"/>
      <c r="G6" s="81"/>
      <c r="H6" s="14"/>
      <c r="I6" s="35"/>
    </row>
    <row r="7" spans="1:9" ht="30.75" customHeight="1" x14ac:dyDescent="0.25">
      <c r="A7" s="28">
        <v>2</v>
      </c>
      <c r="B7" s="62" t="s">
        <v>63</v>
      </c>
      <c r="C7" s="63" t="s">
        <v>43</v>
      </c>
      <c r="D7" s="64" t="s">
        <v>44</v>
      </c>
      <c r="E7" s="72" t="s">
        <v>54</v>
      </c>
      <c r="F7" s="60" t="s">
        <v>60</v>
      </c>
      <c r="G7" s="80">
        <f>194296.53*1.2</f>
        <v>233155.83599999998</v>
      </c>
      <c r="H7" s="61">
        <f>199717.64*1.2</f>
        <v>239661.16800000001</v>
      </c>
      <c r="I7" s="35">
        <f>169249*1.2</f>
        <v>203098.8</v>
      </c>
    </row>
    <row r="8" spans="1:9" ht="30.75" customHeight="1" x14ac:dyDescent="0.25">
      <c r="A8" s="28">
        <v>3</v>
      </c>
      <c r="B8" s="62" t="s">
        <v>40</v>
      </c>
      <c r="C8" s="63" t="s">
        <v>41</v>
      </c>
      <c r="D8" s="64" t="s">
        <v>42</v>
      </c>
      <c r="E8" s="73" t="s">
        <v>45</v>
      </c>
      <c r="F8" s="60" t="s">
        <v>60</v>
      </c>
      <c r="G8" s="80">
        <f>51082.94*1.2</f>
        <v>61299.527999999998</v>
      </c>
      <c r="H8" s="61">
        <f>52229.26*1.2</f>
        <v>62675.112000000001</v>
      </c>
      <c r="I8" s="35">
        <f>57069.38*1.2</f>
        <v>68483.255999999994</v>
      </c>
    </row>
    <row r="9" spans="1:9" ht="30.75" customHeight="1" x14ac:dyDescent="0.25">
      <c r="A9" s="28">
        <v>4</v>
      </c>
      <c r="B9" s="62" t="s">
        <v>30</v>
      </c>
      <c r="C9" s="63" t="s">
        <v>31</v>
      </c>
      <c r="D9" s="64" t="s">
        <v>32</v>
      </c>
      <c r="E9" s="72" t="s">
        <v>55</v>
      </c>
      <c r="F9" s="60" t="s">
        <v>60</v>
      </c>
      <c r="G9" s="80">
        <f>1671034.78*1.2</f>
        <v>2005241.736</v>
      </c>
      <c r="H9" s="61">
        <f>1716769.73*1.2</f>
        <v>2060123.676</v>
      </c>
      <c r="I9" s="35">
        <f>1653311.36*1.2</f>
        <v>1983973.632</v>
      </c>
    </row>
    <row r="10" spans="1:9" ht="30" x14ac:dyDescent="0.25">
      <c r="A10" s="4"/>
      <c r="B10" s="4"/>
      <c r="C10" s="5" t="s">
        <v>7</v>
      </c>
      <c r="D10" s="8" t="s">
        <v>12</v>
      </c>
      <c r="E10" s="70"/>
      <c r="F10" s="30"/>
      <c r="G10" s="81"/>
      <c r="H10" s="14"/>
      <c r="I10" s="35"/>
    </row>
    <row r="11" spans="1:9" ht="27" customHeight="1" x14ac:dyDescent="0.25">
      <c r="A11" s="27">
        <v>5</v>
      </c>
      <c r="B11" s="57" t="s">
        <v>37</v>
      </c>
      <c r="C11" s="58" t="s">
        <v>38</v>
      </c>
      <c r="D11" s="59" t="s">
        <v>39</v>
      </c>
      <c r="E11" s="72" t="s">
        <v>56</v>
      </c>
      <c r="F11" s="60" t="s">
        <v>60</v>
      </c>
      <c r="G11" s="80">
        <f>22100507.91*1.2</f>
        <v>26520609.491999999</v>
      </c>
      <c r="H11" s="61">
        <f>22794788.93*1.2</f>
        <v>27353746.715999998</v>
      </c>
      <c r="I11" s="69">
        <f>23128258.87*1.2</f>
        <v>27753910.644000001</v>
      </c>
    </row>
    <row r="12" spans="1:9" ht="31.5" customHeight="1" x14ac:dyDescent="0.25">
      <c r="A12" s="27">
        <v>6</v>
      </c>
      <c r="B12" s="57" t="s">
        <v>17</v>
      </c>
      <c r="C12" s="58" t="s">
        <v>16</v>
      </c>
      <c r="D12" s="59" t="s">
        <v>18</v>
      </c>
      <c r="E12" s="72" t="s">
        <v>57</v>
      </c>
      <c r="F12" s="60" t="s">
        <v>60</v>
      </c>
      <c r="G12" s="80">
        <f>4626050.16*1.2</f>
        <v>5551260.1919999998</v>
      </c>
      <c r="H12" s="61">
        <f>4738064.69*1.2</f>
        <v>5685677.6280000005</v>
      </c>
      <c r="I12" s="35">
        <f>4882866.72*1.2</f>
        <v>5859440.0639999993</v>
      </c>
    </row>
    <row r="13" spans="1:9" ht="60" x14ac:dyDescent="0.25">
      <c r="A13" s="4"/>
      <c r="B13" s="4"/>
      <c r="C13" s="5" t="s">
        <v>8</v>
      </c>
      <c r="D13" s="8" t="s">
        <v>13</v>
      </c>
      <c r="E13" s="70"/>
      <c r="F13" s="25"/>
      <c r="G13" s="81"/>
      <c r="H13" s="14"/>
      <c r="I13" s="35"/>
    </row>
    <row r="14" spans="1:9" ht="20.25" customHeight="1" x14ac:dyDescent="0.25">
      <c r="A14" s="9">
        <v>7</v>
      </c>
      <c r="B14" s="32" t="s">
        <v>35</v>
      </c>
      <c r="C14" s="33" t="s">
        <v>33</v>
      </c>
      <c r="D14" s="34" t="s">
        <v>34</v>
      </c>
      <c r="E14" s="74" t="s">
        <v>65</v>
      </c>
      <c r="F14" s="79" t="s">
        <v>64</v>
      </c>
      <c r="G14" s="51">
        <f>4215813*1.2</f>
        <v>5058975.5999999996</v>
      </c>
      <c r="H14" s="51">
        <f>4334417.98*1.2</f>
        <v>5201301.5760000004</v>
      </c>
      <c r="I14" s="56">
        <f>3686071.99</f>
        <v>3686071.99</v>
      </c>
    </row>
    <row r="15" spans="1:9" ht="26.25" customHeight="1" x14ac:dyDescent="0.25">
      <c r="A15" s="32">
        <v>8</v>
      </c>
      <c r="B15" s="32" t="s">
        <v>35</v>
      </c>
      <c r="C15" s="33" t="s">
        <v>0</v>
      </c>
      <c r="D15" s="34" t="s">
        <v>36</v>
      </c>
      <c r="E15" s="74" t="s">
        <v>67</v>
      </c>
      <c r="F15" s="29" t="s">
        <v>66</v>
      </c>
      <c r="G15" s="51">
        <f>5601658.13*1.2</f>
        <v>6721989.7560000001</v>
      </c>
      <c r="H15" s="51">
        <f>5760226.96*1.2</f>
        <v>6912272.352</v>
      </c>
      <c r="I15" s="56">
        <f>6027807.05*1.2</f>
        <v>7233368.46</v>
      </c>
    </row>
    <row r="16" spans="1:9" x14ac:dyDescent="0.25">
      <c r="A16" s="22"/>
      <c r="B16" s="22"/>
      <c r="C16" s="23" t="s">
        <v>23</v>
      </c>
      <c r="D16" s="24" t="s">
        <v>19</v>
      </c>
      <c r="E16" s="75"/>
      <c r="F16" s="25"/>
      <c r="G16" s="82"/>
      <c r="H16" s="25"/>
      <c r="I16" s="35"/>
    </row>
    <row r="17" spans="1:10" ht="33.75" customHeight="1" x14ac:dyDescent="0.25">
      <c r="A17" s="32">
        <v>9</v>
      </c>
      <c r="B17" s="9" t="s">
        <v>20</v>
      </c>
      <c r="C17" s="10" t="s">
        <v>21</v>
      </c>
      <c r="D17" s="11" t="s">
        <v>22</v>
      </c>
      <c r="E17" s="72" t="s">
        <v>58</v>
      </c>
      <c r="F17" s="60" t="s">
        <v>60</v>
      </c>
      <c r="G17" s="80">
        <f>1519280.78*1.2</f>
        <v>1823136.936</v>
      </c>
      <c r="H17" s="61">
        <f>1562105.02*1.2</f>
        <v>1874526.024</v>
      </c>
      <c r="I17" s="85">
        <f>1716857.09*1.2</f>
        <v>2060228.5079999999</v>
      </c>
    </row>
    <row r="18" spans="1:10" ht="33.75" customHeight="1" thickBot="1" x14ac:dyDescent="0.3">
      <c r="A18" s="31">
        <v>10</v>
      </c>
      <c r="B18" s="65" t="s">
        <v>28</v>
      </c>
      <c r="C18" s="66" t="s">
        <v>21</v>
      </c>
      <c r="D18" s="67" t="s">
        <v>29</v>
      </c>
      <c r="E18" s="76" t="s">
        <v>59</v>
      </c>
      <c r="F18" s="78" t="s">
        <v>60</v>
      </c>
      <c r="G18" s="83">
        <f>17170386.03*1.2</f>
        <v>20604463.236000001</v>
      </c>
      <c r="H18" s="68">
        <f>17645372.89*1.2</f>
        <v>21174447.467999998</v>
      </c>
      <c r="I18" s="84">
        <f>18158993.68*1.2</f>
        <v>21790792.415999997</v>
      </c>
    </row>
    <row r="19" spans="1:10" ht="20.25" customHeight="1" thickTop="1" x14ac:dyDescent="0.25">
      <c r="A19" s="38"/>
      <c r="B19" s="38"/>
      <c r="C19" s="39"/>
      <c r="D19" s="38"/>
      <c r="E19" s="77"/>
      <c r="F19" s="40" t="s">
        <v>47</v>
      </c>
      <c r="G19" s="86">
        <f>SUM(G3:G18)</f>
        <v>72066836.532000005</v>
      </c>
      <c r="H19" s="41">
        <f>SUM(H3:H18)</f>
        <v>74149036.715999991</v>
      </c>
      <c r="I19" s="35">
        <f>SUM(I3:I18)</f>
        <v>74243352.237999991</v>
      </c>
      <c r="J19" s="55"/>
    </row>
    <row r="20" spans="1:10" s="36" customFormat="1" ht="20.25" customHeight="1" x14ac:dyDescent="0.25">
      <c r="A20" s="42"/>
      <c r="B20" s="42"/>
      <c r="C20" s="43"/>
      <c r="D20" s="42"/>
      <c r="E20" s="44"/>
      <c r="F20" s="42" t="s">
        <v>48</v>
      </c>
      <c r="G20" s="44">
        <f>G19*0.082</f>
        <v>5909480.5956240008</v>
      </c>
      <c r="H20" s="44">
        <f>H19*0.082</f>
        <v>6080221.0107119996</v>
      </c>
      <c r="I20" s="53">
        <f>I19*0.082</f>
        <v>6087954.8835159997</v>
      </c>
    </row>
    <row r="21" spans="1:10" s="36" customFormat="1" ht="20.25" customHeight="1" x14ac:dyDescent="0.25">
      <c r="A21" s="42"/>
      <c r="B21" s="42"/>
      <c r="C21" s="43"/>
      <c r="D21" s="45"/>
      <c r="E21" s="44"/>
      <c r="F21" s="42" t="s">
        <v>49</v>
      </c>
      <c r="G21" s="44">
        <f>(G19+G20)*0.024</f>
        <v>1871431.6110629761</v>
      </c>
      <c r="H21" s="44">
        <f>(H19+H20)*0.024</f>
        <v>1925502.1854410877</v>
      </c>
      <c r="I21" s="53">
        <f>(I19+I20)*0.024</f>
        <v>1927951.3709163838</v>
      </c>
    </row>
    <row r="22" spans="1:10" s="36" customFormat="1" ht="20.25" customHeight="1" thickBot="1" x14ac:dyDescent="0.3">
      <c r="A22" s="46"/>
      <c r="B22" s="46"/>
      <c r="C22" s="47"/>
      <c r="D22" s="46"/>
      <c r="E22" s="48"/>
      <c r="F22" s="46" t="s">
        <v>46</v>
      </c>
      <c r="G22" s="48">
        <f>(G19+G20+G21)*0.03</f>
        <v>2395432.4621606092</v>
      </c>
      <c r="H22" s="48">
        <f>(H19+H20+H21)*0.03</f>
        <v>2464642.7973645921</v>
      </c>
      <c r="I22" s="54">
        <f>(I19+I20+I21)*0.03</f>
        <v>2467777.7547729709</v>
      </c>
    </row>
    <row r="23" spans="1:10" ht="20.25" customHeight="1" thickTop="1" x14ac:dyDescent="0.25">
      <c r="A23" s="16"/>
      <c r="B23" s="16"/>
      <c r="C23" s="17"/>
      <c r="D23" s="16"/>
      <c r="E23" s="19"/>
      <c r="F23" s="18" t="s">
        <v>51</v>
      </c>
      <c r="G23" s="87">
        <f>G19+G20+G21+G22</f>
        <v>82243181.200847581</v>
      </c>
      <c r="H23" s="20">
        <f>H19+H20+H21+H22</f>
        <v>84619402.709517673</v>
      </c>
      <c r="I23" s="35">
        <f>I19+I20+I21+I22</f>
        <v>84727036.247205347</v>
      </c>
      <c r="J23" s="55"/>
    </row>
    <row r="24" spans="1:10" x14ac:dyDescent="0.25">
      <c r="F24" s="37" t="s">
        <v>50</v>
      </c>
      <c r="G24" s="49"/>
      <c r="H24" s="49">
        <v>150000000</v>
      </c>
      <c r="I24" s="50"/>
    </row>
  </sheetData>
  <autoFilter ref="A2:H18" xr:uid="{93BB48C0-0305-4203-82CC-A137A2884909}"/>
  <mergeCells count="1">
    <mergeCell ref="A1:E1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реестр(после отв. на замеч.)</vt:lpstr>
      <vt:lpstr>реестр (1)</vt:lpstr>
      <vt:lpstr>реестр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2023-11-20T14:20:17Z</dcterms:created>
  <dcterms:modified xsi:type="dcterms:W3CDTF">2024-05-13T11:33:06Z</dcterms:modified>
</cp:coreProperties>
</file>