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.132-23_217 цех-отработаны замечания\новые замечания\"/>
    </mc:Choice>
  </mc:AlternateContent>
  <xr:revisionPtr revIDLastSave="0" documentId="13_ncr:1_{1F34F013-5AE2-430F-AA95-B663BFA2313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асчет " sheetId="3" r:id="rId1"/>
    <sheet name="Лист1 (2)" sheetId="2" state="hidden" r:id="rId2"/>
  </sheets>
  <definedNames>
    <definedName name="_xlnm.Print_Area" localSheetId="1">'Лист1 (2)'!$A$1:$M$33</definedName>
    <definedName name="_xlnm.Print_Area" localSheetId="0">'расчет 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3" l="1"/>
  <c r="D7" i="3" l="1"/>
  <c r="E5" i="3"/>
  <c r="E9" i="3"/>
  <c r="D14" i="3"/>
  <c r="D15" i="3"/>
  <c r="D16" i="3"/>
  <c r="F23" i="3" l="1"/>
  <c r="F25" i="3"/>
  <c r="F24" i="3"/>
  <c r="E14" i="3"/>
  <c r="G27" i="3"/>
  <c r="F27" i="3"/>
  <c r="F7" i="3"/>
  <c r="G26" i="3" l="1"/>
  <c r="G25" i="3"/>
  <c r="E16" i="3"/>
  <c r="F16" i="3" s="1"/>
  <c r="E15" i="3"/>
  <c r="F14" i="3"/>
  <c r="F10" i="3"/>
  <c r="F9" i="3"/>
  <c r="F6" i="3"/>
  <c r="F5" i="3"/>
  <c r="E7" i="2"/>
  <c r="F7" i="2"/>
  <c r="F6" i="2"/>
  <c r="F5" i="2"/>
  <c r="H15" i="2"/>
  <c r="I15" i="2" s="1"/>
  <c r="H20" i="2"/>
  <c r="I16" i="2"/>
  <c r="F15" i="2"/>
  <c r="F14" i="2"/>
  <c r="I14" i="2"/>
  <c r="H19" i="2"/>
  <c r="H14" i="2"/>
  <c r="H16" i="2"/>
  <c r="H18" i="2"/>
  <c r="H13" i="2"/>
  <c r="H21" i="2"/>
  <c r="I19" i="2"/>
  <c r="I25" i="2"/>
  <c r="K3" i="2"/>
  <c r="J3" i="2"/>
  <c r="I26" i="2"/>
  <c r="K27" i="2"/>
  <c r="K26" i="2"/>
  <c r="K25" i="2"/>
  <c r="K24" i="2"/>
  <c r="K23" i="2"/>
  <c r="K22" i="2"/>
  <c r="G23" i="2"/>
  <c r="G27" i="2"/>
  <c r="G26" i="2"/>
  <c r="G25" i="2"/>
  <c r="G24" i="2"/>
  <c r="I3" i="2"/>
  <c r="H3" i="2"/>
  <c r="F21" i="2"/>
  <c r="F20" i="2"/>
  <c r="F27" i="2" s="1"/>
  <c r="E20" i="2"/>
  <c r="F19" i="2"/>
  <c r="E19" i="2"/>
  <c r="F16" i="2"/>
  <c r="E16" i="2"/>
  <c r="E15" i="2"/>
  <c r="E14" i="2"/>
  <c r="F12" i="2"/>
  <c r="F10" i="2"/>
  <c r="F9" i="2"/>
  <c r="D21" i="2"/>
  <c r="F24" i="2" s="1"/>
  <c r="D19" i="2"/>
  <c r="D16" i="2"/>
  <c r="D14" i="2"/>
  <c r="E9" i="2"/>
  <c r="D7" i="2"/>
  <c r="E5" i="2"/>
  <c r="F26" i="3" l="1"/>
  <c r="F15" i="3"/>
  <c r="I21" i="2"/>
  <c r="I24" i="2" s="1"/>
  <c r="I20" i="2"/>
  <c r="I22" i="2"/>
  <c r="I27" i="2"/>
  <c r="I23" i="2"/>
  <c r="F26" i="2"/>
  <c r="F25" i="2"/>
  <c r="F22" i="2"/>
  <c r="F23" i="2"/>
</calcChain>
</file>

<file path=xl/sharedStrings.xml><?xml version="1.0" encoding="utf-8"?>
<sst xmlns="http://schemas.openxmlformats.org/spreadsheetml/2006/main" count="87" uniqueCount="46">
  <si>
    <t>количество</t>
  </si>
  <si>
    <t xml:space="preserve">1. </t>
  </si>
  <si>
    <t>Демонтаж упора:</t>
  </si>
  <si>
    <t>крепления</t>
  </si>
  <si>
    <t>щебень, м3</t>
  </si>
  <si>
    <t>шпалы, шт</t>
  </si>
  <si>
    <t>Рельсы , т</t>
  </si>
  <si>
    <t>2.</t>
  </si>
  <si>
    <t>3.</t>
  </si>
  <si>
    <t>-</t>
  </si>
  <si>
    <t>4.</t>
  </si>
  <si>
    <t>5.</t>
  </si>
  <si>
    <t>масса /объемный вес единицы, т/м3</t>
  </si>
  <si>
    <t>масса, т</t>
  </si>
  <si>
    <t>наименование работ</t>
  </si>
  <si>
    <t>шпалы деревяные, шт</t>
  </si>
  <si>
    <t>брусья, шпалы</t>
  </si>
  <si>
    <t>перевод, рельсы, крепления,  т</t>
  </si>
  <si>
    <t>шпалы ж/б</t>
  </si>
  <si>
    <t>рельсы Р65</t>
  </si>
  <si>
    <t>перевозка на расстояние:</t>
  </si>
  <si>
    <t>Ведомость демонтажных работ</t>
  </si>
  <si>
    <t>Составил</t>
  </si>
  <si>
    <t>ИТОГО</t>
  </si>
  <si>
    <t>Разборка пути отдельными элементами на железобетонных шпалах тип рельсов: Р65, длина рельсов 12,5 м, на 1 км число шпал 1840</t>
  </si>
  <si>
    <t>на 2 км</t>
  </si>
  <si>
    <t>утилизация</t>
  </si>
  <si>
    <t xml:space="preserve">Разборка стрелочных переводов М 1/9 Р-65 на деревянных шпалах </t>
  </si>
  <si>
    <t>4 шт</t>
  </si>
  <si>
    <t xml:space="preserve">Замена балласта </t>
  </si>
  <si>
    <t>357,56 м.п.</t>
  </si>
  <si>
    <t>0,295 км</t>
  </si>
  <si>
    <t>0,514 км</t>
  </si>
  <si>
    <t>рельсы Р-65</t>
  </si>
  <si>
    <t xml:space="preserve">Разборка пути поэлементно на рельсах 12,5м Р-65 при 1840 деревянных шпалах </t>
  </si>
  <si>
    <t>в т.ч  рельс и перевод</t>
  </si>
  <si>
    <t>шпалы дер</t>
  </si>
  <si>
    <t>Мусор, балласт</t>
  </si>
  <si>
    <t>Балласт,м3</t>
  </si>
  <si>
    <t>октябрь</t>
  </si>
  <si>
    <t>0,110 км</t>
  </si>
  <si>
    <t>на 1 км</t>
  </si>
  <si>
    <t xml:space="preserve">Разборка стрелочных переводов 1/9 Р-65 на деревянных шпалах </t>
  </si>
  <si>
    <t>1 шт</t>
  </si>
  <si>
    <t>шпалы жб, шт</t>
  </si>
  <si>
    <t>2 шт по 2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</si>
</sst>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wrapText="1"/>
    </xf>
    <xf numFmtId="164" fontId="0" fillId="2" borderId="1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3" xfId="0" applyBorder="1"/>
    <xf numFmtId="2" fontId="0" fillId="2" borderId="1" xfId="0" applyNumberFormat="1" applyFill="1" applyBorder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164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4" fillId="0" borderId="6" xfId="0" applyFont="1" applyBorder="1"/>
    <xf numFmtId="0" fontId="4" fillId="0" borderId="7" xfId="0" applyFont="1" applyBorder="1"/>
    <xf numFmtId="0" fontId="0" fillId="2" borderId="6" xfId="0" applyFill="1" applyBorder="1"/>
    <xf numFmtId="0" fontId="0" fillId="2" borderId="7" xfId="0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4" fontId="3" fillId="2" borderId="7" xfId="1" applyFont="1" applyFill="1" applyBorder="1" applyAlignment="1">
      <alignment horizontal="center" vertical="center"/>
    </xf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4" fillId="2" borderId="15" xfId="0" applyFont="1" applyFill="1" applyBorder="1"/>
    <xf numFmtId="0" fontId="4" fillId="2" borderId="16" xfId="0" applyFont="1" applyFill="1" applyBorder="1"/>
    <xf numFmtId="1" fontId="4" fillId="2" borderId="16" xfId="0" applyNumberFormat="1" applyFont="1" applyFill="1" applyBorder="1"/>
    <xf numFmtId="164" fontId="4" fillId="2" borderId="16" xfId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0" fillId="0" borderId="0" xfId="0" applyNumberFormat="1"/>
    <xf numFmtId="2" fontId="1" fillId="3" borderId="1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2" fontId="4" fillId="0" borderId="0" xfId="0" applyNumberFormat="1" applyFont="1"/>
    <xf numFmtId="0" fontId="4" fillId="2" borderId="0" xfId="0" applyFont="1" applyFill="1"/>
    <xf numFmtId="2" fontId="4" fillId="0" borderId="15" xfId="0" applyNumberFormat="1" applyFont="1" applyBorder="1" applyAlignment="1">
      <alignment horizontal="center" vertical="center"/>
    </xf>
    <xf numFmtId="2" fontId="1" fillId="3" borderId="14" xfId="0" applyNumberFormat="1" applyFont="1" applyFill="1" applyBorder="1"/>
    <xf numFmtId="166" fontId="0" fillId="2" borderId="1" xfId="0" applyNumberForma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6" fontId="0" fillId="2" borderId="1" xfId="0" applyNumberForma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7" xfId="0" applyFill="1" applyBorder="1"/>
    <xf numFmtId="0" fontId="0" fillId="3" borderId="1" xfId="0" applyFill="1" applyBorder="1"/>
    <xf numFmtId="166" fontId="0" fillId="3" borderId="1" xfId="0" applyNumberForma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164" fontId="3" fillId="3" borderId="1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/>
    <xf numFmtId="0" fontId="1" fillId="3" borderId="1" xfId="0" applyFont="1" applyFill="1" applyBorder="1"/>
    <xf numFmtId="2" fontId="0" fillId="3" borderId="1" xfId="0" applyNumberForma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07F8-F5DC-4DB6-B894-91CA2705CE70}">
  <dimension ref="B1:G29"/>
  <sheetViews>
    <sheetView tabSelected="1" zoomScaleNormal="100" zoomScaleSheetLayoutView="100" workbookViewId="0">
      <selection activeCell="K27" sqref="K27"/>
    </sheetView>
  </sheetViews>
  <sheetFormatPr defaultRowHeight="15" x14ac:dyDescent="0.25"/>
  <cols>
    <col min="1" max="1" width="1.7109375" customWidth="1"/>
    <col min="2" max="2" width="6.140625" style="15" customWidth="1"/>
    <col min="3" max="3" width="22.5703125" customWidth="1"/>
    <col min="4" max="4" width="14.28515625" customWidth="1"/>
    <col min="5" max="5" width="15.28515625" customWidth="1"/>
    <col min="6" max="6" width="13.28515625" style="15" customWidth="1"/>
    <col min="7" max="7" width="15" customWidth="1"/>
  </cols>
  <sheetData>
    <row r="1" spans="2:7" x14ac:dyDescent="0.25">
      <c r="B1" s="73" t="s">
        <v>21</v>
      </c>
      <c r="C1" s="73"/>
      <c r="D1" s="73"/>
      <c r="E1" s="73"/>
      <c r="F1" s="73"/>
      <c r="G1" s="73"/>
    </row>
    <row r="2" spans="2:7" ht="15.75" thickBot="1" x14ac:dyDescent="0.3"/>
    <row r="3" spans="2:7" ht="45" x14ac:dyDescent="0.25">
      <c r="B3" s="22"/>
      <c r="C3" s="33" t="s">
        <v>14</v>
      </c>
      <c r="D3" s="33" t="s">
        <v>0</v>
      </c>
      <c r="E3" s="34" t="s">
        <v>12</v>
      </c>
      <c r="F3" s="34" t="s">
        <v>13</v>
      </c>
      <c r="G3" s="35" t="s">
        <v>20</v>
      </c>
    </row>
    <row r="4" spans="2:7" x14ac:dyDescent="0.25">
      <c r="B4" s="108" t="s">
        <v>1</v>
      </c>
      <c r="C4" s="99" t="s">
        <v>2</v>
      </c>
      <c r="D4" s="80"/>
      <c r="E4" s="80"/>
      <c r="F4" s="80"/>
      <c r="G4" s="82"/>
    </row>
    <row r="5" spans="2:7" x14ac:dyDescent="0.25">
      <c r="B5" s="108"/>
      <c r="C5" s="83" t="s">
        <v>6</v>
      </c>
      <c r="D5" s="80" t="s">
        <v>45</v>
      </c>
      <c r="E5" s="100">
        <f>(2*2*65)/1000</f>
        <v>0.26</v>
      </c>
      <c r="F5" s="100">
        <f>E5*1</f>
        <v>0.26</v>
      </c>
      <c r="G5" s="107" t="s">
        <v>41</v>
      </c>
    </row>
    <row r="6" spans="2:7" x14ac:dyDescent="0.25">
      <c r="B6" s="109"/>
      <c r="C6" s="89" t="s">
        <v>4</v>
      </c>
      <c r="D6" s="93">
        <v>0</v>
      </c>
      <c r="E6" s="93">
        <v>1.8</v>
      </c>
      <c r="F6" s="93">
        <f>D6*E6</f>
        <v>0</v>
      </c>
      <c r="G6" s="101" t="s">
        <v>26</v>
      </c>
    </row>
    <row r="7" spans="2:7" ht="15.75" thickBot="1" x14ac:dyDescent="0.3">
      <c r="B7" s="110"/>
      <c r="C7" s="102" t="s">
        <v>44</v>
      </c>
      <c r="D7" s="103">
        <f>4</f>
        <v>4</v>
      </c>
      <c r="E7" s="103">
        <v>0.27</v>
      </c>
      <c r="F7" s="104">
        <f>D7*E7</f>
        <v>1.08</v>
      </c>
      <c r="G7" s="105"/>
    </row>
    <row r="8" spans="2:7" s="4" customFormat="1" ht="45.75" thickTop="1" x14ac:dyDescent="0.25">
      <c r="B8" s="111" t="s">
        <v>7</v>
      </c>
      <c r="C8" s="96" t="s">
        <v>42</v>
      </c>
      <c r="D8" s="97" t="s">
        <v>43</v>
      </c>
      <c r="E8" s="97"/>
      <c r="F8" s="97"/>
      <c r="G8" s="98"/>
    </row>
    <row r="9" spans="2:7" s="4" customFormat="1" ht="19.5" customHeight="1" x14ac:dyDescent="0.25">
      <c r="B9" s="109"/>
      <c r="C9" s="89" t="s">
        <v>16</v>
      </c>
      <c r="D9" s="93">
        <v>1</v>
      </c>
      <c r="E9" s="92">
        <f>21*3.6*99/1000</f>
        <v>7.4844000000000008</v>
      </c>
      <c r="F9" s="92">
        <f>E9*D9</f>
        <v>7.4844000000000008</v>
      </c>
      <c r="G9" s="106" t="s">
        <v>26</v>
      </c>
    </row>
    <row r="10" spans="2:7" s="4" customFormat="1" ht="28.5" customHeight="1" x14ac:dyDescent="0.25">
      <c r="B10" s="108"/>
      <c r="C10" s="94" t="s">
        <v>17</v>
      </c>
      <c r="D10" s="80">
        <v>1</v>
      </c>
      <c r="E10" s="80">
        <v>14.5</v>
      </c>
      <c r="F10" s="95">
        <f>E10*D10</f>
        <v>14.5</v>
      </c>
      <c r="G10" s="107" t="s">
        <v>41</v>
      </c>
    </row>
    <row r="11" spans="2:7" s="4" customFormat="1" hidden="1" x14ac:dyDescent="0.25">
      <c r="B11" s="47"/>
      <c r="C11" s="2"/>
      <c r="D11" s="3"/>
      <c r="E11" s="3"/>
      <c r="F11" s="7"/>
      <c r="G11" s="29"/>
    </row>
    <row r="12" spans="2:7" s="4" customFormat="1" ht="20.25" hidden="1" customHeight="1" x14ac:dyDescent="0.25">
      <c r="B12" s="112"/>
      <c r="C12" s="16"/>
      <c r="D12" s="18"/>
      <c r="E12" s="19"/>
      <c r="F12" s="17"/>
      <c r="G12" s="37"/>
    </row>
    <row r="13" spans="2:7" s="4" customFormat="1" ht="75" x14ac:dyDescent="0.25">
      <c r="B13" s="108">
        <v>3</v>
      </c>
      <c r="C13" s="79" t="s">
        <v>34</v>
      </c>
      <c r="D13" s="80" t="s">
        <v>40</v>
      </c>
      <c r="E13" s="81"/>
      <c r="F13" s="80"/>
      <c r="G13" s="82"/>
    </row>
    <row r="14" spans="2:7" x14ac:dyDescent="0.25">
      <c r="B14" s="108"/>
      <c r="C14" s="83" t="s">
        <v>33</v>
      </c>
      <c r="D14" s="80">
        <f>110*2</f>
        <v>220</v>
      </c>
      <c r="E14" s="84">
        <f>64.88 /1000</f>
        <v>6.4879999999999993E-2</v>
      </c>
      <c r="F14" s="85">
        <f>D14*E14</f>
        <v>14.273599999999998</v>
      </c>
      <c r="G14" s="86" t="s">
        <v>41</v>
      </c>
    </row>
    <row r="15" spans="2:7" x14ac:dyDescent="0.25">
      <c r="B15" s="108"/>
      <c r="C15" s="83" t="s">
        <v>3</v>
      </c>
      <c r="D15" s="87">
        <f>D16</f>
        <v>202.4</v>
      </c>
      <c r="E15" s="84">
        <f>30.83/1000</f>
        <v>3.083E-2</v>
      </c>
      <c r="F15" s="85">
        <f>D15*E15</f>
        <v>6.239992</v>
      </c>
      <c r="G15" s="88"/>
    </row>
    <row r="16" spans="2:7" x14ac:dyDescent="0.25">
      <c r="B16" s="109"/>
      <c r="C16" s="89" t="s">
        <v>5</v>
      </c>
      <c r="D16" s="90">
        <f>0.11*1840</f>
        <v>202.4</v>
      </c>
      <c r="E16" s="91">
        <f>70 /1000</f>
        <v>7.0000000000000007E-2</v>
      </c>
      <c r="F16" s="92">
        <f>D16*E16</f>
        <v>14.168000000000001</v>
      </c>
      <c r="G16" s="106" t="s">
        <v>26</v>
      </c>
    </row>
    <row r="17" spans="2:7" x14ac:dyDescent="0.25">
      <c r="B17" s="108"/>
      <c r="C17" s="83"/>
      <c r="D17" s="80"/>
      <c r="E17" s="84"/>
      <c r="F17" s="80"/>
      <c r="G17" s="82"/>
    </row>
    <row r="18" spans="2:7" hidden="1" x14ac:dyDescent="0.25">
      <c r="B18" s="47"/>
      <c r="C18" s="2"/>
      <c r="D18" s="3"/>
      <c r="E18" s="70"/>
      <c r="F18" s="3"/>
      <c r="G18" s="29"/>
    </row>
    <row r="19" spans="2:7" hidden="1" x14ac:dyDescent="0.25">
      <c r="B19" s="47"/>
      <c r="C19" s="1"/>
      <c r="D19" s="1"/>
      <c r="E19" s="67"/>
      <c r="F19" s="6"/>
      <c r="G19" s="76"/>
    </row>
    <row r="20" spans="2:7" hidden="1" x14ac:dyDescent="0.25">
      <c r="B20" s="47"/>
      <c r="C20" s="1"/>
      <c r="D20" s="1"/>
      <c r="E20" s="67"/>
      <c r="F20" s="6"/>
      <c r="G20" s="77"/>
    </row>
    <row r="21" spans="2:7" ht="15.75" hidden="1" thickBot="1" x14ac:dyDescent="0.3">
      <c r="B21" s="113"/>
      <c r="C21" s="43"/>
      <c r="D21" s="44"/>
      <c r="E21" s="71"/>
      <c r="F21" s="45"/>
      <c r="G21" s="46"/>
    </row>
    <row r="22" spans="2:7" ht="15.75" thickBot="1" x14ac:dyDescent="0.3">
      <c r="B22" s="114"/>
      <c r="C22" s="40" t="s">
        <v>23</v>
      </c>
      <c r="D22" s="40"/>
      <c r="E22" s="72"/>
      <c r="F22" s="60">
        <f>SUM(F4:F21)</f>
        <v>58.005991999999999</v>
      </c>
      <c r="G22" s="41"/>
    </row>
    <row r="23" spans="2:7" x14ac:dyDescent="0.25">
      <c r="C23" t="s">
        <v>35</v>
      </c>
      <c r="F23" s="12">
        <f>F19+F14+F10+F5</f>
        <v>29.0336</v>
      </c>
      <c r="G23" t="s">
        <v>41</v>
      </c>
    </row>
    <row r="24" spans="2:7" s="62" customFormat="1" x14ac:dyDescent="0.25">
      <c r="B24" s="115"/>
      <c r="C24" s="64" t="s">
        <v>18</v>
      </c>
      <c r="F24" s="61">
        <f>F7</f>
        <v>1.08</v>
      </c>
      <c r="G24" s="62" t="s">
        <v>26</v>
      </c>
    </row>
    <row r="25" spans="2:7" s="62" customFormat="1" x14ac:dyDescent="0.25">
      <c r="B25" s="115"/>
      <c r="C25" s="64" t="s">
        <v>36</v>
      </c>
      <c r="F25" s="61">
        <f>F16+F9</f>
        <v>21.6524</v>
      </c>
      <c r="G25" s="62" t="str">
        <f>G16</f>
        <v>утилизация</v>
      </c>
    </row>
    <row r="26" spans="2:7" s="62" customFormat="1" hidden="1" x14ac:dyDescent="0.25">
      <c r="B26" s="115"/>
      <c r="C26" s="64" t="s">
        <v>37</v>
      </c>
      <c r="F26" s="61">
        <f>F12+F6</f>
        <v>0</v>
      </c>
      <c r="G26" s="62">
        <f>G12</f>
        <v>0</v>
      </c>
    </row>
    <row r="27" spans="2:7" x14ac:dyDescent="0.25">
      <c r="C27" s="4" t="s">
        <v>3</v>
      </c>
      <c r="F27" s="12">
        <f>F20+F15</f>
        <v>6.239992</v>
      </c>
      <c r="G27" t="str">
        <f>G23</f>
        <v>на 1 км</v>
      </c>
    </row>
    <row r="28" spans="2:7" ht="37.5" customHeight="1" x14ac:dyDescent="0.25">
      <c r="C28" s="11"/>
      <c r="D28" s="11"/>
      <c r="E28" s="11"/>
      <c r="F28" s="13"/>
    </row>
    <row r="29" spans="2:7" x14ac:dyDescent="0.25">
      <c r="C29" s="4" t="s">
        <v>22</v>
      </c>
      <c r="D29" s="9"/>
      <c r="E29" s="9"/>
      <c r="F29" s="14"/>
    </row>
  </sheetData>
  <mergeCells count="4">
    <mergeCell ref="B1:G1"/>
    <mergeCell ref="G6:G7"/>
    <mergeCell ref="G14:G15"/>
    <mergeCell ref="G19:G20"/>
  </mergeCells>
  <pageMargins left="0.31496062992125984" right="0.31496062992125984" top="0.55118110236220474" bottom="0.55118110236220474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DC15-F01C-4273-8AAE-568C90F0A6B9}">
  <dimension ref="B1:K29"/>
  <sheetViews>
    <sheetView zoomScaleNormal="100" zoomScaleSheetLayoutView="100" workbookViewId="0">
      <selection activeCell="F25" sqref="F25"/>
    </sheetView>
  </sheetViews>
  <sheetFormatPr defaultRowHeight="15" x14ac:dyDescent="0.25"/>
  <cols>
    <col min="1" max="1" width="1.7109375" customWidth="1"/>
    <col min="2" max="2" width="6.140625" customWidth="1"/>
    <col min="3" max="3" width="22.5703125" customWidth="1"/>
    <col min="4" max="4" width="14.28515625" customWidth="1"/>
    <col min="5" max="5" width="17.5703125" customWidth="1"/>
    <col min="6" max="6" width="16.5703125" style="15" customWidth="1"/>
    <col min="7" max="7" width="15" customWidth="1"/>
    <col min="8" max="8" width="11.42578125" customWidth="1"/>
    <col min="9" max="9" width="9" customWidth="1"/>
    <col min="10" max="10" width="10.42578125" customWidth="1"/>
    <col min="11" max="11" width="12" customWidth="1"/>
  </cols>
  <sheetData>
    <row r="1" spans="2:11" x14ac:dyDescent="0.25">
      <c r="B1" s="73" t="s">
        <v>21</v>
      </c>
      <c r="C1" s="73"/>
      <c r="D1" s="73"/>
      <c r="E1" s="73"/>
      <c r="F1" s="73"/>
      <c r="G1" s="73"/>
    </row>
    <row r="2" spans="2:11" ht="15.75" thickBot="1" x14ac:dyDescent="0.3">
      <c r="H2" s="78" t="s">
        <v>39</v>
      </c>
      <c r="I2" s="78"/>
    </row>
    <row r="3" spans="2:11" ht="45" x14ac:dyDescent="0.25">
      <c r="B3" s="32"/>
      <c r="C3" s="33" t="s">
        <v>14</v>
      </c>
      <c r="D3" s="33" t="s">
        <v>0</v>
      </c>
      <c r="E3" s="34" t="s">
        <v>12</v>
      </c>
      <c r="F3" s="34" t="s">
        <v>13</v>
      </c>
      <c r="G3" s="35" t="s">
        <v>20</v>
      </c>
      <c r="H3" s="22" t="str">
        <f>D3</f>
        <v>количество</v>
      </c>
      <c r="I3" s="23" t="str">
        <f>F3</f>
        <v>масса, т</v>
      </c>
      <c r="J3" s="22" t="str">
        <f>F3</f>
        <v>масса, т</v>
      </c>
      <c r="K3" s="23" t="str">
        <f>H3</f>
        <v>количество</v>
      </c>
    </row>
    <row r="4" spans="2:11" x14ac:dyDescent="0.25">
      <c r="B4" s="28" t="s">
        <v>1</v>
      </c>
      <c r="C4" s="8" t="s">
        <v>2</v>
      </c>
      <c r="D4" s="3"/>
      <c r="E4" s="3"/>
      <c r="F4" s="3"/>
      <c r="G4" s="29"/>
      <c r="H4" s="24"/>
      <c r="I4" s="25"/>
      <c r="J4" s="24"/>
      <c r="K4" s="25"/>
    </row>
    <row r="5" spans="2:11" x14ac:dyDescent="0.25">
      <c r="B5" s="28"/>
      <c r="C5" s="1" t="s">
        <v>6</v>
      </c>
      <c r="D5" s="3" t="s">
        <v>9</v>
      </c>
      <c r="E5" s="10">
        <f>(272.2+700+4.2+0.48+0.64+0.2)/1000</f>
        <v>0.97772000000000014</v>
      </c>
      <c r="F5" s="10">
        <f>E5*1</f>
        <v>0.97772000000000014</v>
      </c>
      <c r="G5" s="36" t="s">
        <v>25</v>
      </c>
      <c r="H5" s="24"/>
      <c r="I5" s="25"/>
      <c r="J5" s="24"/>
      <c r="K5" s="25"/>
    </row>
    <row r="6" spans="2:11" x14ac:dyDescent="0.25">
      <c r="B6" s="30"/>
      <c r="C6" s="16" t="s">
        <v>4</v>
      </c>
      <c r="D6" s="18">
        <v>20</v>
      </c>
      <c r="E6" s="18">
        <v>1.8</v>
      </c>
      <c r="F6" s="18">
        <f>D6*E6</f>
        <v>36</v>
      </c>
      <c r="G6" s="74" t="s">
        <v>26</v>
      </c>
      <c r="H6" s="26"/>
      <c r="I6" s="27"/>
      <c r="J6" s="24"/>
      <c r="K6" s="25"/>
    </row>
    <row r="7" spans="2:11" x14ac:dyDescent="0.25">
      <c r="B7" s="30"/>
      <c r="C7" s="16" t="s">
        <v>15</v>
      </c>
      <c r="D7" s="18">
        <f>2+2+4</f>
        <v>8</v>
      </c>
      <c r="E7" s="20">
        <f>F7/D7</f>
        <v>3.015E-2</v>
      </c>
      <c r="F7" s="68">
        <f>(128.8+67.6+44.8)/1000</f>
        <v>0.2412</v>
      </c>
      <c r="G7" s="75"/>
      <c r="H7" s="26"/>
      <c r="I7" s="27"/>
      <c r="J7" s="24"/>
      <c r="K7" s="25"/>
    </row>
    <row r="8" spans="2:11" s="4" customFormat="1" ht="60" x14ac:dyDescent="0.25">
      <c r="B8" s="28" t="s">
        <v>7</v>
      </c>
      <c r="C8" s="2" t="s">
        <v>27</v>
      </c>
      <c r="D8" s="3" t="s">
        <v>28</v>
      </c>
      <c r="E8" s="3"/>
      <c r="F8" s="3"/>
      <c r="G8" s="29"/>
      <c r="H8" s="28"/>
      <c r="I8" s="29"/>
      <c r="J8" s="28"/>
      <c r="K8" s="29"/>
    </row>
    <row r="9" spans="2:11" s="4" customFormat="1" ht="19.5" customHeight="1" x14ac:dyDescent="0.25">
      <c r="B9" s="30"/>
      <c r="C9" s="16" t="s">
        <v>16</v>
      </c>
      <c r="D9" s="18">
        <v>4</v>
      </c>
      <c r="E9" s="17">
        <f>21*3.6*99/1000</f>
        <v>7.4844000000000008</v>
      </c>
      <c r="F9" s="17">
        <f>E9*D9</f>
        <v>29.937600000000003</v>
      </c>
      <c r="G9" s="37" t="s">
        <v>26</v>
      </c>
      <c r="H9" s="30"/>
      <c r="I9" s="31"/>
      <c r="J9" s="28"/>
      <c r="K9" s="29"/>
    </row>
    <row r="10" spans="2:11" s="4" customFormat="1" ht="28.5" customHeight="1" x14ac:dyDescent="0.25">
      <c r="B10" s="28"/>
      <c r="C10" s="5" t="s">
        <v>17</v>
      </c>
      <c r="D10" s="3">
        <v>4</v>
      </c>
      <c r="E10" s="3">
        <v>14.5</v>
      </c>
      <c r="F10" s="7">
        <f>E10*D10</f>
        <v>58</v>
      </c>
      <c r="G10" s="36" t="s">
        <v>25</v>
      </c>
      <c r="H10" s="28"/>
      <c r="I10" s="29"/>
      <c r="J10" s="28"/>
      <c r="K10" s="29"/>
    </row>
    <row r="11" spans="2:11" s="4" customFormat="1" x14ac:dyDescent="0.25">
      <c r="B11" s="28" t="s">
        <v>8</v>
      </c>
      <c r="C11" s="2" t="s">
        <v>29</v>
      </c>
      <c r="D11" s="3" t="s">
        <v>30</v>
      </c>
      <c r="E11" s="3"/>
      <c r="F11" s="7"/>
      <c r="G11" s="29"/>
      <c r="H11" s="28"/>
      <c r="I11" s="29"/>
      <c r="J11" s="28"/>
      <c r="K11" s="38"/>
    </row>
    <row r="12" spans="2:11" s="4" customFormat="1" ht="20.25" customHeight="1" x14ac:dyDescent="0.25">
      <c r="B12" s="30"/>
      <c r="C12" s="16" t="s">
        <v>38</v>
      </c>
      <c r="D12" s="18">
        <v>614.80999999999995</v>
      </c>
      <c r="E12" s="19">
        <v>1.8</v>
      </c>
      <c r="F12" s="17">
        <f>D12*E12</f>
        <v>1106.6579999999999</v>
      </c>
      <c r="G12" s="37" t="s">
        <v>26</v>
      </c>
      <c r="H12" s="30"/>
      <c r="I12" s="31"/>
      <c r="J12" s="28"/>
      <c r="K12" s="29"/>
    </row>
    <row r="13" spans="2:11" s="4" customFormat="1" ht="75" x14ac:dyDescent="0.25">
      <c r="B13" s="28" t="s">
        <v>10</v>
      </c>
      <c r="C13" s="2" t="s">
        <v>34</v>
      </c>
      <c r="D13" s="3" t="s">
        <v>31</v>
      </c>
      <c r="E13" s="69"/>
      <c r="F13" s="3"/>
      <c r="G13" s="29"/>
      <c r="H13" s="47">
        <f>79.75/1000</f>
        <v>7.9750000000000001E-2</v>
      </c>
      <c r="I13" s="48"/>
      <c r="J13" s="47"/>
      <c r="K13" s="48"/>
    </row>
    <row r="14" spans="2:11" x14ac:dyDescent="0.25">
      <c r="B14" s="28"/>
      <c r="C14" s="1" t="s">
        <v>33</v>
      </c>
      <c r="D14" s="3">
        <f>295*2</f>
        <v>590</v>
      </c>
      <c r="E14" s="67">
        <f>64.88 /1000</f>
        <v>6.4879999999999993E-2</v>
      </c>
      <c r="F14" s="6">
        <f>D14*E14</f>
        <v>38.279199999999996</v>
      </c>
      <c r="G14" s="76" t="s">
        <v>25</v>
      </c>
      <c r="H14" s="49">
        <f>H13*1000*2</f>
        <v>159.5</v>
      </c>
      <c r="I14" s="55">
        <f>E14*H14</f>
        <v>10.34836</v>
      </c>
      <c r="J14" s="49"/>
      <c r="K14" s="50"/>
    </row>
    <row r="15" spans="2:11" x14ac:dyDescent="0.25">
      <c r="B15" s="28"/>
      <c r="C15" s="1" t="s">
        <v>3</v>
      </c>
      <c r="D15" s="3">
        <v>543</v>
      </c>
      <c r="E15" s="67">
        <f>30.83/1000</f>
        <v>3.083E-2</v>
      </c>
      <c r="F15" s="6">
        <f>D15*E15</f>
        <v>16.740690000000001</v>
      </c>
      <c r="G15" s="77"/>
      <c r="H15" s="54">
        <f>H13*1840</f>
        <v>146.74</v>
      </c>
      <c r="I15" s="55">
        <f>E15*H15</f>
        <v>4.5239942000000006</v>
      </c>
      <c r="J15" s="49"/>
      <c r="K15" s="50"/>
    </row>
    <row r="16" spans="2:11" x14ac:dyDescent="0.25">
      <c r="B16" s="30"/>
      <c r="C16" s="16" t="s">
        <v>5</v>
      </c>
      <c r="D16" s="21">
        <f>0.295*1840</f>
        <v>542.79999999999995</v>
      </c>
      <c r="E16" s="68">
        <f>70 /1000</f>
        <v>7.0000000000000007E-2</v>
      </c>
      <c r="F16" s="17">
        <f>D16*E16</f>
        <v>37.996000000000002</v>
      </c>
      <c r="G16" s="37" t="s">
        <v>26</v>
      </c>
      <c r="H16" s="53">
        <f>H13*1840</f>
        <v>146.74</v>
      </c>
      <c r="I16" s="56">
        <f>E16*H16</f>
        <v>10.271800000000002</v>
      </c>
      <c r="J16" s="49"/>
      <c r="K16" s="50"/>
    </row>
    <row r="17" spans="2:11" x14ac:dyDescent="0.25">
      <c r="B17" s="28"/>
      <c r="C17" s="1"/>
      <c r="D17" s="3"/>
      <c r="E17" s="67"/>
      <c r="F17" s="3"/>
      <c r="G17" s="29"/>
      <c r="H17" s="49"/>
      <c r="I17" s="50"/>
      <c r="J17" s="49"/>
      <c r="K17" s="50"/>
    </row>
    <row r="18" spans="2:11" ht="120" x14ac:dyDescent="0.25">
      <c r="B18" s="28" t="s">
        <v>11</v>
      </c>
      <c r="C18" s="2" t="s">
        <v>24</v>
      </c>
      <c r="D18" s="3" t="s">
        <v>32</v>
      </c>
      <c r="E18" s="70"/>
      <c r="F18" s="3"/>
      <c r="G18" s="29"/>
      <c r="H18" s="49">
        <f>217.47/1000</f>
        <v>0.21747</v>
      </c>
      <c r="I18" s="50"/>
      <c r="J18" s="49"/>
      <c r="K18" s="50"/>
    </row>
    <row r="19" spans="2:11" x14ac:dyDescent="0.25">
      <c r="B19" s="28"/>
      <c r="C19" s="1" t="s">
        <v>19</v>
      </c>
      <c r="D19" s="1">
        <f>514*2</f>
        <v>1028</v>
      </c>
      <c r="E19" s="67">
        <f>64.88/1000</f>
        <v>6.4879999999999993E-2</v>
      </c>
      <c r="F19" s="6">
        <f>D19*E19</f>
        <v>66.696639999999988</v>
      </c>
      <c r="G19" s="76" t="s">
        <v>25</v>
      </c>
      <c r="H19" s="49">
        <f>H18*1000*2</f>
        <v>434.94</v>
      </c>
      <c r="I19" s="57">
        <f>E19*H19</f>
        <v>28.218907199999997</v>
      </c>
      <c r="J19" s="49"/>
      <c r="K19" s="50"/>
    </row>
    <row r="20" spans="2:11" x14ac:dyDescent="0.25">
      <c r="B20" s="28"/>
      <c r="C20" s="1" t="s">
        <v>3</v>
      </c>
      <c r="D20" s="1">
        <v>946</v>
      </c>
      <c r="E20" s="67">
        <f>30.83/1000</f>
        <v>3.083E-2</v>
      </c>
      <c r="F20" s="6">
        <f>D20*E20</f>
        <v>29.165179999999999</v>
      </c>
      <c r="G20" s="77"/>
      <c r="H20" s="54">
        <f>H18*1840</f>
        <v>400.14479999999998</v>
      </c>
      <c r="I20" s="57">
        <f>E20*H20</f>
        <v>12.336464183999999</v>
      </c>
      <c r="J20" s="49"/>
      <c r="K20" s="50"/>
    </row>
    <row r="21" spans="2:11" ht="15.75" thickBot="1" x14ac:dyDescent="0.3">
      <c r="B21" s="42"/>
      <c r="C21" s="43" t="s">
        <v>18</v>
      </c>
      <c r="D21" s="44">
        <f>0.514*1840</f>
        <v>945.76</v>
      </c>
      <c r="E21" s="71">
        <v>0.27</v>
      </c>
      <c r="F21" s="45">
        <f>D21*E21</f>
        <v>255.35520000000002</v>
      </c>
      <c r="G21" s="46" t="s">
        <v>26</v>
      </c>
      <c r="H21" s="65">
        <f>H18*1840</f>
        <v>400.14479999999998</v>
      </c>
      <c r="I21" s="58">
        <f>E21*H21</f>
        <v>108.039096</v>
      </c>
      <c r="J21" s="51"/>
      <c r="K21" s="52"/>
    </row>
    <row r="22" spans="2:11" ht="16.5" thickTop="1" thickBot="1" x14ac:dyDescent="0.3">
      <c r="B22" s="39"/>
      <c r="C22" s="40" t="s">
        <v>23</v>
      </c>
      <c r="D22" s="40"/>
      <c r="E22" s="72"/>
      <c r="F22" s="60">
        <f>SUM(F4:F21)</f>
        <v>1676.0474299999998</v>
      </c>
      <c r="G22" s="41"/>
      <c r="H22" s="39"/>
      <c r="I22" s="66">
        <f>SUM(I4:I21)</f>
        <v>173.73862158399999</v>
      </c>
      <c r="J22" s="39"/>
      <c r="K22" s="41">
        <f>SUM(K4:K21)</f>
        <v>0</v>
      </c>
    </row>
    <row r="23" spans="2:11" x14ac:dyDescent="0.25">
      <c r="C23" t="s">
        <v>35</v>
      </c>
      <c r="F23" s="12">
        <f>F19+F14+F10+F5</f>
        <v>163.95355999999998</v>
      </c>
      <c r="G23" t="str">
        <f>G19</f>
        <v>на 2 км</v>
      </c>
      <c r="I23" s="59">
        <f>I19+I14+I10+I5</f>
        <v>38.567267199999996</v>
      </c>
      <c r="K23">
        <f>K19+K14+K10+K5</f>
        <v>0</v>
      </c>
    </row>
    <row r="24" spans="2:11" s="62" customFormat="1" x14ac:dyDescent="0.25">
      <c r="C24" s="64" t="s">
        <v>18</v>
      </c>
      <c r="F24" s="61">
        <f>F21</f>
        <v>255.35520000000002</v>
      </c>
      <c r="G24" s="62" t="str">
        <f>G21</f>
        <v>утилизация</v>
      </c>
      <c r="I24" s="63">
        <f>I21</f>
        <v>108.039096</v>
      </c>
      <c r="K24" s="62">
        <f>K21</f>
        <v>0</v>
      </c>
    </row>
    <row r="25" spans="2:11" s="62" customFormat="1" x14ac:dyDescent="0.25">
      <c r="C25" s="64" t="s">
        <v>36</v>
      </c>
      <c r="F25" s="61">
        <f>F16+F9+F7</f>
        <v>68.174800000000019</v>
      </c>
      <c r="G25" s="62" t="str">
        <f>G16</f>
        <v>утилизация</v>
      </c>
      <c r="I25" s="63">
        <f>I16+I9+I7</f>
        <v>10.271800000000002</v>
      </c>
      <c r="K25" s="62">
        <f>K16+K9+K7</f>
        <v>0</v>
      </c>
    </row>
    <row r="26" spans="2:11" s="62" customFormat="1" x14ac:dyDescent="0.25">
      <c r="C26" s="64" t="s">
        <v>37</v>
      </c>
      <c r="F26" s="61">
        <f>F12+F6</f>
        <v>1142.6579999999999</v>
      </c>
      <c r="G26" s="62" t="str">
        <f>G12</f>
        <v>утилизация</v>
      </c>
      <c r="I26" s="63">
        <f>I12+I6</f>
        <v>0</v>
      </c>
      <c r="K26" s="62">
        <f>K12+K6</f>
        <v>0</v>
      </c>
    </row>
    <row r="27" spans="2:11" x14ac:dyDescent="0.25">
      <c r="C27" s="4" t="s">
        <v>3</v>
      </c>
      <c r="F27" s="12">
        <f>F20+F15</f>
        <v>45.90587</v>
      </c>
      <c r="G27" t="str">
        <f>G19</f>
        <v>на 2 км</v>
      </c>
      <c r="I27" s="59">
        <f>I20+I15</f>
        <v>16.860458383999998</v>
      </c>
      <c r="K27">
        <f>K20+K15</f>
        <v>0</v>
      </c>
    </row>
    <row r="28" spans="2:11" ht="37.5" customHeight="1" x14ac:dyDescent="0.25">
      <c r="C28" s="11"/>
      <c r="D28" s="11"/>
      <c r="E28" s="11"/>
      <c r="F28" s="13"/>
    </row>
    <row r="29" spans="2:11" x14ac:dyDescent="0.25">
      <c r="C29" s="4" t="s">
        <v>22</v>
      </c>
      <c r="D29" s="9"/>
      <c r="E29" s="9"/>
      <c r="F29" s="14"/>
    </row>
  </sheetData>
  <mergeCells count="5">
    <mergeCell ref="B1:G1"/>
    <mergeCell ref="G6:G7"/>
    <mergeCell ref="G14:G15"/>
    <mergeCell ref="G19:G20"/>
    <mergeCell ref="H2:I2"/>
  </mergeCells>
  <pageMargins left="0.31496062992125984" right="0.31496062992125984" top="0.55118110236220474" bottom="0.5511811023622047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 </vt:lpstr>
      <vt:lpstr>Лист1 (2)</vt:lpstr>
      <vt:lpstr>'Лист1 (2)'!Область_печати</vt:lpstr>
      <vt:lpstr>'расчет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v.kuznetsova</dc:creator>
  <cp:lastModifiedBy>Анастасия</cp:lastModifiedBy>
  <cp:lastPrinted>2021-10-19T07:25:32Z</cp:lastPrinted>
  <dcterms:created xsi:type="dcterms:W3CDTF">2021-10-11T08:29:21Z</dcterms:created>
  <dcterms:modified xsi:type="dcterms:W3CDTF">2024-02-14T14:36:43Z</dcterms:modified>
</cp:coreProperties>
</file>