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ДС\"/>
    </mc:Choice>
  </mc:AlternateContent>
  <xr:revisionPtr revIDLastSave="0" documentId="13_ncr:1_{7669B06E-FF99-4492-AFD1-D953D19F955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реестр ССР2" sheetId="4" r:id="rId1"/>
    <sheet name="корр" sheetId="3" r:id="rId2"/>
    <sheet name="Лист1" sheetId="1" r:id="rId3"/>
    <sheet name="Лист2" sheetId="2" r:id="rId4"/>
  </sheets>
  <externalReferences>
    <externalReference r:id="rId5"/>
    <externalReference r:id="rId6"/>
    <externalReference r:id="rId7"/>
  </externalReferences>
  <definedNames>
    <definedName name="_xlnm.Print_Area" localSheetId="0">'реестр ССР2'!$A$1:$J$41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" i="3" l="1"/>
  <c r="H42" i="3"/>
  <c r="H40" i="3"/>
  <c r="K41" i="4"/>
  <c r="H41" i="4"/>
  <c r="G41" i="4"/>
  <c r="F41" i="4"/>
  <c r="E41" i="4"/>
  <c r="D41" i="4"/>
  <c r="N39" i="4"/>
  <c r="O39" i="4" s="1"/>
  <c r="J39" i="4"/>
  <c r="L41" i="4" s="1"/>
  <c r="Q38" i="4"/>
  <c r="N38" i="4"/>
  <c r="O38" i="4" s="1"/>
  <c r="M38" i="4"/>
  <c r="L38" i="4"/>
  <c r="J38" i="4"/>
  <c r="N37" i="4"/>
  <c r="O37" i="4" s="1"/>
  <c r="J37" i="4"/>
  <c r="Q37" i="4" s="1"/>
  <c r="Q36" i="4"/>
  <c r="N36" i="4"/>
  <c r="O36" i="4" s="1"/>
  <c r="M36" i="4"/>
  <c r="L36" i="4"/>
  <c r="J36" i="4"/>
  <c r="N35" i="4"/>
  <c r="O35" i="4" s="1"/>
  <c r="L35" i="4"/>
  <c r="M35" i="4" s="1"/>
  <c r="J35" i="4"/>
  <c r="Q35" i="4" s="1"/>
  <c r="Q34" i="4"/>
  <c r="N34" i="4"/>
  <c r="O34" i="4" s="1"/>
  <c r="M34" i="4"/>
  <c r="L34" i="4"/>
  <c r="J34" i="4"/>
  <c r="N33" i="4"/>
  <c r="O33" i="4" s="1"/>
  <c r="L33" i="4"/>
  <c r="M33" i="4" s="1"/>
  <c r="J33" i="4"/>
  <c r="Q33" i="4" s="1"/>
  <c r="Q32" i="4"/>
  <c r="N32" i="4"/>
  <c r="O32" i="4" s="1"/>
  <c r="M32" i="4"/>
  <c r="L32" i="4"/>
  <c r="J32" i="4"/>
  <c r="N31" i="4"/>
  <c r="O31" i="4" s="1"/>
  <c r="L31" i="4"/>
  <c r="M31" i="4" s="1"/>
  <c r="J31" i="4"/>
  <c r="Q31" i="4" s="1"/>
  <c r="Q30" i="4"/>
  <c r="N30" i="4"/>
  <c r="O30" i="4" s="1"/>
  <c r="M30" i="4"/>
  <c r="L30" i="4"/>
  <c r="J30" i="4"/>
  <c r="N29" i="4"/>
  <c r="O29" i="4" s="1"/>
  <c r="J29" i="4"/>
  <c r="Q29" i="4" s="1"/>
  <c r="L28" i="4"/>
  <c r="M28" i="4" s="1"/>
  <c r="J28" i="4"/>
  <c r="L27" i="4"/>
  <c r="M27" i="4" s="1"/>
  <c r="J27" i="4"/>
  <c r="L26" i="4"/>
  <c r="M26" i="4" s="1"/>
  <c r="J26" i="4"/>
  <c r="L25" i="4"/>
  <c r="M25" i="4" s="1"/>
  <c r="J25" i="4"/>
  <c r="L24" i="4"/>
  <c r="M24" i="4" s="1"/>
  <c r="J24" i="4"/>
  <c r="L23" i="4"/>
  <c r="M23" i="4" s="1"/>
  <c r="J23" i="4"/>
  <c r="L22" i="4"/>
  <c r="M22" i="4" s="1"/>
  <c r="J22" i="4"/>
  <c r="L21" i="4"/>
  <c r="M21" i="4" s="1"/>
  <c r="J21" i="4"/>
  <c r="L20" i="4"/>
  <c r="M20" i="4" s="1"/>
  <c r="J20" i="4"/>
  <c r="L19" i="4"/>
  <c r="M19" i="4" s="1"/>
  <c r="J19" i="4"/>
  <c r="L18" i="4"/>
  <c r="M18" i="4" s="1"/>
  <c r="J18" i="4"/>
  <c r="L17" i="4"/>
  <c r="M17" i="4" s="1"/>
  <c r="J17" i="4"/>
  <c r="L16" i="4"/>
  <c r="M16" i="4" s="1"/>
  <c r="J16" i="4"/>
  <c r="L15" i="4"/>
  <c r="M15" i="4" s="1"/>
  <c r="J15" i="4"/>
  <c r="L14" i="4"/>
  <c r="M14" i="4" s="1"/>
  <c r="J14" i="4"/>
  <c r="L13" i="4"/>
  <c r="M13" i="4" s="1"/>
  <c r="J13" i="4"/>
  <c r="L12" i="4"/>
  <c r="M12" i="4" s="1"/>
  <c r="J12" i="4"/>
  <c r="L11" i="4"/>
  <c r="M11" i="4" s="1"/>
  <c r="J11" i="4"/>
  <c r="J41" i="4" s="1"/>
  <c r="Q39" i="4" l="1"/>
  <c r="G39" i="3"/>
  <c r="G38" i="3"/>
  <c r="G36" i="3"/>
  <c r="G33" i="3"/>
  <c r="G32" i="3"/>
  <c r="G31" i="3"/>
  <c r="G30" i="3"/>
  <c r="G34" i="3"/>
  <c r="G35" i="3"/>
  <c r="G37" i="3"/>
  <c r="G40" i="3"/>
  <c r="G29" i="3"/>
  <c r="D41" i="3"/>
  <c r="F28" i="3"/>
  <c r="F27" i="3"/>
  <c r="G27" i="3" s="1"/>
  <c r="D25" i="3"/>
  <c r="D42" i="3" s="1"/>
  <c r="C25" i="3"/>
  <c r="C42" i="3" s="1"/>
  <c r="G24" i="3"/>
  <c r="E24" i="3"/>
  <c r="B24" i="3"/>
  <c r="G23" i="3"/>
  <c r="E23" i="3"/>
  <c r="B23" i="3"/>
  <c r="G22" i="3"/>
  <c r="E22" i="3"/>
  <c r="G21" i="3"/>
  <c r="E21" i="3"/>
  <c r="G20" i="3"/>
  <c r="E20" i="3"/>
  <c r="G19" i="3"/>
  <c r="E19" i="3"/>
  <c r="G18" i="3"/>
  <c r="E18" i="3"/>
  <c r="G17" i="3"/>
  <c r="E17" i="3"/>
  <c r="G16" i="3"/>
  <c r="E16" i="3"/>
  <c r="G15" i="3"/>
  <c r="E15" i="3"/>
  <c r="G14" i="3"/>
  <c r="E14" i="3"/>
  <c r="G13" i="3"/>
  <c r="E13" i="3"/>
  <c r="G12" i="3"/>
  <c r="E12" i="3"/>
  <c r="G11" i="3"/>
  <c r="E11" i="3"/>
  <c r="G10" i="3"/>
  <c r="E10" i="3"/>
  <c r="G9" i="3"/>
  <c r="E9" i="3"/>
  <c r="G8" i="3"/>
  <c r="E8" i="3"/>
  <c r="G7" i="3"/>
  <c r="E7" i="3"/>
  <c r="D6" i="3"/>
  <c r="F6" i="3" s="1"/>
  <c r="G5" i="3"/>
  <c r="E5" i="3"/>
  <c r="G4" i="3"/>
  <c r="E4" i="3"/>
  <c r="I39" i="2"/>
  <c r="H39" i="2"/>
  <c r="F41" i="3" l="1"/>
  <c r="E41" i="3"/>
  <c r="G6" i="3"/>
  <c r="G25" i="3" s="1"/>
  <c r="F25" i="3"/>
  <c r="F42" i="3" s="1"/>
  <c r="G28" i="3"/>
  <c r="G41" i="3" s="1"/>
  <c r="E6" i="3"/>
  <c r="E25" i="3" s="1"/>
  <c r="E42" i="3" l="1"/>
  <c r="G42" i="3"/>
  <c r="D6" i="2" l="1"/>
  <c r="E6" i="2" s="1"/>
  <c r="G29" i="2"/>
  <c r="G30" i="2"/>
  <c r="G31" i="2"/>
  <c r="G32" i="2"/>
  <c r="G33" i="2"/>
  <c r="G34" i="2"/>
  <c r="G35" i="2"/>
  <c r="G36" i="2"/>
  <c r="G37" i="2"/>
  <c r="G38" i="2"/>
  <c r="G39" i="2"/>
  <c r="G40" i="2"/>
  <c r="F28" i="2"/>
  <c r="G28" i="2" s="1"/>
  <c r="F27" i="2"/>
  <c r="G27" i="2" s="1"/>
  <c r="G5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4" i="2"/>
  <c r="E8" i="2"/>
  <c r="E16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27" i="2"/>
  <c r="D41" i="2"/>
  <c r="E5" i="2"/>
  <c r="E7" i="2"/>
  <c r="E11" i="2"/>
  <c r="E14" i="2"/>
  <c r="E15" i="2"/>
  <c r="E20" i="2"/>
  <c r="E21" i="2"/>
  <c r="E23" i="2"/>
  <c r="E4" i="2"/>
  <c r="C25" i="2"/>
  <c r="C42" i="2" s="1"/>
  <c r="B24" i="2"/>
  <c r="B23" i="2"/>
  <c r="F6" i="2" l="1"/>
  <c r="F25" i="2" s="1"/>
  <c r="G41" i="2"/>
  <c r="F41" i="2"/>
  <c r="F42" i="2" s="1"/>
  <c r="E12" i="2"/>
  <c r="E18" i="2"/>
  <c r="E9" i="2"/>
  <c r="E19" i="2"/>
  <c r="E17" i="2"/>
  <c r="E13" i="2"/>
  <c r="E10" i="2"/>
  <c r="E22" i="2"/>
  <c r="E41" i="2"/>
  <c r="E24" i="2"/>
  <c r="G6" i="2" l="1"/>
  <c r="G25" i="2" s="1"/>
  <c r="G42" i="2" s="1"/>
  <c r="E25" i="2"/>
  <c r="E42" i="2" s="1"/>
  <c r="D25" i="2"/>
  <c r="D42" i="2" s="1"/>
  <c r="I25" i="1" l="1"/>
  <c r="I42" i="1" l="1"/>
  <c r="G61" i="1"/>
  <c r="F61" i="1"/>
  <c r="C61" i="1"/>
  <c r="S48" i="1"/>
  <c r="S47" i="1"/>
  <c r="S46" i="1"/>
  <c r="S40" i="1"/>
  <c r="S39" i="1"/>
  <c r="R38" i="1"/>
  <c r="S38" i="1" s="1"/>
  <c r="R37" i="1"/>
  <c r="S37" i="1" s="1"/>
  <c r="R36" i="1"/>
  <c r="R35" i="1"/>
  <c r="S35" i="1" s="1"/>
  <c r="R34" i="1"/>
  <c r="Q34" i="1"/>
  <c r="R33" i="1"/>
  <c r="R32" i="1"/>
  <c r="R31" i="1"/>
  <c r="S31" i="1" s="1"/>
  <c r="R30" i="1"/>
  <c r="R29" i="1"/>
  <c r="N25" i="1"/>
  <c r="N42" i="1" s="1"/>
  <c r="M25" i="1"/>
  <c r="M42" i="1" s="1"/>
  <c r="L25" i="1"/>
  <c r="L42" i="1" s="1"/>
  <c r="K25" i="1"/>
  <c r="K42" i="1" s="1"/>
  <c r="J25" i="1"/>
  <c r="J42" i="1" s="1"/>
  <c r="G25" i="1"/>
  <c r="G62" i="1" s="1"/>
  <c r="F25" i="1"/>
  <c r="F62" i="1" s="1"/>
  <c r="C25" i="1"/>
  <c r="C62" i="1" s="1"/>
  <c r="S28" i="1"/>
  <c r="O28" i="1"/>
  <c r="S27" i="1"/>
  <c r="O27" i="1"/>
  <c r="O24" i="1"/>
  <c r="Q24" i="1" s="1"/>
  <c r="S24" i="1" s="1"/>
  <c r="T24" i="1" s="1"/>
  <c r="B24" i="1"/>
  <c r="O23" i="1"/>
  <c r="Q23" i="1" s="1"/>
  <c r="S23" i="1" s="1"/>
  <c r="T23" i="1" s="1"/>
  <c r="H23" i="1"/>
  <c r="P23" i="1" s="1"/>
  <c r="B23" i="1"/>
  <c r="O22" i="1"/>
  <c r="Q22" i="1" s="1"/>
  <c r="S22" i="1" s="1"/>
  <c r="T22" i="1" s="1"/>
  <c r="O21" i="1"/>
  <c r="Q21" i="1" s="1"/>
  <c r="S21" i="1" s="1"/>
  <c r="T21" i="1" s="1"/>
  <c r="R20" i="1"/>
  <c r="O20" i="1"/>
  <c r="Q20" i="1" s="1"/>
  <c r="R19" i="1"/>
  <c r="O19" i="1"/>
  <c r="Q19" i="1" s="1"/>
  <c r="R18" i="1"/>
  <c r="O18" i="1"/>
  <c r="Q18" i="1" s="1"/>
  <c r="S18" i="1" s="1"/>
  <c r="T18" i="1" s="1"/>
  <c r="O17" i="1"/>
  <c r="Q17" i="1" s="1"/>
  <c r="S17" i="1" s="1"/>
  <c r="T17" i="1" s="1"/>
  <c r="H17" i="1"/>
  <c r="H24" i="1" s="1"/>
  <c r="P24" i="1" s="1"/>
  <c r="R16" i="1"/>
  <c r="O16" i="1"/>
  <c r="Q16" i="1" s="1"/>
  <c r="R15" i="1"/>
  <c r="O15" i="1"/>
  <c r="Q15" i="1" s="1"/>
  <c r="R14" i="1"/>
  <c r="O14" i="1"/>
  <c r="Q14" i="1" s="1"/>
  <c r="S14" i="1" s="1"/>
  <c r="T14" i="1" s="1"/>
  <c r="R13" i="1"/>
  <c r="O13" i="1"/>
  <c r="Q13" i="1" s="1"/>
  <c r="R12" i="1"/>
  <c r="O12" i="1"/>
  <c r="Q12" i="1" s="1"/>
  <c r="H12" i="1"/>
  <c r="P12" i="1" s="1"/>
  <c r="R11" i="1"/>
  <c r="O11" i="1"/>
  <c r="Q11" i="1" s="1"/>
  <c r="H11" i="1"/>
  <c r="H20" i="1" s="1"/>
  <c r="P20" i="1" s="1"/>
  <c r="R10" i="1"/>
  <c r="O10" i="1"/>
  <c r="Q10" i="1" s="1"/>
  <c r="R9" i="1"/>
  <c r="O9" i="1"/>
  <c r="Q9" i="1" s="1"/>
  <c r="R8" i="1"/>
  <c r="O8" i="1"/>
  <c r="Q8" i="1" s="1"/>
  <c r="P8" i="1"/>
  <c r="R7" i="1"/>
  <c r="O7" i="1"/>
  <c r="Q7" i="1" s="1"/>
  <c r="O6" i="1"/>
  <c r="Q6" i="1" s="1"/>
  <c r="S6" i="1" s="1"/>
  <c r="T6" i="1" s="1"/>
  <c r="H6" i="1"/>
  <c r="H18" i="1" s="1"/>
  <c r="P18" i="1" s="1"/>
  <c r="O5" i="1"/>
  <c r="Q5" i="1" s="1"/>
  <c r="S5" i="1" s="1"/>
  <c r="T5" i="1" s="1"/>
  <c r="P5" i="1"/>
  <c r="P4" i="1"/>
  <c r="O4" i="1"/>
  <c r="H8" i="1" l="1"/>
  <c r="H15" i="1" s="1"/>
  <c r="P15" i="1" s="1"/>
  <c r="H9" i="1"/>
  <c r="P9" i="1" s="1"/>
  <c r="S29" i="1"/>
  <c r="R41" i="1"/>
  <c r="S8" i="1"/>
  <c r="T8" i="1" s="1"/>
  <c r="H7" i="1"/>
  <c r="H14" i="1" s="1"/>
  <c r="P14" i="1" s="1"/>
  <c r="S9" i="1"/>
  <c r="T9" i="1" s="1"/>
  <c r="S12" i="1"/>
  <c r="T12" i="1" s="1"/>
  <c r="S16" i="1"/>
  <c r="T16" i="1" s="1"/>
  <c r="S20" i="1"/>
  <c r="T20" i="1" s="1"/>
  <c r="S11" i="1"/>
  <c r="T11" i="1" s="1"/>
  <c r="S15" i="1"/>
  <c r="T15" i="1" s="1"/>
  <c r="S19" i="1"/>
  <c r="T19" i="1" s="1"/>
  <c r="S7" i="1"/>
  <c r="T7" i="1" s="1"/>
  <c r="O25" i="1"/>
  <c r="R25" i="1"/>
  <c r="S10" i="1"/>
  <c r="T10" i="1" s="1"/>
  <c r="S13" i="1"/>
  <c r="T13" i="1" s="1"/>
  <c r="H13" i="1"/>
  <c r="P13" i="1" s="1"/>
  <c r="S33" i="1"/>
  <c r="S34" i="1"/>
  <c r="Q4" i="1"/>
  <c r="Q25" i="1" s="1"/>
  <c r="Q42" i="1" s="1"/>
  <c r="H19" i="1"/>
  <c r="P19" i="1" s="1"/>
  <c r="H16" i="1"/>
  <c r="P16" i="1" s="1"/>
  <c r="C42" i="1"/>
  <c r="H10" i="1"/>
  <c r="P11" i="1"/>
  <c r="P17" i="1"/>
  <c r="H34" i="1"/>
  <c r="F42" i="1"/>
  <c r="G42" i="1"/>
  <c r="S30" i="1"/>
  <c r="S32" i="1"/>
  <c r="S36" i="1"/>
  <c r="P25" i="1" l="1"/>
  <c r="O42" i="1"/>
  <c r="S41" i="1"/>
  <c r="S4" i="1"/>
  <c r="S25" i="1" s="1"/>
  <c r="P7" i="1"/>
  <c r="H22" i="1"/>
  <c r="P22" i="1" s="1"/>
  <c r="H21" i="1"/>
  <c r="P21" i="1" s="1"/>
  <c r="P10" i="1"/>
  <c r="P42" i="1"/>
  <c r="R42" i="1"/>
  <c r="S42" i="1" l="1"/>
  <c r="T42" i="1" s="1"/>
  <c r="T4" i="1"/>
</calcChain>
</file>

<file path=xl/sharedStrings.xml><?xml version="1.0" encoding="utf-8"?>
<sst xmlns="http://schemas.openxmlformats.org/spreadsheetml/2006/main" count="226" uniqueCount="122">
  <si>
    <t>№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</si>
  <si>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</si>
  <si>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</si>
  <si>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</si>
  <si>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</si>
  <si>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</si>
  <si>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r>
      <t xml:space="preserve">всего без НДС с повышающим договорным коэффициентом </t>
    </r>
    <r>
      <rPr>
        <b/>
        <i/>
        <sz val="12"/>
        <color theme="1"/>
        <rFont val="Times New Roman"/>
        <family val="1"/>
        <charset val="204"/>
      </rPr>
      <t>1,05136042</t>
    </r>
  </si>
  <si>
    <t>ндс 20%</t>
  </si>
  <si>
    <t>Сумма смет  по ДОГОВОРУ с ндс</t>
  </si>
  <si>
    <r>
      <t xml:space="preserve">Всего (с НДС),                          </t>
    </r>
    <r>
      <rPr>
        <b/>
        <u/>
        <sz val="12"/>
        <color theme="1"/>
        <rFont val="Times New Roman"/>
        <family val="1"/>
        <charset val="204"/>
      </rPr>
      <t>кс-3 №1</t>
    </r>
    <r>
      <rPr>
        <b/>
        <sz val="12"/>
        <color theme="1"/>
        <rFont val="Times New Roman"/>
        <family val="1"/>
        <charset val="204"/>
      </rPr>
      <t xml:space="preserve"> от 20.11.2023г.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</si>
  <si>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№2</t>
    </r>
    <r>
      <rPr>
        <b/>
        <sz val="12"/>
        <color theme="1"/>
        <rFont val="Times New Roman"/>
        <family val="1"/>
        <charset val="204"/>
      </rPr>
      <t xml:space="preserve"> от 07.12.2023г.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</si>
  <si>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№3</t>
    </r>
    <r>
      <rPr>
        <b/>
        <sz val="12"/>
        <color theme="1"/>
        <rFont val="Times New Roman"/>
        <family val="1"/>
        <charset val="204"/>
      </rPr>
      <t xml:space="preserve"> от 29.12.2023г.</t>
    </r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</si>
  <si>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№4</t>
    </r>
    <r>
      <rPr>
        <b/>
        <sz val="12"/>
        <color rgb="FFFF0000"/>
        <rFont val="Times New Roman"/>
        <family val="1"/>
        <charset val="204"/>
      </rPr>
      <t xml:space="preserve"> от 22.01.2024г.</t>
    </r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</si>
  <si>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№5</t>
    </r>
    <r>
      <rPr>
        <b/>
        <sz val="12"/>
        <color rgb="FFFF0000"/>
        <rFont val="Times New Roman"/>
        <family val="1"/>
        <charset val="204"/>
      </rPr>
      <t xml:space="preserve"> от 20.03.2024г.</t>
    </r>
  </si>
  <si>
    <t>остаток</t>
  </si>
  <si>
    <t>сумма ССР1                                                     (то,что %-но, Кдог=1,0514), с НДС</t>
  </si>
  <si>
    <r>
      <t>сумма ССР2                                                         (Кдог=</t>
    </r>
    <r>
      <rPr>
        <b/>
        <u/>
        <sz val="12"/>
        <color theme="1"/>
        <rFont val="Times New Roman"/>
        <family val="1"/>
        <charset val="204"/>
      </rPr>
      <t>1,0514</t>
    </r>
    <r>
      <rPr>
        <b/>
        <sz val="12"/>
        <color theme="1"/>
        <rFont val="Times New Roman"/>
        <family val="1"/>
        <charset val="204"/>
      </rPr>
      <t>), с НДС</t>
    </r>
  </si>
  <si>
    <t>ВСЕГО (ССР1+ССР2),                             с НДС</t>
  </si>
  <si>
    <t>Выполнение работ по ликвидации объектов по трассе ж.д. путей, подготовке трассы ж.д. путей.</t>
  </si>
  <si>
    <t>Выполнение работ по ликвидации объекта капитального строительства</t>
  </si>
  <si>
    <t>Демонтаж сетей и систем  инженерного обоспечения.</t>
  </si>
  <si>
    <t>Трансбордер. Архитектурно-строительные решения. Часть 2. АС2 .</t>
  </si>
  <si>
    <t>Электроснабжение. ЭС 1. + ПНР</t>
  </si>
  <si>
    <t>Переустройство кабельных линий.ЭС2 + ПНР</t>
  </si>
  <si>
    <t>Переустройство хозпитьевого водопровода.НВК2</t>
  </si>
  <si>
    <t>Переустройство хозпитьевого водопровода.НВК3</t>
  </si>
  <si>
    <t>Переустройство хозяйственно-бытовой канализации.НВК4</t>
  </si>
  <si>
    <t>Переустройство ливневой канализации.НВК5.</t>
  </si>
  <si>
    <t>Теплоснабжение. Переустройство трубопровода.ТС2</t>
  </si>
  <si>
    <t>Теплоснабжение. Переустройство трубопровода.ТС3</t>
  </si>
  <si>
    <t>Наружные газопроводы. Вынос газопровода среднего давления.</t>
  </si>
  <si>
    <t>Верхнее строение пути</t>
  </si>
  <si>
    <t>Архитектурно-строительные решения. Часть 1.АС1</t>
  </si>
  <si>
    <t>Архитектурно-строительные решения. Эстакада для ТС1. АС 4</t>
  </si>
  <si>
    <t>Теплоснабжение.Переустройство трубопровода.ТС1</t>
  </si>
  <si>
    <t>Генеральный план. Трансбордер. ГП1 основные работы</t>
  </si>
  <si>
    <t>Генеральный план. ГП2</t>
  </si>
  <si>
    <t>Временная теплосеть</t>
  </si>
  <si>
    <t>Мазутопровод</t>
  </si>
  <si>
    <t>Временный переезд ч.жд.п цех 417</t>
  </si>
  <si>
    <t>Временный водопровод 121</t>
  </si>
  <si>
    <t>Демонтаж ламп-121+75</t>
  </si>
  <si>
    <t>Вырубка кустарников</t>
  </si>
  <si>
    <t>СС.Переустройство кабельной канализации связи</t>
  </si>
  <si>
    <t>Генеральный план. Трансбордер. ГП1. восстановление аб</t>
  </si>
  <si>
    <t>НВК5.Доп.работы</t>
  </si>
  <si>
    <t>Смещение ЗД.АС1</t>
  </si>
  <si>
    <t>КС трансбордер</t>
  </si>
  <si>
    <t>Отвод контактной сети</t>
  </si>
  <si>
    <t>Послеосадочный ремонт.Верхнее строение пути</t>
  </si>
  <si>
    <t>АС2-ВК (Узел подпорной стены по коллектору)</t>
  </si>
  <si>
    <t>Удлинение подпорной стенки трансбордера (ПС-2)</t>
  </si>
  <si>
    <t>Переустройство кабеля к кранам шихты под путями 32 34 36</t>
  </si>
  <si>
    <t>Всего закрыто на 05.08.2024</t>
  </si>
  <si>
    <t>Дополнительные работы</t>
  </si>
  <si>
    <t>Проектное ограждение.АС1</t>
  </si>
  <si>
    <t xml:space="preserve"> </t>
  </si>
  <si>
    <t>Новая сумма Договора</t>
  </si>
  <si>
    <t>Разница с начальной стоимостью Договора</t>
  </si>
  <si>
    <t>Итого доп работы</t>
  </si>
  <si>
    <t>Итого</t>
  </si>
  <si>
    <t>Итого работы по договору</t>
  </si>
  <si>
    <t>Остаток к закрытию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</si>
  <si>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</si>
  <si>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</si>
  <si>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</si>
  <si>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</si>
  <si>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</si>
  <si>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</si>
  <si>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</si>
  <si>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</si>
  <si>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Реестр актов выполненных работ к КС-3 №6 от 02.08.2024 г. (Договор  №МВМ/03-07 от 03 июля 2023г)</t>
  </si>
  <si>
    <t>№ СМЕТЫ</t>
  </si>
  <si>
    <t>всего без НДС с договорным коэффициентом 1,0514</t>
  </si>
  <si>
    <t>СМР с материалами всего с ндс</t>
  </si>
  <si>
    <t>кс-2№</t>
  </si>
  <si>
    <t>02-01-01 изм.1</t>
  </si>
  <si>
    <t>02-03-01 изм.1</t>
  </si>
  <si>
    <t>02-03-02 изм.1</t>
  </si>
  <si>
    <t xml:space="preserve">04-01-01 изм.1 </t>
  </si>
  <si>
    <t>Электроснабжение. ЭС 1.</t>
  </si>
  <si>
    <t>04-01-02 изм.1</t>
  </si>
  <si>
    <t>Переустройство кабельных линий.ЭС2</t>
  </si>
  <si>
    <t>06-01-01  изм.1</t>
  </si>
  <si>
    <t>06-01-02 изм.1</t>
  </si>
  <si>
    <t>06-02-01 изм.1</t>
  </si>
  <si>
    <t>06-02-02 изм.1</t>
  </si>
  <si>
    <t>06-03-01 изм.1</t>
  </si>
  <si>
    <t>Теплоснабжение.ТС1. Переустройство трубопровода</t>
  </si>
  <si>
    <t>06-03-02 изм.1</t>
  </si>
  <si>
    <t>06-03-03 изм.1</t>
  </si>
  <si>
    <t>06-03-04 изм.1</t>
  </si>
  <si>
    <t>06-04-01 изм.1</t>
  </si>
  <si>
    <t xml:space="preserve"> 07-01-01 изм.1</t>
  </si>
  <si>
    <t>Генеральный план. Трансбордер. ГП1</t>
  </si>
  <si>
    <t>07-01-02 изм.1</t>
  </si>
  <si>
    <t>Генеральный план 131-23 ГП2</t>
  </si>
  <si>
    <t>09-01-01</t>
  </si>
  <si>
    <t>Пусконаладочные работы. Электроснабжение. ЭС 1.</t>
  </si>
  <si>
    <t xml:space="preserve">09-01-02 </t>
  </si>
  <si>
    <t>Пусконаладочные работы при переустройстве кабельных линий.ЭС2</t>
  </si>
  <si>
    <t>01-01-01 доп.1</t>
  </si>
  <si>
    <t>01-01-02 доп.1</t>
  </si>
  <si>
    <t>Снятие люминисцентных ламп в демонтируемых зданиях.</t>
  </si>
  <si>
    <t>01-01-02 доп.2</t>
  </si>
  <si>
    <t>Переустройство хозпитьевого водопровода по временной схеме от корпуса 121 до склада</t>
  </si>
  <si>
    <t>02-01-01 доп.1</t>
  </si>
  <si>
    <t>Устройство временного переезда через железнодорожные пути №33,35,37,39. Цех 417</t>
  </si>
  <si>
    <t>02-01-01 доп.2</t>
  </si>
  <si>
    <t>Контактная сеть обкаточных путей.</t>
  </si>
  <si>
    <t>02-03-01 доп.1</t>
  </si>
  <si>
    <t>Смещение закладных М1 на фундаментах ФМ-2. АС1</t>
  </si>
  <si>
    <t>02-03-01 доп.2</t>
  </si>
  <si>
    <t>Трансбордер. Контактная сеть.</t>
  </si>
  <si>
    <t>02-03-01 доп.3</t>
  </si>
  <si>
    <t>Устройство ограждения.АС1</t>
  </si>
  <si>
    <t>05-01-01 доп.1</t>
  </si>
  <si>
    <t>Переустройство кабельной канализации связи. СС</t>
  </si>
  <si>
    <t>Переустройство ливневой канализации. НВК5.</t>
  </si>
  <si>
    <t>07-01-01 доп.1</t>
  </si>
  <si>
    <t>Восстановление а/б покрытия после подъема путей. ГП1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</si>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</sst>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#,##0.0"/>
    <numFmt numFmtId="166" formatCode="_-* #,##0.00_р_._-;\-* #,##0.00_р_._-;_-* &quot;-&quot;??_р_.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theme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theme="4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2" fillId="0" borderId="0"/>
    <xf numFmtId="164" fontId="11" fillId="0" borderId="0" applyFont="0" applyFill="0" applyBorder="0" applyAlignment="0" applyProtection="0"/>
    <xf numFmtId="0" fontId="1" fillId="0" borderId="0"/>
    <xf numFmtId="0" fontId="15" fillId="0" borderId="0"/>
    <xf numFmtId="43" fontId="15" fillId="0" borderId="0" applyFont="0" applyFill="0" applyBorder="0" applyAlignment="0" applyProtection="0"/>
  </cellStyleXfs>
  <cellXfs count="151">
    <xf numFmtId="0" fontId="0" fillId="0" borderId="0" xfId="0"/>
    <xf numFmtId="164" fontId="12" fillId="0" borderId="5" xfId="4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4" fontId="4" fillId="0" borderId="0" xfId="2" applyNumberFormat="1" applyFont="1" applyFill="1" applyAlignment="1">
      <alignment horizontal="center" vertical="center"/>
    </xf>
    <xf numFmtId="0" fontId="4" fillId="0" borderId="0" xfId="2" applyFont="1" applyFill="1"/>
    <xf numFmtId="0" fontId="4" fillId="0" borderId="0" xfId="3" applyFont="1" applyFill="1" applyAlignment="1">
      <alignment horizontal="center"/>
    </xf>
    <xf numFmtId="0" fontId="4" fillId="0" borderId="0" xfId="3" applyFont="1" applyFill="1"/>
    <xf numFmtId="0" fontId="4" fillId="0" borderId="0" xfId="2" applyFont="1" applyFill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4" fontId="6" fillId="0" borderId="2" xfId="2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4" fontId="8" fillId="0" borderId="2" xfId="2" applyNumberFormat="1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left" vertical="center" wrapText="1"/>
    </xf>
    <xf numFmtId="164" fontId="10" fillId="0" borderId="5" xfId="4" applyFont="1" applyFill="1" applyBorder="1" applyAlignment="1">
      <alignment horizontal="center" vertical="center"/>
    </xf>
    <xf numFmtId="165" fontId="10" fillId="0" borderId="5" xfId="2" applyNumberFormat="1" applyFont="1" applyFill="1" applyBorder="1" applyAlignment="1">
      <alignment horizontal="center" vertical="center"/>
    </xf>
    <xf numFmtId="4" fontId="3" fillId="0" borderId="5" xfId="2" applyNumberFormat="1" applyFont="1" applyFill="1" applyBorder="1" applyAlignment="1">
      <alignment horizontal="center" vertical="center"/>
    </xf>
    <xf numFmtId="4" fontId="10" fillId="0" borderId="5" xfId="2" applyNumberFormat="1" applyFont="1" applyFill="1" applyBorder="1" applyAlignment="1">
      <alignment horizontal="center" vertical="center"/>
    </xf>
    <xf numFmtId="4" fontId="10" fillId="0" borderId="6" xfId="2" applyNumberFormat="1" applyFont="1" applyFill="1" applyBorder="1" applyAlignment="1">
      <alignment horizontal="center" vertical="center"/>
    </xf>
    <xf numFmtId="4" fontId="3" fillId="0" borderId="6" xfId="2" applyNumberFormat="1" applyFont="1" applyFill="1" applyBorder="1" applyAlignment="1">
      <alignment horizontal="center" vertical="center"/>
    </xf>
    <xf numFmtId="4" fontId="4" fillId="0" borderId="6" xfId="2" applyNumberFormat="1" applyFont="1" applyFill="1" applyBorder="1" applyAlignment="1">
      <alignment horizontal="center" vertical="center"/>
    </xf>
    <xf numFmtId="4" fontId="4" fillId="0" borderId="0" xfId="2" applyNumberFormat="1" applyFont="1" applyFill="1"/>
    <xf numFmtId="0" fontId="12" fillId="0" borderId="0" xfId="2" applyFont="1" applyFill="1"/>
    <xf numFmtId="4" fontId="6" fillId="0" borderId="6" xfId="2" applyNumberFormat="1" applyFont="1" applyFill="1" applyBorder="1" applyAlignment="1">
      <alignment horizontal="center" vertical="center"/>
    </xf>
    <xf numFmtId="4" fontId="12" fillId="0" borderId="6" xfId="2" applyNumberFormat="1" applyFont="1" applyFill="1" applyBorder="1" applyAlignment="1">
      <alignment horizontal="center" vertical="center"/>
    </xf>
    <xf numFmtId="4" fontId="4" fillId="0" borderId="5" xfId="2" applyNumberFormat="1" applyFont="1" applyFill="1" applyBorder="1" applyAlignment="1">
      <alignment horizontal="center" vertical="center"/>
    </xf>
    <xf numFmtId="0" fontId="10" fillId="0" borderId="0" xfId="2" applyFont="1" applyFill="1"/>
    <xf numFmtId="0" fontId="10" fillId="0" borderId="9" xfId="2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horizontal="left" vertical="center" wrapText="1"/>
    </xf>
    <xf numFmtId="164" fontId="10" fillId="0" borderId="10" xfId="4" applyFont="1" applyFill="1" applyBorder="1" applyAlignment="1">
      <alignment horizontal="center" vertical="center"/>
    </xf>
    <xf numFmtId="165" fontId="10" fillId="0" borderId="10" xfId="2" applyNumberFormat="1" applyFont="1" applyFill="1" applyBorder="1" applyAlignment="1">
      <alignment horizontal="center" vertical="center"/>
    </xf>
    <xf numFmtId="4" fontId="3" fillId="0" borderId="10" xfId="2" applyNumberFormat="1" applyFont="1" applyFill="1" applyBorder="1" applyAlignment="1">
      <alignment horizontal="center" vertical="center"/>
    </xf>
    <xf numFmtId="4" fontId="10" fillId="0" borderId="10" xfId="2" applyNumberFormat="1" applyFont="1" applyFill="1" applyBorder="1" applyAlignment="1">
      <alignment horizontal="center" vertical="center"/>
    </xf>
    <xf numFmtId="4" fontId="10" fillId="0" borderId="11" xfId="2" applyNumberFormat="1" applyFont="1" applyFill="1" applyBorder="1" applyAlignment="1">
      <alignment horizontal="center" vertical="center"/>
    </xf>
    <xf numFmtId="0" fontId="13" fillId="0" borderId="0" xfId="2" applyFont="1" applyFill="1"/>
    <xf numFmtId="0" fontId="10" fillId="0" borderId="13" xfId="2" applyFont="1" applyFill="1" applyBorder="1" applyAlignment="1">
      <alignment horizontal="center" vertical="center"/>
    </xf>
    <xf numFmtId="0" fontId="10" fillId="0" borderId="14" xfId="2" applyFont="1" applyFill="1" applyBorder="1" applyAlignment="1">
      <alignment horizontal="left" vertical="center" wrapText="1"/>
    </xf>
    <xf numFmtId="164" fontId="10" fillId="0" borderId="14" xfId="4" applyFont="1" applyFill="1" applyBorder="1" applyAlignment="1">
      <alignment horizontal="center" vertical="center"/>
    </xf>
    <xf numFmtId="165" fontId="10" fillId="0" borderId="14" xfId="2" applyNumberFormat="1" applyFont="1" applyFill="1" applyBorder="1" applyAlignment="1">
      <alignment horizontal="center" vertical="center"/>
    </xf>
    <xf numFmtId="4" fontId="3" fillId="0" borderId="14" xfId="2" applyNumberFormat="1" applyFont="1" applyFill="1" applyBorder="1" applyAlignment="1">
      <alignment horizontal="center" vertical="center"/>
    </xf>
    <xf numFmtId="4" fontId="4" fillId="0" borderId="14" xfId="2" applyNumberFormat="1" applyFont="1" applyFill="1" applyBorder="1" applyAlignment="1">
      <alignment horizontal="center" vertical="center"/>
    </xf>
    <xf numFmtId="4" fontId="10" fillId="0" borderId="15" xfId="0" applyNumberFormat="1" applyFont="1" applyFill="1" applyBorder="1" applyAlignment="1">
      <alignment horizontal="center" vertical="center" wrapText="1"/>
    </xf>
    <xf numFmtId="4" fontId="4" fillId="0" borderId="10" xfId="2" applyNumberFormat="1" applyFont="1" applyFill="1" applyBorder="1" applyAlignment="1">
      <alignment horizontal="center" vertical="center"/>
    </xf>
    <xf numFmtId="4" fontId="4" fillId="0" borderId="11" xfId="2" applyNumberFormat="1" applyFont="1" applyFill="1" applyBorder="1" applyAlignment="1">
      <alignment horizontal="center" vertical="center"/>
    </xf>
    <xf numFmtId="4" fontId="10" fillId="0" borderId="11" xfId="0" applyNumberFormat="1" applyFont="1" applyFill="1" applyBorder="1" applyAlignment="1">
      <alignment horizontal="center" vertical="center" wrapText="1"/>
    </xf>
    <xf numFmtId="0" fontId="4" fillId="0" borderId="16" xfId="2" applyFont="1" applyFill="1" applyBorder="1"/>
    <xf numFmtId="0" fontId="4" fillId="0" borderId="17" xfId="2" applyFont="1" applyFill="1" applyBorder="1"/>
    <xf numFmtId="4" fontId="6" fillId="0" borderId="17" xfId="2" applyNumberFormat="1" applyFont="1" applyFill="1" applyBorder="1" applyAlignment="1">
      <alignment horizontal="center" vertical="center"/>
    </xf>
    <xf numFmtId="164" fontId="4" fillId="0" borderId="17" xfId="2" applyNumberFormat="1" applyFont="1" applyFill="1" applyBorder="1"/>
    <xf numFmtId="4" fontId="6" fillId="0" borderId="18" xfId="2" applyNumberFormat="1" applyFont="1" applyFill="1" applyBorder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10" fillId="0" borderId="19" xfId="2" applyFont="1" applyFill="1" applyBorder="1" applyAlignment="1">
      <alignment horizontal="center" vertical="center"/>
    </xf>
    <xf numFmtId="0" fontId="10" fillId="0" borderId="20" xfId="2" applyFont="1" applyFill="1" applyBorder="1" applyAlignment="1">
      <alignment horizontal="left" vertical="center" wrapText="1"/>
    </xf>
    <xf numFmtId="164" fontId="10" fillId="0" borderId="20" xfId="4" applyFont="1" applyFill="1" applyBorder="1" applyAlignment="1">
      <alignment horizontal="center" vertical="center"/>
    </xf>
    <xf numFmtId="165" fontId="10" fillId="0" borderId="20" xfId="2" applyNumberFormat="1" applyFont="1" applyFill="1" applyBorder="1" applyAlignment="1">
      <alignment horizontal="center" vertical="center"/>
    </xf>
    <xf numFmtId="4" fontId="3" fillId="0" borderId="20" xfId="2" applyNumberFormat="1" applyFont="1" applyFill="1" applyBorder="1" applyAlignment="1">
      <alignment horizontal="center" vertical="center"/>
    </xf>
    <xf numFmtId="4" fontId="4" fillId="0" borderId="20" xfId="2" applyNumberFormat="1" applyFont="1" applyFill="1" applyBorder="1" applyAlignment="1">
      <alignment horizontal="center" vertical="center"/>
    </xf>
    <xf numFmtId="4" fontId="4" fillId="0" borderId="21" xfId="2" applyNumberFormat="1" applyFont="1" applyFill="1" applyBorder="1" applyAlignment="1">
      <alignment horizontal="center" vertical="center"/>
    </xf>
    <xf numFmtId="4" fontId="6" fillId="0" borderId="21" xfId="2" applyNumberFormat="1" applyFont="1" applyFill="1" applyBorder="1" applyAlignment="1">
      <alignment horizontal="center" vertical="center"/>
    </xf>
    <xf numFmtId="0" fontId="4" fillId="0" borderId="8" xfId="2" applyFont="1" applyFill="1" applyBorder="1"/>
    <xf numFmtId="0" fontId="4" fillId="0" borderId="22" xfId="2" applyFont="1" applyFill="1" applyBorder="1"/>
    <xf numFmtId="4" fontId="6" fillId="0" borderId="22" xfId="2" applyNumberFormat="1" applyFont="1" applyFill="1" applyBorder="1" applyAlignment="1">
      <alignment horizontal="center" vertical="center"/>
    </xf>
    <xf numFmtId="164" fontId="4" fillId="0" borderId="22" xfId="2" applyNumberFormat="1" applyFont="1" applyFill="1" applyBorder="1"/>
    <xf numFmtId="4" fontId="6" fillId="0" borderId="23" xfId="2" applyNumberFormat="1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center" vertical="center"/>
    </xf>
    <xf numFmtId="0" fontId="10" fillId="0" borderId="25" xfId="2" applyFont="1" applyFill="1" applyBorder="1" applyAlignment="1">
      <alignment horizontal="left" vertical="center" wrapText="1"/>
    </xf>
    <xf numFmtId="164" fontId="12" fillId="0" borderId="25" xfId="4" applyFont="1" applyFill="1" applyBorder="1" applyAlignment="1">
      <alignment horizontal="center" vertical="center"/>
    </xf>
    <xf numFmtId="165" fontId="12" fillId="0" borderId="25" xfId="2" applyNumberFormat="1" applyFont="1" applyFill="1" applyBorder="1" applyAlignment="1">
      <alignment horizontal="center" vertical="center"/>
    </xf>
    <xf numFmtId="4" fontId="8" fillId="0" borderId="25" xfId="2" applyNumberFormat="1" applyFont="1" applyFill="1" applyBorder="1" applyAlignment="1">
      <alignment horizontal="center" vertical="center"/>
    </xf>
    <xf numFmtId="4" fontId="12" fillId="0" borderId="25" xfId="2" applyNumberFormat="1" applyFont="1" applyFill="1" applyBorder="1" applyAlignment="1">
      <alignment horizontal="center" vertical="center"/>
    </xf>
    <xf numFmtId="4" fontId="4" fillId="0" borderId="25" xfId="2" applyNumberFormat="1" applyFont="1" applyFill="1" applyBorder="1" applyAlignment="1">
      <alignment horizontal="center" vertical="center"/>
    </xf>
    <xf numFmtId="4" fontId="10" fillId="0" borderId="12" xfId="2" applyNumberFormat="1" applyFont="1" applyFill="1" applyBorder="1" applyAlignment="1">
      <alignment horizontal="center" vertical="center"/>
    </xf>
    <xf numFmtId="4" fontId="10" fillId="0" borderId="12" xfId="0" applyNumberFormat="1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left" vertical="center" wrapText="1"/>
    </xf>
    <xf numFmtId="165" fontId="12" fillId="0" borderId="5" xfId="2" applyNumberFormat="1" applyFont="1" applyFill="1" applyBorder="1" applyAlignment="1">
      <alignment horizontal="center" vertical="center"/>
    </xf>
    <xf numFmtId="4" fontId="8" fillId="0" borderId="5" xfId="2" applyNumberFormat="1" applyFont="1" applyFill="1" applyBorder="1" applyAlignment="1">
      <alignment horizontal="center" vertical="center"/>
    </xf>
    <xf numFmtId="4" fontId="12" fillId="0" borderId="5" xfId="2" applyNumberFormat="1" applyFont="1" applyFill="1" applyBorder="1" applyAlignment="1">
      <alignment horizontal="center" vertical="center"/>
    </xf>
    <xf numFmtId="0" fontId="4" fillId="0" borderId="0" xfId="2" applyFont="1" applyFill="1" applyBorder="1"/>
    <xf numFmtId="4" fontId="6" fillId="0" borderId="0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/>
    <xf numFmtId="4" fontId="6" fillId="0" borderId="0" xfId="2" applyNumberFormat="1" applyFont="1" applyFill="1" applyAlignment="1">
      <alignment horizontal="center" vertical="center"/>
    </xf>
    <xf numFmtId="166" fontId="4" fillId="0" borderId="0" xfId="2" applyNumberFormat="1" applyFont="1" applyFill="1"/>
    <xf numFmtId="2" fontId="4" fillId="0" borderId="0" xfId="2" applyNumberFormat="1" applyFont="1" applyFill="1"/>
    <xf numFmtId="0" fontId="3" fillId="0" borderId="0" xfId="1" applyFont="1" applyFill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center" vertical="center"/>
    </xf>
    <xf numFmtId="4" fontId="6" fillId="2" borderId="5" xfId="2" applyNumberFormat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 wrapText="1"/>
    </xf>
    <xf numFmtId="4" fontId="10" fillId="4" borderId="5" xfId="2" applyNumberFormat="1" applyFont="1" applyFill="1" applyBorder="1" applyAlignment="1">
      <alignment horizontal="center" vertical="center"/>
    </xf>
    <xf numFmtId="4" fontId="10" fillId="5" borderId="5" xfId="2" applyNumberFormat="1" applyFont="1" applyFill="1" applyBorder="1" applyAlignment="1">
      <alignment horizontal="center" vertical="center"/>
    </xf>
    <xf numFmtId="4" fontId="3" fillId="2" borderId="5" xfId="2" applyNumberFormat="1" applyFont="1" applyFill="1" applyBorder="1" applyAlignment="1">
      <alignment horizontal="center" vertical="center"/>
    </xf>
    <xf numFmtId="0" fontId="4" fillId="0" borderId="26" xfId="2" applyFont="1" applyFill="1" applyBorder="1" applyAlignment="1">
      <alignment horizontal="center" vertical="center"/>
    </xf>
    <xf numFmtId="0" fontId="4" fillId="0" borderId="27" xfId="2" applyFont="1" applyFill="1" applyBorder="1" applyAlignment="1">
      <alignment horizontal="center" vertical="center"/>
    </xf>
    <xf numFmtId="0" fontId="4" fillId="0" borderId="28" xfId="2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/>
    </xf>
    <xf numFmtId="0" fontId="6" fillId="2" borderId="29" xfId="2" applyFont="1" applyFill="1" applyBorder="1" applyAlignment="1">
      <alignment horizontal="center"/>
    </xf>
    <xf numFmtId="0" fontId="14" fillId="0" borderId="0" xfId="5" applyFont="1"/>
    <xf numFmtId="0" fontId="15" fillId="0" borderId="0" xfId="6" applyAlignment="1">
      <alignment horizontal="center"/>
    </xf>
    <xf numFmtId="0" fontId="15" fillId="0" borderId="0" xfId="6"/>
    <xf numFmtId="0" fontId="16" fillId="0" borderId="0" xfId="1" applyFont="1" applyAlignment="1">
      <alignment vertical="center"/>
    </xf>
    <xf numFmtId="0" fontId="14" fillId="0" borderId="30" xfId="1" applyFont="1" applyBorder="1" applyAlignment="1">
      <alignment horizontal="left" wrapText="1"/>
    </xf>
    <xf numFmtId="0" fontId="17" fillId="0" borderId="0" xfId="1" applyFont="1" applyAlignment="1">
      <alignment vertical="top"/>
    </xf>
    <xf numFmtId="0" fontId="17" fillId="0" borderId="31" xfId="1" applyFont="1" applyBorder="1" applyAlignment="1">
      <alignment horizontal="center" vertical="top"/>
    </xf>
    <xf numFmtId="0" fontId="16" fillId="0" borderId="0" xfId="1" applyFont="1" applyAlignment="1">
      <alignment vertical="center" wrapText="1"/>
    </xf>
    <xf numFmtId="0" fontId="14" fillId="0" borderId="30" xfId="1" applyFont="1" applyBorder="1" applyAlignment="1">
      <alignment horizontal="left" vertical="center" wrapText="1"/>
    </xf>
    <xf numFmtId="0" fontId="14" fillId="0" borderId="0" xfId="3" applyFont="1"/>
    <xf numFmtId="0" fontId="16" fillId="0" borderId="0" xfId="1" applyFont="1" applyAlignment="1">
      <alignment horizontal="center" vertical="center"/>
    </xf>
    <xf numFmtId="0" fontId="14" fillId="0" borderId="0" xfId="3" applyFont="1" applyAlignment="1">
      <alignment horizontal="center"/>
    </xf>
    <xf numFmtId="0" fontId="14" fillId="0" borderId="5" xfId="5" applyFont="1" applyBorder="1" applyAlignment="1">
      <alignment horizontal="center" vertical="center"/>
    </xf>
    <xf numFmtId="0" fontId="14" fillId="0" borderId="5" xfId="5" applyFont="1" applyBorder="1" applyAlignment="1">
      <alignment horizontal="center" vertical="center" wrapText="1"/>
    </xf>
    <xf numFmtId="0" fontId="14" fillId="0" borderId="5" xfId="5" applyFont="1" applyBorder="1" applyAlignment="1">
      <alignment horizontal="left" vertical="center"/>
    </xf>
    <xf numFmtId="4" fontId="14" fillId="0" borderId="5" xfId="5" applyNumberFormat="1" applyFont="1" applyBorder="1" applyAlignment="1">
      <alignment horizontal="center" vertical="center"/>
    </xf>
    <xf numFmtId="4" fontId="14" fillId="0" borderId="5" xfId="5" applyNumberFormat="1" applyFont="1" applyBorder="1" applyAlignment="1">
      <alignment horizontal="center" vertical="center" wrapText="1"/>
    </xf>
    <xf numFmtId="165" fontId="14" fillId="0" borderId="5" xfId="5" applyNumberFormat="1" applyFont="1" applyBorder="1" applyAlignment="1">
      <alignment horizontal="center" vertical="center"/>
    </xf>
    <xf numFmtId="4" fontId="15" fillId="0" borderId="0" xfId="6" applyNumberFormat="1"/>
    <xf numFmtId="0" fontId="18" fillId="0" borderId="5" xfId="5" applyFont="1" applyBorder="1" applyAlignment="1">
      <alignment horizontal="center" vertical="center"/>
    </xf>
    <xf numFmtId="0" fontId="18" fillId="0" borderId="5" xfId="5" applyFont="1" applyBorder="1" applyAlignment="1">
      <alignment horizontal="left" vertical="center"/>
    </xf>
    <xf numFmtId="4" fontId="18" fillId="0" borderId="5" xfId="5" applyNumberFormat="1" applyFont="1" applyBorder="1" applyAlignment="1">
      <alignment horizontal="center" vertical="center"/>
    </xf>
    <xf numFmtId="4" fontId="18" fillId="0" borderId="5" xfId="5" applyNumberFormat="1" applyFont="1" applyBorder="1" applyAlignment="1">
      <alignment horizontal="center" vertical="center" wrapText="1"/>
    </xf>
    <xf numFmtId="165" fontId="18" fillId="0" borderId="5" xfId="5" applyNumberFormat="1" applyFont="1" applyBorder="1" applyAlignment="1">
      <alignment horizontal="center" vertical="center"/>
    </xf>
    <xf numFmtId="0" fontId="19" fillId="0" borderId="0" xfId="6" applyFont="1" applyAlignment="1">
      <alignment horizontal="center"/>
    </xf>
    <xf numFmtId="0" fontId="19" fillId="0" borderId="0" xfId="6" applyFont="1"/>
    <xf numFmtId="4" fontId="19" fillId="0" borderId="0" xfId="6" applyNumberFormat="1" applyFont="1"/>
    <xf numFmtId="0" fontId="14" fillId="0" borderId="5" xfId="5" applyFont="1" applyBorder="1" applyAlignment="1">
      <alignment vertical="center"/>
    </xf>
    <xf numFmtId="49" fontId="14" fillId="0" borderId="5" xfId="5" applyNumberFormat="1" applyFont="1" applyBorder="1" applyAlignment="1">
      <alignment horizontal="center" vertical="center"/>
    </xf>
    <xf numFmtId="0" fontId="17" fillId="0" borderId="32" xfId="5" applyFont="1" applyBorder="1" applyAlignment="1">
      <alignment horizontal="center" vertical="center"/>
    </xf>
    <xf numFmtId="49" fontId="17" fillId="0" borderId="25" xfId="5" applyNumberFormat="1" applyFont="1" applyBorder="1" applyAlignment="1">
      <alignment horizontal="center" vertical="center"/>
    </xf>
    <xf numFmtId="0" fontId="17" fillId="0" borderId="25" xfId="5" applyFont="1" applyBorder="1" applyAlignment="1">
      <alignment horizontal="left" vertical="center" wrapText="1"/>
    </xf>
    <xf numFmtId="43" fontId="17" fillId="0" borderId="25" xfId="7" applyFont="1" applyFill="1" applyBorder="1" applyAlignment="1">
      <alignment horizontal="center" vertical="center"/>
    </xf>
    <xf numFmtId="165" fontId="17" fillId="0" borderId="25" xfId="5" applyNumberFormat="1" applyFont="1" applyBorder="1" applyAlignment="1">
      <alignment horizontal="center" vertical="center"/>
    </xf>
    <xf numFmtId="4" fontId="16" fillId="0" borderId="25" xfId="5" applyNumberFormat="1" applyFont="1" applyBorder="1" applyAlignment="1">
      <alignment horizontal="center" vertical="center"/>
    </xf>
    <xf numFmtId="0" fontId="14" fillId="0" borderId="14" xfId="5" applyFont="1" applyBorder="1"/>
    <xf numFmtId="0" fontId="21" fillId="0" borderId="14" xfId="5" applyFont="1" applyBorder="1" applyAlignment="1">
      <alignment horizontal="center" vertical="center"/>
    </xf>
    <xf numFmtId="4" fontId="21" fillId="0" borderId="14" xfId="5" applyNumberFormat="1" applyFont="1" applyBorder="1" applyAlignment="1">
      <alignment horizontal="center" vertical="center"/>
    </xf>
    <xf numFmtId="4" fontId="15" fillId="0" borderId="0" xfId="6" applyNumberFormat="1" applyAlignment="1">
      <alignment horizontal="center"/>
    </xf>
    <xf numFmtId="164" fontId="15" fillId="0" borderId="0" xfId="6" applyNumberFormat="1"/>
    <xf numFmtId="0" fontId="20" fillId="2" borderId="5" xfId="5" applyFont="1" applyFill="1" applyBorder="1" applyAlignment="1">
      <alignment horizontal="center" vertical="center"/>
    </xf>
    <xf numFmtId="0" fontId="20" fillId="2" borderId="5" xfId="5" applyFont="1" applyFill="1" applyBorder="1" applyAlignment="1">
      <alignment vertical="center" wrapText="1"/>
    </xf>
    <xf numFmtId="4" fontId="20" fillId="2" borderId="5" xfId="5" applyNumberFormat="1" applyFont="1" applyFill="1" applyBorder="1" applyAlignment="1">
      <alignment horizontal="center" vertical="center"/>
    </xf>
    <xf numFmtId="4" fontId="20" fillId="2" borderId="5" xfId="5" applyNumberFormat="1" applyFont="1" applyFill="1" applyBorder="1" applyAlignment="1">
      <alignment horizontal="center" vertical="center" wrapText="1"/>
    </xf>
    <xf numFmtId="165" fontId="20" fillId="2" borderId="5" xfId="5" applyNumberFormat="1" applyFont="1" applyFill="1" applyBorder="1" applyAlignment="1">
      <alignment horizontal="center" vertical="center"/>
    </xf>
    <xf numFmtId="0" fontId="20" fillId="2" borderId="5" xfId="5" applyFont="1" applyFill="1" applyBorder="1" applyAlignment="1">
      <alignment vertical="center"/>
    </xf>
  </cellXfs>
  <cellStyles count="8">
    <cellStyle name="Обычный" xfId="0" builtinId="0"/>
    <cellStyle name="Обычный 2 2" xfId="1" xr:uid="{00000000-0005-0000-0000-000001000000}"/>
    <cellStyle name="Обычный 2 4" xfId="6" xr:uid="{719A1236-5FCA-4C23-831B-EFB4D72B6D03}"/>
    <cellStyle name="Обычный 3" xfId="2" xr:uid="{00000000-0005-0000-0000-000002000000}"/>
    <cellStyle name="Обычный 3 2" xfId="3" xr:uid="{00000000-0005-0000-0000-000003000000}"/>
    <cellStyle name="Обычный 3 3" xfId="5" xr:uid="{EF9A5C4C-9F52-4A9C-AB20-0FFD0C3B85FF}"/>
    <cellStyle name="Финансовый 2" xfId="4" xr:uid="{00000000-0005-0000-0000-000004000000}"/>
    <cellStyle name="Финансовый 2 2" xfId="7" xr:uid="{3BD8C101-FAE0-4CB8-AABF-951CBC7C02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!!!%20&#1088;&#1077;&#1077;&#1089;&#1090;&#1088;%20&#1089;&#1084;&#1077;&#1090;%20&#1087;&#1086;&#1076;%20&#1060;&#1040;&#1050;&#1058;%2005.08.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82;&#1089;-2,3/!!!%2008.24_&#1082;&#1089;-3,2_+&#1076;&#1086;&#1087;%20&#1088;&#1072;&#1073;&#1086;&#1090;&#109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57;&#1056;2_&#1087;&#1088;&#1080;&#1083;.2_05.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на 04.06"/>
      <sheetName val="вар НВ (с 0,65 и без упл)"/>
      <sheetName val="реестр под ФАКТ суммы НВ"/>
      <sheetName val="реестр под ФАКТ суммы с накрут"/>
      <sheetName val="реестр под ФАКТ (ПЖ с замеч.)"/>
      <sheetName val="реестр под ФАКТ до соглас. "/>
      <sheetName val="утилизация корр"/>
      <sheetName val="реестр под ФАКТ"/>
      <sheetName val="свод реестров по кс-2"/>
      <sheetName val="аналитика"/>
      <sheetName val="ан-ка (на 95% мех и 5% вруч )"/>
      <sheetName val="реестр под ФАКТ с виброплит"/>
      <sheetName val="реестр под ФАКТ (2)"/>
      <sheetName val="реестр к Договору"/>
    </sheetNames>
    <sheetDataSet>
      <sheetData sheetId="0">
        <row r="30">
          <cell r="C30" t="str">
            <v>Восстановительные работы цеха №121/18. АС 3.</v>
          </cell>
        </row>
        <row r="45">
          <cell r="C45" t="str">
            <v>Трубопровод ливневых сточных вод от трансбордера. НВК1</v>
          </cell>
        </row>
        <row r="58">
          <cell r="H58">
            <v>392033.92</v>
          </cell>
        </row>
        <row r="76">
          <cell r="H76">
            <v>434361.04</v>
          </cell>
        </row>
        <row r="78">
          <cell r="H78">
            <v>456670</v>
          </cell>
        </row>
      </sheetData>
      <sheetData sheetId="1"/>
      <sheetData sheetId="2">
        <row r="11">
          <cell r="U11">
            <v>4814643</v>
          </cell>
        </row>
      </sheetData>
      <sheetData sheetId="3"/>
      <sheetData sheetId="4"/>
      <sheetData sheetId="5"/>
      <sheetData sheetId="6">
        <row r="47">
          <cell r="V47">
            <v>536062673.99000001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реестр ССР2"/>
      <sheetName val="первичка"/>
    </sheetNames>
    <sheetDataSet>
      <sheetData sheetId="0"/>
      <sheetData sheetId="1"/>
      <sheetData sheetId="2">
        <row r="41">
          <cell r="L41">
            <v>11616076.98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2 с 1,0514"/>
      <sheetName val="ССР2 без коэфф."/>
      <sheetName val="01-01-01 доп.1"/>
      <sheetName val="01-01-02 доп.1"/>
      <sheetName val="01-01-02 доп.2"/>
      <sheetName val="02-01-01 ПЖ -изм.1"/>
      <sheetName val="02-01-01 доп.1"/>
      <sheetName val="02-01-01 доп.2"/>
      <sheetName val="02-03-01 АС1 изм.1 "/>
      <sheetName val="02-03-02 АС2 изм.1"/>
      <sheetName val="02-03-01 доп.1"/>
      <sheetName val="02-03-01 доп.2"/>
      <sheetName val="02-03-01 доп.3"/>
      <sheetName val="04-01-01 ЭС1 изм.1"/>
      <sheetName val="04-01-02 ЭС2 изм.1"/>
      <sheetName val="05-01-01 доп.1"/>
      <sheetName val="06-01-01 НВК2 изм.1"/>
      <sheetName val="06-01-02_НВК3 изм.1"/>
      <sheetName val="06-02-01 НВК4 изм.1"/>
      <sheetName val="06-02-02 НВК5 изм.1"/>
      <sheetName val="06-03-01 ТС1 изм.1"/>
      <sheetName val="06-03-02 АС4 изм.1"/>
      <sheetName val="06-03-03 ТС2 изм.1"/>
      <sheetName val="06-03-04 ТС3 изм.1"/>
      <sheetName val="06-04-01 ГСН изм.1"/>
      <sheetName val="06-02-02 доп.1"/>
      <sheetName val="07-01-01 ГП1 изм.1"/>
      <sheetName val="07-01-01 доп.1"/>
      <sheetName val="07-01-02 ГП2 изм.1"/>
      <sheetName val="09-01-01 ЭС1 ПНР"/>
      <sheetName val="09-01-02 ЭС2 ПНР"/>
    </sheetNames>
    <sheetDataSet>
      <sheetData sheetId="0">
        <row r="84">
          <cell r="H84">
            <v>192347.15337599997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B0DB2-91B2-4CC7-9844-91B49F4F77EE}">
  <sheetPr>
    <tabColor rgb="FF00B0F0"/>
  </sheetPr>
  <dimension ref="A1:Q44"/>
  <sheetViews>
    <sheetView view="pageBreakPreview" zoomScaleNormal="100" zoomScaleSheetLayoutView="100" workbookViewId="0">
      <selection activeCell="C45" sqref="C45"/>
    </sheetView>
  </sheetViews>
  <sheetFormatPr defaultColWidth="9.140625" defaultRowHeight="15" x14ac:dyDescent="0.25"/>
  <cols>
    <col min="1" max="1" width="17" style="107" customWidth="1"/>
    <col min="2" max="2" width="20.85546875" style="107" customWidth="1"/>
    <col min="3" max="3" width="63.28515625" style="107" customWidth="1"/>
    <col min="4" max="4" width="15.7109375" style="107" bestFit="1" customWidth="1"/>
    <col min="5" max="5" width="18.28515625" style="107" customWidth="1"/>
    <col min="6" max="6" width="15.85546875" style="107" customWidth="1"/>
    <col min="7" max="7" width="15.7109375" style="107" customWidth="1"/>
    <col min="8" max="8" width="20.5703125" style="107" customWidth="1"/>
    <col min="9" max="9" width="12.85546875" style="107" customWidth="1"/>
    <col min="10" max="10" width="26.5703125" style="107" bestFit="1" customWidth="1"/>
    <col min="11" max="11" width="13.5703125" style="106" bestFit="1" customWidth="1"/>
    <col min="12" max="12" width="12.42578125" style="107" customWidth="1"/>
    <col min="13" max="13" width="9.140625" style="107" customWidth="1"/>
    <col min="14" max="14" width="12.7109375" style="107" customWidth="1"/>
    <col min="15" max="16384" width="9.140625" style="107"/>
  </cols>
  <sheetData>
    <row r="1" spans="1:13" x14ac:dyDescent="0.25">
      <c r="A1" s="105"/>
      <c r="B1" s="105"/>
      <c r="C1" s="105"/>
      <c r="D1" s="105"/>
      <c r="E1" s="105"/>
      <c r="F1" s="105"/>
      <c r="G1" s="105"/>
      <c r="H1" s="105"/>
      <c r="I1" s="105"/>
      <c r="J1" s="105"/>
    </row>
    <row r="2" spans="1:13" x14ac:dyDescent="0.25">
      <c r="A2" s="108" t="s">
        <v>63</v>
      </c>
      <c r="B2" s="109" t="s">
        <v>64</v>
      </c>
      <c r="C2" s="109"/>
      <c r="D2" s="109"/>
      <c r="E2" s="109"/>
      <c r="F2" s="109"/>
      <c r="G2" s="109"/>
      <c r="H2" s="109"/>
      <c r="I2" s="109"/>
      <c r="J2" s="109"/>
    </row>
    <row r="3" spans="1:13" x14ac:dyDescent="0.25">
      <c r="A3" s="110"/>
      <c r="B3" s="111" t="s">
        <v>65</v>
      </c>
      <c r="C3" s="111"/>
      <c r="D3" s="111"/>
      <c r="E3" s="111"/>
      <c r="F3" s="111"/>
      <c r="G3" s="111"/>
      <c r="H3" s="111"/>
      <c r="I3" s="111"/>
      <c r="J3" s="111"/>
    </row>
    <row r="4" spans="1:13" x14ac:dyDescent="0.25">
      <c r="A4" s="112" t="s">
        <v>66</v>
      </c>
      <c r="B4" s="113" t="s">
        <v>67</v>
      </c>
      <c r="C4" s="113"/>
      <c r="D4" s="113"/>
      <c r="E4" s="113"/>
      <c r="F4" s="113"/>
      <c r="G4" s="113"/>
      <c r="H4" s="113"/>
      <c r="I4" s="113"/>
      <c r="J4" s="113"/>
    </row>
    <row r="5" spans="1:13" x14ac:dyDescent="0.25">
      <c r="A5" s="114"/>
      <c r="B5" s="111" t="s">
        <v>65</v>
      </c>
      <c r="C5" s="111"/>
      <c r="D5" s="111"/>
      <c r="E5" s="111"/>
      <c r="F5" s="111"/>
      <c r="G5" s="111"/>
      <c r="H5" s="111"/>
      <c r="I5" s="111"/>
      <c r="J5" s="111"/>
    </row>
    <row r="6" spans="1:13" x14ac:dyDescent="0.25">
      <c r="A6" s="112" t="s">
        <v>68</v>
      </c>
      <c r="B6" s="113" t="s">
        <v>69</v>
      </c>
      <c r="C6" s="113"/>
      <c r="D6" s="113"/>
      <c r="E6" s="113"/>
      <c r="F6" s="113"/>
      <c r="G6" s="113"/>
      <c r="H6" s="113"/>
      <c r="I6" s="113"/>
      <c r="J6" s="113"/>
    </row>
    <row r="7" spans="1:13" x14ac:dyDescent="0.25">
      <c r="A7" s="114"/>
      <c r="B7" s="111" t="s">
        <v>70</v>
      </c>
      <c r="C7" s="111"/>
      <c r="D7" s="111"/>
      <c r="E7" s="111"/>
      <c r="F7" s="111"/>
      <c r="G7" s="111"/>
      <c r="H7" s="111"/>
      <c r="I7" s="111"/>
      <c r="J7" s="111"/>
    </row>
    <row r="8" spans="1:13" x14ac:dyDescent="0.25">
      <c r="A8" s="115" t="s">
        <v>71</v>
      </c>
      <c r="B8" s="115"/>
      <c r="C8" s="115"/>
      <c r="D8" s="115"/>
      <c r="E8" s="115"/>
      <c r="F8" s="115"/>
      <c r="G8" s="115"/>
      <c r="H8" s="115"/>
      <c r="I8" s="115"/>
      <c r="J8" s="115"/>
    </row>
    <row r="9" spans="1:13" x14ac:dyDescent="0.25">
      <c r="A9" s="116"/>
      <c r="B9" s="116"/>
      <c r="C9" s="116"/>
      <c r="D9" s="116"/>
      <c r="E9" s="116"/>
      <c r="F9" s="116"/>
      <c r="G9" s="116"/>
      <c r="H9" s="116"/>
      <c r="I9" s="114"/>
      <c r="J9" s="116"/>
    </row>
    <row r="10" spans="1:13" ht="60" x14ac:dyDescent="0.25">
      <c r="A10" s="117" t="s">
        <v>0</v>
      </c>
      <c r="B10" s="117" t="s">
        <v>72</v>
      </c>
      <c r="C10" s="117" t="s">
        <v>1</v>
      </c>
      <c r="D10" s="117" t="s">
        <v>2</v>
      </c>
      <c r="E10" s="117" t="s">
        <v>3</v>
      </c>
      <c r="F10" s="117" t="s">
        <v>4</v>
      </c>
      <c r="G10" s="117" t="s">
        <v>5</v>
      </c>
      <c r="H10" s="118" t="s">
        <v>73</v>
      </c>
      <c r="I10" s="117" t="s">
        <v>7</v>
      </c>
      <c r="J10" s="118" t="s">
        <v>74</v>
      </c>
      <c r="K10" s="106" t="s">
        <v>75</v>
      </c>
    </row>
    <row r="11" spans="1:13" x14ac:dyDescent="0.25">
      <c r="A11" s="117">
        <v>1</v>
      </c>
      <c r="B11" s="117" t="s">
        <v>76</v>
      </c>
      <c r="C11" s="119" t="s">
        <v>31</v>
      </c>
      <c r="D11" s="120">
        <v>27807194.73</v>
      </c>
      <c r="E11" s="120">
        <v>2280189.9700000002</v>
      </c>
      <c r="F11" s="120">
        <v>722097.23</v>
      </c>
      <c r="G11" s="120">
        <v>30809481.93</v>
      </c>
      <c r="H11" s="121">
        <v>32393089.300000001</v>
      </c>
      <c r="I11" s="122">
        <v>1.2</v>
      </c>
      <c r="J11" s="121">
        <f>ROUND(H11*I11,2)</f>
        <v>38871707.159999996</v>
      </c>
      <c r="K11" s="106">
        <v>19</v>
      </c>
      <c r="L11" s="107">
        <f>G11*1.0514</f>
        <v>32393089.301201995</v>
      </c>
      <c r="M11" s="123">
        <f>H11-L11</f>
        <v>-1.2019947171211243E-3</v>
      </c>
    </row>
    <row r="12" spans="1:13" x14ac:dyDescent="0.25">
      <c r="A12" s="117">
        <v>2</v>
      </c>
      <c r="B12" s="117" t="s">
        <v>77</v>
      </c>
      <c r="C12" s="119" t="s">
        <v>32</v>
      </c>
      <c r="D12" s="120">
        <v>2580741.9900000002</v>
      </c>
      <c r="E12" s="120">
        <v>211620.84</v>
      </c>
      <c r="F12" s="120">
        <v>67016.710000000006</v>
      </c>
      <c r="G12" s="120">
        <v>2859379.54</v>
      </c>
      <c r="H12" s="121">
        <v>3006351.65</v>
      </c>
      <c r="I12" s="122">
        <v>1.2</v>
      </c>
      <c r="J12" s="121">
        <f t="shared" ref="J12:J39" si="0">ROUND(H12*I12,2)</f>
        <v>3607621.98</v>
      </c>
      <c r="K12" s="106">
        <v>20</v>
      </c>
      <c r="L12" s="107">
        <f t="shared" ref="L12:L38" si="1">G12*1.0514</f>
        <v>3006351.6483559995</v>
      </c>
      <c r="M12" s="123">
        <f t="shared" ref="M12:M38" si="2">H12-L12</f>
        <v>1.6440004110336304E-3</v>
      </c>
    </row>
    <row r="13" spans="1:13" x14ac:dyDescent="0.25">
      <c r="A13" s="117">
        <v>3</v>
      </c>
      <c r="B13" s="117" t="s">
        <v>78</v>
      </c>
      <c r="C13" s="119" t="s">
        <v>21</v>
      </c>
      <c r="D13" s="120">
        <v>286922.48</v>
      </c>
      <c r="E13" s="120">
        <v>23527.64</v>
      </c>
      <c r="F13" s="120">
        <v>7450.8</v>
      </c>
      <c r="G13" s="120">
        <v>317900.92</v>
      </c>
      <c r="H13" s="121">
        <v>334241.03000000003</v>
      </c>
      <c r="I13" s="122">
        <v>1.2</v>
      </c>
      <c r="J13" s="121">
        <f t="shared" si="0"/>
        <v>401089.24</v>
      </c>
      <c r="K13" s="106">
        <v>21</v>
      </c>
      <c r="L13" s="107">
        <f t="shared" si="1"/>
        <v>334241.02728799992</v>
      </c>
      <c r="M13" s="123">
        <f t="shared" si="2"/>
        <v>2.7120001032017171E-3</v>
      </c>
    </row>
    <row r="14" spans="1:13" x14ac:dyDescent="0.25">
      <c r="A14" s="117">
        <v>4</v>
      </c>
      <c r="B14" s="117" t="s">
        <v>79</v>
      </c>
      <c r="C14" s="119" t="s">
        <v>80</v>
      </c>
      <c r="D14" s="120">
        <v>247380.85</v>
      </c>
      <c r="E14" s="120">
        <v>20285.23</v>
      </c>
      <c r="F14" s="120">
        <v>6423.99</v>
      </c>
      <c r="G14" s="120">
        <v>274090.07</v>
      </c>
      <c r="H14" s="121">
        <v>288178.3</v>
      </c>
      <c r="I14" s="122">
        <v>1.2</v>
      </c>
      <c r="J14" s="121">
        <f t="shared" si="0"/>
        <v>345813.96</v>
      </c>
      <c r="K14" s="106">
        <v>22</v>
      </c>
      <c r="L14" s="107">
        <f t="shared" si="1"/>
        <v>288178.29959799995</v>
      </c>
      <c r="M14" s="123">
        <f t="shared" si="2"/>
        <v>4.0200003422796726E-4</v>
      </c>
    </row>
    <row r="15" spans="1:13" x14ac:dyDescent="0.25">
      <c r="A15" s="117">
        <v>5</v>
      </c>
      <c r="B15" s="117" t="s">
        <v>81</v>
      </c>
      <c r="C15" s="119" t="s">
        <v>82</v>
      </c>
      <c r="D15" s="120">
        <v>3236877.75</v>
      </c>
      <c r="E15" s="120">
        <v>265423.98</v>
      </c>
      <c r="F15" s="120">
        <v>84055.24</v>
      </c>
      <c r="G15" s="120">
        <v>3586356.97</v>
      </c>
      <c r="H15" s="121">
        <v>3770695.72</v>
      </c>
      <c r="I15" s="122">
        <v>1.2</v>
      </c>
      <c r="J15" s="121">
        <f t="shared" si="0"/>
        <v>4524834.8600000003</v>
      </c>
      <c r="K15" s="106">
        <v>23</v>
      </c>
      <c r="L15" s="107">
        <f t="shared" si="1"/>
        <v>3770695.718258</v>
      </c>
      <c r="M15" s="123">
        <f t="shared" si="2"/>
        <v>1.742000225931406E-3</v>
      </c>
    </row>
    <row r="16" spans="1:13" x14ac:dyDescent="0.25">
      <c r="A16" s="117">
        <v>6</v>
      </c>
      <c r="B16" s="117" t="s">
        <v>83</v>
      </c>
      <c r="C16" s="119" t="s">
        <v>24</v>
      </c>
      <c r="D16" s="120">
        <v>1091766.23</v>
      </c>
      <c r="E16" s="120">
        <v>89524.83</v>
      </c>
      <c r="F16" s="120">
        <v>28350.99</v>
      </c>
      <c r="G16" s="120">
        <v>1209642.05</v>
      </c>
      <c r="H16" s="121">
        <v>1271817.6499999999</v>
      </c>
      <c r="I16" s="122">
        <v>1.2</v>
      </c>
      <c r="J16" s="121">
        <f t="shared" si="0"/>
        <v>1526181.18</v>
      </c>
      <c r="K16" s="106">
        <v>24</v>
      </c>
      <c r="L16" s="107">
        <f t="shared" si="1"/>
        <v>1271817.6513699999</v>
      </c>
      <c r="M16" s="123">
        <f t="shared" si="2"/>
        <v>-1.3699999544769526E-3</v>
      </c>
    </row>
    <row r="17" spans="1:17" s="130" customFormat="1" x14ac:dyDescent="0.25">
      <c r="A17" s="124">
        <v>7</v>
      </c>
      <c r="B17" s="124" t="s">
        <v>84</v>
      </c>
      <c r="C17" s="125" t="s">
        <v>25</v>
      </c>
      <c r="D17" s="126">
        <v>14068366.029999999</v>
      </c>
      <c r="E17" s="126">
        <v>1153606.01</v>
      </c>
      <c r="F17" s="126">
        <v>365327.33</v>
      </c>
      <c r="G17" s="126">
        <v>15577928.43</v>
      </c>
      <c r="H17" s="127">
        <v>16379115.619999999</v>
      </c>
      <c r="I17" s="128">
        <v>1.2</v>
      </c>
      <c r="J17" s="127">
        <f t="shared" si="0"/>
        <v>19654938.739999998</v>
      </c>
      <c r="K17" s="129">
        <v>25</v>
      </c>
      <c r="L17" s="130">
        <f t="shared" si="1"/>
        <v>16378633.951301998</v>
      </c>
      <c r="M17" s="131">
        <f t="shared" si="2"/>
        <v>481.66869800165296</v>
      </c>
    </row>
    <row r="18" spans="1:17" x14ac:dyDescent="0.25">
      <c r="A18" s="117">
        <v>8</v>
      </c>
      <c r="B18" s="117" t="s">
        <v>85</v>
      </c>
      <c r="C18" s="119" t="s">
        <v>26</v>
      </c>
      <c r="D18" s="120">
        <v>1570798.31</v>
      </c>
      <c r="E18" s="120">
        <v>128805.46</v>
      </c>
      <c r="F18" s="120">
        <v>40790.49</v>
      </c>
      <c r="G18" s="120">
        <v>1740394.26</v>
      </c>
      <c r="H18" s="121">
        <v>1829850.52</v>
      </c>
      <c r="I18" s="122">
        <v>1.2</v>
      </c>
      <c r="J18" s="121">
        <f t="shared" si="0"/>
        <v>2195820.62</v>
      </c>
      <c r="K18" s="106">
        <v>26</v>
      </c>
      <c r="L18" s="107">
        <f t="shared" si="1"/>
        <v>1829850.5249639999</v>
      </c>
      <c r="M18" s="123">
        <f t="shared" si="2"/>
        <v>-4.9639998469501734E-3</v>
      </c>
    </row>
    <row r="19" spans="1:17" x14ac:dyDescent="0.25">
      <c r="A19" s="117">
        <v>9</v>
      </c>
      <c r="B19" s="117" t="s">
        <v>86</v>
      </c>
      <c r="C19" s="119" t="s">
        <v>27</v>
      </c>
      <c r="D19" s="120">
        <v>2149017.2799999998</v>
      </c>
      <c r="E19" s="120">
        <v>176219.42</v>
      </c>
      <c r="F19" s="120">
        <v>55805.68</v>
      </c>
      <c r="G19" s="120">
        <v>2381042.38</v>
      </c>
      <c r="H19" s="121">
        <v>2503427.96</v>
      </c>
      <c r="I19" s="122">
        <v>1.2</v>
      </c>
      <c r="J19" s="121">
        <f t="shared" si="0"/>
        <v>3004113.55</v>
      </c>
      <c r="K19" s="106">
        <v>27</v>
      </c>
      <c r="L19" s="107">
        <f t="shared" si="1"/>
        <v>2503427.9583319998</v>
      </c>
      <c r="M19" s="123">
        <f t="shared" si="2"/>
        <v>1.6680001281201839E-3</v>
      </c>
    </row>
    <row r="20" spans="1:17" x14ac:dyDescent="0.25">
      <c r="A20" s="117">
        <v>10</v>
      </c>
      <c r="B20" s="117" t="s">
        <v>87</v>
      </c>
      <c r="C20" s="119" t="s">
        <v>88</v>
      </c>
      <c r="D20" s="120">
        <v>760525.99</v>
      </c>
      <c r="E20" s="120">
        <v>62363.13</v>
      </c>
      <c r="F20" s="120">
        <v>19749.34</v>
      </c>
      <c r="G20" s="120">
        <v>842638.46</v>
      </c>
      <c r="H20" s="121">
        <v>885950.08</v>
      </c>
      <c r="I20" s="122">
        <v>1.2</v>
      </c>
      <c r="J20" s="121">
        <f t="shared" si="0"/>
        <v>1063140.1000000001</v>
      </c>
      <c r="K20" s="106">
        <v>28</v>
      </c>
      <c r="L20" s="107">
        <f t="shared" si="1"/>
        <v>885950.07684399991</v>
      </c>
      <c r="M20" s="123">
        <f t="shared" si="2"/>
        <v>3.1560000497847795E-3</v>
      </c>
    </row>
    <row r="21" spans="1:17" x14ac:dyDescent="0.25">
      <c r="A21" s="117">
        <v>11</v>
      </c>
      <c r="B21" s="117" t="s">
        <v>89</v>
      </c>
      <c r="C21" s="119" t="s">
        <v>33</v>
      </c>
      <c r="D21" s="120">
        <v>2453763.13</v>
      </c>
      <c r="E21" s="120">
        <v>201208.58</v>
      </c>
      <c r="F21" s="120">
        <v>63719.32</v>
      </c>
      <c r="G21" s="120">
        <v>2718691.03</v>
      </c>
      <c r="H21" s="121">
        <v>2858431.75</v>
      </c>
      <c r="I21" s="122">
        <v>1.2</v>
      </c>
      <c r="J21" s="121">
        <f t="shared" si="0"/>
        <v>3430118.1</v>
      </c>
      <c r="K21" s="106">
        <v>29</v>
      </c>
      <c r="L21" s="107">
        <f t="shared" si="1"/>
        <v>2858431.7489419994</v>
      </c>
      <c r="M21" s="123">
        <f t="shared" si="2"/>
        <v>1.0580006055533886E-3</v>
      </c>
    </row>
    <row r="22" spans="1:17" x14ac:dyDescent="0.25">
      <c r="A22" s="117">
        <v>12</v>
      </c>
      <c r="B22" s="117" t="s">
        <v>90</v>
      </c>
      <c r="C22" s="119" t="s">
        <v>28</v>
      </c>
      <c r="D22" s="120">
        <v>1767115.46</v>
      </c>
      <c r="E22" s="120">
        <v>144903.47</v>
      </c>
      <c r="F22" s="120">
        <v>45888.45</v>
      </c>
      <c r="G22" s="120">
        <v>1957907.38</v>
      </c>
      <c r="H22" s="121">
        <v>2058543.82</v>
      </c>
      <c r="I22" s="122">
        <v>1.2</v>
      </c>
      <c r="J22" s="121">
        <f t="shared" si="0"/>
        <v>2470252.58</v>
      </c>
      <c r="K22" s="106">
        <v>30</v>
      </c>
      <c r="L22" s="107">
        <f t="shared" si="1"/>
        <v>2058543.8193319996</v>
      </c>
      <c r="M22" s="123">
        <f t="shared" si="2"/>
        <v>6.6800042986869812E-4</v>
      </c>
    </row>
    <row r="23" spans="1:17" x14ac:dyDescent="0.25">
      <c r="A23" s="117">
        <v>13</v>
      </c>
      <c r="B23" s="117" t="s">
        <v>91</v>
      </c>
      <c r="C23" s="119" t="s">
        <v>29</v>
      </c>
      <c r="D23" s="120">
        <v>3363402.63</v>
      </c>
      <c r="E23" s="120">
        <v>275799.02</v>
      </c>
      <c r="F23" s="120">
        <v>87340.84</v>
      </c>
      <c r="G23" s="120">
        <v>3726542.49</v>
      </c>
      <c r="H23" s="121">
        <v>3918086.77</v>
      </c>
      <c r="I23" s="122">
        <v>1.2</v>
      </c>
      <c r="J23" s="121">
        <f t="shared" si="0"/>
        <v>4701704.12</v>
      </c>
      <c r="K23" s="106">
        <v>31</v>
      </c>
      <c r="L23" s="107">
        <f t="shared" si="1"/>
        <v>3918086.7739859996</v>
      </c>
      <c r="M23" s="123">
        <f t="shared" si="2"/>
        <v>-3.9859996177256107E-3</v>
      </c>
    </row>
    <row r="24" spans="1:17" x14ac:dyDescent="0.25">
      <c r="A24" s="117">
        <v>14</v>
      </c>
      <c r="B24" s="117" t="s">
        <v>92</v>
      </c>
      <c r="C24" s="119" t="s">
        <v>30</v>
      </c>
      <c r="D24" s="120">
        <v>4591956.79</v>
      </c>
      <c r="E24" s="120">
        <v>376540.46</v>
      </c>
      <c r="F24" s="120">
        <v>119243.93</v>
      </c>
      <c r="G24" s="120">
        <v>5087741.18</v>
      </c>
      <c r="H24" s="121">
        <v>5349251.08</v>
      </c>
      <c r="I24" s="122">
        <v>1.2</v>
      </c>
      <c r="J24" s="121">
        <f t="shared" si="0"/>
        <v>6419101.2999999998</v>
      </c>
      <c r="K24" s="106">
        <v>32</v>
      </c>
      <c r="L24" s="107">
        <f t="shared" si="1"/>
        <v>5349251.0766519988</v>
      </c>
      <c r="M24" s="123">
        <f t="shared" si="2"/>
        <v>3.3480012789368629E-3</v>
      </c>
    </row>
    <row r="25" spans="1:17" x14ac:dyDescent="0.25">
      <c r="A25" s="117">
        <v>15</v>
      </c>
      <c r="B25" s="117" t="s">
        <v>93</v>
      </c>
      <c r="C25" s="119" t="s">
        <v>94</v>
      </c>
      <c r="D25" s="120">
        <v>13629091.9</v>
      </c>
      <c r="E25" s="120">
        <v>1117585.54</v>
      </c>
      <c r="F25" s="120">
        <v>353920.26</v>
      </c>
      <c r="G25" s="120">
        <v>15100597.699999999</v>
      </c>
      <c r="H25" s="121">
        <v>15876768.42</v>
      </c>
      <c r="I25" s="122">
        <v>1.2</v>
      </c>
      <c r="J25" s="121">
        <f t="shared" si="0"/>
        <v>19052122.100000001</v>
      </c>
      <c r="K25" s="106">
        <v>33</v>
      </c>
      <c r="L25" s="107">
        <f t="shared" si="1"/>
        <v>15876768.421779998</v>
      </c>
      <c r="M25" s="123">
        <f t="shared" si="2"/>
        <v>-1.7799977213144302E-3</v>
      </c>
    </row>
    <row r="26" spans="1:17" x14ac:dyDescent="0.25">
      <c r="A26" s="117">
        <v>16</v>
      </c>
      <c r="B26" s="117" t="s">
        <v>95</v>
      </c>
      <c r="C26" s="132" t="s">
        <v>96</v>
      </c>
      <c r="D26" s="120">
        <v>49450959.759999998</v>
      </c>
      <c r="E26" s="120">
        <v>4054978.7</v>
      </c>
      <c r="F26" s="120">
        <v>1284142.52</v>
      </c>
      <c r="G26" s="120">
        <v>54790080.979999997</v>
      </c>
      <c r="H26" s="121">
        <v>57606291.140000001</v>
      </c>
      <c r="I26" s="122">
        <v>1.2</v>
      </c>
      <c r="J26" s="121">
        <f t="shared" si="0"/>
        <v>69127549.370000005</v>
      </c>
      <c r="K26" s="106">
        <v>34</v>
      </c>
      <c r="L26" s="107">
        <f t="shared" si="1"/>
        <v>57606291.14237199</v>
      </c>
      <c r="M26" s="123">
        <f t="shared" si="2"/>
        <v>-2.3719891905784607E-3</v>
      </c>
    </row>
    <row r="27" spans="1:17" x14ac:dyDescent="0.25">
      <c r="A27" s="117">
        <v>17</v>
      </c>
      <c r="B27" s="133" t="s">
        <v>97</v>
      </c>
      <c r="C27" s="132" t="s">
        <v>98</v>
      </c>
      <c r="D27" s="120">
        <v>62852.24</v>
      </c>
      <c r="E27" s="117">
        <v>0</v>
      </c>
      <c r="F27" s="117">
        <v>0</v>
      </c>
      <c r="G27" s="120">
        <v>62852.24</v>
      </c>
      <c r="H27" s="121">
        <v>66082.850000000006</v>
      </c>
      <c r="I27" s="122">
        <v>1.2</v>
      </c>
      <c r="J27" s="121">
        <f t="shared" si="0"/>
        <v>79299.42</v>
      </c>
      <c r="K27" s="106">
        <v>35</v>
      </c>
      <c r="L27" s="107">
        <f t="shared" si="1"/>
        <v>66082.845135999989</v>
      </c>
      <c r="M27" s="123">
        <f t="shared" si="2"/>
        <v>4.864000016823411E-3</v>
      </c>
    </row>
    <row r="28" spans="1:17" x14ac:dyDescent="0.25">
      <c r="A28" s="117">
        <v>18</v>
      </c>
      <c r="B28" s="133" t="s">
        <v>99</v>
      </c>
      <c r="C28" s="132" t="s">
        <v>100</v>
      </c>
      <c r="D28" s="120">
        <v>193794.44</v>
      </c>
      <c r="E28" s="117">
        <v>0</v>
      </c>
      <c r="F28" s="117">
        <v>0</v>
      </c>
      <c r="G28" s="120">
        <v>193794.44</v>
      </c>
      <c r="H28" s="121">
        <v>203755.47</v>
      </c>
      <c r="I28" s="122">
        <v>1.2</v>
      </c>
      <c r="J28" s="121">
        <f t="shared" si="0"/>
        <v>244506.56</v>
      </c>
      <c r="K28" s="106">
        <v>36</v>
      </c>
      <c r="L28" s="107">
        <f t="shared" si="1"/>
        <v>203755.47421599997</v>
      </c>
      <c r="M28" s="123">
        <f t="shared" si="2"/>
        <v>-4.2159999720752239E-3</v>
      </c>
    </row>
    <row r="29" spans="1:17" ht="30" x14ac:dyDescent="0.25">
      <c r="A29" s="145">
        <v>19</v>
      </c>
      <c r="B29" s="145" t="s">
        <v>101</v>
      </c>
      <c r="C29" s="146" t="s">
        <v>18</v>
      </c>
      <c r="D29" s="147">
        <v>149447.34</v>
      </c>
      <c r="E29" s="147">
        <v>12254.68</v>
      </c>
      <c r="F29" s="147">
        <v>3880.85</v>
      </c>
      <c r="G29" s="147">
        <v>165582.87</v>
      </c>
      <c r="H29" s="148">
        <v>174093.83</v>
      </c>
      <c r="I29" s="149">
        <v>1.2</v>
      </c>
      <c r="J29" s="148">
        <f>ROUND(H29*I29,2)</f>
        <v>208912.6</v>
      </c>
      <c r="K29" s="106">
        <v>37</v>
      </c>
      <c r="N29" s="123">
        <f>D29+E29+F29</f>
        <v>165582.87</v>
      </c>
      <c r="O29" s="123">
        <f>G29-N29</f>
        <v>0</v>
      </c>
      <c r="P29" s="107">
        <v>208912.6</v>
      </c>
      <c r="Q29" s="123">
        <f>J29-P29</f>
        <v>0</v>
      </c>
    </row>
    <row r="30" spans="1:17" x14ac:dyDescent="0.25">
      <c r="A30" s="145">
        <v>19</v>
      </c>
      <c r="B30" s="145" t="s">
        <v>102</v>
      </c>
      <c r="C30" s="150" t="s">
        <v>103</v>
      </c>
      <c r="D30" s="147">
        <v>19791.849999999999</v>
      </c>
      <c r="E30" s="147">
        <v>1622.93</v>
      </c>
      <c r="F30" s="147">
        <v>513.95000000000005</v>
      </c>
      <c r="G30" s="147">
        <v>21928.73</v>
      </c>
      <c r="H30" s="147">
        <v>23055.87</v>
      </c>
      <c r="I30" s="149">
        <v>1.2</v>
      </c>
      <c r="J30" s="148">
        <f t="shared" si="0"/>
        <v>27667.040000000001</v>
      </c>
      <c r="K30" s="106">
        <v>38</v>
      </c>
      <c r="L30" s="107">
        <f t="shared" si="1"/>
        <v>23055.866721999999</v>
      </c>
      <c r="M30" s="123">
        <f t="shared" si="2"/>
        <v>3.2780000001366716E-3</v>
      </c>
      <c r="N30" s="123">
        <f t="shared" ref="N30:N39" si="3">D30+E30+F30</f>
        <v>21928.73</v>
      </c>
      <c r="O30" s="123">
        <f t="shared" ref="O30:O39" si="4">G30-N30</f>
        <v>0</v>
      </c>
      <c r="P30" s="107">
        <v>27667.040000000001</v>
      </c>
      <c r="Q30" s="123">
        <f t="shared" ref="Q30:Q39" si="5">J30-P30</f>
        <v>0</v>
      </c>
    </row>
    <row r="31" spans="1:17" ht="30" x14ac:dyDescent="0.25">
      <c r="A31" s="145">
        <v>19</v>
      </c>
      <c r="B31" s="145" t="s">
        <v>104</v>
      </c>
      <c r="C31" s="146" t="s">
        <v>105</v>
      </c>
      <c r="D31" s="147">
        <v>61414.47</v>
      </c>
      <c r="E31" s="147">
        <v>5035.99</v>
      </c>
      <c r="F31" s="147">
        <v>1594.81</v>
      </c>
      <c r="G31" s="147">
        <v>68045.27</v>
      </c>
      <c r="H31" s="147">
        <v>71542.8</v>
      </c>
      <c r="I31" s="149">
        <v>1.2</v>
      </c>
      <c r="J31" s="148">
        <f>ROUND(H31*I31,2)</f>
        <v>85851.36</v>
      </c>
      <c r="K31" s="106">
        <v>39</v>
      </c>
      <c r="L31" s="107">
        <f>G31*1.0514</f>
        <v>71542.796877999994</v>
      </c>
      <c r="M31" s="123">
        <f>H31-L31</f>
        <v>3.1220000091707334E-3</v>
      </c>
      <c r="N31" s="123">
        <f t="shared" si="3"/>
        <v>68045.27</v>
      </c>
      <c r="O31" s="123">
        <f t="shared" si="4"/>
        <v>0</v>
      </c>
      <c r="P31" s="107">
        <v>85851.36</v>
      </c>
      <c r="Q31" s="123">
        <f t="shared" si="5"/>
        <v>0</v>
      </c>
    </row>
    <row r="32" spans="1:17" ht="30" x14ac:dyDescent="0.25">
      <c r="A32" s="145">
        <v>19</v>
      </c>
      <c r="B32" s="145" t="s">
        <v>106</v>
      </c>
      <c r="C32" s="146" t="s">
        <v>107</v>
      </c>
      <c r="D32" s="147">
        <v>506473.89</v>
      </c>
      <c r="E32" s="147">
        <v>41530.86</v>
      </c>
      <c r="F32" s="147">
        <v>13152.11</v>
      </c>
      <c r="G32" s="147">
        <v>561156.86</v>
      </c>
      <c r="H32" s="147">
        <v>590000.31999999995</v>
      </c>
      <c r="I32" s="149">
        <v>1.2</v>
      </c>
      <c r="J32" s="148">
        <f t="shared" si="0"/>
        <v>708000.38</v>
      </c>
      <c r="K32" s="106">
        <v>40</v>
      </c>
      <c r="L32" s="107">
        <f t="shared" si="1"/>
        <v>590000.32260399987</v>
      </c>
      <c r="M32" s="123">
        <f t="shared" si="2"/>
        <v>-2.6039999211207032E-3</v>
      </c>
      <c r="N32" s="123">
        <f t="shared" si="3"/>
        <v>561156.86</v>
      </c>
      <c r="O32" s="123">
        <f t="shared" si="4"/>
        <v>0</v>
      </c>
      <c r="P32" s="107">
        <v>708000.38</v>
      </c>
      <c r="Q32" s="123">
        <f t="shared" si="5"/>
        <v>0</v>
      </c>
    </row>
    <row r="33" spans="1:17" x14ac:dyDescent="0.25">
      <c r="A33" s="145">
        <v>19</v>
      </c>
      <c r="B33" s="145" t="s">
        <v>108</v>
      </c>
      <c r="C33" s="150" t="s">
        <v>109</v>
      </c>
      <c r="D33" s="147">
        <v>4080049.34</v>
      </c>
      <c r="E33" s="147">
        <v>334564.05</v>
      </c>
      <c r="F33" s="147">
        <v>105950.72</v>
      </c>
      <c r="G33" s="147">
        <v>4520564.1100000003</v>
      </c>
      <c r="H33" s="148">
        <v>4752921.1100000003</v>
      </c>
      <c r="I33" s="149">
        <v>1.2</v>
      </c>
      <c r="J33" s="148">
        <f>ROUND(H33*I33,2)</f>
        <v>5703505.3300000001</v>
      </c>
      <c r="K33" s="106">
        <v>41</v>
      </c>
      <c r="L33" s="107">
        <f>G33*1.0514</f>
        <v>4752921.1052540001</v>
      </c>
      <c r="M33" s="123">
        <f>H33-L33</f>
        <v>4.7460002824664116E-3</v>
      </c>
      <c r="N33" s="123">
        <f t="shared" si="3"/>
        <v>4520564.1099999994</v>
      </c>
      <c r="O33" s="123">
        <f t="shared" si="4"/>
        <v>0</v>
      </c>
      <c r="P33" s="107">
        <v>5703505.3300000001</v>
      </c>
      <c r="Q33" s="123">
        <f t="shared" si="5"/>
        <v>0</v>
      </c>
    </row>
    <row r="34" spans="1:17" x14ac:dyDescent="0.25">
      <c r="A34" s="145">
        <v>19</v>
      </c>
      <c r="B34" s="145" t="s">
        <v>110</v>
      </c>
      <c r="C34" s="150" t="s">
        <v>111</v>
      </c>
      <c r="D34" s="147">
        <v>41302.080000000002</v>
      </c>
      <c r="E34" s="147">
        <v>3386.77</v>
      </c>
      <c r="F34" s="147">
        <v>1072.53</v>
      </c>
      <c r="G34" s="147">
        <v>45761.38</v>
      </c>
      <c r="H34" s="148">
        <v>48113.51</v>
      </c>
      <c r="I34" s="149">
        <v>1.2</v>
      </c>
      <c r="J34" s="148">
        <f>ROUND(H34*I34,2)</f>
        <v>57736.21</v>
      </c>
      <c r="K34" s="106">
        <v>42</v>
      </c>
      <c r="L34" s="107">
        <f>G34*1.0514</f>
        <v>48113.514931999991</v>
      </c>
      <c r="M34" s="123">
        <f>H34-L34</f>
        <v>-4.9319999889121391E-3</v>
      </c>
      <c r="N34" s="123">
        <f t="shared" si="3"/>
        <v>45761.38</v>
      </c>
      <c r="O34" s="123">
        <f t="shared" si="4"/>
        <v>0</v>
      </c>
      <c r="P34" s="107">
        <v>57736.21</v>
      </c>
      <c r="Q34" s="123">
        <f t="shared" si="5"/>
        <v>0</v>
      </c>
    </row>
    <row r="35" spans="1:17" x14ac:dyDescent="0.25">
      <c r="A35" s="145">
        <v>19</v>
      </c>
      <c r="B35" s="145" t="s">
        <v>112</v>
      </c>
      <c r="C35" s="146" t="s">
        <v>113</v>
      </c>
      <c r="D35" s="147">
        <v>214268.6</v>
      </c>
      <c r="E35" s="147">
        <v>17570.03</v>
      </c>
      <c r="F35" s="147">
        <v>5564.13</v>
      </c>
      <c r="G35" s="147">
        <v>237402.76</v>
      </c>
      <c r="H35" s="147">
        <v>249605.26</v>
      </c>
      <c r="I35" s="149">
        <v>1.2</v>
      </c>
      <c r="J35" s="148">
        <f>ROUND(H35*I35,2)</f>
        <v>299526.31</v>
      </c>
      <c r="K35" s="106">
        <v>43</v>
      </c>
      <c r="L35" s="107">
        <f>G35*1.0514</f>
        <v>249605.26186399997</v>
      </c>
      <c r="M35" s="123">
        <f>H35-L35</f>
        <v>-1.8639999616425484E-3</v>
      </c>
      <c r="N35" s="123">
        <f t="shared" si="3"/>
        <v>237402.76</v>
      </c>
      <c r="O35" s="123">
        <f t="shared" si="4"/>
        <v>0</v>
      </c>
      <c r="P35" s="107">
        <v>299526.31</v>
      </c>
      <c r="Q35" s="123">
        <f t="shared" si="5"/>
        <v>0</v>
      </c>
    </row>
    <row r="36" spans="1:17" x14ac:dyDescent="0.25">
      <c r="A36" s="145">
        <v>19</v>
      </c>
      <c r="B36" s="145" t="s">
        <v>114</v>
      </c>
      <c r="C36" s="146" t="s">
        <v>115</v>
      </c>
      <c r="D36" s="147">
        <v>1459742.56</v>
      </c>
      <c r="E36" s="147">
        <v>119698.89</v>
      </c>
      <c r="F36" s="147">
        <v>37906.589999999997</v>
      </c>
      <c r="G36" s="147">
        <v>1617348.04</v>
      </c>
      <c r="H36" s="147">
        <v>1700479.73</v>
      </c>
      <c r="I36" s="149">
        <v>1.2</v>
      </c>
      <c r="J36" s="148">
        <f t="shared" si="0"/>
        <v>2040575.68</v>
      </c>
      <c r="K36" s="106">
        <v>44</v>
      </c>
      <c r="L36" s="107">
        <f t="shared" si="1"/>
        <v>1700479.7292559999</v>
      </c>
      <c r="M36" s="123">
        <f t="shared" si="2"/>
        <v>7.4400007724761963E-4</v>
      </c>
      <c r="N36" s="123">
        <f t="shared" si="3"/>
        <v>1617348.04</v>
      </c>
      <c r="O36" s="123">
        <f t="shared" si="4"/>
        <v>0</v>
      </c>
      <c r="P36" s="107">
        <v>2040575.68</v>
      </c>
      <c r="Q36" s="123">
        <f t="shared" si="5"/>
        <v>0</v>
      </c>
    </row>
    <row r="37" spans="1:17" x14ac:dyDescent="0.25">
      <c r="A37" s="145">
        <v>19</v>
      </c>
      <c r="B37" s="145" t="s">
        <v>116</v>
      </c>
      <c r="C37" s="146" t="s">
        <v>117</v>
      </c>
      <c r="D37" s="147">
        <v>398178.78</v>
      </c>
      <c r="E37" s="147">
        <v>32650.66</v>
      </c>
      <c r="F37" s="147">
        <v>10339.91</v>
      </c>
      <c r="G37" s="147">
        <v>441169.35</v>
      </c>
      <c r="H37" s="148">
        <v>463845.45</v>
      </c>
      <c r="I37" s="149">
        <v>1.2</v>
      </c>
      <c r="J37" s="148">
        <f>ROUND(H37*I37,2)</f>
        <v>556614.54</v>
      </c>
      <c r="K37" s="106">
        <v>45</v>
      </c>
      <c r="N37" s="123">
        <f t="shared" si="3"/>
        <v>441169.35</v>
      </c>
      <c r="O37" s="123">
        <f t="shared" si="4"/>
        <v>0</v>
      </c>
      <c r="P37" s="107">
        <v>556614.54</v>
      </c>
      <c r="Q37" s="123">
        <f t="shared" si="5"/>
        <v>0</v>
      </c>
    </row>
    <row r="38" spans="1:17" ht="21.75" customHeight="1" x14ac:dyDescent="0.25">
      <c r="A38" s="145">
        <v>19</v>
      </c>
      <c r="B38" s="145" t="s">
        <v>86</v>
      </c>
      <c r="C38" s="150" t="s">
        <v>118</v>
      </c>
      <c r="D38" s="147">
        <v>563754.73</v>
      </c>
      <c r="E38" s="147">
        <v>46227.89</v>
      </c>
      <c r="F38" s="147">
        <v>14639.58</v>
      </c>
      <c r="G38" s="147">
        <v>624622.19999999995</v>
      </c>
      <c r="H38" s="148">
        <v>656727.78</v>
      </c>
      <c r="I38" s="149">
        <v>1.2</v>
      </c>
      <c r="J38" s="148">
        <f t="shared" si="0"/>
        <v>788073.34</v>
      </c>
      <c r="K38" s="106">
        <v>46</v>
      </c>
      <c r="L38" s="107">
        <f t="shared" si="1"/>
        <v>656727.78107999987</v>
      </c>
      <c r="M38" s="123">
        <f t="shared" si="2"/>
        <v>-1.0799998417496681E-3</v>
      </c>
      <c r="N38" s="123">
        <f t="shared" si="3"/>
        <v>624622.19999999995</v>
      </c>
      <c r="O38" s="123">
        <f t="shared" si="4"/>
        <v>0</v>
      </c>
      <c r="P38" s="107">
        <v>788073.34</v>
      </c>
      <c r="Q38" s="123">
        <f t="shared" si="5"/>
        <v>0</v>
      </c>
    </row>
    <row r="39" spans="1:17" x14ac:dyDescent="0.25">
      <c r="A39" s="145">
        <v>19</v>
      </c>
      <c r="B39" s="145" t="s">
        <v>119</v>
      </c>
      <c r="C39" s="146" t="s">
        <v>120</v>
      </c>
      <c r="D39" s="147">
        <v>815232.37</v>
      </c>
      <c r="E39" s="147">
        <v>66849.05</v>
      </c>
      <c r="F39" s="147">
        <v>21169.95</v>
      </c>
      <c r="G39" s="147">
        <v>903251.37</v>
      </c>
      <c r="H39" s="148">
        <v>949678.49</v>
      </c>
      <c r="I39" s="149">
        <v>1.2</v>
      </c>
      <c r="J39" s="148">
        <f t="shared" si="0"/>
        <v>1139614.19</v>
      </c>
      <c r="K39" s="106">
        <v>47</v>
      </c>
      <c r="N39" s="123">
        <f t="shared" si="3"/>
        <v>903251.37</v>
      </c>
      <c r="O39" s="123">
        <f t="shared" si="4"/>
        <v>0</v>
      </c>
      <c r="P39" s="107">
        <v>1139614.19</v>
      </c>
      <c r="Q39" s="123">
        <f t="shared" si="5"/>
        <v>0</v>
      </c>
    </row>
    <row r="40" spans="1:17" ht="0.75" customHeight="1" thickBot="1" x14ac:dyDescent="0.3">
      <c r="A40" s="134"/>
      <c r="B40" s="135"/>
      <c r="C40" s="136"/>
      <c r="D40" s="137"/>
      <c r="E40" s="137"/>
      <c r="F40" s="137"/>
      <c r="G40" s="137"/>
      <c r="H40" s="137"/>
      <c r="I40" s="138"/>
      <c r="J40" s="139"/>
    </row>
    <row r="41" spans="1:17" ht="24" customHeight="1" thickTop="1" x14ac:dyDescent="0.25">
      <c r="A41" s="140"/>
      <c r="B41" s="141" t="s">
        <v>121</v>
      </c>
      <c r="C41" s="140"/>
      <c r="D41" s="142">
        <f>SUM(D11:D39)</f>
        <v>137622184</v>
      </c>
      <c r="E41" s="142">
        <f>SUM(E11:E39)</f>
        <v>11263974.080000002</v>
      </c>
      <c r="F41" s="142">
        <f>SUM(F11:F39)</f>
        <v>3567108.2500000005</v>
      </c>
      <c r="G41" s="142">
        <f>SUM(G11:G39)</f>
        <v>152443895.39000002</v>
      </c>
      <c r="H41" s="142">
        <f>SUM(H11:H39)</f>
        <v>160279993.28</v>
      </c>
      <c r="I41" s="142"/>
      <c r="J41" s="142">
        <f>SUM(J11:J39)</f>
        <v>192335991.91999999</v>
      </c>
      <c r="K41" s="143">
        <f>'[3]ССР2 с 1,0514'!$H$84*1000</f>
        <v>192347153.37599999</v>
      </c>
      <c r="L41" s="123">
        <f>SUM(J29:J39)</f>
        <v>11616076.979999999</v>
      </c>
    </row>
    <row r="42" spans="1:17" x14ac:dyDescent="0.25">
      <c r="H42" s="123"/>
      <c r="J42" s="142"/>
      <c r="K42" s="143"/>
    </row>
    <row r="43" spans="1:17" x14ac:dyDescent="0.25">
      <c r="F43" s="144"/>
      <c r="G43" s="144"/>
      <c r="J43" s="123"/>
    </row>
    <row r="44" spans="1:17" x14ac:dyDescent="0.25">
      <c r="F44" s="144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B1B43-5767-409F-8C54-43EDD82E0028}">
  <dimension ref="A1:I76"/>
  <sheetViews>
    <sheetView tabSelected="1" topLeftCell="A19" workbookViewId="0">
      <selection activeCell="E37" sqref="E37"/>
    </sheetView>
  </sheetViews>
  <sheetFormatPr defaultColWidth="9.140625" defaultRowHeight="15.75" x14ac:dyDescent="0.25"/>
  <cols>
    <col min="1" max="1" width="6.28515625" style="4" customWidth="1"/>
    <col min="2" max="2" width="60.7109375" style="4" customWidth="1"/>
    <col min="3" max="4" width="22.28515625" style="4" customWidth="1"/>
    <col min="5" max="5" width="24.28515625" style="4" customWidth="1"/>
    <col min="6" max="6" width="18.42578125" style="4" customWidth="1"/>
    <col min="7" max="7" width="20.28515625" style="4" customWidth="1"/>
    <col min="8" max="8" width="16.42578125" style="4" customWidth="1"/>
    <col min="9" max="9" width="31" style="4" customWidth="1"/>
    <col min="10" max="16384" width="9.140625" style="4"/>
  </cols>
  <sheetData>
    <row r="1" spans="1:8" x14ac:dyDescent="0.25">
      <c r="A1" s="99"/>
      <c r="B1" s="99"/>
      <c r="C1" s="99"/>
      <c r="D1" s="86"/>
      <c r="E1" s="86"/>
    </row>
    <row r="2" spans="1:8" x14ac:dyDescent="0.25">
      <c r="A2" s="5"/>
      <c r="B2" s="5"/>
      <c r="C2" s="5"/>
      <c r="D2" s="5"/>
      <c r="E2" s="5"/>
    </row>
    <row r="3" spans="1:8" ht="31.5" x14ac:dyDescent="0.25">
      <c r="A3" s="91" t="s">
        <v>0</v>
      </c>
      <c r="B3" s="91" t="s">
        <v>1</v>
      </c>
      <c r="C3" s="92" t="s">
        <v>8</v>
      </c>
      <c r="D3" s="92" t="s">
        <v>57</v>
      </c>
      <c r="E3" s="92" t="s">
        <v>58</v>
      </c>
      <c r="F3" s="92" t="s">
        <v>53</v>
      </c>
      <c r="G3" s="92" t="s">
        <v>62</v>
      </c>
    </row>
    <row r="4" spans="1:8" ht="31.5" x14ac:dyDescent="0.25">
      <c r="A4" s="89">
        <v>1</v>
      </c>
      <c r="B4" s="14" t="s">
        <v>18</v>
      </c>
      <c r="C4" s="18">
        <v>68272607.560000002</v>
      </c>
      <c r="D4" s="18">
        <v>65867265.949999996</v>
      </c>
      <c r="E4" s="93">
        <f>D4-C4</f>
        <v>-2405341.6100000069</v>
      </c>
      <c r="F4" s="18">
        <v>65867265.949999996</v>
      </c>
      <c r="G4" s="18">
        <f>D4-F4</f>
        <v>0</v>
      </c>
    </row>
    <row r="5" spans="1:8" ht="31.5" x14ac:dyDescent="0.25">
      <c r="A5" s="89">
        <v>2</v>
      </c>
      <c r="B5" s="14" t="s">
        <v>19</v>
      </c>
      <c r="C5" s="18">
        <v>55990425.799999997</v>
      </c>
      <c r="D5" s="18">
        <v>54911594.170000002</v>
      </c>
      <c r="E5" s="93">
        <f t="shared" ref="E5:E24" si="0">D5-C5</f>
        <v>-1078831.6299999952</v>
      </c>
      <c r="F5" s="18">
        <v>54911594.170000002</v>
      </c>
      <c r="G5" s="18">
        <f t="shared" ref="G5:G24" si="1">D5-F5</f>
        <v>0</v>
      </c>
    </row>
    <row r="6" spans="1:8" x14ac:dyDescent="0.25">
      <c r="A6" s="89">
        <v>3</v>
      </c>
      <c r="B6" s="14" t="s">
        <v>20</v>
      </c>
      <c r="C6" s="18">
        <v>1646634.31</v>
      </c>
      <c r="D6" s="18">
        <f>C6</f>
        <v>1646634.31</v>
      </c>
      <c r="E6" s="18">
        <f t="shared" si="0"/>
        <v>0</v>
      </c>
      <c r="F6" s="18">
        <f>D6</f>
        <v>1646634.31</v>
      </c>
      <c r="G6" s="18">
        <f t="shared" si="1"/>
        <v>0</v>
      </c>
    </row>
    <row r="7" spans="1:8" s="23" customFormat="1" ht="31.5" x14ac:dyDescent="0.25">
      <c r="A7" s="89">
        <v>4</v>
      </c>
      <c r="B7" s="14" t="s">
        <v>21</v>
      </c>
      <c r="C7" s="18">
        <v>2257838.17</v>
      </c>
      <c r="D7" s="18">
        <v>2028436.2785399999</v>
      </c>
      <c r="E7" s="93">
        <f t="shared" si="0"/>
        <v>-229401.89146000007</v>
      </c>
      <c r="F7" s="18">
        <v>1627347.05</v>
      </c>
      <c r="G7" s="18">
        <f t="shared" si="1"/>
        <v>401089.22853999981</v>
      </c>
    </row>
    <row r="8" spans="1:8" x14ac:dyDescent="0.25">
      <c r="A8" s="89">
        <v>5</v>
      </c>
      <c r="B8" s="14" t="s">
        <v>22</v>
      </c>
      <c r="C8" s="18">
        <v>664021.42000000004</v>
      </c>
      <c r="D8" s="18">
        <v>425113.37157800002</v>
      </c>
      <c r="E8" s="93">
        <f t="shared" si="0"/>
        <v>-238908.04842200002</v>
      </c>
      <c r="F8" s="18">
        <v>0</v>
      </c>
      <c r="G8" s="18">
        <f t="shared" si="1"/>
        <v>425113.37157800002</v>
      </c>
    </row>
    <row r="9" spans="1:8" x14ac:dyDescent="0.25">
      <c r="A9" s="89">
        <v>6</v>
      </c>
      <c r="B9" s="14" t="s">
        <v>23</v>
      </c>
      <c r="C9" s="18">
        <v>3182441.3</v>
      </c>
      <c r="D9" s="18">
        <v>4769341.4288659999</v>
      </c>
      <c r="E9" s="94">
        <f t="shared" si="0"/>
        <v>1586900.1288660001</v>
      </c>
      <c r="F9" s="18">
        <v>0</v>
      </c>
      <c r="G9" s="18">
        <f t="shared" si="1"/>
        <v>4769341.4288659999</v>
      </c>
      <c r="H9" s="4" t="s">
        <v>56</v>
      </c>
    </row>
    <row r="10" spans="1:8" x14ac:dyDescent="0.25">
      <c r="A10" s="89">
        <v>7</v>
      </c>
      <c r="B10" s="14" t="s">
        <v>24</v>
      </c>
      <c r="C10" s="18">
        <v>1062387.96</v>
      </c>
      <c r="D10" s="18">
        <v>1526181.1816439999</v>
      </c>
      <c r="E10" s="94">
        <f t="shared" si="0"/>
        <v>463793.22164399992</v>
      </c>
      <c r="F10" s="18">
        <v>0</v>
      </c>
      <c r="G10" s="18">
        <f t="shared" si="1"/>
        <v>1526181.1816439999</v>
      </c>
    </row>
    <row r="11" spans="1:8" x14ac:dyDescent="0.25">
      <c r="A11" s="89">
        <v>8</v>
      </c>
      <c r="B11" s="14" t="s">
        <v>25</v>
      </c>
      <c r="C11" s="18">
        <v>14613333.91</v>
      </c>
      <c r="D11" s="18">
        <v>19654360.745767999</v>
      </c>
      <c r="E11" s="94">
        <f t="shared" si="0"/>
        <v>5041026.8357679993</v>
      </c>
      <c r="F11" s="18">
        <v>0</v>
      </c>
      <c r="G11" s="18">
        <f t="shared" si="1"/>
        <v>19654360.745767999</v>
      </c>
    </row>
    <row r="12" spans="1:8" s="23" customFormat="1" x14ac:dyDescent="0.25">
      <c r="A12" s="89">
        <v>9</v>
      </c>
      <c r="B12" s="14" t="s">
        <v>26</v>
      </c>
      <c r="C12" s="18">
        <v>12780961.4</v>
      </c>
      <c r="D12" s="18">
        <v>2533730.4878539997</v>
      </c>
      <c r="E12" s="93">
        <f t="shared" si="0"/>
        <v>-10247230.912146</v>
      </c>
      <c r="F12" s="18">
        <v>337909.86</v>
      </c>
      <c r="G12" s="18">
        <f t="shared" si="1"/>
        <v>2195820.6278539998</v>
      </c>
    </row>
    <row r="13" spans="1:8" s="23" customFormat="1" x14ac:dyDescent="0.25">
      <c r="A13" s="89">
        <v>10</v>
      </c>
      <c r="B13" s="14" t="s">
        <v>27</v>
      </c>
      <c r="C13" s="18">
        <v>30748093.609999999</v>
      </c>
      <c r="D13" s="18">
        <v>4215514.3442039993</v>
      </c>
      <c r="E13" s="93">
        <f t="shared" si="0"/>
        <v>-26532579.265795998</v>
      </c>
      <c r="F13" s="18">
        <v>1211400.79</v>
      </c>
      <c r="G13" s="18">
        <f t="shared" si="1"/>
        <v>3004113.5542039992</v>
      </c>
    </row>
    <row r="14" spans="1:8" x14ac:dyDescent="0.25">
      <c r="A14" s="89">
        <v>11</v>
      </c>
      <c r="B14" s="14" t="s">
        <v>28</v>
      </c>
      <c r="C14" s="18">
        <v>2642217.86</v>
      </c>
      <c r="D14" s="18">
        <v>2470252.5874039996</v>
      </c>
      <c r="E14" s="93">
        <f t="shared" si="0"/>
        <v>-171965.27259600023</v>
      </c>
      <c r="F14" s="18">
        <v>0</v>
      </c>
      <c r="G14" s="18">
        <f t="shared" si="1"/>
        <v>2470252.5874039996</v>
      </c>
    </row>
    <row r="15" spans="1:8" x14ac:dyDescent="0.25">
      <c r="A15" s="89">
        <v>12</v>
      </c>
      <c r="B15" s="14" t="s">
        <v>29</v>
      </c>
      <c r="C15" s="18">
        <v>5596215.4199999999</v>
      </c>
      <c r="D15" s="18">
        <v>4701704.1308859996</v>
      </c>
      <c r="E15" s="93">
        <f t="shared" si="0"/>
        <v>-894511.28911400028</v>
      </c>
      <c r="F15" s="18">
        <v>0</v>
      </c>
      <c r="G15" s="18">
        <f t="shared" si="1"/>
        <v>4701704.1308859996</v>
      </c>
    </row>
    <row r="16" spans="1:8" ht="31.5" x14ac:dyDescent="0.25">
      <c r="A16" s="89">
        <v>13</v>
      </c>
      <c r="B16" s="14" t="s">
        <v>30</v>
      </c>
      <c r="C16" s="18">
        <v>11590841.109999999</v>
      </c>
      <c r="D16" s="18">
        <v>6419101.2961879997</v>
      </c>
      <c r="E16" s="93">
        <f t="shared" si="0"/>
        <v>-5171739.8138119997</v>
      </c>
      <c r="F16" s="18">
        <v>0</v>
      </c>
      <c r="G16" s="18">
        <f t="shared" si="1"/>
        <v>6419101.2961879997</v>
      </c>
    </row>
    <row r="17" spans="1:7" x14ac:dyDescent="0.25">
      <c r="A17" s="89">
        <v>14</v>
      </c>
      <c r="B17" s="14" t="s">
        <v>31</v>
      </c>
      <c r="C17" s="18">
        <v>225686716.62</v>
      </c>
      <c r="D17" s="18">
        <v>238087879.84</v>
      </c>
      <c r="E17" s="94">
        <f t="shared" si="0"/>
        <v>12401163.219999999</v>
      </c>
      <c r="F17" s="18">
        <v>199215880.78</v>
      </c>
      <c r="G17" s="18">
        <f t="shared" si="1"/>
        <v>38871999.060000002</v>
      </c>
    </row>
    <row r="18" spans="1:7" s="27" customFormat="1" x14ac:dyDescent="0.25">
      <c r="A18" s="89">
        <v>15</v>
      </c>
      <c r="B18" s="14" t="s">
        <v>32</v>
      </c>
      <c r="C18" s="18">
        <v>14715027.42</v>
      </c>
      <c r="D18" s="18">
        <v>14382671.06013</v>
      </c>
      <c r="E18" s="93">
        <f t="shared" si="0"/>
        <v>-332356.35986999981</v>
      </c>
      <c r="F18" s="18">
        <v>10775049.08</v>
      </c>
      <c r="G18" s="18">
        <f t="shared" si="1"/>
        <v>3607621.98013</v>
      </c>
    </row>
    <row r="19" spans="1:7" s="35" customFormat="1" ht="31.5" x14ac:dyDescent="0.25">
      <c r="A19" s="89">
        <v>16</v>
      </c>
      <c r="B19" s="14" t="s">
        <v>33</v>
      </c>
      <c r="C19" s="18">
        <v>6792957.25</v>
      </c>
      <c r="D19" s="18">
        <v>3992463.3129360001</v>
      </c>
      <c r="E19" s="93">
        <f t="shared" si="0"/>
        <v>-2800493.9370639999</v>
      </c>
      <c r="F19" s="18">
        <v>562345.21</v>
      </c>
      <c r="G19" s="18">
        <f t="shared" si="1"/>
        <v>3430118.1029360001</v>
      </c>
    </row>
    <row r="20" spans="1:7" s="27" customFormat="1" x14ac:dyDescent="0.25">
      <c r="A20" s="89">
        <v>17</v>
      </c>
      <c r="B20" s="14" t="s">
        <v>34</v>
      </c>
      <c r="C20" s="18">
        <v>5654080.4900000002</v>
      </c>
      <c r="D20" s="18">
        <v>4657994.5701099997</v>
      </c>
      <c r="E20" s="93">
        <f t="shared" si="0"/>
        <v>-996085.91989000048</v>
      </c>
      <c r="F20" s="18">
        <v>3594854.48</v>
      </c>
      <c r="G20" s="18">
        <f t="shared" si="1"/>
        <v>1063140.0901099998</v>
      </c>
    </row>
    <row r="21" spans="1:7" x14ac:dyDescent="0.25">
      <c r="A21" s="89">
        <v>18</v>
      </c>
      <c r="B21" s="14" t="s">
        <v>35</v>
      </c>
      <c r="C21" s="18">
        <v>6997494.7699999996</v>
      </c>
      <c r="D21" s="18">
        <v>21351120.23</v>
      </c>
      <c r="E21" s="94">
        <f t="shared" si="0"/>
        <v>14353625.460000001</v>
      </c>
      <c r="F21" s="18">
        <v>2298854.48</v>
      </c>
      <c r="G21" s="18">
        <f t="shared" si="1"/>
        <v>19052265.75</v>
      </c>
    </row>
    <row r="22" spans="1:7" x14ac:dyDescent="0.25">
      <c r="A22" s="89">
        <v>20</v>
      </c>
      <c r="B22" s="14" t="s">
        <v>36</v>
      </c>
      <c r="C22" s="18">
        <v>68352585.25</v>
      </c>
      <c r="D22" s="18">
        <v>84453896.729999989</v>
      </c>
      <c r="E22" s="94">
        <f t="shared" si="0"/>
        <v>16101311.479999989</v>
      </c>
      <c r="F22" s="18">
        <v>15325816.16</v>
      </c>
      <c r="G22" s="18">
        <f t="shared" si="1"/>
        <v>69128080.569999993</v>
      </c>
    </row>
    <row r="23" spans="1:7" s="35" customFormat="1" x14ac:dyDescent="0.25">
      <c r="A23" s="89">
        <v>21</v>
      </c>
      <c r="B23" s="14" t="str">
        <f>[1]ССР!C30</f>
        <v>Восстановительные работы цеха №121/18. АС 3.</v>
      </c>
      <c r="C23" s="18">
        <v>6298633.3300000001</v>
      </c>
      <c r="D23" s="18">
        <v>5245250.92</v>
      </c>
      <c r="E23" s="93">
        <f t="shared" si="0"/>
        <v>-1053382.4100000001</v>
      </c>
      <c r="F23" s="18">
        <v>5245250.92</v>
      </c>
      <c r="G23" s="18">
        <f t="shared" si="1"/>
        <v>0</v>
      </c>
    </row>
    <row r="24" spans="1:7" s="35" customFormat="1" ht="31.5" x14ac:dyDescent="0.25">
      <c r="A24" s="89">
        <v>22</v>
      </c>
      <c r="B24" s="14" t="str">
        <f>[1]ССР!C45</f>
        <v>Трубопровод ливневых сточных вод от трансбордера. НВК1</v>
      </c>
      <c r="C24" s="18">
        <v>2458485.04</v>
      </c>
      <c r="D24" s="18">
        <v>505496.99</v>
      </c>
      <c r="E24" s="93">
        <f t="shared" si="0"/>
        <v>-1952988.05</v>
      </c>
      <c r="F24" s="18">
        <v>505496.99</v>
      </c>
      <c r="G24" s="18">
        <f t="shared" si="1"/>
        <v>0</v>
      </c>
    </row>
    <row r="25" spans="1:7" x14ac:dyDescent="0.25">
      <c r="A25" s="103" t="s">
        <v>61</v>
      </c>
      <c r="B25" s="104"/>
      <c r="C25" s="90">
        <f>SUM(C4:C24)+0.01</f>
        <v>548004000.00999999</v>
      </c>
      <c r="D25" s="90">
        <f>SUM(D4:D24)</f>
        <v>543846003.93610799</v>
      </c>
      <c r="E25" s="90">
        <f>SUM(E4:E24)</f>
        <v>-4157996.0638920134</v>
      </c>
      <c r="F25" s="90">
        <f>SUM(F4:F24)</f>
        <v>363125700.23000008</v>
      </c>
      <c r="G25" s="90">
        <f>SUM(G4:G24)</f>
        <v>180720303.70610797</v>
      </c>
    </row>
    <row r="26" spans="1:7" x14ac:dyDescent="0.25">
      <c r="A26" s="100" t="s">
        <v>54</v>
      </c>
      <c r="B26" s="100"/>
      <c r="C26" s="100"/>
      <c r="D26" s="100"/>
      <c r="E26" s="100"/>
      <c r="F26" s="100"/>
      <c r="G26" s="100"/>
    </row>
    <row r="27" spans="1:7" x14ac:dyDescent="0.25">
      <c r="A27" s="89">
        <v>23</v>
      </c>
      <c r="B27" s="14" t="s">
        <v>37</v>
      </c>
      <c r="C27" s="18">
        <v>0</v>
      </c>
      <c r="D27" s="18">
        <v>4216719.66</v>
      </c>
      <c r="E27" s="94">
        <v>4216719.66</v>
      </c>
      <c r="F27" s="26">
        <f>D27</f>
        <v>4216719.66</v>
      </c>
      <c r="G27" s="26">
        <f>D27-F27</f>
        <v>0</v>
      </c>
    </row>
    <row r="28" spans="1:7" x14ac:dyDescent="0.25">
      <c r="A28" s="89">
        <v>24</v>
      </c>
      <c r="B28" s="14" t="s">
        <v>38</v>
      </c>
      <c r="C28" s="18">
        <v>0</v>
      </c>
      <c r="D28" s="18">
        <v>2160473.5</v>
      </c>
      <c r="E28" s="94">
        <v>2160473.5</v>
      </c>
      <c r="F28" s="26">
        <f>D28</f>
        <v>2160473.5</v>
      </c>
      <c r="G28" s="26">
        <f t="shared" ref="G28:G40" si="2">D28-F28</f>
        <v>0</v>
      </c>
    </row>
    <row r="29" spans="1:7" x14ac:dyDescent="0.25">
      <c r="A29" s="89">
        <v>25</v>
      </c>
      <c r="B29" s="14" t="s">
        <v>39</v>
      </c>
      <c r="C29" s="18">
        <v>0</v>
      </c>
      <c r="D29" s="18">
        <v>708000.38</v>
      </c>
      <c r="E29" s="94">
        <v>708000.38</v>
      </c>
      <c r="F29" s="26">
        <v>0</v>
      </c>
      <c r="G29" s="26">
        <f>E29</f>
        <v>708000.38</v>
      </c>
    </row>
    <row r="30" spans="1:7" x14ac:dyDescent="0.25">
      <c r="A30" s="89">
        <v>26</v>
      </c>
      <c r="B30" s="14" t="s">
        <v>40</v>
      </c>
      <c r="C30" s="18">
        <v>0</v>
      </c>
      <c r="D30" s="18">
        <v>85851.36</v>
      </c>
      <c r="E30" s="94">
        <v>85851.36</v>
      </c>
      <c r="F30" s="26">
        <v>0</v>
      </c>
      <c r="G30" s="26">
        <f t="shared" ref="G30:G40" si="3">E30</f>
        <v>85851.36</v>
      </c>
    </row>
    <row r="31" spans="1:7" x14ac:dyDescent="0.25">
      <c r="A31" s="89">
        <v>27</v>
      </c>
      <c r="B31" s="14" t="s">
        <v>41</v>
      </c>
      <c r="C31" s="18">
        <v>0</v>
      </c>
      <c r="D31" s="18">
        <v>27667.040000000001</v>
      </c>
      <c r="E31" s="94">
        <v>27667.040000000001</v>
      </c>
      <c r="F31" s="26">
        <v>0</v>
      </c>
      <c r="G31" s="26">
        <f t="shared" si="3"/>
        <v>27667.040000000001</v>
      </c>
    </row>
    <row r="32" spans="1:7" x14ac:dyDescent="0.25">
      <c r="A32" s="89">
        <v>28</v>
      </c>
      <c r="B32" s="14" t="s">
        <v>42</v>
      </c>
      <c r="C32" s="18">
        <v>0</v>
      </c>
      <c r="D32" s="18">
        <v>208912.6</v>
      </c>
      <c r="E32" s="94">
        <v>208912.6</v>
      </c>
      <c r="F32" s="26">
        <v>0</v>
      </c>
      <c r="G32" s="26">
        <f t="shared" si="3"/>
        <v>208912.6</v>
      </c>
    </row>
    <row r="33" spans="1:9" x14ac:dyDescent="0.25">
      <c r="A33" s="89">
        <v>29</v>
      </c>
      <c r="B33" s="14" t="s">
        <v>43</v>
      </c>
      <c r="C33" s="18">
        <v>0</v>
      </c>
      <c r="D33" s="18">
        <v>556614.54</v>
      </c>
      <c r="E33" s="94">
        <v>556614.54</v>
      </c>
      <c r="F33" s="26">
        <v>0</v>
      </c>
      <c r="G33" s="26">
        <f t="shared" si="3"/>
        <v>556614.54</v>
      </c>
    </row>
    <row r="34" spans="1:9" x14ac:dyDescent="0.25">
      <c r="A34" s="89">
        <v>19</v>
      </c>
      <c r="B34" s="14" t="s">
        <v>44</v>
      </c>
      <c r="C34" s="18">
        <v>0</v>
      </c>
      <c r="D34" s="18">
        <v>1139614.19</v>
      </c>
      <c r="E34" s="94">
        <v>1139614.19</v>
      </c>
      <c r="F34" s="18">
        <v>0</v>
      </c>
      <c r="G34" s="26">
        <f t="shared" si="3"/>
        <v>1139614.19</v>
      </c>
    </row>
    <row r="35" spans="1:9" x14ac:dyDescent="0.25">
      <c r="A35" s="89">
        <v>31</v>
      </c>
      <c r="B35" s="14" t="s">
        <v>45</v>
      </c>
      <c r="C35" s="18">
        <v>0</v>
      </c>
      <c r="D35" s="18">
        <v>788073.34</v>
      </c>
      <c r="E35" s="94">
        <v>788073.34</v>
      </c>
      <c r="F35" s="26">
        <v>0</v>
      </c>
      <c r="G35" s="26">
        <f t="shared" si="3"/>
        <v>788073.34</v>
      </c>
    </row>
    <row r="36" spans="1:9" x14ac:dyDescent="0.25">
      <c r="A36" s="89">
        <v>32</v>
      </c>
      <c r="B36" s="14" t="s">
        <v>55</v>
      </c>
      <c r="C36" s="18">
        <v>0</v>
      </c>
      <c r="D36" s="18">
        <v>2040575.68</v>
      </c>
      <c r="E36" s="94">
        <v>2040575.68</v>
      </c>
      <c r="F36" s="26">
        <v>0</v>
      </c>
      <c r="G36" s="26">
        <f t="shared" si="3"/>
        <v>2040575.68</v>
      </c>
    </row>
    <row r="37" spans="1:9" x14ac:dyDescent="0.25">
      <c r="A37" s="89">
        <v>33</v>
      </c>
      <c r="B37" s="14" t="s">
        <v>46</v>
      </c>
      <c r="C37" s="18">
        <v>0</v>
      </c>
      <c r="D37" s="18">
        <v>57736.21</v>
      </c>
      <c r="E37" s="94">
        <v>57736.21</v>
      </c>
      <c r="F37" s="26">
        <v>0</v>
      </c>
      <c r="G37" s="26">
        <f t="shared" si="3"/>
        <v>57736.21</v>
      </c>
    </row>
    <row r="38" spans="1:9" x14ac:dyDescent="0.25">
      <c r="A38" s="89">
        <v>34</v>
      </c>
      <c r="B38" s="14" t="s">
        <v>47</v>
      </c>
      <c r="C38" s="18">
        <v>0</v>
      </c>
      <c r="D38" s="18">
        <v>299526.31</v>
      </c>
      <c r="E38" s="94">
        <v>299526.31</v>
      </c>
      <c r="F38" s="26">
        <v>0</v>
      </c>
      <c r="G38" s="26">
        <f t="shared" si="3"/>
        <v>299526.31</v>
      </c>
    </row>
    <row r="39" spans="1:9" x14ac:dyDescent="0.25">
      <c r="A39" s="89">
        <v>36</v>
      </c>
      <c r="B39" s="14" t="s">
        <v>48</v>
      </c>
      <c r="C39" s="18">
        <v>0</v>
      </c>
      <c r="D39" s="18">
        <v>5703505.3300000001</v>
      </c>
      <c r="E39" s="94">
        <v>5703505.3300000001</v>
      </c>
      <c r="F39" s="18">
        <v>0</v>
      </c>
      <c r="G39" s="26">
        <f t="shared" si="3"/>
        <v>5703505.3300000001</v>
      </c>
      <c r="H39" s="22"/>
      <c r="I39" s="22"/>
    </row>
    <row r="40" spans="1:9" x14ac:dyDescent="0.25">
      <c r="A40" s="89">
        <v>34</v>
      </c>
      <c r="B40" s="14" t="s">
        <v>49</v>
      </c>
      <c r="C40" s="18">
        <v>0</v>
      </c>
      <c r="D40" s="18">
        <v>2384094.02</v>
      </c>
      <c r="E40" s="94">
        <v>2384094.02</v>
      </c>
      <c r="F40" s="26">
        <v>0</v>
      </c>
      <c r="G40" s="26">
        <f t="shared" si="3"/>
        <v>2384094.02</v>
      </c>
      <c r="H40" s="22">
        <f>SUM(G27:G39)</f>
        <v>11616076.98</v>
      </c>
    </row>
    <row r="41" spans="1:9" x14ac:dyDescent="0.25">
      <c r="A41" s="101" t="s">
        <v>59</v>
      </c>
      <c r="B41" s="101"/>
      <c r="C41" s="95">
        <v>0</v>
      </c>
      <c r="D41" s="95">
        <f>SUM(D27:D40)</f>
        <v>20377364.16</v>
      </c>
      <c r="E41" s="95">
        <f>SUM(E27:E40)</f>
        <v>20377364.16</v>
      </c>
      <c r="F41" s="95">
        <f>SUM(F27:F40)</f>
        <v>6377193.1600000001</v>
      </c>
      <c r="G41" s="95">
        <f>SUM(G27:G40)</f>
        <v>14000171</v>
      </c>
    </row>
    <row r="42" spans="1:9" x14ac:dyDescent="0.25">
      <c r="A42" s="102" t="s">
        <v>60</v>
      </c>
      <c r="B42" s="102"/>
      <c r="C42" s="90">
        <f>C25</f>
        <v>548004000.00999999</v>
      </c>
      <c r="D42" s="90">
        <f>D25+D41</f>
        <v>564223368.09610796</v>
      </c>
      <c r="E42" s="90">
        <f>E25+E41</f>
        <v>16219368.096107986</v>
      </c>
      <c r="F42" s="90">
        <f>F25+F41</f>
        <v>369502893.3900001</v>
      </c>
      <c r="G42" s="90">
        <f>G25+G41</f>
        <v>194720474.70610797</v>
      </c>
      <c r="H42" s="22">
        <f>G25+H40</f>
        <v>192336380.68610796</v>
      </c>
      <c r="I42" s="22">
        <f>'реестр ССР2'!J41</f>
        <v>192335991.91999999</v>
      </c>
    </row>
    <row r="53" spans="1:7" s="7" customFormat="1" x14ac:dyDescent="0.25">
      <c r="A53" s="80"/>
      <c r="B53" s="80"/>
      <c r="C53" s="81"/>
      <c r="D53" s="81"/>
      <c r="E53" s="81"/>
      <c r="F53" s="4"/>
      <c r="G53" s="4"/>
    </row>
    <row r="54" spans="1:7" s="7" customFormat="1" x14ac:dyDescent="0.25">
      <c r="A54" s="4"/>
      <c r="B54" s="4"/>
      <c r="C54" s="22"/>
      <c r="D54" s="22"/>
      <c r="E54" s="22"/>
      <c r="F54" s="4"/>
      <c r="G54" s="4"/>
    </row>
    <row r="55" spans="1:7" s="7" customFormat="1" x14ac:dyDescent="0.25">
      <c r="A55" s="4"/>
      <c r="B55" s="4"/>
      <c r="C55" s="22"/>
      <c r="D55" s="22"/>
      <c r="E55" s="22"/>
      <c r="F55" s="4"/>
      <c r="G55" s="4"/>
    </row>
    <row r="56" spans="1:7" s="7" customFormat="1" x14ac:dyDescent="0.25">
      <c r="A56" s="4"/>
      <c r="B56" s="4"/>
      <c r="C56" s="4"/>
      <c r="D56" s="4"/>
      <c r="E56" s="4"/>
      <c r="F56" s="4"/>
      <c r="G56" s="4"/>
    </row>
    <row r="76" spans="1:1" x14ac:dyDescent="0.25">
      <c r="A76" s="4">
        <v>7</v>
      </c>
    </row>
  </sheetData>
  <mergeCells count="5">
    <mergeCell ref="A1:C1"/>
    <mergeCell ref="A25:B25"/>
    <mergeCell ref="A26:G26"/>
    <mergeCell ref="A41:B41"/>
    <mergeCell ref="A42:B4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3"/>
  <sheetViews>
    <sheetView zoomScale="70" zoomScaleNormal="70" workbookViewId="0">
      <selection sqref="A1:XFD1048576"/>
    </sheetView>
  </sheetViews>
  <sheetFormatPr defaultColWidth="9.140625" defaultRowHeight="15.75" outlineLevelCol="1" x14ac:dyDescent="0.25"/>
  <cols>
    <col min="1" max="1" width="6.28515625" style="4" customWidth="1"/>
    <col min="2" max="2" width="38.85546875" style="4" customWidth="1"/>
    <col min="3" max="3" width="20.5703125" style="4" hidden="1" customWidth="1" outlineLevel="1"/>
    <col min="4" max="4" width="18.85546875" style="4" hidden="1" customWidth="1" outlineLevel="1"/>
    <col min="5" max="5" width="17.5703125" style="4" hidden="1" customWidth="1" outlineLevel="1"/>
    <col min="6" max="6" width="20.7109375" style="4" hidden="1" customWidth="1" outlineLevel="1"/>
    <col min="7" max="7" width="19.5703125" style="4" hidden="1" customWidth="1" outlineLevel="1"/>
    <col min="8" max="8" width="8.5703125" style="4" hidden="1" customWidth="1" outlineLevel="1"/>
    <col min="9" max="9" width="22.28515625" style="4" customWidth="1" collapsed="1"/>
    <col min="10" max="10" width="20.42578125" style="7" hidden="1" customWidth="1" outlineLevel="1"/>
    <col min="11" max="11" width="16.85546875" style="7" hidden="1" customWidth="1" outlineLevel="1"/>
    <col min="12" max="12" width="18.140625" style="3" hidden="1" customWidth="1" outlineLevel="1"/>
    <col min="13" max="13" width="16.85546875" style="7" hidden="1" customWidth="1" outlineLevel="1"/>
    <col min="14" max="14" width="18.140625" style="3" hidden="1" customWidth="1" outlineLevel="1"/>
    <col min="15" max="15" width="18.42578125" style="4" customWidth="1" collapsed="1"/>
    <col min="16" max="16" width="20.28515625" style="4" customWidth="1"/>
    <col min="17" max="17" width="26.140625" style="4" customWidth="1"/>
    <col min="18" max="18" width="26.7109375" style="4" customWidth="1"/>
    <col min="19" max="19" width="31.42578125" style="4" customWidth="1"/>
    <col min="20" max="20" width="36.140625" style="7" customWidth="1"/>
    <col min="21" max="21" width="9.140625" style="4" customWidth="1"/>
    <col min="22" max="22" width="31" style="4" customWidth="1"/>
    <col min="23" max="16384" width="9.140625" style="4"/>
  </cols>
  <sheetData>
    <row r="1" spans="1:20" ht="8.25" customHeight="1" x14ac:dyDescent="0.25">
      <c r="A1" s="99"/>
      <c r="B1" s="99"/>
      <c r="C1" s="99"/>
      <c r="D1" s="99"/>
      <c r="E1" s="99"/>
      <c r="F1" s="99"/>
      <c r="G1" s="99"/>
      <c r="H1" s="99"/>
      <c r="I1" s="99"/>
      <c r="J1" s="2"/>
      <c r="K1" s="2"/>
      <c r="M1" s="2"/>
    </row>
    <row r="2" spans="1:20" ht="5.25" customHeight="1" thickBot="1" x14ac:dyDescent="0.3">
      <c r="A2" s="5"/>
      <c r="B2" s="5"/>
      <c r="C2" s="5"/>
      <c r="D2" s="5"/>
      <c r="E2" s="5"/>
      <c r="F2" s="5"/>
      <c r="G2" s="5"/>
      <c r="H2" s="6"/>
      <c r="I2" s="5"/>
    </row>
    <row r="3" spans="1:20" ht="47.25" customHeight="1" x14ac:dyDescent="0.25">
      <c r="A3" s="87" t="s">
        <v>0</v>
      </c>
      <c r="B3" s="88" t="s">
        <v>1</v>
      </c>
      <c r="C3" s="88" t="s">
        <v>2</v>
      </c>
      <c r="D3" s="88" t="s">
        <v>3</v>
      </c>
      <c r="E3" s="88" t="s">
        <v>4</v>
      </c>
      <c r="F3" s="88" t="s">
        <v>5</v>
      </c>
      <c r="G3" s="8" t="s">
        <v>6</v>
      </c>
      <c r="H3" s="88" t="s">
        <v>7</v>
      </c>
      <c r="I3" s="8" t="s">
        <v>8</v>
      </c>
      <c r="J3" s="8" t="s">
        <v>9</v>
      </c>
      <c r="K3" s="8" t="s">
        <v>10</v>
      </c>
      <c r="L3" s="9" t="s">
        <v>11</v>
      </c>
      <c r="M3" s="10" t="s">
        <v>12</v>
      </c>
      <c r="N3" s="11" t="s">
        <v>13</v>
      </c>
      <c r="O3" s="8" t="s">
        <v>53</v>
      </c>
      <c r="P3" s="8" t="s">
        <v>14</v>
      </c>
      <c r="Q3" s="12" t="s">
        <v>15</v>
      </c>
      <c r="R3" s="12" t="s">
        <v>16</v>
      </c>
      <c r="S3" s="12" t="s">
        <v>17</v>
      </c>
    </row>
    <row r="4" spans="1:20" ht="54" customHeight="1" x14ac:dyDescent="0.25">
      <c r="A4" s="13">
        <v>1</v>
      </c>
      <c r="B4" s="14" t="s">
        <v>18</v>
      </c>
      <c r="C4" s="15">
        <v>48841208.740000002</v>
      </c>
      <c r="D4" s="15">
        <v>4004979.12</v>
      </c>
      <c r="E4" s="15">
        <v>1268308.51</v>
      </c>
      <c r="F4" s="15">
        <v>54114496.369999997</v>
      </c>
      <c r="G4" s="15">
        <v>56893839.630000003</v>
      </c>
      <c r="H4" s="16">
        <v>1.2</v>
      </c>
      <c r="I4" s="17">
        <v>68272607.560000002</v>
      </c>
      <c r="J4" s="18">
        <v>65507253.219999999</v>
      </c>
      <c r="K4" s="18">
        <v>360012.73</v>
      </c>
      <c r="L4" s="18"/>
      <c r="M4" s="18"/>
      <c r="N4" s="18"/>
      <c r="O4" s="18">
        <f>J4+K4+L4+M4+N4</f>
        <v>65867265.949999996</v>
      </c>
      <c r="P4" s="18">
        <f>I4-J4-K4-L4-M4-N4</f>
        <v>2405341.6100000036</v>
      </c>
      <c r="Q4" s="19">
        <f t="shared" ref="Q4:Q24" si="0">O4</f>
        <v>65867265.949999996</v>
      </c>
      <c r="R4" s="19">
        <v>0</v>
      </c>
      <c r="S4" s="20">
        <f t="shared" ref="S4:S24" si="1">Q4+R4</f>
        <v>65867265.949999996</v>
      </c>
      <c r="T4" s="3">
        <f>S4-I4</f>
        <v>-2405341.6100000069</v>
      </c>
    </row>
    <row r="5" spans="1:20" ht="49.5" customHeight="1" x14ac:dyDescent="0.25">
      <c r="A5" s="13">
        <v>2</v>
      </c>
      <c r="B5" s="14" t="s">
        <v>19</v>
      </c>
      <c r="C5" s="15">
        <v>40054718.460000001</v>
      </c>
      <c r="D5" s="15">
        <v>3284486.91</v>
      </c>
      <c r="E5" s="15">
        <v>1040140.93</v>
      </c>
      <c r="F5" s="15">
        <v>44379346.299999997</v>
      </c>
      <c r="G5" s="15">
        <v>46658688.170000002</v>
      </c>
      <c r="H5" s="16">
        <v>1.2</v>
      </c>
      <c r="I5" s="17">
        <v>55990425.799999997</v>
      </c>
      <c r="J5" s="18">
        <v>54911594.170000002</v>
      </c>
      <c r="K5" s="18"/>
      <c r="L5" s="18"/>
      <c r="M5" s="18"/>
      <c r="N5" s="18"/>
      <c r="O5" s="18">
        <f t="shared" ref="O5:O19" si="2">J5+K5+L5+M5+N5</f>
        <v>54911594.170000002</v>
      </c>
      <c r="P5" s="18">
        <f t="shared" ref="P5:P19" si="3">I5-J5-K5-L5-M5-N5</f>
        <v>1078831.6299999952</v>
      </c>
      <c r="Q5" s="19">
        <f t="shared" si="0"/>
        <v>54911594.170000002</v>
      </c>
      <c r="R5" s="19">
        <v>0</v>
      </c>
      <c r="S5" s="20">
        <f t="shared" si="1"/>
        <v>54911594.170000002</v>
      </c>
      <c r="T5" s="3">
        <f t="shared" ref="T5:T24" si="4">S5-I5</f>
        <v>-1078831.6299999952</v>
      </c>
    </row>
    <row r="6" spans="1:20" ht="35.1" customHeight="1" x14ac:dyDescent="0.25">
      <c r="A6" s="13">
        <v>3</v>
      </c>
      <c r="B6" s="14" t="s">
        <v>20</v>
      </c>
      <c r="C6" s="15">
        <v>1177977.71</v>
      </c>
      <c r="D6" s="15">
        <v>96594.17</v>
      </c>
      <c r="E6" s="15">
        <v>30589.73</v>
      </c>
      <c r="F6" s="15">
        <v>1305161.6100000001</v>
      </c>
      <c r="G6" s="15">
        <v>1372195.26</v>
      </c>
      <c r="H6" s="16">
        <f>H4</f>
        <v>1.2</v>
      </c>
      <c r="I6" s="17">
        <v>1646634.31</v>
      </c>
      <c r="J6" s="18"/>
      <c r="K6" s="18"/>
      <c r="L6" s="18">
        <v>1646696.3</v>
      </c>
      <c r="M6" s="18"/>
      <c r="N6" s="18"/>
      <c r="O6" s="18">
        <f t="shared" si="2"/>
        <v>1646696.3</v>
      </c>
      <c r="P6" s="18">
        <v>0</v>
      </c>
      <c r="Q6" s="19">
        <f t="shared" si="0"/>
        <v>1646696.3</v>
      </c>
      <c r="R6" s="19">
        <v>0</v>
      </c>
      <c r="S6" s="20">
        <f t="shared" si="1"/>
        <v>1646696.3</v>
      </c>
      <c r="T6" s="3">
        <f t="shared" si="4"/>
        <v>61.989999999990687</v>
      </c>
    </row>
    <row r="7" spans="1:20" s="23" customFormat="1" ht="47.25" x14ac:dyDescent="0.25">
      <c r="A7" s="13">
        <v>4</v>
      </c>
      <c r="B7" s="14" t="s">
        <v>21</v>
      </c>
      <c r="C7" s="15">
        <v>1615223.87</v>
      </c>
      <c r="D7" s="15">
        <v>132448.35999999999</v>
      </c>
      <c r="E7" s="15">
        <v>41944.13</v>
      </c>
      <c r="F7" s="15">
        <v>1789616.36</v>
      </c>
      <c r="G7" s="15">
        <v>1881531.81</v>
      </c>
      <c r="H7" s="16">
        <f>H17</f>
        <v>1.2</v>
      </c>
      <c r="I7" s="17">
        <v>2257838.17</v>
      </c>
      <c r="J7" s="18"/>
      <c r="K7" s="18"/>
      <c r="L7" s="18">
        <v>1627347.05</v>
      </c>
      <c r="M7" s="18"/>
      <c r="N7" s="18"/>
      <c r="O7" s="18">
        <f>J7+K7+L7+M7+N7</f>
        <v>1627347.05</v>
      </c>
      <c r="P7" s="18">
        <f t="shared" si="3"/>
        <v>630491.11999999988</v>
      </c>
      <c r="Q7" s="19">
        <f t="shared" si="0"/>
        <v>1627347.05</v>
      </c>
      <c r="R7" s="20">
        <f>381481.1*1.0514</f>
        <v>401089.22853999992</v>
      </c>
      <c r="S7" s="20">
        <f t="shared" si="1"/>
        <v>2028436.2785399999</v>
      </c>
      <c r="T7" s="3">
        <f t="shared" si="4"/>
        <v>-229401.89146000007</v>
      </c>
    </row>
    <row r="8" spans="1:20" ht="31.5" customHeight="1" x14ac:dyDescent="0.25">
      <c r="A8" s="13">
        <v>5</v>
      </c>
      <c r="B8" s="14" t="s">
        <v>22</v>
      </c>
      <c r="C8" s="15">
        <v>475031.03999999998</v>
      </c>
      <c r="D8" s="15">
        <v>38952.550000000003</v>
      </c>
      <c r="E8" s="15">
        <v>12335.61</v>
      </c>
      <c r="F8" s="15">
        <v>526319.19999999995</v>
      </c>
      <c r="G8" s="15">
        <v>553351.18000000005</v>
      </c>
      <c r="H8" s="16">
        <f>H23</f>
        <v>1.2</v>
      </c>
      <c r="I8" s="17">
        <v>664021.42000000004</v>
      </c>
      <c r="J8" s="18"/>
      <c r="K8" s="18"/>
      <c r="L8" s="18"/>
      <c r="M8" s="18"/>
      <c r="N8" s="18"/>
      <c r="O8" s="18">
        <f t="shared" si="2"/>
        <v>0</v>
      </c>
      <c r="P8" s="18">
        <f t="shared" si="3"/>
        <v>664021.42000000004</v>
      </c>
      <c r="Q8" s="19">
        <f t="shared" si="0"/>
        <v>0</v>
      </c>
      <c r="R8" s="20">
        <f>328908.08*1.0514+75422.69*1.0514</f>
        <v>425113.37157800002</v>
      </c>
      <c r="S8" s="20">
        <f t="shared" si="1"/>
        <v>425113.37157800002</v>
      </c>
      <c r="T8" s="3">
        <f t="shared" si="4"/>
        <v>-238908.04842200002</v>
      </c>
    </row>
    <row r="9" spans="1:20" ht="31.5" x14ac:dyDescent="0.25">
      <c r="A9" s="13">
        <v>6</v>
      </c>
      <c r="B9" s="14" t="s">
        <v>23</v>
      </c>
      <c r="C9" s="15">
        <v>2276671.21</v>
      </c>
      <c r="D9" s="15">
        <v>186687.04</v>
      </c>
      <c r="E9" s="15">
        <v>59120.6</v>
      </c>
      <c r="F9" s="15">
        <v>2522478.85</v>
      </c>
      <c r="G9" s="15">
        <v>2652034.42</v>
      </c>
      <c r="H9" s="16">
        <f>H23</f>
        <v>1.2</v>
      </c>
      <c r="I9" s="17">
        <v>3182441.3</v>
      </c>
      <c r="J9" s="18"/>
      <c r="K9" s="18"/>
      <c r="L9" s="18"/>
      <c r="M9" s="18"/>
      <c r="N9" s="18"/>
      <c r="O9" s="18">
        <f t="shared" si="2"/>
        <v>0</v>
      </c>
      <c r="P9" s="18">
        <f t="shared" si="3"/>
        <v>3182441.3</v>
      </c>
      <c r="Q9" s="19">
        <f t="shared" si="0"/>
        <v>0</v>
      </c>
      <c r="R9" s="20">
        <f>4303628.36*1.0514+232553.33*1.0514</f>
        <v>4769341.4288659999</v>
      </c>
      <c r="S9" s="20">
        <f t="shared" si="1"/>
        <v>4769341.4288659999</v>
      </c>
      <c r="T9" s="3">
        <f t="shared" si="4"/>
        <v>1586900.1288660001</v>
      </c>
    </row>
    <row r="10" spans="1:20" ht="31.5" x14ac:dyDescent="0.25">
      <c r="A10" s="13">
        <v>7</v>
      </c>
      <c r="B10" s="14" t="s">
        <v>24</v>
      </c>
      <c r="C10" s="15">
        <v>760016.55</v>
      </c>
      <c r="D10" s="15">
        <v>62321.36</v>
      </c>
      <c r="E10" s="15">
        <v>19736.11</v>
      </c>
      <c r="F10" s="15">
        <v>842074.02</v>
      </c>
      <c r="G10" s="15">
        <v>885323.3</v>
      </c>
      <c r="H10" s="16">
        <f>H18</f>
        <v>1.2</v>
      </c>
      <c r="I10" s="17">
        <v>1062387.96</v>
      </c>
      <c r="J10" s="18"/>
      <c r="K10" s="18"/>
      <c r="L10" s="18"/>
      <c r="M10" s="18"/>
      <c r="N10" s="18"/>
      <c r="O10" s="18">
        <f t="shared" si="2"/>
        <v>0</v>
      </c>
      <c r="P10" s="18">
        <f t="shared" si="3"/>
        <v>1062387.96</v>
      </c>
      <c r="Q10" s="19">
        <f t="shared" si="0"/>
        <v>0</v>
      </c>
      <c r="R10" s="20">
        <f>1451570.46*1.0514</f>
        <v>1526181.1816439999</v>
      </c>
      <c r="S10" s="20">
        <f t="shared" si="1"/>
        <v>1526181.1816439999</v>
      </c>
      <c r="T10" s="3">
        <f t="shared" si="4"/>
        <v>463793.22164399992</v>
      </c>
    </row>
    <row r="11" spans="1:20" ht="31.5" x14ac:dyDescent="0.25">
      <c r="A11" s="13">
        <v>8</v>
      </c>
      <c r="B11" s="14" t="s">
        <v>25</v>
      </c>
      <c r="C11" s="15">
        <v>10454161.890000001</v>
      </c>
      <c r="D11" s="15">
        <v>857241.27</v>
      </c>
      <c r="E11" s="15">
        <v>271473.68</v>
      </c>
      <c r="F11" s="15">
        <v>11582876.84</v>
      </c>
      <c r="G11" s="15">
        <v>12177778.26</v>
      </c>
      <c r="H11" s="16">
        <f t="shared" ref="H11:H16" si="5">H4</f>
        <v>1.2</v>
      </c>
      <c r="I11" s="17">
        <v>14613333.91</v>
      </c>
      <c r="J11" s="18"/>
      <c r="K11" s="18"/>
      <c r="L11" s="18"/>
      <c r="M11" s="18"/>
      <c r="N11" s="18"/>
      <c r="O11" s="18">
        <f t="shared" si="2"/>
        <v>0</v>
      </c>
      <c r="P11" s="18">
        <f t="shared" si="3"/>
        <v>14613333.91</v>
      </c>
      <c r="Q11" s="19">
        <f t="shared" si="0"/>
        <v>0</v>
      </c>
      <c r="R11" s="20">
        <f>18693514.12*1.0514</f>
        <v>19654360.745767999</v>
      </c>
      <c r="S11" s="20">
        <f t="shared" si="1"/>
        <v>19654360.745767999</v>
      </c>
      <c r="T11" s="3">
        <f t="shared" si="4"/>
        <v>5041026.8357679993</v>
      </c>
    </row>
    <row r="12" spans="1:20" s="23" customFormat="1" ht="31.5" x14ac:dyDescent="0.25">
      <c r="A12" s="13">
        <v>9</v>
      </c>
      <c r="B12" s="14" t="s">
        <v>26</v>
      </c>
      <c r="C12" s="15">
        <v>9143309.8300000001</v>
      </c>
      <c r="D12" s="15">
        <v>749751.41</v>
      </c>
      <c r="E12" s="15">
        <v>237433.47</v>
      </c>
      <c r="F12" s="15">
        <v>10130494.710000001</v>
      </c>
      <c r="G12" s="15">
        <v>10650801.17</v>
      </c>
      <c r="H12" s="16">
        <f t="shared" si="5"/>
        <v>1.2</v>
      </c>
      <c r="I12" s="17">
        <v>12780961.4</v>
      </c>
      <c r="J12" s="18"/>
      <c r="K12" s="18"/>
      <c r="L12" s="18"/>
      <c r="M12" s="18"/>
      <c r="N12" s="18">
        <v>337909.86</v>
      </c>
      <c r="O12" s="18">
        <f t="shared" si="2"/>
        <v>337909.86</v>
      </c>
      <c r="P12" s="18">
        <f t="shared" si="3"/>
        <v>12443051.540000001</v>
      </c>
      <c r="Q12" s="19">
        <f t="shared" si="0"/>
        <v>337909.86</v>
      </c>
      <c r="R12" s="20">
        <f>2088473.11*1.0514</f>
        <v>2195820.6278539998</v>
      </c>
      <c r="S12" s="20">
        <f t="shared" si="1"/>
        <v>2533730.4878539997</v>
      </c>
      <c r="T12" s="3">
        <f t="shared" si="4"/>
        <v>-10247230.912146</v>
      </c>
    </row>
    <row r="13" spans="1:20" s="23" customFormat="1" ht="31.5" x14ac:dyDescent="0.25">
      <c r="A13" s="13">
        <v>10</v>
      </c>
      <c r="B13" s="14" t="s">
        <v>27</v>
      </c>
      <c r="C13" s="15">
        <v>21996729.18</v>
      </c>
      <c r="D13" s="15">
        <v>1803731.79</v>
      </c>
      <c r="E13" s="15">
        <v>571211.06000000006</v>
      </c>
      <c r="F13" s="15">
        <v>24371672.030000001</v>
      </c>
      <c r="G13" s="15">
        <v>25623411.34</v>
      </c>
      <c r="H13" s="16">
        <f t="shared" si="5"/>
        <v>1.2</v>
      </c>
      <c r="I13" s="17">
        <v>30748093.609999999</v>
      </c>
      <c r="J13" s="18"/>
      <c r="K13" s="18"/>
      <c r="L13" s="18">
        <v>1211400.79</v>
      </c>
      <c r="M13" s="18"/>
      <c r="N13" s="18"/>
      <c r="O13" s="18">
        <f t="shared" si="2"/>
        <v>1211400.79</v>
      </c>
      <c r="P13" s="18">
        <f t="shared" si="3"/>
        <v>29536692.82</v>
      </c>
      <c r="Q13" s="19">
        <f t="shared" si="0"/>
        <v>1211400.79</v>
      </c>
      <c r="R13" s="20">
        <f>2857250.86*1.0514</f>
        <v>3004113.5542039997</v>
      </c>
      <c r="S13" s="20">
        <f t="shared" si="1"/>
        <v>4215514.3442039993</v>
      </c>
      <c r="T13" s="3">
        <f t="shared" si="4"/>
        <v>-26532579.265795998</v>
      </c>
    </row>
    <row r="14" spans="1:20" ht="31.5" x14ac:dyDescent="0.25">
      <c r="A14" s="13">
        <v>11</v>
      </c>
      <c r="B14" s="14" t="s">
        <v>28</v>
      </c>
      <c r="C14" s="15">
        <v>1890203.39</v>
      </c>
      <c r="D14" s="15">
        <v>154996.68</v>
      </c>
      <c r="E14" s="15">
        <v>49084.800000000003</v>
      </c>
      <c r="F14" s="15">
        <v>2094284.87</v>
      </c>
      <c r="G14" s="15">
        <v>2201848.2200000002</v>
      </c>
      <c r="H14" s="16">
        <f t="shared" si="5"/>
        <v>1.2</v>
      </c>
      <c r="I14" s="17">
        <v>2642217.86</v>
      </c>
      <c r="J14" s="18"/>
      <c r="K14" s="18"/>
      <c r="L14" s="18"/>
      <c r="M14" s="18"/>
      <c r="N14" s="18"/>
      <c r="O14" s="18">
        <f t="shared" si="2"/>
        <v>0</v>
      </c>
      <c r="P14" s="18">
        <f t="shared" si="3"/>
        <v>2642217.86</v>
      </c>
      <c r="Q14" s="19">
        <f t="shared" si="0"/>
        <v>0</v>
      </c>
      <c r="R14" s="20">
        <f>2349488.86*1.0514</f>
        <v>2470252.5874039996</v>
      </c>
      <c r="S14" s="20">
        <f t="shared" si="1"/>
        <v>2470252.5874039996</v>
      </c>
      <c r="T14" s="3">
        <f t="shared" si="4"/>
        <v>-171965.27259600023</v>
      </c>
    </row>
    <row r="15" spans="1:20" ht="31.5" x14ac:dyDescent="0.25">
      <c r="A15" s="13">
        <v>12</v>
      </c>
      <c r="B15" s="14" t="s">
        <v>29</v>
      </c>
      <c r="C15" s="15">
        <v>4003449.34</v>
      </c>
      <c r="D15" s="15">
        <v>328282.84999999998</v>
      </c>
      <c r="E15" s="15">
        <v>103961.57</v>
      </c>
      <c r="F15" s="15">
        <v>4435693.76</v>
      </c>
      <c r="G15" s="15">
        <v>4663512.8499999996</v>
      </c>
      <c r="H15" s="16">
        <f t="shared" si="5"/>
        <v>1.2</v>
      </c>
      <c r="I15" s="17">
        <v>5596215.4199999999</v>
      </c>
      <c r="J15" s="18"/>
      <c r="K15" s="18"/>
      <c r="L15" s="18"/>
      <c r="M15" s="18"/>
      <c r="N15" s="18"/>
      <c r="O15" s="18">
        <f t="shared" si="2"/>
        <v>0</v>
      </c>
      <c r="P15" s="18">
        <f t="shared" si="3"/>
        <v>5596215.4199999999</v>
      </c>
      <c r="Q15" s="19">
        <f t="shared" si="0"/>
        <v>0</v>
      </c>
      <c r="R15" s="20">
        <f>4471850.99*1.0514</f>
        <v>4701704.1308859996</v>
      </c>
      <c r="S15" s="20">
        <f t="shared" si="1"/>
        <v>4701704.1308859996</v>
      </c>
      <c r="T15" s="3">
        <f t="shared" si="4"/>
        <v>-894511.28911400028</v>
      </c>
    </row>
    <row r="16" spans="1:20" ht="31.5" x14ac:dyDescent="0.25">
      <c r="A16" s="13">
        <v>13</v>
      </c>
      <c r="B16" s="14" t="s">
        <v>30</v>
      </c>
      <c r="C16" s="15">
        <v>8291915.46</v>
      </c>
      <c r="D16" s="15">
        <v>679937.07</v>
      </c>
      <c r="E16" s="15">
        <v>215324.46</v>
      </c>
      <c r="F16" s="15">
        <v>9187176.9900000002</v>
      </c>
      <c r="G16" s="15">
        <v>9659034.2599999998</v>
      </c>
      <c r="H16" s="16">
        <f t="shared" si="5"/>
        <v>1.2</v>
      </c>
      <c r="I16" s="17">
        <v>11590841.109999999</v>
      </c>
      <c r="J16" s="26"/>
      <c r="K16" s="26"/>
      <c r="L16" s="26"/>
      <c r="M16" s="26"/>
      <c r="N16" s="26"/>
      <c r="O16" s="18">
        <f t="shared" si="2"/>
        <v>0</v>
      </c>
      <c r="P16" s="18">
        <f t="shared" si="3"/>
        <v>11590841.109999999</v>
      </c>
      <c r="Q16" s="19">
        <f t="shared" si="0"/>
        <v>0</v>
      </c>
      <c r="R16" s="20">
        <f>6105289.42*1.0514</f>
        <v>6419101.2961879997</v>
      </c>
      <c r="S16" s="20">
        <f t="shared" si="1"/>
        <v>6419101.2961879997</v>
      </c>
      <c r="T16" s="3">
        <f t="shared" si="4"/>
        <v>-5171739.8138119997</v>
      </c>
    </row>
    <row r="17" spans="1:20" ht="36" customHeight="1" x14ac:dyDescent="0.25">
      <c r="A17" s="13">
        <v>14</v>
      </c>
      <c r="B17" s="14" t="s">
        <v>31</v>
      </c>
      <c r="C17" s="15">
        <v>161452921.99000001</v>
      </c>
      <c r="D17" s="15">
        <v>13239139.6</v>
      </c>
      <c r="E17" s="15">
        <v>4192609.48</v>
      </c>
      <c r="F17" s="15">
        <v>178884671.06999999</v>
      </c>
      <c r="G17" s="15">
        <v>188072263.84999999</v>
      </c>
      <c r="H17" s="16">
        <f>H4</f>
        <v>1.2</v>
      </c>
      <c r="I17" s="17">
        <v>225686716.62</v>
      </c>
      <c r="J17" s="18">
        <v>89998722.969999999</v>
      </c>
      <c r="K17" s="18">
        <v>66544414.909999996</v>
      </c>
      <c r="L17" s="18">
        <v>42672742.899999999</v>
      </c>
      <c r="M17" s="18"/>
      <c r="N17" s="18"/>
      <c r="O17" s="18">
        <f t="shared" si="2"/>
        <v>199215880.78</v>
      </c>
      <c r="P17" s="18">
        <f t="shared" si="3"/>
        <v>26470835.840000011</v>
      </c>
      <c r="Q17" s="19">
        <f t="shared" si="0"/>
        <v>199215880.78</v>
      </c>
      <c r="R17" s="20">
        <v>38871999.060000002</v>
      </c>
      <c r="S17" s="20">
        <f t="shared" si="1"/>
        <v>238087879.84</v>
      </c>
      <c r="T17" s="3">
        <f t="shared" si="4"/>
        <v>12401163.219999999</v>
      </c>
    </row>
    <row r="18" spans="1:20" s="27" customFormat="1" ht="35.25" customHeight="1" x14ac:dyDescent="0.25">
      <c r="A18" s="13">
        <v>15</v>
      </c>
      <c r="B18" s="14" t="s">
        <v>32</v>
      </c>
      <c r="C18" s="15">
        <v>10526911.91</v>
      </c>
      <c r="D18" s="15">
        <v>863206.78</v>
      </c>
      <c r="E18" s="15">
        <v>273362.84999999998</v>
      </c>
      <c r="F18" s="15">
        <v>11663481.539999999</v>
      </c>
      <c r="G18" s="15">
        <v>12262522.85</v>
      </c>
      <c r="H18" s="16">
        <f>H6</f>
        <v>1.2</v>
      </c>
      <c r="I18" s="17">
        <v>14715027.42</v>
      </c>
      <c r="J18" s="18"/>
      <c r="K18" s="18">
        <v>10775049.08</v>
      </c>
      <c r="L18" s="18"/>
      <c r="M18" s="18"/>
      <c r="N18" s="18"/>
      <c r="O18" s="18">
        <f t="shared" si="2"/>
        <v>10775049.08</v>
      </c>
      <c r="P18" s="18">
        <f t="shared" si="3"/>
        <v>3939978.34</v>
      </c>
      <c r="Q18" s="19">
        <f t="shared" si="0"/>
        <v>10775049.08</v>
      </c>
      <c r="R18" s="20">
        <f>3431255.45*1.0514</f>
        <v>3607621.98013</v>
      </c>
      <c r="S18" s="20">
        <f t="shared" si="1"/>
        <v>14382671.06013</v>
      </c>
      <c r="T18" s="3">
        <f t="shared" si="4"/>
        <v>-332356.35986999981</v>
      </c>
    </row>
    <row r="19" spans="1:20" s="35" customFormat="1" ht="36" customHeight="1" x14ac:dyDescent="0.25">
      <c r="A19" s="28">
        <v>16</v>
      </c>
      <c r="B19" s="29" t="s">
        <v>33</v>
      </c>
      <c r="C19" s="30">
        <v>4859580.66</v>
      </c>
      <c r="D19" s="30">
        <v>398485.61</v>
      </c>
      <c r="E19" s="30">
        <v>126193.59</v>
      </c>
      <c r="F19" s="30">
        <v>5384259.8600000003</v>
      </c>
      <c r="G19" s="30">
        <v>5660797.71</v>
      </c>
      <c r="H19" s="31">
        <f>H12</f>
        <v>1.2</v>
      </c>
      <c r="I19" s="32">
        <v>6792957.25</v>
      </c>
      <c r="J19" s="33"/>
      <c r="K19" s="33"/>
      <c r="L19" s="33"/>
      <c r="M19" s="33"/>
      <c r="N19" s="33">
        <v>562345.21</v>
      </c>
      <c r="O19" s="33">
        <f t="shared" si="2"/>
        <v>562345.21</v>
      </c>
      <c r="P19" s="33">
        <f t="shared" si="3"/>
        <v>6230612.04</v>
      </c>
      <c r="Q19" s="34">
        <f t="shared" si="0"/>
        <v>562345.21</v>
      </c>
      <c r="R19" s="20">
        <f>3262429.24*1.0514</f>
        <v>3430118.1029360001</v>
      </c>
      <c r="S19" s="20">
        <f t="shared" si="1"/>
        <v>3992463.3129360001</v>
      </c>
      <c r="T19" s="3">
        <f t="shared" si="4"/>
        <v>-2800493.9370639999</v>
      </c>
    </row>
    <row r="20" spans="1:20" s="27" customFormat="1" ht="43.5" customHeight="1" x14ac:dyDescent="0.25">
      <c r="A20" s="13">
        <v>17</v>
      </c>
      <c r="B20" s="14" t="s">
        <v>34</v>
      </c>
      <c r="C20" s="15">
        <v>4044845.15</v>
      </c>
      <c r="D20" s="15">
        <v>331677.3</v>
      </c>
      <c r="E20" s="15">
        <v>105036.54</v>
      </c>
      <c r="F20" s="15">
        <v>4481558.99</v>
      </c>
      <c r="G20" s="15">
        <v>4711733.74</v>
      </c>
      <c r="H20" s="16">
        <f>H11</f>
        <v>1.2</v>
      </c>
      <c r="I20" s="17">
        <v>5654080.4900000002</v>
      </c>
      <c r="J20" s="18"/>
      <c r="K20" s="18"/>
      <c r="L20" s="18"/>
      <c r="M20" s="18"/>
      <c r="N20" s="18">
        <v>3594854.48</v>
      </c>
      <c r="O20" s="18">
        <f>J20+K20+L20+M20+N20</f>
        <v>3594854.48</v>
      </c>
      <c r="P20" s="18">
        <f>I20-J20-K20-L20-M20-N20</f>
        <v>2059226.0100000002</v>
      </c>
      <c r="Q20" s="19">
        <f t="shared" si="0"/>
        <v>3594854.48</v>
      </c>
      <c r="R20" s="20">
        <f>1011166.15*1.0514</f>
        <v>1063140.09011</v>
      </c>
      <c r="S20" s="20">
        <f t="shared" si="1"/>
        <v>4657994.5701099997</v>
      </c>
      <c r="T20" s="3">
        <f t="shared" si="4"/>
        <v>-996085.91989000048</v>
      </c>
    </row>
    <row r="21" spans="1:20" ht="31.5" x14ac:dyDescent="0.25">
      <c r="A21" s="13">
        <v>18</v>
      </c>
      <c r="B21" s="14" t="s">
        <v>35</v>
      </c>
      <c r="C21" s="15">
        <v>5005903.75</v>
      </c>
      <c r="D21" s="15">
        <v>410484.11</v>
      </c>
      <c r="E21" s="15">
        <v>129993.31</v>
      </c>
      <c r="F21" s="15">
        <v>5546381.1699999999</v>
      </c>
      <c r="G21" s="15">
        <v>5831245.6399999997</v>
      </c>
      <c r="H21" s="16">
        <f>H10</f>
        <v>1.2</v>
      </c>
      <c r="I21" s="17">
        <v>6997494.7699999996</v>
      </c>
      <c r="J21" s="18"/>
      <c r="K21" s="18">
        <v>2298854.48</v>
      </c>
      <c r="L21" s="18"/>
      <c r="M21" s="18"/>
      <c r="N21" s="18"/>
      <c r="O21" s="18">
        <f>J21+K21+L21+M21+N21</f>
        <v>2298854.48</v>
      </c>
      <c r="P21" s="18">
        <f>I21-J21-K21-L21-M21-N21</f>
        <v>4698640.2899999991</v>
      </c>
      <c r="Q21" s="19">
        <f t="shared" si="0"/>
        <v>2298854.48</v>
      </c>
      <c r="R21" s="20">
        <v>19052265.75</v>
      </c>
      <c r="S21" s="20">
        <f t="shared" si="1"/>
        <v>21351120.23</v>
      </c>
      <c r="T21" s="3">
        <f t="shared" si="4"/>
        <v>14353625.460000001</v>
      </c>
    </row>
    <row r="22" spans="1:20" ht="42.75" customHeight="1" x14ac:dyDescent="0.25">
      <c r="A22" s="13">
        <v>20</v>
      </c>
      <c r="B22" s="14" t="s">
        <v>36</v>
      </c>
      <c r="C22" s="15">
        <v>48898423.600000001</v>
      </c>
      <c r="D22" s="15">
        <v>4009670.74</v>
      </c>
      <c r="E22" s="15">
        <v>1269794.26</v>
      </c>
      <c r="F22" s="15">
        <v>54177888.600000001</v>
      </c>
      <c r="G22" s="15">
        <v>56960487.710000001</v>
      </c>
      <c r="H22" s="16">
        <f>H10</f>
        <v>1.2</v>
      </c>
      <c r="I22" s="17">
        <v>68352585.25</v>
      </c>
      <c r="J22" s="18"/>
      <c r="K22" s="18"/>
      <c r="L22" s="18">
        <v>11709977.720000001</v>
      </c>
      <c r="M22" s="18"/>
      <c r="N22" s="18">
        <v>3615838.44</v>
      </c>
      <c r="O22" s="18">
        <f>J22+K22+L22+M22+N22</f>
        <v>15325816.16</v>
      </c>
      <c r="P22" s="18">
        <f>I22-J22-K22-L22-M22-N22</f>
        <v>53026769.090000004</v>
      </c>
      <c r="Q22" s="19">
        <f t="shared" si="0"/>
        <v>15325816.16</v>
      </c>
      <c r="R22" s="20">
        <v>69128080.569999993</v>
      </c>
      <c r="S22" s="20">
        <f t="shared" si="1"/>
        <v>84453896.729999989</v>
      </c>
      <c r="T22" s="3">
        <f t="shared" si="4"/>
        <v>16101311.479999989</v>
      </c>
    </row>
    <row r="23" spans="1:20" s="35" customFormat="1" ht="32.25" customHeight="1" x14ac:dyDescent="0.25">
      <c r="A23" s="13">
        <v>21</v>
      </c>
      <c r="B23" s="14" t="str">
        <f>[1]ССР!C30</f>
        <v>Восстановительные работы цеха №121/18. АС 3.</v>
      </c>
      <c r="C23" s="15">
        <v>4505948.67</v>
      </c>
      <c r="D23" s="15">
        <v>369487.79</v>
      </c>
      <c r="E23" s="15">
        <v>117010.48</v>
      </c>
      <c r="F23" s="15">
        <v>4992446.9400000004</v>
      </c>
      <c r="G23" s="15">
        <v>5248861.1100000003</v>
      </c>
      <c r="H23" s="16">
        <f>H5</f>
        <v>1.2</v>
      </c>
      <c r="I23" s="17">
        <v>6298633.3300000001</v>
      </c>
      <c r="J23" s="18"/>
      <c r="K23" s="18"/>
      <c r="L23" s="18"/>
      <c r="M23" s="18">
        <v>5245250.92</v>
      </c>
      <c r="N23" s="18"/>
      <c r="O23" s="18">
        <f>J23+K23+L23+M23+N23</f>
        <v>5245250.92</v>
      </c>
      <c r="P23" s="18">
        <f>I23-J23-K23-L23-M23-N23</f>
        <v>1053382.4100000001</v>
      </c>
      <c r="Q23" s="19">
        <f t="shared" si="0"/>
        <v>5245250.92</v>
      </c>
      <c r="R23" s="20">
        <v>0</v>
      </c>
      <c r="S23" s="20">
        <f>Q23+R23</f>
        <v>5245250.92</v>
      </c>
      <c r="T23" s="3">
        <f t="shared" si="4"/>
        <v>-1053382.4100000001</v>
      </c>
    </row>
    <row r="24" spans="1:20" s="35" customFormat="1" ht="32.25" thickBot="1" x14ac:dyDescent="0.3">
      <c r="A24" s="13">
        <v>22</v>
      </c>
      <c r="B24" s="14" t="str">
        <f>[1]ССР!C45</f>
        <v>Трубопровод ливневых сточных вод от трансбордера. НВК1</v>
      </c>
      <c r="C24" s="15">
        <v>1758763.66</v>
      </c>
      <c r="D24" s="15">
        <v>144218.62</v>
      </c>
      <c r="E24" s="15">
        <v>45671.57</v>
      </c>
      <c r="F24" s="15">
        <v>1948653.85</v>
      </c>
      <c r="G24" s="15">
        <v>2048737.53</v>
      </c>
      <c r="H24" s="16">
        <f>H17</f>
        <v>1.2</v>
      </c>
      <c r="I24" s="17">
        <v>2458485.04</v>
      </c>
      <c r="J24" s="18"/>
      <c r="K24" s="18"/>
      <c r="L24" s="18"/>
      <c r="M24" s="18"/>
      <c r="N24" s="18">
        <v>505496.99</v>
      </c>
      <c r="O24" s="18">
        <f>J24+K24+L24+M24+N24</f>
        <v>505496.99</v>
      </c>
      <c r="P24" s="18">
        <f>I24-J24-K24-L24-M24-N24</f>
        <v>1952988.05</v>
      </c>
      <c r="Q24" s="19">
        <f t="shared" si="0"/>
        <v>505496.99</v>
      </c>
      <c r="R24" s="20">
        <v>0</v>
      </c>
      <c r="S24" s="20">
        <f t="shared" si="1"/>
        <v>505496.99</v>
      </c>
      <c r="T24" s="3">
        <f t="shared" si="4"/>
        <v>-1952988.05</v>
      </c>
    </row>
    <row r="25" spans="1:20" ht="31.5" customHeight="1" thickBot="1" x14ac:dyDescent="0.3">
      <c r="A25" s="46"/>
      <c r="B25" s="47"/>
      <c r="C25" s="48">
        <f>SUM(C4:C24)</f>
        <v>392033916.06000006</v>
      </c>
      <c r="D25" s="47"/>
      <c r="E25" s="49"/>
      <c r="F25" s="48">
        <f>SUM(F4:F24)</f>
        <v>434361033.93000013</v>
      </c>
      <c r="G25" s="48">
        <f>SUM(G4:G24)</f>
        <v>456670000.00999999</v>
      </c>
      <c r="H25" s="48"/>
      <c r="I25" s="48">
        <f>SUM(I4:I24)+0.01</f>
        <v>548004000.00999999</v>
      </c>
      <c r="J25" s="48">
        <f>SUM(J4:J24)</f>
        <v>210417570.36000001</v>
      </c>
      <c r="K25" s="48">
        <f>SUM(K4:K24)+0.01</f>
        <v>79978331.210000008</v>
      </c>
      <c r="L25" s="48">
        <f>SUM(L4:L24)</f>
        <v>58868164.759999998</v>
      </c>
      <c r="M25" s="48">
        <f>SUM(M4:M24)</f>
        <v>5245250.92</v>
      </c>
      <c r="N25" s="48">
        <f>SUM(N4:N24)</f>
        <v>8616444.9800000004</v>
      </c>
      <c r="O25" s="48">
        <f>SUM(O4:O24)+0.01</f>
        <v>363125762.23000002</v>
      </c>
      <c r="P25" s="48">
        <f>I25-O25</f>
        <v>184878237.77999997</v>
      </c>
      <c r="Q25" s="50">
        <f>SUM(Q4:Q24)</f>
        <v>363125762.22000003</v>
      </c>
      <c r="R25" s="50">
        <f>SUM(R4:R24)</f>
        <v>180720303.70610797</v>
      </c>
      <c r="S25" s="50">
        <f>SUM(S4:S24)</f>
        <v>543846065.926108</v>
      </c>
    </row>
    <row r="26" spans="1:20" ht="32.25" customHeight="1" x14ac:dyDescent="0.25">
      <c r="A26" s="96" t="s">
        <v>54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8"/>
    </row>
    <row r="27" spans="1:20" ht="35.1" customHeight="1" x14ac:dyDescent="0.25">
      <c r="A27" s="36">
        <v>23</v>
      </c>
      <c r="B27" s="37" t="s">
        <v>37</v>
      </c>
      <c r="C27" s="38"/>
      <c r="D27" s="38"/>
      <c r="E27" s="38"/>
      <c r="F27" s="38"/>
      <c r="G27" s="38"/>
      <c r="H27" s="39"/>
      <c r="I27" s="40"/>
      <c r="J27" s="41"/>
      <c r="K27" s="41"/>
      <c r="L27" s="41"/>
      <c r="M27" s="41"/>
      <c r="N27" s="41"/>
      <c r="O27" s="41">
        <f>Q27</f>
        <v>4216719.66</v>
      </c>
      <c r="P27" s="41"/>
      <c r="Q27" s="42">
        <v>4216719.66</v>
      </c>
      <c r="R27" s="42">
        <v>0</v>
      </c>
      <c r="S27" s="42">
        <f>Q27+R27</f>
        <v>4216719.66</v>
      </c>
    </row>
    <row r="28" spans="1:20" ht="35.1" customHeight="1" x14ac:dyDescent="0.25">
      <c r="A28" s="28">
        <v>24</v>
      </c>
      <c r="B28" s="29" t="s">
        <v>38</v>
      </c>
      <c r="C28" s="30"/>
      <c r="D28" s="30"/>
      <c r="E28" s="30"/>
      <c r="F28" s="30"/>
      <c r="G28" s="30"/>
      <c r="H28" s="31"/>
      <c r="I28" s="32"/>
      <c r="J28" s="43"/>
      <c r="K28" s="43"/>
      <c r="L28" s="43"/>
      <c r="M28" s="43"/>
      <c r="N28" s="43"/>
      <c r="O28" s="43">
        <f>Q28</f>
        <v>2160473.5</v>
      </c>
      <c r="P28" s="43"/>
      <c r="Q28" s="44">
        <v>2160473.5</v>
      </c>
      <c r="R28" s="44">
        <v>0</v>
      </c>
      <c r="S28" s="45">
        <f>Q28+R28</f>
        <v>2160473.5</v>
      </c>
    </row>
    <row r="29" spans="1:20" ht="35.1" customHeight="1" x14ac:dyDescent="0.25">
      <c r="A29" s="13">
        <v>25</v>
      </c>
      <c r="B29" s="14" t="s">
        <v>39</v>
      </c>
      <c r="C29" s="15"/>
      <c r="D29" s="15"/>
      <c r="E29" s="15"/>
      <c r="F29" s="15"/>
      <c r="G29" s="15"/>
      <c r="H29" s="16"/>
      <c r="I29" s="17"/>
      <c r="J29" s="26"/>
      <c r="K29" s="26"/>
      <c r="L29" s="26"/>
      <c r="M29" s="26"/>
      <c r="N29" s="26"/>
      <c r="O29" s="26"/>
      <c r="P29" s="26"/>
      <c r="Q29" s="51">
        <v>0</v>
      </c>
      <c r="R29" s="52">
        <f>673388.23*1.0514</f>
        <v>708000.38502199994</v>
      </c>
      <c r="S29" s="51">
        <f t="shared" ref="S29:S40" si="6">Q29+R29</f>
        <v>708000.38502199994</v>
      </c>
    </row>
    <row r="30" spans="1:20" ht="35.1" customHeight="1" x14ac:dyDescent="0.25">
      <c r="A30" s="36">
        <v>26</v>
      </c>
      <c r="B30" s="14" t="s">
        <v>40</v>
      </c>
      <c r="C30" s="15"/>
      <c r="D30" s="15"/>
      <c r="E30" s="15"/>
      <c r="F30" s="15"/>
      <c r="G30" s="15"/>
      <c r="H30" s="16"/>
      <c r="I30" s="17"/>
      <c r="J30" s="26"/>
      <c r="K30" s="26"/>
      <c r="L30" s="26"/>
      <c r="M30" s="26"/>
      <c r="N30" s="26"/>
      <c r="O30" s="26"/>
      <c r="P30" s="26"/>
      <c r="Q30" s="51">
        <v>0</v>
      </c>
      <c r="R30" s="52">
        <f>81654*1.0514</f>
        <v>85851.015599999984</v>
      </c>
      <c r="S30" s="51">
        <f t="shared" si="6"/>
        <v>85851.015599999984</v>
      </c>
    </row>
    <row r="31" spans="1:20" ht="35.1" customHeight="1" x14ac:dyDescent="0.25">
      <c r="A31" s="13">
        <v>27</v>
      </c>
      <c r="B31" s="14" t="s">
        <v>41</v>
      </c>
      <c r="C31" s="15"/>
      <c r="D31" s="15"/>
      <c r="E31" s="15"/>
      <c r="F31" s="15"/>
      <c r="G31" s="15"/>
      <c r="H31" s="16"/>
      <c r="I31" s="17"/>
      <c r="J31" s="26"/>
      <c r="K31" s="26"/>
      <c r="L31" s="26"/>
      <c r="M31" s="26"/>
      <c r="N31" s="26"/>
      <c r="O31" s="26"/>
      <c r="P31" s="26"/>
      <c r="Q31" s="51">
        <v>0</v>
      </c>
      <c r="R31" s="52">
        <f>26314.48*1.0514</f>
        <v>27667.044271999996</v>
      </c>
      <c r="S31" s="51">
        <f t="shared" si="6"/>
        <v>27667.044271999996</v>
      </c>
    </row>
    <row r="32" spans="1:20" ht="35.1" customHeight="1" x14ac:dyDescent="0.25">
      <c r="A32" s="36">
        <v>28</v>
      </c>
      <c r="B32" s="14" t="s">
        <v>42</v>
      </c>
      <c r="C32" s="15"/>
      <c r="D32" s="15"/>
      <c r="E32" s="15"/>
      <c r="F32" s="15"/>
      <c r="G32" s="15"/>
      <c r="H32" s="16"/>
      <c r="I32" s="17"/>
      <c r="J32" s="26"/>
      <c r="K32" s="26"/>
      <c r="L32" s="26"/>
      <c r="M32" s="26"/>
      <c r="N32" s="26"/>
      <c r="O32" s="26"/>
      <c r="P32" s="26"/>
      <c r="Q32" s="51">
        <v>0</v>
      </c>
      <c r="R32" s="52">
        <f>198699.44*1.0514</f>
        <v>208912.59121599997</v>
      </c>
      <c r="S32" s="51">
        <f t="shared" si="6"/>
        <v>208912.59121599997</v>
      </c>
    </row>
    <row r="33" spans="1:22" ht="35.1" customHeight="1" x14ac:dyDescent="0.25">
      <c r="A33" s="13">
        <v>29</v>
      </c>
      <c r="B33" s="14" t="s">
        <v>43</v>
      </c>
      <c r="C33" s="15"/>
      <c r="D33" s="15"/>
      <c r="E33" s="15"/>
      <c r="F33" s="15"/>
      <c r="G33" s="15"/>
      <c r="H33" s="16"/>
      <c r="I33" s="17"/>
      <c r="J33" s="26"/>
      <c r="K33" s="26"/>
      <c r="L33" s="26"/>
      <c r="M33" s="26"/>
      <c r="N33" s="26"/>
      <c r="O33" s="26"/>
      <c r="P33" s="26"/>
      <c r="Q33" s="21">
        <v>0</v>
      </c>
      <c r="R33" s="24">
        <f>529403.22*1.0514</f>
        <v>556614.54550799995</v>
      </c>
      <c r="S33" s="51">
        <f t="shared" si="6"/>
        <v>556614.54550799995</v>
      </c>
    </row>
    <row r="34" spans="1:22" ht="38.25" customHeight="1" x14ac:dyDescent="0.25">
      <c r="A34" s="13">
        <v>19</v>
      </c>
      <c r="B34" s="14" t="s">
        <v>44</v>
      </c>
      <c r="C34" s="15">
        <v>5005903.75</v>
      </c>
      <c r="D34" s="15">
        <v>410484.11</v>
      </c>
      <c r="E34" s="15">
        <v>129993.31</v>
      </c>
      <c r="F34" s="15">
        <v>5546381.1699999999</v>
      </c>
      <c r="G34" s="15">
        <v>5831245.6399999997</v>
      </c>
      <c r="H34" s="16">
        <f>H11</f>
        <v>1.2</v>
      </c>
      <c r="I34" s="17"/>
      <c r="J34" s="18"/>
      <c r="K34" s="18">
        <v>2298854.48</v>
      </c>
      <c r="L34" s="18"/>
      <c r="M34" s="18"/>
      <c r="N34" s="18"/>
      <c r="O34" s="18"/>
      <c r="P34" s="18"/>
      <c r="Q34" s="19">
        <f>O34</f>
        <v>0</v>
      </c>
      <c r="R34" s="24">
        <f>1083901.64*1.0514</f>
        <v>1139614.1842959998</v>
      </c>
      <c r="S34" s="19">
        <f>Q34+R34</f>
        <v>1139614.1842959998</v>
      </c>
    </row>
    <row r="35" spans="1:22" ht="46.5" customHeight="1" x14ac:dyDescent="0.25">
      <c r="A35" s="13">
        <v>31</v>
      </c>
      <c r="B35" s="14" t="s">
        <v>45</v>
      </c>
      <c r="C35" s="15"/>
      <c r="D35" s="15"/>
      <c r="E35" s="15"/>
      <c r="F35" s="15"/>
      <c r="G35" s="15"/>
      <c r="H35" s="16"/>
      <c r="I35" s="17"/>
      <c r="J35" s="26"/>
      <c r="K35" s="26"/>
      <c r="L35" s="26"/>
      <c r="M35" s="26"/>
      <c r="N35" s="26"/>
      <c r="O35" s="26"/>
      <c r="P35" s="26"/>
      <c r="Q35" s="51">
        <v>0</v>
      </c>
      <c r="R35" s="52">
        <f>749546.64*1.0514</f>
        <v>788073.33729599998</v>
      </c>
      <c r="S35" s="51">
        <f>Q35+R35</f>
        <v>788073.33729599998</v>
      </c>
    </row>
    <row r="36" spans="1:22" ht="54.75" customHeight="1" x14ac:dyDescent="0.25">
      <c r="A36" s="36">
        <v>32</v>
      </c>
      <c r="B36" s="37" t="s">
        <v>55</v>
      </c>
      <c r="C36" s="38"/>
      <c r="D36" s="38"/>
      <c r="E36" s="38"/>
      <c r="F36" s="38"/>
      <c r="G36" s="38"/>
      <c r="H36" s="39"/>
      <c r="I36" s="40"/>
      <c r="J36" s="41"/>
      <c r="K36" s="41"/>
      <c r="L36" s="41"/>
      <c r="M36" s="41"/>
      <c r="N36" s="41"/>
      <c r="O36" s="41"/>
      <c r="P36" s="41"/>
      <c r="Q36" s="42">
        <v>0</v>
      </c>
      <c r="R36" s="53">
        <f>1940817.65*1.0514</f>
        <v>2040575.6772099996</v>
      </c>
      <c r="S36" s="42">
        <f t="shared" si="6"/>
        <v>2040575.6772099996</v>
      </c>
    </row>
    <row r="37" spans="1:22" ht="35.1" customHeight="1" x14ac:dyDescent="0.25">
      <c r="A37" s="13">
        <v>33</v>
      </c>
      <c r="B37" s="14" t="s">
        <v>46</v>
      </c>
      <c r="C37" s="15"/>
      <c r="D37" s="15"/>
      <c r="E37" s="15"/>
      <c r="F37" s="15"/>
      <c r="G37" s="15"/>
      <c r="H37" s="16"/>
      <c r="I37" s="17"/>
      <c r="J37" s="26"/>
      <c r="K37" s="26"/>
      <c r="L37" s="26"/>
      <c r="M37" s="26"/>
      <c r="N37" s="26"/>
      <c r="O37" s="26"/>
      <c r="P37" s="26"/>
      <c r="Q37" s="51">
        <v>0</v>
      </c>
      <c r="R37" s="52">
        <f>54913.66*1.0514</f>
        <v>57736.222124</v>
      </c>
      <c r="S37" s="51">
        <f>Q37+R37</f>
        <v>57736.222124</v>
      </c>
    </row>
    <row r="38" spans="1:22" ht="46.5" customHeight="1" x14ac:dyDescent="0.25">
      <c r="A38" s="36">
        <v>34</v>
      </c>
      <c r="B38" s="14" t="s">
        <v>47</v>
      </c>
      <c r="C38" s="15"/>
      <c r="D38" s="15"/>
      <c r="E38" s="15"/>
      <c r="F38" s="15"/>
      <c r="G38" s="15"/>
      <c r="H38" s="16"/>
      <c r="I38" s="17"/>
      <c r="J38" s="26"/>
      <c r="K38" s="26"/>
      <c r="L38" s="26"/>
      <c r="M38" s="26"/>
      <c r="N38" s="26"/>
      <c r="O38" s="26"/>
      <c r="P38" s="26"/>
      <c r="Q38" s="51">
        <v>0</v>
      </c>
      <c r="R38" s="52">
        <f>284883.31*1.0514</f>
        <v>299526.31213399995</v>
      </c>
      <c r="S38" s="51">
        <f t="shared" si="6"/>
        <v>299526.31213399995</v>
      </c>
    </row>
    <row r="39" spans="1:22" ht="35.1" customHeight="1" x14ac:dyDescent="0.25">
      <c r="A39" s="36">
        <v>36</v>
      </c>
      <c r="B39" s="14" t="s">
        <v>48</v>
      </c>
      <c r="C39" s="15"/>
      <c r="D39" s="15"/>
      <c r="E39" s="15"/>
      <c r="F39" s="15"/>
      <c r="G39" s="15"/>
      <c r="H39" s="16"/>
      <c r="I39" s="17"/>
      <c r="J39" s="18"/>
      <c r="K39" s="18"/>
      <c r="L39" s="18"/>
      <c r="M39" s="18"/>
      <c r="N39" s="18"/>
      <c r="O39" s="18"/>
      <c r="P39" s="18"/>
      <c r="Q39" s="19"/>
      <c r="R39" s="20">
        <v>5703550.04</v>
      </c>
      <c r="S39" s="51">
        <f t="shared" si="6"/>
        <v>5703550.04</v>
      </c>
    </row>
    <row r="40" spans="1:22" ht="46.5" customHeight="1" thickBot="1" x14ac:dyDescent="0.3">
      <c r="A40" s="36">
        <v>34</v>
      </c>
      <c r="B40" s="14" t="s">
        <v>49</v>
      </c>
      <c r="C40" s="15"/>
      <c r="D40" s="15"/>
      <c r="E40" s="15"/>
      <c r="F40" s="15"/>
      <c r="G40" s="15"/>
      <c r="H40" s="16"/>
      <c r="I40" s="17"/>
      <c r="J40" s="26"/>
      <c r="K40" s="26"/>
      <c r="L40" s="26"/>
      <c r="M40" s="26"/>
      <c r="N40" s="26"/>
      <c r="O40" s="26"/>
      <c r="P40" s="26"/>
      <c r="Q40" s="51">
        <v>0</v>
      </c>
      <c r="R40" s="52">
        <v>2384094.02</v>
      </c>
      <c r="S40" s="51">
        <f t="shared" si="6"/>
        <v>2384094.02</v>
      </c>
    </row>
    <row r="41" spans="1:22" ht="35.1" customHeight="1" thickBot="1" x14ac:dyDescent="0.3">
      <c r="A41" s="54"/>
      <c r="B41" s="55"/>
      <c r="C41" s="56"/>
      <c r="D41" s="56"/>
      <c r="E41" s="56"/>
      <c r="F41" s="56"/>
      <c r="G41" s="56"/>
      <c r="H41" s="57"/>
      <c r="I41" s="58"/>
      <c r="J41" s="59"/>
      <c r="K41" s="59"/>
      <c r="L41" s="59"/>
      <c r="M41" s="59"/>
      <c r="N41" s="59"/>
      <c r="O41" s="59"/>
      <c r="P41" s="59"/>
      <c r="Q41" s="60"/>
      <c r="R41" s="61">
        <f>SUM(R27:R40)</f>
        <v>14000215.374677997</v>
      </c>
      <c r="S41" s="61">
        <f>SUM(S27:S40)</f>
        <v>20377408.534677997</v>
      </c>
    </row>
    <row r="42" spans="1:22" ht="31.5" customHeight="1" thickTop="1" thickBot="1" x14ac:dyDescent="0.3">
      <c r="A42" s="62"/>
      <c r="B42" s="63"/>
      <c r="C42" s="64" t="e">
        <f>C25+#REF!</f>
        <v>#REF!</v>
      </c>
      <c r="D42" s="63"/>
      <c r="E42" s="65"/>
      <c r="F42" s="64">
        <f>SUM(F19:F41)</f>
        <v>516438604.51000017</v>
      </c>
      <c r="G42" s="64">
        <f>SUM(G19:G41)</f>
        <v>542963109.09000003</v>
      </c>
      <c r="H42" s="64"/>
      <c r="I42" s="64">
        <f>I25</f>
        <v>548004000.00999999</v>
      </c>
      <c r="J42" s="64" t="e">
        <f>J25+#REF!</f>
        <v>#REF!</v>
      </c>
      <c r="K42" s="64" t="e">
        <f>K25+#REF!</f>
        <v>#REF!</v>
      </c>
      <c r="L42" s="64" t="e">
        <f>L25+#REF!</f>
        <v>#REF!</v>
      </c>
      <c r="M42" s="64" t="e">
        <f>M25+#REF!</f>
        <v>#REF!</v>
      </c>
      <c r="N42" s="64" t="e">
        <f>N25+#REF!</f>
        <v>#REF!</v>
      </c>
      <c r="O42" s="64">
        <f>O25+O27+O28</f>
        <v>369502955.39000005</v>
      </c>
      <c r="P42" s="64">
        <f>P25</f>
        <v>184878237.77999997</v>
      </c>
      <c r="Q42" s="66">
        <f>Q25</f>
        <v>363125762.22000003</v>
      </c>
      <c r="R42" s="66">
        <f>R25+R41</f>
        <v>194720519.08078596</v>
      </c>
      <c r="S42" s="66">
        <f>S25+S41</f>
        <v>564223474.46078598</v>
      </c>
      <c r="T42" s="3">
        <f>S42-I42</f>
        <v>16219474.450785995</v>
      </c>
      <c r="V42" s="22"/>
    </row>
    <row r="44" spans="1:22" x14ac:dyDescent="0.25">
      <c r="S44" s="22"/>
    </row>
    <row r="45" spans="1:22" hidden="1" x14ac:dyDescent="0.25">
      <c r="Q45" s="22"/>
    </row>
    <row r="46" spans="1:22" ht="35.1" hidden="1" customHeight="1" x14ac:dyDescent="0.3">
      <c r="A46" s="67">
        <v>31</v>
      </c>
      <c r="B46" s="68" t="s">
        <v>50</v>
      </c>
      <c r="C46" s="69"/>
      <c r="D46" s="69"/>
      <c r="E46" s="69"/>
      <c r="F46" s="69"/>
      <c r="G46" s="69"/>
      <c r="H46" s="70"/>
      <c r="I46" s="71"/>
      <c r="J46" s="72"/>
      <c r="K46" s="72"/>
      <c r="L46" s="72"/>
      <c r="M46" s="72"/>
      <c r="N46" s="72"/>
      <c r="O46" s="73"/>
      <c r="P46" s="73"/>
      <c r="Q46" s="74">
        <v>0</v>
      </c>
      <c r="R46" s="74">
        <v>107940.55</v>
      </c>
      <c r="S46" s="75">
        <f>Q46+R46</f>
        <v>107940.55</v>
      </c>
    </row>
    <row r="47" spans="1:22" ht="35.1" hidden="1" customHeight="1" x14ac:dyDescent="0.25">
      <c r="A47" s="13">
        <v>28</v>
      </c>
      <c r="B47" s="14" t="s">
        <v>51</v>
      </c>
      <c r="C47" s="15"/>
      <c r="D47" s="15"/>
      <c r="E47" s="15"/>
      <c r="F47" s="15"/>
      <c r="G47" s="15"/>
      <c r="H47" s="16"/>
      <c r="I47" s="17"/>
      <c r="J47" s="26"/>
      <c r="K47" s="26"/>
      <c r="L47" s="26"/>
      <c r="M47" s="26"/>
      <c r="N47" s="26"/>
      <c r="O47" s="26"/>
      <c r="P47" s="26"/>
      <c r="Q47" s="21">
        <v>0</v>
      </c>
      <c r="R47" s="21">
        <v>231084.76</v>
      </c>
      <c r="S47" s="51">
        <f>Q47+R47</f>
        <v>231084.76</v>
      </c>
    </row>
    <row r="48" spans="1:22" ht="52.5" hidden="1" customHeight="1" x14ac:dyDescent="0.25">
      <c r="A48" s="13">
        <v>36</v>
      </c>
      <c r="B48" s="76" t="s">
        <v>52</v>
      </c>
      <c r="C48" s="1"/>
      <c r="D48" s="1"/>
      <c r="E48" s="1"/>
      <c r="F48" s="1"/>
      <c r="G48" s="1"/>
      <c r="H48" s="77"/>
      <c r="I48" s="78"/>
      <c r="J48" s="79"/>
      <c r="K48" s="79"/>
      <c r="L48" s="79"/>
      <c r="M48" s="79"/>
      <c r="N48" s="79"/>
      <c r="O48" s="79"/>
      <c r="P48" s="79"/>
      <c r="Q48" s="25"/>
      <c r="R48" s="25"/>
      <c r="S48" s="51">
        <f>Q48+R48</f>
        <v>0</v>
      </c>
    </row>
    <row r="49" spans="1:19" x14ac:dyDescent="0.25">
      <c r="Q49" s="22"/>
    </row>
    <row r="50" spans="1:19" x14ac:dyDescent="0.25">
      <c r="S50" s="22"/>
    </row>
    <row r="60" spans="1:19" s="7" customFormat="1" ht="54.95" customHeight="1" x14ac:dyDescent="0.25">
      <c r="A60" s="80"/>
      <c r="B60" s="80"/>
      <c r="C60" s="81"/>
      <c r="D60" s="80"/>
      <c r="E60" s="82"/>
      <c r="F60" s="81"/>
      <c r="G60" s="81"/>
      <c r="H60" s="81"/>
      <c r="I60" s="81"/>
      <c r="J60" s="83"/>
      <c r="L60" s="3"/>
      <c r="N60" s="3"/>
      <c r="O60" s="4"/>
      <c r="P60" s="4"/>
      <c r="Q60" s="4"/>
      <c r="R60" s="4"/>
      <c r="S60" s="4"/>
    </row>
    <row r="61" spans="1:19" s="7" customFormat="1" x14ac:dyDescent="0.25">
      <c r="A61" s="4"/>
      <c r="B61" s="4"/>
      <c r="C61" s="22">
        <f>[1]ССР!H58</f>
        <v>392033.92</v>
      </c>
      <c r="D61" s="4"/>
      <c r="E61" s="22"/>
      <c r="F61" s="22">
        <f>[1]ССР!H76</f>
        <v>434361.04</v>
      </c>
      <c r="G61" s="22">
        <f>[1]ССР!H78</f>
        <v>456670</v>
      </c>
      <c r="H61" s="4"/>
      <c r="I61" s="22"/>
      <c r="J61" s="3"/>
      <c r="L61" s="3"/>
      <c r="N61" s="3"/>
      <c r="O61" s="4"/>
      <c r="P61" s="4"/>
      <c r="Q61" s="4"/>
      <c r="R61" s="4"/>
      <c r="S61" s="4"/>
    </row>
    <row r="62" spans="1:19" s="7" customFormat="1" x14ac:dyDescent="0.25">
      <c r="A62" s="4"/>
      <c r="B62" s="4"/>
      <c r="C62" s="22">
        <f>C25/1000</f>
        <v>392033.91606000008</v>
      </c>
      <c r="D62" s="4"/>
      <c r="E62" s="84"/>
      <c r="F62" s="85">
        <f>F25/1000</f>
        <v>434361.03393000015</v>
      </c>
      <c r="G62" s="85">
        <f>G25/1000</f>
        <v>456670.00001000002</v>
      </c>
      <c r="H62" s="4"/>
      <c r="I62" s="22"/>
      <c r="J62" s="83"/>
      <c r="L62" s="3"/>
      <c r="N62" s="3"/>
      <c r="O62" s="4"/>
      <c r="P62" s="4"/>
      <c r="Q62" s="4"/>
      <c r="R62" s="4"/>
      <c r="S62" s="4"/>
    </row>
    <row r="63" spans="1:19" s="7" customFormat="1" x14ac:dyDescent="0.25">
      <c r="A63" s="4"/>
      <c r="B63" s="4"/>
      <c r="C63" s="22"/>
      <c r="D63" s="22"/>
      <c r="E63" s="84"/>
      <c r="F63" s="4"/>
      <c r="G63" s="4"/>
      <c r="H63" s="4"/>
      <c r="I63" s="4"/>
      <c r="L63" s="3"/>
      <c r="N63" s="3"/>
      <c r="O63" s="4"/>
      <c r="P63" s="4"/>
      <c r="Q63" s="4"/>
      <c r="R63" s="4"/>
      <c r="S63" s="4"/>
    </row>
    <row r="83" spans="1:1" x14ac:dyDescent="0.25">
      <c r="A83" s="4">
        <v>7</v>
      </c>
    </row>
  </sheetData>
  <mergeCells count="2">
    <mergeCell ref="A26:S26"/>
    <mergeCell ref="A1:I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6"/>
  <sheetViews>
    <sheetView topLeftCell="A15" workbookViewId="0">
      <selection activeCell="D29" sqref="D29"/>
    </sheetView>
  </sheetViews>
  <sheetFormatPr defaultColWidth="9.140625" defaultRowHeight="15.75" x14ac:dyDescent="0.25"/>
  <cols>
    <col min="1" max="1" width="6.28515625" style="4" customWidth="1"/>
    <col min="2" max="2" width="60.7109375" style="4" customWidth="1"/>
    <col min="3" max="4" width="22.28515625" style="4" customWidth="1"/>
    <col min="5" max="5" width="24.28515625" style="4" customWidth="1"/>
    <col min="6" max="6" width="18.42578125" style="4" customWidth="1"/>
    <col min="7" max="7" width="20.28515625" style="4" customWidth="1"/>
    <col min="8" max="8" width="16.42578125" style="4" customWidth="1"/>
    <col min="9" max="9" width="31" style="4" customWidth="1"/>
    <col min="10" max="16384" width="9.140625" style="4"/>
  </cols>
  <sheetData>
    <row r="1" spans="1:8" x14ac:dyDescent="0.25">
      <c r="A1" s="99"/>
      <c r="B1" s="99"/>
      <c r="C1" s="99"/>
      <c r="D1" s="2"/>
      <c r="E1" s="2"/>
    </row>
    <row r="2" spans="1:8" x14ac:dyDescent="0.25">
      <c r="A2" s="5"/>
      <c r="B2" s="5"/>
      <c r="C2" s="5"/>
      <c r="D2" s="5"/>
      <c r="E2" s="5"/>
    </row>
    <row r="3" spans="1:8" ht="31.5" x14ac:dyDescent="0.25">
      <c r="A3" s="91" t="s">
        <v>0</v>
      </c>
      <c r="B3" s="91" t="s">
        <v>1</v>
      </c>
      <c r="C3" s="92" t="s">
        <v>8</v>
      </c>
      <c r="D3" s="92" t="s">
        <v>57</v>
      </c>
      <c r="E3" s="92" t="s">
        <v>58</v>
      </c>
      <c r="F3" s="92" t="s">
        <v>53</v>
      </c>
      <c r="G3" s="92" t="s">
        <v>62</v>
      </c>
    </row>
    <row r="4" spans="1:8" ht="31.5" x14ac:dyDescent="0.25">
      <c r="A4" s="89">
        <v>1</v>
      </c>
      <c r="B4" s="14" t="s">
        <v>18</v>
      </c>
      <c r="C4" s="18">
        <v>68272607.560000002</v>
      </c>
      <c r="D4" s="18">
        <v>65867265.949999996</v>
      </c>
      <c r="E4" s="93">
        <f>D4-C4</f>
        <v>-2405341.6100000069</v>
      </c>
      <c r="F4" s="18">
        <v>65867265.949999996</v>
      </c>
      <c r="G4" s="18">
        <f>D4-F4</f>
        <v>0</v>
      </c>
    </row>
    <row r="5" spans="1:8" ht="31.5" x14ac:dyDescent="0.25">
      <c r="A5" s="89">
        <v>2</v>
      </c>
      <c r="B5" s="14" t="s">
        <v>19</v>
      </c>
      <c r="C5" s="18">
        <v>55990425.799999997</v>
      </c>
      <c r="D5" s="18">
        <v>54911594.170000002</v>
      </c>
      <c r="E5" s="93">
        <f t="shared" ref="E5:E24" si="0">D5-C5</f>
        <v>-1078831.6299999952</v>
      </c>
      <c r="F5" s="18">
        <v>54911594.170000002</v>
      </c>
      <c r="G5" s="18">
        <f t="shared" ref="G5:G24" si="1">D5-F5</f>
        <v>0</v>
      </c>
    </row>
    <row r="6" spans="1:8" x14ac:dyDescent="0.25">
      <c r="A6" s="89">
        <v>3</v>
      </c>
      <c r="B6" s="14" t="s">
        <v>20</v>
      </c>
      <c r="C6" s="18">
        <v>1646634.31</v>
      </c>
      <c r="D6" s="18">
        <f>C6</f>
        <v>1646634.31</v>
      </c>
      <c r="E6" s="18">
        <f t="shared" si="0"/>
        <v>0</v>
      </c>
      <c r="F6" s="18">
        <f>D6</f>
        <v>1646634.31</v>
      </c>
      <c r="G6" s="18">
        <f t="shared" si="1"/>
        <v>0</v>
      </c>
    </row>
    <row r="7" spans="1:8" s="23" customFormat="1" ht="31.5" x14ac:dyDescent="0.25">
      <c r="A7" s="89">
        <v>4</v>
      </c>
      <c r="B7" s="14" t="s">
        <v>21</v>
      </c>
      <c r="C7" s="18">
        <v>2257838.17</v>
      </c>
      <c r="D7" s="18">
        <v>2028436.2785399999</v>
      </c>
      <c r="E7" s="93">
        <f t="shared" si="0"/>
        <v>-229401.89146000007</v>
      </c>
      <c r="F7" s="18">
        <v>1627347.05</v>
      </c>
      <c r="G7" s="18">
        <f t="shared" si="1"/>
        <v>401089.22853999981</v>
      </c>
    </row>
    <row r="8" spans="1:8" x14ac:dyDescent="0.25">
      <c r="A8" s="89">
        <v>5</v>
      </c>
      <c r="B8" s="14" t="s">
        <v>22</v>
      </c>
      <c r="C8" s="18">
        <v>664021.42000000004</v>
      </c>
      <c r="D8" s="18">
        <v>425113.37157800002</v>
      </c>
      <c r="E8" s="93">
        <f t="shared" si="0"/>
        <v>-238908.04842200002</v>
      </c>
      <c r="F8" s="18">
        <v>0</v>
      </c>
      <c r="G8" s="18">
        <f t="shared" si="1"/>
        <v>425113.37157800002</v>
      </c>
    </row>
    <row r="9" spans="1:8" x14ac:dyDescent="0.25">
      <c r="A9" s="89">
        <v>6</v>
      </c>
      <c r="B9" s="14" t="s">
        <v>23</v>
      </c>
      <c r="C9" s="18">
        <v>3182441.3</v>
      </c>
      <c r="D9" s="18">
        <v>4769341.4288659999</v>
      </c>
      <c r="E9" s="94">
        <f t="shared" si="0"/>
        <v>1586900.1288660001</v>
      </c>
      <c r="F9" s="18">
        <v>0</v>
      </c>
      <c r="G9" s="18">
        <f t="shared" si="1"/>
        <v>4769341.4288659999</v>
      </c>
      <c r="H9" s="4" t="s">
        <v>56</v>
      </c>
    </row>
    <row r="10" spans="1:8" x14ac:dyDescent="0.25">
      <c r="A10" s="89">
        <v>7</v>
      </c>
      <c r="B10" s="14" t="s">
        <v>24</v>
      </c>
      <c r="C10" s="18">
        <v>1062387.96</v>
      </c>
      <c r="D10" s="18">
        <v>1526181.1816439999</v>
      </c>
      <c r="E10" s="94">
        <f t="shared" si="0"/>
        <v>463793.22164399992</v>
      </c>
      <c r="F10" s="18">
        <v>0</v>
      </c>
      <c r="G10" s="18">
        <f t="shared" si="1"/>
        <v>1526181.1816439999</v>
      </c>
    </row>
    <row r="11" spans="1:8" x14ac:dyDescent="0.25">
      <c r="A11" s="89">
        <v>8</v>
      </c>
      <c r="B11" s="14" t="s">
        <v>25</v>
      </c>
      <c r="C11" s="18">
        <v>14613333.91</v>
      </c>
      <c r="D11" s="18">
        <v>19654360.745767999</v>
      </c>
      <c r="E11" s="94">
        <f t="shared" si="0"/>
        <v>5041026.8357679993</v>
      </c>
      <c r="F11" s="18">
        <v>0</v>
      </c>
      <c r="G11" s="18">
        <f t="shared" si="1"/>
        <v>19654360.745767999</v>
      </c>
    </row>
    <row r="12" spans="1:8" s="23" customFormat="1" x14ac:dyDescent="0.25">
      <c r="A12" s="89">
        <v>9</v>
      </c>
      <c r="B12" s="14" t="s">
        <v>26</v>
      </c>
      <c r="C12" s="18">
        <v>12780961.4</v>
      </c>
      <c r="D12" s="18">
        <v>2533730.4878539997</v>
      </c>
      <c r="E12" s="93">
        <f t="shared" si="0"/>
        <v>-10247230.912146</v>
      </c>
      <c r="F12" s="18">
        <v>337909.86</v>
      </c>
      <c r="G12" s="18">
        <f t="shared" si="1"/>
        <v>2195820.6278539998</v>
      </c>
    </row>
    <row r="13" spans="1:8" s="23" customFormat="1" x14ac:dyDescent="0.25">
      <c r="A13" s="89">
        <v>10</v>
      </c>
      <c r="B13" s="14" t="s">
        <v>27</v>
      </c>
      <c r="C13" s="18">
        <v>30748093.609999999</v>
      </c>
      <c r="D13" s="18">
        <v>4215514.3442039993</v>
      </c>
      <c r="E13" s="93">
        <f t="shared" si="0"/>
        <v>-26532579.265795998</v>
      </c>
      <c r="F13" s="18">
        <v>1211400.79</v>
      </c>
      <c r="G13" s="18">
        <f t="shared" si="1"/>
        <v>3004113.5542039992</v>
      </c>
    </row>
    <row r="14" spans="1:8" x14ac:dyDescent="0.25">
      <c r="A14" s="89">
        <v>11</v>
      </c>
      <c r="B14" s="14" t="s">
        <v>28</v>
      </c>
      <c r="C14" s="18">
        <v>2642217.86</v>
      </c>
      <c r="D14" s="18">
        <v>2470252.5874039996</v>
      </c>
      <c r="E14" s="93">
        <f t="shared" si="0"/>
        <v>-171965.27259600023</v>
      </c>
      <c r="F14" s="18">
        <v>0</v>
      </c>
      <c r="G14" s="18">
        <f t="shared" si="1"/>
        <v>2470252.5874039996</v>
      </c>
    </row>
    <row r="15" spans="1:8" x14ac:dyDescent="0.25">
      <c r="A15" s="89">
        <v>12</v>
      </c>
      <c r="B15" s="14" t="s">
        <v>29</v>
      </c>
      <c r="C15" s="18">
        <v>5596215.4199999999</v>
      </c>
      <c r="D15" s="18">
        <v>4701704.1308859996</v>
      </c>
      <c r="E15" s="93">
        <f t="shared" si="0"/>
        <v>-894511.28911400028</v>
      </c>
      <c r="F15" s="18">
        <v>0</v>
      </c>
      <c r="G15" s="18">
        <f t="shared" si="1"/>
        <v>4701704.1308859996</v>
      </c>
    </row>
    <row r="16" spans="1:8" ht="31.5" x14ac:dyDescent="0.25">
      <c r="A16" s="89">
        <v>13</v>
      </c>
      <c r="B16" s="14" t="s">
        <v>30</v>
      </c>
      <c r="C16" s="18">
        <v>11590841.109999999</v>
      </c>
      <c r="D16" s="18">
        <v>6419101.2961879997</v>
      </c>
      <c r="E16" s="93">
        <f t="shared" si="0"/>
        <v>-5171739.8138119997</v>
      </c>
      <c r="F16" s="18">
        <v>0</v>
      </c>
      <c r="G16" s="18">
        <f t="shared" si="1"/>
        <v>6419101.2961879997</v>
      </c>
    </row>
    <row r="17" spans="1:7" x14ac:dyDescent="0.25">
      <c r="A17" s="89">
        <v>14</v>
      </c>
      <c r="B17" s="14" t="s">
        <v>31</v>
      </c>
      <c r="C17" s="18">
        <v>225686716.62</v>
      </c>
      <c r="D17" s="18">
        <v>238087879.84</v>
      </c>
      <c r="E17" s="94">
        <f t="shared" si="0"/>
        <v>12401163.219999999</v>
      </c>
      <c r="F17" s="18">
        <v>199215880.78</v>
      </c>
      <c r="G17" s="18">
        <f t="shared" si="1"/>
        <v>38871999.060000002</v>
      </c>
    </row>
    <row r="18" spans="1:7" s="27" customFormat="1" x14ac:dyDescent="0.25">
      <c r="A18" s="89">
        <v>15</v>
      </c>
      <c r="B18" s="14" t="s">
        <v>32</v>
      </c>
      <c r="C18" s="18">
        <v>14715027.42</v>
      </c>
      <c r="D18" s="18">
        <v>14382671.06013</v>
      </c>
      <c r="E18" s="93">
        <f t="shared" si="0"/>
        <v>-332356.35986999981</v>
      </c>
      <c r="F18" s="18">
        <v>10775049.08</v>
      </c>
      <c r="G18" s="18">
        <f t="shared" si="1"/>
        <v>3607621.98013</v>
      </c>
    </row>
    <row r="19" spans="1:7" s="35" customFormat="1" ht="31.5" x14ac:dyDescent="0.25">
      <c r="A19" s="89">
        <v>16</v>
      </c>
      <c r="B19" s="14" t="s">
        <v>33</v>
      </c>
      <c r="C19" s="18">
        <v>6792957.25</v>
      </c>
      <c r="D19" s="18">
        <v>3992463.3129360001</v>
      </c>
      <c r="E19" s="93">
        <f t="shared" si="0"/>
        <v>-2800493.9370639999</v>
      </c>
      <c r="F19" s="18">
        <v>562345.21</v>
      </c>
      <c r="G19" s="18">
        <f t="shared" si="1"/>
        <v>3430118.1029360001</v>
      </c>
    </row>
    <row r="20" spans="1:7" s="27" customFormat="1" x14ac:dyDescent="0.25">
      <c r="A20" s="89">
        <v>17</v>
      </c>
      <c r="B20" s="14" t="s">
        <v>34</v>
      </c>
      <c r="C20" s="18">
        <v>5654080.4900000002</v>
      </c>
      <c r="D20" s="18">
        <v>4657994.5701099997</v>
      </c>
      <c r="E20" s="93">
        <f t="shared" si="0"/>
        <v>-996085.91989000048</v>
      </c>
      <c r="F20" s="18">
        <v>3594854.48</v>
      </c>
      <c r="G20" s="18">
        <f t="shared" si="1"/>
        <v>1063140.0901099998</v>
      </c>
    </row>
    <row r="21" spans="1:7" x14ac:dyDescent="0.25">
      <c r="A21" s="89">
        <v>18</v>
      </c>
      <c r="B21" s="14" t="s">
        <v>35</v>
      </c>
      <c r="C21" s="18">
        <v>6997494.7699999996</v>
      </c>
      <c r="D21" s="18">
        <v>21351120.23</v>
      </c>
      <c r="E21" s="94">
        <f t="shared" si="0"/>
        <v>14353625.460000001</v>
      </c>
      <c r="F21" s="18">
        <v>2298854.48</v>
      </c>
      <c r="G21" s="18">
        <f t="shared" si="1"/>
        <v>19052265.75</v>
      </c>
    </row>
    <row r="22" spans="1:7" x14ac:dyDescent="0.25">
      <c r="A22" s="89">
        <v>20</v>
      </c>
      <c r="B22" s="14" t="s">
        <v>36</v>
      </c>
      <c r="C22" s="18">
        <v>68352585.25</v>
      </c>
      <c r="D22" s="18">
        <v>84453896.729999989</v>
      </c>
      <c r="E22" s="94">
        <f t="shared" si="0"/>
        <v>16101311.479999989</v>
      </c>
      <c r="F22" s="18">
        <v>15325816.16</v>
      </c>
      <c r="G22" s="18">
        <f t="shared" si="1"/>
        <v>69128080.569999993</v>
      </c>
    </row>
    <row r="23" spans="1:7" s="35" customFormat="1" x14ac:dyDescent="0.25">
      <c r="A23" s="89">
        <v>21</v>
      </c>
      <c r="B23" s="14" t="str">
        <f>[1]ССР!C30</f>
        <v>Восстановительные работы цеха №121/18. АС 3.</v>
      </c>
      <c r="C23" s="18">
        <v>6298633.3300000001</v>
      </c>
      <c r="D23" s="18">
        <v>5245250.92</v>
      </c>
      <c r="E23" s="93">
        <f t="shared" si="0"/>
        <v>-1053382.4100000001</v>
      </c>
      <c r="F23" s="18">
        <v>5245250.92</v>
      </c>
      <c r="G23" s="18">
        <f t="shared" si="1"/>
        <v>0</v>
      </c>
    </row>
    <row r="24" spans="1:7" s="35" customFormat="1" ht="31.5" x14ac:dyDescent="0.25">
      <c r="A24" s="89">
        <v>22</v>
      </c>
      <c r="B24" s="14" t="str">
        <f>[1]ССР!C45</f>
        <v>Трубопровод ливневых сточных вод от трансбордера. НВК1</v>
      </c>
      <c r="C24" s="18">
        <v>2458485.04</v>
      </c>
      <c r="D24" s="18">
        <v>505496.99</v>
      </c>
      <c r="E24" s="93">
        <f t="shared" si="0"/>
        <v>-1952988.05</v>
      </c>
      <c r="F24" s="18">
        <v>505496.99</v>
      </c>
      <c r="G24" s="18">
        <f t="shared" si="1"/>
        <v>0</v>
      </c>
    </row>
    <row r="25" spans="1:7" x14ac:dyDescent="0.25">
      <c r="A25" s="103" t="s">
        <v>61</v>
      </c>
      <c r="B25" s="104"/>
      <c r="C25" s="90">
        <f>SUM(C4:C24)+0.01</f>
        <v>548004000.00999999</v>
      </c>
      <c r="D25" s="90">
        <f>SUM(D4:D24)</f>
        <v>543846003.93610799</v>
      </c>
      <c r="E25" s="90">
        <f>SUM(E4:E24)</f>
        <v>-4157996.0638920134</v>
      </c>
      <c r="F25" s="90">
        <f>SUM(F4:F24)</f>
        <v>363125700.23000008</v>
      </c>
      <c r="G25" s="90">
        <f>SUM(G4:G24)</f>
        <v>180720303.70610797</v>
      </c>
    </row>
    <row r="26" spans="1:7" x14ac:dyDescent="0.25">
      <c r="A26" s="100" t="s">
        <v>54</v>
      </c>
      <c r="B26" s="100"/>
      <c r="C26" s="100"/>
      <c r="D26" s="100"/>
      <c r="E26" s="100"/>
      <c r="F26" s="100"/>
      <c r="G26" s="100"/>
    </row>
    <row r="27" spans="1:7" x14ac:dyDescent="0.25">
      <c r="A27" s="89">
        <v>23</v>
      </c>
      <c r="B27" s="14" t="s">
        <v>37</v>
      </c>
      <c r="C27" s="18">
        <v>0</v>
      </c>
      <c r="D27" s="18">
        <v>4216719.66</v>
      </c>
      <c r="E27" s="94">
        <f>D27-C27</f>
        <v>4216719.66</v>
      </c>
      <c r="F27" s="26">
        <f>D27</f>
        <v>4216719.66</v>
      </c>
      <c r="G27" s="26">
        <f>D27-F27</f>
        <v>0</v>
      </c>
    </row>
    <row r="28" spans="1:7" x14ac:dyDescent="0.25">
      <c r="A28" s="89">
        <v>24</v>
      </c>
      <c r="B28" s="14" t="s">
        <v>38</v>
      </c>
      <c r="C28" s="18">
        <v>0</v>
      </c>
      <c r="D28" s="18">
        <v>2160473.5</v>
      </c>
      <c r="E28" s="94">
        <f t="shared" ref="E28:E40" si="2">D28-C28</f>
        <v>2160473.5</v>
      </c>
      <c r="F28" s="26">
        <f>D28</f>
        <v>2160473.5</v>
      </c>
      <c r="G28" s="26">
        <f t="shared" ref="G28:G40" si="3">D28-F28</f>
        <v>0</v>
      </c>
    </row>
    <row r="29" spans="1:7" x14ac:dyDescent="0.25">
      <c r="A29" s="89">
        <v>25</v>
      </c>
      <c r="B29" s="14" t="s">
        <v>39</v>
      </c>
      <c r="C29" s="18">
        <v>0</v>
      </c>
      <c r="D29" s="18">
        <v>708000.38502199994</v>
      </c>
      <c r="E29" s="94">
        <f t="shared" si="2"/>
        <v>708000.38502199994</v>
      </c>
      <c r="F29" s="26">
        <v>0</v>
      </c>
      <c r="G29" s="26">
        <f t="shared" si="3"/>
        <v>708000.38502199994</v>
      </c>
    </row>
    <row r="30" spans="1:7" x14ac:dyDescent="0.25">
      <c r="A30" s="89">
        <v>26</v>
      </c>
      <c r="B30" s="14" t="s">
        <v>40</v>
      </c>
      <c r="C30" s="18">
        <v>0</v>
      </c>
      <c r="D30" s="18">
        <v>85851.015599999984</v>
      </c>
      <c r="E30" s="94">
        <f t="shared" si="2"/>
        <v>85851.015599999984</v>
      </c>
      <c r="F30" s="26">
        <v>0</v>
      </c>
      <c r="G30" s="26">
        <f t="shared" si="3"/>
        <v>85851.015599999984</v>
      </c>
    </row>
    <row r="31" spans="1:7" x14ac:dyDescent="0.25">
      <c r="A31" s="89">
        <v>27</v>
      </c>
      <c r="B31" s="14" t="s">
        <v>41</v>
      </c>
      <c r="C31" s="18">
        <v>0</v>
      </c>
      <c r="D31" s="18">
        <v>27667.044271999996</v>
      </c>
      <c r="E31" s="94">
        <f t="shared" si="2"/>
        <v>27667.044271999996</v>
      </c>
      <c r="F31" s="26">
        <v>0</v>
      </c>
      <c r="G31" s="26">
        <f t="shared" si="3"/>
        <v>27667.044271999996</v>
      </c>
    </row>
    <row r="32" spans="1:7" x14ac:dyDescent="0.25">
      <c r="A32" s="89">
        <v>28</v>
      </c>
      <c r="B32" s="14" t="s">
        <v>42</v>
      </c>
      <c r="C32" s="18">
        <v>0</v>
      </c>
      <c r="D32" s="18">
        <v>208912.59121599997</v>
      </c>
      <c r="E32" s="94">
        <f t="shared" si="2"/>
        <v>208912.59121599997</v>
      </c>
      <c r="F32" s="26">
        <v>0</v>
      </c>
      <c r="G32" s="26">
        <f t="shared" si="3"/>
        <v>208912.59121599997</v>
      </c>
    </row>
    <row r="33" spans="1:9" x14ac:dyDescent="0.25">
      <c r="A33" s="89">
        <v>29</v>
      </c>
      <c r="B33" s="14" t="s">
        <v>43</v>
      </c>
      <c r="C33" s="18">
        <v>0</v>
      </c>
      <c r="D33" s="18">
        <v>556614.54550799995</v>
      </c>
      <c r="E33" s="94">
        <f t="shared" si="2"/>
        <v>556614.54550799995</v>
      </c>
      <c r="F33" s="26">
        <v>0</v>
      </c>
      <c r="G33" s="26">
        <f t="shared" si="3"/>
        <v>556614.54550799995</v>
      </c>
    </row>
    <row r="34" spans="1:9" x14ac:dyDescent="0.25">
      <c r="A34" s="89">
        <v>19</v>
      </c>
      <c r="B34" s="14" t="s">
        <v>44</v>
      </c>
      <c r="C34" s="18">
        <v>0</v>
      </c>
      <c r="D34" s="18">
        <v>1139614.1842959998</v>
      </c>
      <c r="E34" s="94">
        <f t="shared" si="2"/>
        <v>1139614.1842959998</v>
      </c>
      <c r="F34" s="18">
        <v>0</v>
      </c>
      <c r="G34" s="26">
        <f t="shared" si="3"/>
        <v>1139614.1842959998</v>
      </c>
    </row>
    <row r="35" spans="1:9" x14ac:dyDescent="0.25">
      <c r="A35" s="89">
        <v>31</v>
      </c>
      <c r="B35" s="14" t="s">
        <v>45</v>
      </c>
      <c r="C35" s="18">
        <v>0</v>
      </c>
      <c r="D35" s="18">
        <v>788073.33729599998</v>
      </c>
      <c r="E35" s="94">
        <f t="shared" si="2"/>
        <v>788073.33729599998</v>
      </c>
      <c r="F35" s="26">
        <v>0</v>
      </c>
      <c r="G35" s="26">
        <f t="shared" si="3"/>
        <v>788073.33729599998</v>
      </c>
    </row>
    <row r="36" spans="1:9" x14ac:dyDescent="0.25">
      <c r="A36" s="89">
        <v>32</v>
      </c>
      <c r="B36" s="14" t="s">
        <v>55</v>
      </c>
      <c r="C36" s="18">
        <v>0</v>
      </c>
      <c r="D36" s="18">
        <v>2040575.6772099996</v>
      </c>
      <c r="E36" s="94">
        <f t="shared" si="2"/>
        <v>2040575.6772099996</v>
      </c>
      <c r="F36" s="26">
        <v>0</v>
      </c>
      <c r="G36" s="26">
        <f t="shared" si="3"/>
        <v>2040575.6772099996</v>
      </c>
    </row>
    <row r="37" spans="1:9" x14ac:dyDescent="0.25">
      <c r="A37" s="89">
        <v>33</v>
      </c>
      <c r="B37" s="14" t="s">
        <v>46</v>
      </c>
      <c r="C37" s="18">
        <v>0</v>
      </c>
      <c r="D37" s="18">
        <v>57736.222124</v>
      </c>
      <c r="E37" s="94">
        <f t="shared" si="2"/>
        <v>57736.222124</v>
      </c>
      <c r="F37" s="26">
        <v>0</v>
      </c>
      <c r="G37" s="26">
        <f t="shared" si="3"/>
        <v>57736.222124</v>
      </c>
    </row>
    <row r="38" spans="1:9" x14ac:dyDescent="0.25">
      <c r="A38" s="89">
        <v>34</v>
      </c>
      <c r="B38" s="14" t="s">
        <v>47</v>
      </c>
      <c r="C38" s="18">
        <v>0</v>
      </c>
      <c r="D38" s="18">
        <v>299526.31213399995</v>
      </c>
      <c r="E38" s="94">
        <f t="shared" si="2"/>
        <v>299526.31213399995</v>
      </c>
      <c r="F38" s="26">
        <v>0</v>
      </c>
      <c r="G38" s="26">
        <f t="shared" si="3"/>
        <v>299526.31213399995</v>
      </c>
    </row>
    <row r="39" spans="1:9" x14ac:dyDescent="0.25">
      <c r="A39" s="89">
        <v>36</v>
      </c>
      <c r="B39" s="14" t="s">
        <v>48</v>
      </c>
      <c r="C39" s="18">
        <v>0</v>
      </c>
      <c r="D39" s="18">
        <v>5703550.04</v>
      </c>
      <c r="E39" s="94">
        <f t="shared" si="2"/>
        <v>5703550.04</v>
      </c>
      <c r="F39" s="18">
        <v>0</v>
      </c>
      <c r="G39" s="26">
        <f t="shared" si="3"/>
        <v>5703550.04</v>
      </c>
      <c r="H39" s="22">
        <f>SUM(G27:G39)</f>
        <v>11616121.354677998</v>
      </c>
      <c r="I39" s="22">
        <f>'[2]реестр ССР2'!$L$41</f>
        <v>11616076.98</v>
      </c>
    </row>
    <row r="40" spans="1:9" x14ac:dyDescent="0.25">
      <c r="A40" s="89">
        <v>34</v>
      </c>
      <c r="B40" s="14" t="s">
        <v>49</v>
      </c>
      <c r="C40" s="18">
        <v>0</v>
      </c>
      <c r="D40" s="18">
        <v>2384094.02</v>
      </c>
      <c r="E40" s="94">
        <f t="shared" si="2"/>
        <v>2384094.02</v>
      </c>
      <c r="F40" s="26">
        <v>0</v>
      </c>
      <c r="G40" s="26">
        <f t="shared" si="3"/>
        <v>2384094.02</v>
      </c>
    </row>
    <row r="41" spans="1:9" x14ac:dyDescent="0.25">
      <c r="A41" s="101" t="s">
        <v>59</v>
      </c>
      <c r="B41" s="101"/>
      <c r="C41" s="95">
        <v>0</v>
      </c>
      <c r="D41" s="95">
        <f>SUM(D27:D40)</f>
        <v>20377408.534677997</v>
      </c>
      <c r="E41" s="95">
        <f>SUM(E27:E40)</f>
        <v>20377408.534677997</v>
      </c>
      <c r="F41" s="95">
        <f>SUM(F27:F40)</f>
        <v>6377193.1600000001</v>
      </c>
      <c r="G41" s="95">
        <f>SUM(G27:G40)</f>
        <v>14000215.374677997</v>
      </c>
    </row>
    <row r="42" spans="1:9" x14ac:dyDescent="0.25">
      <c r="A42" s="102" t="s">
        <v>60</v>
      </c>
      <c r="B42" s="102"/>
      <c r="C42" s="90">
        <f>C25</f>
        <v>548004000.00999999</v>
      </c>
      <c r="D42" s="90">
        <f>D25+D41</f>
        <v>564223412.47078598</v>
      </c>
      <c r="E42" s="90">
        <f>E25+E41</f>
        <v>16219412.470785983</v>
      </c>
      <c r="F42" s="90">
        <f>F25+F41</f>
        <v>369502893.3900001</v>
      </c>
      <c r="G42" s="90">
        <f>G25+G41</f>
        <v>194720519.08078596</v>
      </c>
      <c r="I42" s="22"/>
    </row>
    <row r="53" spans="1:7" s="7" customFormat="1" x14ac:dyDescent="0.25">
      <c r="A53" s="80"/>
      <c r="B53" s="80"/>
      <c r="C53" s="81"/>
      <c r="D53" s="81"/>
      <c r="E53" s="81"/>
      <c r="F53" s="4"/>
      <c r="G53" s="4"/>
    </row>
    <row r="54" spans="1:7" s="7" customFormat="1" x14ac:dyDescent="0.25">
      <c r="A54" s="4"/>
      <c r="B54" s="4"/>
      <c r="C54" s="22"/>
      <c r="D54" s="22"/>
      <c r="E54" s="22"/>
      <c r="F54" s="4"/>
      <c r="G54" s="4"/>
    </row>
    <row r="55" spans="1:7" s="7" customFormat="1" x14ac:dyDescent="0.25">
      <c r="A55" s="4"/>
      <c r="B55" s="4"/>
      <c r="C55" s="22"/>
      <c r="D55" s="22"/>
      <c r="E55" s="22"/>
      <c r="F55" s="4"/>
      <c r="G55" s="4"/>
    </row>
    <row r="56" spans="1:7" s="7" customFormat="1" x14ac:dyDescent="0.25">
      <c r="A56" s="4"/>
      <c r="B56" s="4"/>
      <c r="C56" s="4"/>
      <c r="D56" s="4"/>
      <c r="E56" s="4"/>
      <c r="F56" s="4"/>
      <c r="G56" s="4"/>
    </row>
    <row r="76" spans="1:1" x14ac:dyDescent="0.25">
      <c r="A76" s="4">
        <v>7</v>
      </c>
    </row>
  </sheetData>
  <mergeCells count="5">
    <mergeCell ref="A1:C1"/>
    <mergeCell ref="A26:G26"/>
    <mergeCell ref="A41:B41"/>
    <mergeCell ref="A42:B42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реестр ССР2</vt:lpstr>
      <vt:lpstr>корр</vt:lpstr>
      <vt:lpstr>Лист1</vt:lpstr>
      <vt:lpstr>Лист2</vt:lpstr>
      <vt:lpstr>'реестр ССР2'!Область_печати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2024-08-05T15:04:27Z</dcterms:created>
  <dcterms:modified xsi:type="dcterms:W3CDTF">2024-08-05T16:25:25Z</dcterms:modified>
</cp:coreProperties>
</file>