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"/>
    </mc:Choice>
  </mc:AlternateContent>
  <xr:revisionPtr revIDLastSave="0" documentId="13_ncr:1_{36E5E07F-DB87-4D8D-9A81-097EEA8150E8}" xr6:coauthVersionLast="47" xr6:coauthVersionMax="47" xr10:uidLastSave="{00000000-0000-0000-0000-000000000000}"/>
  <bookViews>
    <workbookView xWindow="-120" yWindow="-120" windowWidth="29040" windowHeight="15720" tabRatio="800" firstSheet="3" activeTab="3" xr2:uid="{00000000-000D-0000-FFFF-FFFF00000000}"/>
  </bookViews>
  <sheets>
    <sheet name="ССР" sheetId="8" state="hidden" r:id="rId1"/>
    <sheet name="на 04.06" sheetId="30" state="hidden" r:id="rId2"/>
    <sheet name="вар НВ (с 0,65 и без упл)" sheetId="32" state="hidden" r:id="rId3"/>
    <sheet name="реестр под ФАКТ (ПЖ с замеч.)" sheetId="33" r:id="rId4"/>
    <sheet name="реестр под ФАКТ до соглас. " sheetId="34" r:id="rId5"/>
    <sheet name="реестр под ФАКТ" sheetId="31" r:id="rId6"/>
    <sheet name="свод реестров по кс-2" sheetId="29" r:id="rId7"/>
    <sheet name="аналитика" sheetId="26" state="hidden" r:id="rId8"/>
    <sheet name="ан-ка (на 95% мех и 5% вруч )" sheetId="27" state="hidden" r:id="rId9"/>
    <sheet name="реестр под ФАКТ с виброплит" sheetId="24" state="hidden" r:id="rId10"/>
    <sheet name="реестр под ФАКТ (2)" sheetId="28" state="hidden" r:id="rId11"/>
    <sheet name="реестр к Договору" sheetId="25" state="hidden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xlnm._FilterDatabase" localSheetId="7" hidden="1">аналитика!$A$3:$R$14</definedName>
    <definedName name="_xlnm._FilterDatabase" localSheetId="8" hidden="1">'ан-ка (на 95% мех и 5% вруч )'!$A$3:$R$14</definedName>
    <definedName name="_xlnm._FilterDatabase" localSheetId="2" hidden="1">'вар НВ (с 0,65 и без упл)'!$A$3:$W$50</definedName>
    <definedName name="_xlnm._FilterDatabase" localSheetId="1" hidden="1">'на 04.06'!$A$3:$W$52</definedName>
    <definedName name="_xlnm._FilterDatabase" localSheetId="11" hidden="1">'реестр к Договору'!$A$3:$U$26</definedName>
    <definedName name="_xlnm._FilterDatabase" localSheetId="5" hidden="1">'реестр под ФАКТ'!$A$3:$W$46</definedName>
    <definedName name="_xlnm._FilterDatabase" localSheetId="10" hidden="1">'реестр под ФАКТ (2)'!$A$3:$U$58</definedName>
    <definedName name="_xlnm._FilterDatabase" localSheetId="3" hidden="1">'реестр под ФАКТ (ПЖ с замеч.)'!$A$3:$W$47</definedName>
    <definedName name="_xlnm._FilterDatabase" localSheetId="4" hidden="1">'реестр под ФАКТ до соглас. '!$A$3:$W$47</definedName>
    <definedName name="_xlnm._FilterDatabase" localSheetId="9" hidden="1">'реестр под ФАКТ с виброплит'!$A$3:$W$50</definedName>
    <definedName name="_xlnm._FilterDatabase" localSheetId="6" hidden="1">'свод реестров по кс-2'!$A$2:$M$16</definedName>
    <definedName name="Excel_BuiltIn__FilterDatabase_4" localSheetId="11">#REF!</definedName>
    <definedName name="Excel_BuiltIn__FilterDatabase_4" localSheetId="4">#REF!</definedName>
    <definedName name="Excel_BuiltIn__FilterDatabase_4" localSheetId="6">#REF!</definedName>
    <definedName name="Excel_BuiltIn__FilterDatabase_4">#REF!</definedName>
    <definedName name="Excel_BuiltIn_Print_Area" localSheetId="11">#REF!</definedName>
    <definedName name="Excel_BuiltIn_Print_Area" localSheetId="4">#REF!</definedName>
    <definedName name="Excel_BuiltIn_Print_Area" localSheetId="6">#REF!</definedName>
    <definedName name="Excel_BuiltIn_Print_Area">#REF!</definedName>
    <definedName name="Excel_BuiltIn_Print_Area_1" localSheetId="11">#REF!</definedName>
    <definedName name="Excel_BuiltIn_Print_Area_1" localSheetId="4">#REF!</definedName>
    <definedName name="Excel_BuiltIn_Print_Area_1" localSheetId="6">#REF!</definedName>
    <definedName name="Excel_BuiltIn_Print_Area_1">#REF!</definedName>
    <definedName name="Excel_BuiltIn_Print_Area_13" localSheetId="11">#REF!</definedName>
    <definedName name="Excel_BuiltIn_Print_Area_13" localSheetId="4">#REF!</definedName>
    <definedName name="Excel_BuiltIn_Print_Area_13" localSheetId="6">#REF!</definedName>
    <definedName name="Excel_BuiltIn_Print_Area_13">#REF!</definedName>
    <definedName name="Excel_BuiltIn_Print_Area_2" localSheetId="11">#REF!</definedName>
    <definedName name="Excel_BuiltIn_Print_Area_2" localSheetId="4">#REF!</definedName>
    <definedName name="Excel_BuiltIn_Print_Area_2" localSheetId="6">#REF!</definedName>
    <definedName name="Excel_BuiltIn_Print_Area_2">#REF!</definedName>
    <definedName name="Excel_BuiltIn_Print_Area_3" localSheetId="11">#REF!</definedName>
    <definedName name="Excel_BuiltIn_Print_Area_3" localSheetId="4">#REF!</definedName>
    <definedName name="Excel_BuiltIn_Print_Area_3" localSheetId="6">#REF!</definedName>
    <definedName name="Excel_BuiltIn_Print_Area_3">#REF!</definedName>
    <definedName name="Excel_BuiltIn_Print_Area_4" localSheetId="11">#REF!</definedName>
    <definedName name="Excel_BuiltIn_Print_Area_4" localSheetId="4">#REF!</definedName>
    <definedName name="Excel_BuiltIn_Print_Area_4" localSheetId="6">#REF!</definedName>
    <definedName name="Excel_BuiltIn_Print_Area_4">#REF!</definedName>
    <definedName name="Excel_BuiltIn_Print_Area_5" localSheetId="11">#REF!</definedName>
    <definedName name="Excel_BuiltIn_Print_Area_5" localSheetId="4">#REF!</definedName>
    <definedName name="Excel_BuiltIn_Print_Area_5" localSheetId="6">#REF!</definedName>
    <definedName name="Excel_BuiltIn_Print_Area_5">#REF!</definedName>
    <definedName name="Excel_BuiltIn_Print_Area_6" localSheetId="11">#REF!</definedName>
    <definedName name="Excel_BuiltIn_Print_Area_6" localSheetId="4">#REF!</definedName>
    <definedName name="Excel_BuiltIn_Print_Area_6" localSheetId="6">#REF!</definedName>
    <definedName name="Excel_BuiltIn_Print_Area_6">#REF!</definedName>
    <definedName name="Excel_BuiltIn_Print_Area_7" localSheetId="11">#REF!</definedName>
    <definedName name="Excel_BuiltIn_Print_Area_7" localSheetId="4">#REF!</definedName>
    <definedName name="Excel_BuiltIn_Print_Area_7" localSheetId="6">#REF!</definedName>
    <definedName name="Excel_BuiltIn_Print_Area_7">#REF!</definedName>
    <definedName name="Excel_BuiltIn_Print_Area_8" localSheetId="11">#REF!</definedName>
    <definedName name="Excel_BuiltIn_Print_Area_8" localSheetId="4">#REF!</definedName>
    <definedName name="Excel_BuiltIn_Print_Area_8" localSheetId="6">#REF!</definedName>
    <definedName name="Excel_BuiltIn_Print_Area_8">#REF!</definedName>
    <definedName name="Excel_BuiltIn_Print_Titles" localSheetId="11">#REF!</definedName>
    <definedName name="Excel_BuiltIn_Print_Titles" localSheetId="4">#REF!</definedName>
    <definedName name="Excel_BuiltIn_Print_Titles" localSheetId="6">#REF!</definedName>
    <definedName name="Excel_BuiltIn_Print_Titles">#REF!</definedName>
    <definedName name="Fuck" localSheetId="11">#REF!</definedName>
    <definedName name="Fuck" localSheetId="4">#REF!</definedName>
    <definedName name="Fuck" localSheetId="6">#REF!</definedName>
    <definedName name="Fuck">#REF!</definedName>
    <definedName name="k">'[1]Текущие показатели'!$A$2</definedName>
    <definedName name="VES" localSheetId="11">#REF!</definedName>
    <definedName name="VES" localSheetId="4">#REF!</definedName>
    <definedName name="VES" localSheetId="6">#REF!</definedName>
    <definedName name="VES">#REF!</definedName>
    <definedName name="Z_32BE0561_3E43_11D1_AA21_0080C83F6713_.wvu.FilterData" localSheetId="11" hidden="1">#REF!</definedName>
    <definedName name="Z_32BE0561_3E43_11D1_AA21_0080C83F6713_.wvu.FilterData" localSheetId="4" hidden="1">#REF!</definedName>
    <definedName name="Z_32BE0561_3E43_11D1_AA21_0080C83F6713_.wvu.FilterData" localSheetId="6" hidden="1">#REF!</definedName>
    <definedName name="Z_32BE0561_3E43_11D1_AA21_0080C83F6713_.wvu.FilterData" hidden="1">#REF!</definedName>
    <definedName name="Z_32BE0561_3E43_11D1_AA21_0080C83F6713_.wvu.Rows" localSheetId="11" hidden="1">#REF!</definedName>
    <definedName name="Z_32BE0561_3E43_11D1_AA21_0080C83F6713_.wvu.Rows" localSheetId="4" hidden="1">#REF!</definedName>
    <definedName name="Z_32BE0561_3E43_11D1_AA21_0080C83F6713_.wvu.Rows" localSheetId="6" hidden="1">#REF!</definedName>
    <definedName name="Z_32BE0561_3E43_11D1_AA21_0080C83F6713_.wvu.Rows" hidden="1">#REF!</definedName>
    <definedName name="Z_361DAB21_3E43_11D1_9921_000021579852_.wvu.FilterData" localSheetId="11" hidden="1">#REF!</definedName>
    <definedName name="Z_361DAB21_3E43_11D1_9921_000021579852_.wvu.FilterData" localSheetId="4" hidden="1">#REF!</definedName>
    <definedName name="Z_361DAB21_3E43_11D1_9921_000021579852_.wvu.FilterData" localSheetId="6" hidden="1">#REF!</definedName>
    <definedName name="Z_361DAB21_3E43_11D1_9921_000021579852_.wvu.FilterData" hidden="1">#REF!</definedName>
    <definedName name="Z_6DAEFF01_3E3C_11D1_9921_000021579852_.wvu.FilterData" localSheetId="11" hidden="1">#REF!</definedName>
    <definedName name="Z_6DAEFF01_3E3C_11D1_9921_000021579852_.wvu.FilterData" localSheetId="4" hidden="1">#REF!</definedName>
    <definedName name="Z_6DAEFF01_3E3C_11D1_9921_000021579852_.wvu.FilterData" localSheetId="6" hidden="1">#REF!</definedName>
    <definedName name="Z_6DAEFF01_3E3C_11D1_9921_000021579852_.wvu.FilterData" hidden="1">#REF!</definedName>
    <definedName name="Z_6DAEFF01_3E3C_11D1_9921_000021579852_.wvu.Rows" localSheetId="11" hidden="1">#REF!</definedName>
    <definedName name="Z_6DAEFF01_3E3C_11D1_9921_000021579852_.wvu.Rows" localSheetId="4" hidden="1">#REF!</definedName>
    <definedName name="Z_6DAEFF01_3E3C_11D1_9921_000021579852_.wvu.Rows" localSheetId="6" hidden="1">#REF!</definedName>
    <definedName name="Z_6DAEFF01_3E3C_11D1_9921_000021579852_.wvu.Rows" hidden="1">#REF!</definedName>
    <definedName name="Z_7F3F38C1_B38F_11D1_B73A_0080C83F5DB9_.wvu.FilterData" localSheetId="11" hidden="1">#REF!</definedName>
    <definedName name="Z_7F3F38C1_B38F_11D1_B73A_0080C83F5DB9_.wvu.FilterData" localSheetId="4" hidden="1">#REF!</definedName>
    <definedName name="Z_7F3F38C1_B38F_11D1_B73A_0080C83F5DB9_.wvu.FilterData" localSheetId="6" hidden="1">#REF!</definedName>
    <definedName name="Z_7F3F38C1_B38F_11D1_B73A_0080C83F5DB9_.wvu.FilterData" hidden="1">#REF!</definedName>
    <definedName name="_xlnm.Database" localSheetId="11">#REF!</definedName>
    <definedName name="_xlnm.Database" localSheetId="4">#REF!</definedName>
    <definedName name="_xlnm.Database" localSheetId="6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11">#REF!</definedName>
    <definedName name="д" localSheetId="4">#REF!</definedName>
    <definedName name="д" localSheetId="6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 localSheetId="11">[5]Кабель!#REF!</definedName>
    <definedName name="Дост_Кавказ" localSheetId="4">[5]Кабель!#REF!</definedName>
    <definedName name="Дост_Кавказ" localSheetId="6">[5]Кабель!#REF!</definedName>
    <definedName name="Дост_Кавказ">[5]Кабель!#REF!</definedName>
    <definedName name="Дост_Промсервис">[5]Кабель!$BR$9</definedName>
    <definedName name="Доставка_Алюр" localSheetId="11">#REF!</definedName>
    <definedName name="Доставка_Алюр" localSheetId="4">#REF!</definedName>
    <definedName name="Доставка_Алюр" localSheetId="6">#REF!</definedName>
    <definedName name="Доставка_Алюр">#REF!</definedName>
    <definedName name="доставка_андромеда" localSheetId="11">#REF!</definedName>
    <definedName name="доставка_андромеда" localSheetId="4">#REF!</definedName>
    <definedName name="доставка_андромеда" localSheetId="6">#REF!</definedName>
    <definedName name="доставка_андромеда">#REF!</definedName>
    <definedName name="доставка_ВИМкабель" localSheetId="11">#REF!</definedName>
    <definedName name="доставка_ВИМкабель" localSheetId="4">#REF!</definedName>
    <definedName name="доставка_ВИМкабель" localSheetId="6">#REF!</definedName>
    <definedName name="доставка_ВИМкабель">#REF!</definedName>
    <definedName name="Доставка_Дилявер" localSheetId="11">#REF!</definedName>
    <definedName name="Доставка_Дилявер" localSheetId="4">#REF!</definedName>
    <definedName name="Доставка_Дилявер" localSheetId="6">#REF!</definedName>
    <definedName name="Доставка_Дилявер">#REF!</definedName>
    <definedName name="доставка_кавказ" localSheetId="11">#REF!</definedName>
    <definedName name="доставка_кавказ" localSheetId="4">#REF!</definedName>
    <definedName name="доставка_кавказ" localSheetId="6">#REF!</definedName>
    <definedName name="доставка_кавказ">#REF!</definedName>
    <definedName name="_xlnm.Print_Titles" localSheetId="0">ССР!$22:$22</definedName>
    <definedName name="заказчики">[3]база!$A$1:$A$65536</definedName>
    <definedName name="Заключение">[6]Списки!$I$2:$I$4</definedName>
    <definedName name="к1" localSheetId="11">#REF!</definedName>
    <definedName name="к1" localSheetId="4">#REF!</definedName>
    <definedName name="к1" localSheetId="6">#REF!</definedName>
    <definedName name="к1">#REF!</definedName>
    <definedName name="к2" localSheetId="11">#REF!</definedName>
    <definedName name="к2" localSheetId="4">#REF!</definedName>
    <definedName name="к2" localSheetId="6">#REF!</definedName>
    <definedName name="к2">#REF!</definedName>
    <definedName name="к3" localSheetId="11">#REF!</definedName>
    <definedName name="к3" localSheetId="4">#REF!</definedName>
    <definedName name="к3" localSheetId="6">#REF!</definedName>
    <definedName name="к3">#REF!</definedName>
    <definedName name="Код_1" localSheetId="11">[4]Смета!#REF!</definedName>
    <definedName name="Код_1" localSheetId="4">[4]Смета!#REF!</definedName>
    <definedName name="Код_1" localSheetId="6">[4]Смета!#REF!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 localSheetId="11">#REF!</definedName>
    <definedName name="Конец" localSheetId="4">#REF!</definedName>
    <definedName name="Конец" localSheetId="6">#REF!</definedName>
    <definedName name="Конец">#REF!</definedName>
    <definedName name="конкр150" localSheetId="4">'[2]исх дан'!#REF!</definedName>
    <definedName name="конкр150" localSheetId="6">'[2]исх дан'!#REF!</definedName>
    <definedName name="конкр150">'[2]исх дан'!#REF!</definedName>
    <definedName name="конкр230" localSheetId="4">'[2]исх дан'!#REF!</definedName>
    <definedName name="конкр230" localSheetId="6">'[2]исх дан'!#REF!</definedName>
    <definedName name="конкр230">'[2]исх дан'!#REF!</definedName>
    <definedName name="конкр240" localSheetId="4">'[2]исх дан'!#REF!</definedName>
    <definedName name="конкр240" localSheetId="6">'[2]исх дан'!#REF!</definedName>
    <definedName name="конкр240">'[2]исх дан'!#REF!</definedName>
    <definedName name="КОНТРОЛЬНИК" localSheetId="4">'[2]исх дан'!#REF!</definedName>
    <definedName name="КОНТРОЛЬНИК" localSheetId="6">'[2]исх дан'!#REF!</definedName>
    <definedName name="КОНТРОЛЬНИК">'[2]исх дан'!#REF!</definedName>
    <definedName name="Копилка_объем" localSheetId="4">[4]Материалы!#REF!</definedName>
    <definedName name="Копилка_объем" localSheetId="6">[4]Материалы!#REF!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 localSheetId="11">#REF!</definedName>
    <definedName name="_xlnm.Criteria" localSheetId="4">#REF!</definedName>
    <definedName name="_xlnm.Criteria" localSheetId="6">#REF!</definedName>
    <definedName name="_xlnm.Criteria">#REF!</definedName>
    <definedName name="КУРС" localSheetId="4">'[2]исх дан'!#REF!</definedName>
    <definedName name="КУРС" localSheetId="6">'[2]исх дан'!#REF!</definedName>
    <definedName name="КУРС">'[2]исх дан'!#REF!</definedName>
    <definedName name="КУРС_2Й_ЛИСТ" localSheetId="4">'[2]исх дан'!#REF!</definedName>
    <definedName name="КУРС_2Й_ЛИСТ" localSheetId="6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 localSheetId="11">#REF!</definedName>
    <definedName name="левон_опт" localSheetId="4">#REF!</definedName>
    <definedName name="левон_опт" localSheetId="6">#REF!</definedName>
    <definedName name="левон_опт">#REF!</definedName>
    <definedName name="левон_розн" localSheetId="11">#REF!</definedName>
    <definedName name="левон_розн" localSheetId="4">#REF!</definedName>
    <definedName name="левон_розн" localSheetId="6">#REF!</definedName>
    <definedName name="левон_розн">#REF!</definedName>
    <definedName name="лист1" localSheetId="11">[8]Кабель!$A$1:$A$123,[8]Кабель!$GF$1:$GG$123,#REF!,#REF!,[8]Кабель!$A$423:$A$1102,[8]Кабель!$GF$423:$GG$1102</definedName>
    <definedName name="лист1" localSheetId="4">[8]Кабель!$A$1:$A$123,[8]Кабель!$GF$1:$GG$123,#REF!,#REF!,[8]Кабель!$A$423:$A$1102,[8]Кабель!$GF$423:$GG$1102</definedName>
    <definedName name="лист1" localSheetId="6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11">[8]Кабель!$A$10:$A$123,[8]Кабель!$GF$10:$GG$123,#REF!,[8]Кабель!$GF$438:$GG$850</definedName>
    <definedName name="лист1_txt" localSheetId="4">[8]Кабель!$A$10:$A$123,[8]Кабель!$GF$10:$GG$123,#REF!,[8]Кабель!$GF$438:$GG$850</definedName>
    <definedName name="лист1_txt" localSheetId="6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11">#REF!,#REF!</definedName>
    <definedName name="лист10" localSheetId="4">#REF!,#REF!</definedName>
    <definedName name="лист10" localSheetId="6">#REF!,#REF!</definedName>
    <definedName name="лист10">#REF!,#REF!</definedName>
    <definedName name="лист2" localSheetId="11">[7]Электрика!#REF!,[7]Электрика!#REF!,[7]Электрика!$B$1:$B$24,[7]Электрика!$AY$1:$AZ$24,[7]Электрика!#REF!,[7]Электрика!#REF!</definedName>
    <definedName name="лист2" localSheetId="4">[7]Электрика!#REF!,[7]Электрика!#REF!,[7]Электрика!$B$1:$B$24,[7]Электрика!$AY$1:$AZ$24,[7]Электрика!#REF!,[7]Электрика!#REF!</definedName>
    <definedName name="лист2" localSheetId="6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11">#REF!,[7]Электрика!$A$3:$B$24,[7]Электрика!$AY$3:$AZ$24,[7]Электрика!$AY$69:$AZ$129</definedName>
    <definedName name="лист2_txt" localSheetId="4">#REF!,[7]Электрика!$A$3:$B$24,[7]Электрика!$AY$3:$AZ$24,[7]Электрика!$AY$69:$AZ$129</definedName>
    <definedName name="лист2_txt" localSheetId="6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11">#REF!,#REF!,#REF!,#REF!,#REF!,#REF!</definedName>
    <definedName name="лист3" localSheetId="4">#REF!,#REF!,#REF!,#REF!,#REF!,#REF!</definedName>
    <definedName name="лист3" localSheetId="6">#REF!,#REF!,#REF!,#REF!,#REF!,#REF!</definedName>
    <definedName name="лист3">#REF!,#REF!,#REF!,#REF!,#REF!,#REF!</definedName>
    <definedName name="лист3_txt" localSheetId="11">#REF!,#REF!,#REF!,#REF!</definedName>
    <definedName name="лист3_txt" localSheetId="4">#REF!,#REF!,#REF!,#REF!</definedName>
    <definedName name="лист3_txt" localSheetId="6">#REF!,#REF!,#REF!,#REF!</definedName>
    <definedName name="лист3_txt">#REF!,#REF!,#REF!,#REF!</definedName>
    <definedName name="лист4" localSheetId="11">#REF!,#REF!,#REF!,#REF!,#REF!,#REF!</definedName>
    <definedName name="лист4" localSheetId="4">#REF!,#REF!,#REF!,#REF!,#REF!,#REF!</definedName>
    <definedName name="лист4" localSheetId="6">#REF!,#REF!,#REF!,#REF!,#REF!,#REF!</definedName>
    <definedName name="лист4">#REF!,#REF!,#REF!,#REF!,#REF!,#REF!</definedName>
    <definedName name="лист4_txt" localSheetId="11">#REF!,#REF!,#REF!,#REF!</definedName>
    <definedName name="лист4_txt" localSheetId="4">#REF!,#REF!,#REF!,#REF!</definedName>
    <definedName name="лист4_txt" localSheetId="6">#REF!,#REF!,#REF!,#REF!</definedName>
    <definedName name="лист4_txt">#REF!,#REF!,#REF!,#REF!</definedName>
    <definedName name="лист8" localSheetId="11">#REF!,#REF!</definedName>
    <definedName name="лист8" localSheetId="4">#REF!,#REF!</definedName>
    <definedName name="лист8" localSheetId="6">#REF!,#REF!</definedName>
    <definedName name="лист8">#REF!,#REF!</definedName>
    <definedName name="ЛУКИ" localSheetId="11">#REF!</definedName>
    <definedName name="ЛУКИ" localSheetId="4">#REF!</definedName>
    <definedName name="ЛУКИ" localSheetId="6">#REF!</definedName>
    <definedName name="ЛУКИ">#REF!</definedName>
    <definedName name="ЛУКИ_МЕДЬ" localSheetId="11">'[2]исх дан'!#REF!</definedName>
    <definedName name="ЛУКИ_МЕДЬ" localSheetId="4">'[2]исх дан'!#REF!</definedName>
    <definedName name="ЛУКИ_МЕДЬ" localSheetId="6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 localSheetId="11">[5]Кабель!#REF!</definedName>
    <definedName name="Мин.нац." localSheetId="4">[5]Кабель!#REF!</definedName>
    <definedName name="Мин.нац." localSheetId="6">[5]Кабель!#REF!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 localSheetId="11">#REF!</definedName>
    <definedName name="нац_након" localSheetId="4">#REF!</definedName>
    <definedName name="нац_након" localSheetId="6">#REF!</definedName>
    <definedName name="нац_након">#REF!</definedName>
    <definedName name="НАЦ_НЕГОРЮЧ" localSheetId="11">#REF!</definedName>
    <definedName name="НАЦ_НЕГОРЮЧ" localSheetId="4">#REF!</definedName>
    <definedName name="НАЦ_НЕГОРЮЧ" localSheetId="6">#REF!</definedName>
    <definedName name="НАЦ_НЕГОРЮЧ">#REF!</definedName>
    <definedName name="НАЦ_ОПТ" localSheetId="11">'[2]исх дан'!#REF!</definedName>
    <definedName name="НАЦ_ОПТ" localSheetId="4">'[2]исх дан'!#REF!</definedName>
    <definedName name="НАЦ_ОПТ" localSheetId="6">'[2]исх дан'!#REF!</definedName>
    <definedName name="НАЦ_ОПТ">'[2]исх дан'!#REF!</definedName>
    <definedName name="НАЦ_ОПТ_КОЛЬЧ" localSheetId="11">'[2]исх дан'!#REF!</definedName>
    <definedName name="НАЦ_ОПТ_КОЛЬЧ" localSheetId="4">'[2]исх дан'!#REF!</definedName>
    <definedName name="НАЦ_ОПТ_КОЛЬЧ" localSheetId="6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 localSheetId="11">#REF!</definedName>
    <definedName name="НАЦ_ТУРЦ_ОПТ" localSheetId="4">#REF!</definedName>
    <definedName name="НАЦ_ТУРЦ_ОПТ" localSheetId="6">#REF!</definedName>
    <definedName name="НАЦ_ТУРЦ_ОПТ">#REF!</definedName>
    <definedName name="НАЦ_ТУРЦ_РОЗН" localSheetId="11">#REF!</definedName>
    <definedName name="НАЦ_ТУРЦ_РОЗН" localSheetId="4">#REF!</definedName>
    <definedName name="НАЦ_ТУРЦ_РОЗН" localSheetId="6">#REF!</definedName>
    <definedName name="НАЦ_ТУРЦ_РОЗН">#REF!</definedName>
    <definedName name="НАЦЕНКА" localSheetId="11">'[2]исх дан'!#REF!</definedName>
    <definedName name="НАЦЕНКА" localSheetId="4">'[2]исх дан'!#REF!</definedName>
    <definedName name="НАЦЕНКА" localSheetId="6">'[2]исх дан'!#REF!</definedName>
    <definedName name="НАЦЕНКА">'[2]исх дан'!#REF!</definedName>
    <definedName name="НАЦЕНКА_150" localSheetId="11">'[2]исх дан'!#REF!</definedName>
    <definedName name="НАЦЕНКА_150" localSheetId="4">'[2]исх дан'!#REF!</definedName>
    <definedName name="НАЦЕНКА_150" localSheetId="6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7">аналитика!$A$1:$V$15</definedName>
    <definedName name="_xlnm.Print_Area" localSheetId="8">'ан-ка (на 95% мех и 5% вруч )'!$A$1:$V$15</definedName>
    <definedName name="_xlnm.Print_Area" localSheetId="2">'вар НВ (с 0,65 и без упл)'!$A$1:$Z$51</definedName>
    <definedName name="_xlnm.Print_Area" localSheetId="1">'на 04.06'!$A$1:$Z$53</definedName>
    <definedName name="_xlnm.Print_Area" localSheetId="11">'реестр к Договору'!$A$1:$W$42</definedName>
    <definedName name="_xlnm.Print_Area" localSheetId="5">'реестр под ФАКТ'!$A$1:$Z$47</definedName>
    <definedName name="_xlnm.Print_Area" localSheetId="10">'реестр под ФАКТ (2)'!$A$1:$X$59</definedName>
    <definedName name="_xlnm.Print_Area" localSheetId="3">'реестр под ФАКТ (ПЖ с замеч.)'!$A$1:$Z$48</definedName>
    <definedName name="_xlnm.Print_Area" localSheetId="4">'реестр под ФАКТ до соглас. '!$A$1:$Z$48</definedName>
    <definedName name="_xlnm.Print_Area" localSheetId="9">'реестр под ФАКТ с виброплит'!$A$1:$Z$51</definedName>
    <definedName name="_xlnm.Print_Area" localSheetId="6">'свод реестров по кс-2'!$A$1:$J$35</definedName>
    <definedName name="_xlnm.Print_Area" localSheetId="0">ССР!$A$1:$H$92</definedName>
    <definedName name="ООС" localSheetId="11">#REF!,#REF!</definedName>
    <definedName name="ООС" localSheetId="4">#REF!,#REF!</definedName>
    <definedName name="ООС" localSheetId="6">#REF!,#REF!</definedName>
    <definedName name="ООС">#REF!,#REF!</definedName>
    <definedName name="от_БИРЖЕВОГО" localSheetId="11">'[2]исх дан'!#REF!</definedName>
    <definedName name="от_БИРЖЕВОГО" localSheetId="4">'[2]исх дан'!#REF!</definedName>
    <definedName name="от_БИРЖЕВОГО" localSheetId="6">'[2]исх дан'!#REF!</definedName>
    <definedName name="от_БИРЖЕВОГО">'[2]исх дан'!#REF!</definedName>
    <definedName name="ПВ" localSheetId="11">'[2]исх дан'!#REF!</definedName>
    <definedName name="ПВ" localSheetId="4">'[2]исх дан'!#REF!</definedName>
    <definedName name="ПВ" localSheetId="6">'[2]исх дан'!#REF!</definedName>
    <definedName name="ПВ">'[2]исх дан'!#REF!</definedName>
    <definedName name="ПВС_ОПТ" localSheetId="11">'[2]исх дан'!#REF!</definedName>
    <definedName name="ПВС_ОПТ" localSheetId="4">'[2]исх дан'!#REF!</definedName>
    <definedName name="ПВС_ОПТ" localSheetId="6">'[2]исх дан'!#REF!</definedName>
    <definedName name="ПВС_ОПТ">'[2]исх дан'!#REF!</definedName>
    <definedName name="ПВС_РОЗН">[10]ПРОЦЕНТЫ!$AQ$7</definedName>
    <definedName name="пр" localSheetId="11">#REF!,#REF!,#REF!,#REF!</definedName>
    <definedName name="пр" localSheetId="4">#REF!,#REF!,#REF!,#REF!</definedName>
    <definedName name="пр" localSheetId="6">#REF!,#REF!,#REF!,#REF!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 localSheetId="11">#REF!</definedName>
    <definedName name="Расход_меди_кг_км_с_отходами" localSheetId="4">#REF!</definedName>
    <definedName name="Расход_меди_кг_км_с_отходами" localSheetId="6">#REF!</definedName>
    <definedName name="Расход_меди_кг_км_с_отходами">#REF!</definedName>
    <definedName name="рома1" localSheetId="11">[5]Кабель!$A$1:$A$136,#REF!,[5]Кабель!$FQ$1:$FQ$136,#REF!,#REF!,#REF!,[5]Кабель!$A$420:$A$1102,#REF!,[5]Кабель!$FQ$420:$FQ$1102</definedName>
    <definedName name="рома1" localSheetId="4">[5]Кабель!$A$1:$A$136,#REF!,[5]Кабель!$FQ$1:$FQ$136,#REF!,#REF!,#REF!,[5]Кабель!$A$420:$A$1102,#REF!,[5]Кабель!$FQ$420:$FQ$1102</definedName>
    <definedName name="рома1" localSheetId="6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11">[7]Электрика!#REF!,[7]Электрика!#REF!,[7]Электрика!#REF!,[7]Электрика!$B$1:$B$24,[7]Электрика!$AY$1:$AZ$24,[7]Электрика!#REF!,[7]Электрика!#REF!</definedName>
    <definedName name="рома2" localSheetId="4">[7]Электрика!#REF!,[7]Электрика!#REF!,[7]Электрика!#REF!,[7]Электрика!$B$1:$B$24,[7]Электрика!$AY$1:$AZ$24,[7]Электрика!#REF!,[7]Электрика!#REF!</definedName>
    <definedName name="рома2" localSheetId="6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11">#REF!</definedName>
    <definedName name="СКИДКА_в_КОЛЬЧУГ" localSheetId="4">#REF!</definedName>
    <definedName name="СКИДКА_в_КОЛЬЧУГ" localSheetId="6">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 localSheetId="11">#REF!,#REF!</definedName>
    <definedName name="текст10" localSheetId="4">#REF!,#REF!</definedName>
    <definedName name="текст10" localSheetId="6">#REF!,#REF!</definedName>
    <definedName name="текст10">#REF!,#REF!</definedName>
    <definedName name="текст11" localSheetId="11">#REF!,#REF!</definedName>
    <definedName name="текст11" localSheetId="4">#REF!,#REF!</definedName>
    <definedName name="текст11" localSheetId="6">#REF!,#REF!</definedName>
    <definedName name="текст11">#REF!,#REF!</definedName>
    <definedName name="текст12" localSheetId="11">#REF!,#REF!</definedName>
    <definedName name="текст12" localSheetId="4">#REF!,#REF!</definedName>
    <definedName name="текст12" localSheetId="6">#REF!,#REF!</definedName>
    <definedName name="текст12">#REF!,#REF!</definedName>
    <definedName name="текст2" localSheetId="11">[5]Кабель!$A$137:$A$419,#REF!</definedName>
    <definedName name="текст2" localSheetId="4">[5]Кабель!$A$137:$A$419,#REF!</definedName>
    <definedName name="текст2" localSheetId="6">[5]Кабель!$A$137:$A$419,#REF!</definedName>
    <definedName name="текст2">[5]Кабель!$A$137:$A$419,#REF!</definedName>
    <definedName name="текст3" localSheetId="11">#REF!,#REF!</definedName>
    <definedName name="текст3" localSheetId="4">#REF!,#REF!</definedName>
    <definedName name="текст3" localSheetId="6">#REF!,#REF!</definedName>
    <definedName name="текст3">#REF!,#REF!</definedName>
    <definedName name="текст4" localSheetId="11">[7]Электрика!#REF!,[7]Электрика!#REF!</definedName>
    <definedName name="текст4" localSheetId="4">[7]Электрика!#REF!,[7]Электрика!#REF!</definedName>
    <definedName name="текст4" localSheetId="6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11">[7]Электрика!$A$32:$B$129,[7]Электрика!#REF!</definedName>
    <definedName name="текст6" localSheetId="4">[7]Электрика!$A$32:$B$129,[7]Электрика!#REF!</definedName>
    <definedName name="текст6" localSheetId="6">[7]Электрика!$A$32:$B$129,[7]Электрика!#REF!</definedName>
    <definedName name="текст6">[7]Электрика!$A$32:$B$129,[7]Электрика!#REF!</definedName>
    <definedName name="текст7" localSheetId="11">#REF!,#REF!</definedName>
    <definedName name="текст7" localSheetId="4">#REF!,#REF!</definedName>
    <definedName name="текст7" localSheetId="6">#REF!,#REF!</definedName>
    <definedName name="текст7">#REF!,#REF!</definedName>
    <definedName name="текст8" localSheetId="11">#REF!,#REF!</definedName>
    <definedName name="текст8" localSheetId="4">#REF!,#REF!</definedName>
    <definedName name="текст8" localSheetId="6">#REF!,#REF!</definedName>
    <definedName name="текст8">#REF!,#REF!</definedName>
    <definedName name="текст9" localSheetId="11">#REF!,#REF!</definedName>
    <definedName name="текст9" localSheetId="4">#REF!,#REF!</definedName>
    <definedName name="текст9" localSheetId="6">#REF!,#REF!</definedName>
    <definedName name="текст9">#REF!,#REF!</definedName>
    <definedName name="Титул00" localSheetId="11">#REF!</definedName>
    <definedName name="Титул00" localSheetId="4">#REF!</definedName>
    <definedName name="Титул00" localSheetId="6">#REF!</definedName>
    <definedName name="Титул00">#REF!</definedName>
    <definedName name="Титул01" localSheetId="11">#REF!,#REF!</definedName>
    <definedName name="Титул01" localSheetId="4">#REF!,#REF!</definedName>
    <definedName name="Титул01" localSheetId="6">#REF!,#REF!</definedName>
    <definedName name="Титул01">#REF!,#REF!</definedName>
    <definedName name="Титул02" localSheetId="11">#REF!,#REF!</definedName>
    <definedName name="Титул02" localSheetId="4">#REF!,#REF!</definedName>
    <definedName name="Титул02" localSheetId="6">#REF!,#REF!</definedName>
    <definedName name="Титул02">#REF!,#REF!</definedName>
    <definedName name="Титул03" localSheetId="11">#REF!,#REF!</definedName>
    <definedName name="Титул03" localSheetId="4">#REF!,#REF!</definedName>
    <definedName name="Титул03" localSheetId="6">#REF!,#REF!</definedName>
    <definedName name="Титул03">#REF!,#REF!</definedName>
    <definedName name="Титул04" localSheetId="11">#REF!,#REF!</definedName>
    <definedName name="Титул04" localSheetId="4">#REF!,#REF!</definedName>
    <definedName name="Титул04" localSheetId="6">#REF!,#REF!</definedName>
    <definedName name="Титул04">#REF!,#REF!</definedName>
    <definedName name="Титул05" localSheetId="11">#REF!,#REF!</definedName>
    <definedName name="Титул05" localSheetId="4">#REF!,#REF!</definedName>
    <definedName name="Титул05" localSheetId="6">#REF!,#REF!</definedName>
    <definedName name="Титул05">#REF!,#REF!</definedName>
    <definedName name="Титул06" localSheetId="11">#REF!</definedName>
    <definedName name="Титул06" localSheetId="4">#REF!</definedName>
    <definedName name="Титул06" localSheetId="6">#REF!</definedName>
    <definedName name="Титул06">#REF!</definedName>
    <definedName name="тула1" localSheetId="11">[5]Кабель!$A$1:$A$136,[5]Кабель!#REF!,[5]Кабель!$FQ$1:$FQ$136,#REF!,[5]Кабель!#REF!,#REF!,[5]Кабель!$A$420:$A$1102,[5]Кабель!#REF!,[5]Кабель!$FQ$420:$FQ$1102</definedName>
    <definedName name="тула1" localSheetId="4">[5]Кабель!$A$1:$A$136,[5]Кабель!#REF!,[5]Кабель!$FQ$1:$FQ$136,#REF!,[5]Кабель!#REF!,#REF!,[5]Кабель!$A$420:$A$1102,[5]Кабель!#REF!,[5]Кабель!$FQ$420:$FQ$1102</definedName>
    <definedName name="тула1" localSheetId="6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11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4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6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0" i="33" l="1"/>
  <c r="V54" i="33" s="1"/>
  <c r="U21" i="33"/>
  <c r="U19" i="33"/>
  <c r="U10" i="33"/>
  <c r="U17" i="33"/>
  <c r="U9" i="33"/>
  <c r="AE47" i="33"/>
  <c r="U16" i="33" l="1"/>
  <c r="S38" i="33"/>
  <c r="U38" i="33"/>
  <c r="U33" i="33"/>
  <c r="S39" i="33"/>
  <c r="U39" i="33"/>
  <c r="S37" i="33" l="1"/>
  <c r="U37" i="33"/>
  <c r="S35" i="33"/>
  <c r="S36" i="33"/>
  <c r="U36" i="33"/>
  <c r="AD36" i="33" s="1"/>
  <c r="U35" i="33"/>
  <c r="AD35" i="33" s="1"/>
  <c r="S34" i="33"/>
  <c r="U34" i="33"/>
  <c r="AD34" i="33"/>
  <c r="AD37" i="33"/>
  <c r="AD38" i="33"/>
  <c r="AD39" i="33"/>
  <c r="AD33" i="33"/>
  <c r="U26" i="33"/>
  <c r="AC47" i="33"/>
  <c r="D69" i="34"/>
  <c r="H68" i="34"/>
  <c r="G68" i="34"/>
  <c r="D68" i="34"/>
  <c r="V55" i="34"/>
  <c r="V54" i="34"/>
  <c r="S54" i="34"/>
  <c r="V53" i="34"/>
  <c r="O47" i="34"/>
  <c r="N47" i="34"/>
  <c r="M47" i="34"/>
  <c r="L47" i="34"/>
  <c r="K47" i="34"/>
  <c r="Z46" i="34"/>
  <c r="Y46" i="34"/>
  <c r="U46" i="34"/>
  <c r="T46" i="34"/>
  <c r="J46" i="34"/>
  <c r="I46" i="34"/>
  <c r="H46" i="34"/>
  <c r="G46" i="34"/>
  <c r="F46" i="34"/>
  <c r="E46" i="34"/>
  <c r="D46" i="34"/>
  <c r="D47" i="34" s="1"/>
  <c r="V45" i="34"/>
  <c r="U43" i="34"/>
  <c r="V42" i="34"/>
  <c r="V41" i="34"/>
  <c r="V40" i="34"/>
  <c r="V39" i="34"/>
  <c r="V38" i="34"/>
  <c r="V37" i="34"/>
  <c r="S37" i="34"/>
  <c r="V36" i="34"/>
  <c r="S36" i="34"/>
  <c r="V35" i="34"/>
  <c r="S35" i="34"/>
  <c r="V34" i="34"/>
  <c r="S34" i="34"/>
  <c r="V33" i="34"/>
  <c r="V43" i="34" s="1"/>
  <c r="V46" i="34" s="1"/>
  <c r="Z31" i="34"/>
  <c r="Z47" i="34" s="1"/>
  <c r="O31" i="34"/>
  <c r="N31" i="34"/>
  <c r="M31" i="34"/>
  <c r="L31" i="34"/>
  <c r="K31" i="34"/>
  <c r="H31" i="34"/>
  <c r="H69" i="34" s="1"/>
  <c r="G31" i="34"/>
  <c r="G69" i="34" s="1"/>
  <c r="D31" i="34"/>
  <c r="V30" i="34"/>
  <c r="P30" i="34"/>
  <c r="V29" i="34"/>
  <c r="P29" i="34"/>
  <c r="R28" i="34"/>
  <c r="P28" i="34"/>
  <c r="T28" i="34" s="1"/>
  <c r="V28" i="34" s="1"/>
  <c r="I28" i="34"/>
  <c r="J28" i="34" s="1"/>
  <c r="Q28" i="34" s="1"/>
  <c r="C28" i="34"/>
  <c r="T27" i="34"/>
  <c r="V27" i="34" s="1"/>
  <c r="P27" i="34"/>
  <c r="I27" i="34"/>
  <c r="J27" i="34" s="1"/>
  <c r="Q27" i="34" s="1"/>
  <c r="C27" i="34"/>
  <c r="T26" i="34"/>
  <c r="R26" i="34"/>
  <c r="P26" i="34"/>
  <c r="R25" i="34"/>
  <c r="P25" i="34"/>
  <c r="T25" i="34" s="1"/>
  <c r="T24" i="34"/>
  <c r="P24" i="34"/>
  <c r="Z23" i="34"/>
  <c r="X23" i="34"/>
  <c r="W23" i="34"/>
  <c r="P21" i="34"/>
  <c r="T21" i="34" s="1"/>
  <c r="V21" i="34" s="1"/>
  <c r="C21" i="34"/>
  <c r="S20" i="34"/>
  <c r="P20" i="34"/>
  <c r="T20" i="34" s="1"/>
  <c r="V20" i="34" s="1"/>
  <c r="C20" i="34"/>
  <c r="T19" i="34"/>
  <c r="V19" i="34" s="1"/>
  <c r="P19" i="34"/>
  <c r="I19" i="34"/>
  <c r="I9" i="34" s="1"/>
  <c r="C19" i="34"/>
  <c r="T18" i="34"/>
  <c r="V18" i="34" s="1"/>
  <c r="S18" i="34"/>
  <c r="P18" i="34"/>
  <c r="I18" i="34"/>
  <c r="J18" i="34" s="1"/>
  <c r="Q18" i="34" s="1"/>
  <c r="C18" i="34"/>
  <c r="Y17" i="34"/>
  <c r="S17" i="34"/>
  <c r="P17" i="34"/>
  <c r="T17" i="34" s="1"/>
  <c r="V17" i="34" s="1"/>
  <c r="AB17" i="34" s="1"/>
  <c r="C17" i="34"/>
  <c r="AA16" i="34"/>
  <c r="Y16" i="34"/>
  <c r="S16" i="34"/>
  <c r="P16" i="34"/>
  <c r="T16" i="34" s="1"/>
  <c r="V16" i="34" s="1"/>
  <c r="AB16" i="34" s="1"/>
  <c r="C16" i="34"/>
  <c r="AA15" i="34"/>
  <c r="Y15" i="34"/>
  <c r="S15" i="34"/>
  <c r="P15" i="34"/>
  <c r="T15" i="34" s="1"/>
  <c r="V15" i="34" s="1"/>
  <c r="I15" i="34"/>
  <c r="J15" i="34" s="1"/>
  <c r="Q15" i="34" s="1"/>
  <c r="C15" i="34"/>
  <c r="AA14" i="34"/>
  <c r="Y14" i="34"/>
  <c r="S14" i="34"/>
  <c r="P14" i="34"/>
  <c r="T14" i="34" s="1"/>
  <c r="V14" i="34" s="1"/>
  <c r="I14" i="34"/>
  <c r="I21" i="34" s="1"/>
  <c r="J21" i="34" s="1"/>
  <c r="Q21" i="34" s="1"/>
  <c r="C14" i="34"/>
  <c r="AA13" i="34"/>
  <c r="Y13" i="34"/>
  <c r="S13" i="34"/>
  <c r="P13" i="34"/>
  <c r="T13" i="34" s="1"/>
  <c r="V13" i="34" s="1"/>
  <c r="I13" i="34"/>
  <c r="J13" i="34" s="1"/>
  <c r="Q13" i="34" s="1"/>
  <c r="C13" i="34"/>
  <c r="Y12" i="34"/>
  <c r="T12" i="34"/>
  <c r="V12" i="34" s="1"/>
  <c r="AB12" i="34" s="1"/>
  <c r="S12" i="34"/>
  <c r="P12" i="34"/>
  <c r="C12" i="34"/>
  <c r="AA11" i="34"/>
  <c r="Y11" i="34"/>
  <c r="Y31" i="34" s="1"/>
  <c r="Y47" i="34" s="1"/>
  <c r="T11" i="34"/>
  <c r="V11" i="34" s="1"/>
  <c r="S11" i="34"/>
  <c r="P11" i="34"/>
  <c r="I11" i="34"/>
  <c r="J11" i="34" s="1"/>
  <c r="Q11" i="34" s="1"/>
  <c r="C11" i="34"/>
  <c r="Y10" i="34"/>
  <c r="Y23" i="34" s="1"/>
  <c r="T10" i="34"/>
  <c r="V10" i="34" s="1"/>
  <c r="AB10" i="34" s="1"/>
  <c r="P10" i="34"/>
  <c r="I10" i="34"/>
  <c r="I17" i="34" s="1"/>
  <c r="J17" i="34" s="1"/>
  <c r="Q17" i="34" s="1"/>
  <c r="C10" i="34"/>
  <c r="Y9" i="34"/>
  <c r="S9" i="34"/>
  <c r="P9" i="34"/>
  <c r="P31" i="34" s="1"/>
  <c r="P47" i="34" s="1"/>
  <c r="C9" i="34"/>
  <c r="P8" i="34"/>
  <c r="T8" i="34" s="1"/>
  <c r="V8" i="34" s="1"/>
  <c r="I8" i="34"/>
  <c r="I20" i="34" s="1"/>
  <c r="C8" i="34"/>
  <c r="T7" i="34"/>
  <c r="V7" i="34" s="1"/>
  <c r="Q7" i="34"/>
  <c r="P7" i="34"/>
  <c r="J7" i="34"/>
  <c r="C7" i="34"/>
  <c r="P6" i="34"/>
  <c r="T6" i="34" s="1"/>
  <c r="J6" i="34"/>
  <c r="Q6" i="34" s="1"/>
  <c r="C6" i="34"/>
  <c r="AB13" i="34" l="1"/>
  <c r="AB15" i="34"/>
  <c r="AB11" i="34"/>
  <c r="I16" i="34"/>
  <c r="J9" i="34"/>
  <c r="Q9" i="34" s="1"/>
  <c r="AB14" i="34"/>
  <c r="J20" i="34"/>
  <c r="Q20" i="34" s="1"/>
  <c r="I12" i="34"/>
  <c r="V6" i="34"/>
  <c r="T31" i="34"/>
  <c r="T47" i="34" s="1"/>
  <c r="J14" i="34"/>
  <c r="Q14" i="34" s="1"/>
  <c r="T9" i="34"/>
  <c r="V9" i="34" s="1"/>
  <c r="AB9" i="34" s="1"/>
  <c r="J8" i="34"/>
  <c r="J19" i="34"/>
  <c r="Q19" i="34" s="1"/>
  <c r="I24" i="34"/>
  <c r="J24" i="34" s="1"/>
  <c r="Q24" i="34" s="1"/>
  <c r="U24" i="34" s="1"/>
  <c r="J10" i="34"/>
  <c r="Q10" i="34" s="1"/>
  <c r="G47" i="34"/>
  <c r="H47" i="34"/>
  <c r="I25" i="34" l="1"/>
  <c r="J25" i="34" s="1"/>
  <c r="Q25" i="34" s="1"/>
  <c r="U25" i="34" s="1"/>
  <c r="V25" i="34" s="1"/>
  <c r="J12" i="34"/>
  <c r="Q12" i="34" s="1"/>
  <c r="I26" i="34"/>
  <c r="J26" i="34" s="1"/>
  <c r="Q26" i="34" s="1"/>
  <c r="U26" i="34" s="1"/>
  <c r="V26" i="34" s="1"/>
  <c r="J16" i="34"/>
  <c r="Q16" i="34" s="1"/>
  <c r="V24" i="34"/>
  <c r="V31" i="34" s="1"/>
  <c r="V47" i="34" s="1"/>
  <c r="AA47" i="34" s="1"/>
  <c r="U31" i="34" l="1"/>
  <c r="U47" i="34" s="1"/>
  <c r="J31" i="34"/>
  <c r="J47" i="34" l="1"/>
  <c r="AA48" i="34" s="1"/>
  <c r="Q31" i="34"/>
  <c r="Q47" i="34" s="1"/>
  <c r="S18" i="33" l="1"/>
  <c r="U18" i="33"/>
  <c r="U11" i="33" l="1"/>
  <c r="U13" i="33"/>
  <c r="U15" i="33"/>
  <c r="U14" i="33" l="1"/>
  <c r="AD14" i="33" s="1"/>
  <c r="U12" i="33"/>
  <c r="AD12" i="33" s="1"/>
  <c r="AD7" i="33"/>
  <c r="AD8" i="33"/>
  <c r="AD9" i="33"/>
  <c r="AD10" i="33"/>
  <c r="AD11" i="33"/>
  <c r="AD13" i="33"/>
  <c r="AD15" i="33"/>
  <c r="AD16" i="33"/>
  <c r="AD17" i="33"/>
  <c r="AD18" i="33"/>
  <c r="AD19" i="33"/>
  <c r="AD20" i="33"/>
  <c r="AD21" i="33"/>
  <c r="AD22" i="33"/>
  <c r="AD6" i="33"/>
  <c r="V39" i="33"/>
  <c r="H71" i="33"/>
  <c r="G71" i="33"/>
  <c r="D71" i="33"/>
  <c r="V58" i="33"/>
  <c r="V57" i="33"/>
  <c r="S57" i="33"/>
  <c r="V56" i="33"/>
  <c r="Z51" i="33"/>
  <c r="Y51" i="33"/>
  <c r="T51" i="33"/>
  <c r="Q51" i="33"/>
  <c r="P51" i="33"/>
  <c r="O51" i="33"/>
  <c r="N51" i="33"/>
  <c r="M51" i="33"/>
  <c r="L51" i="33"/>
  <c r="K51" i="33"/>
  <c r="J51" i="33"/>
  <c r="D51" i="33"/>
  <c r="V49" i="33"/>
  <c r="K47" i="33"/>
  <c r="Z46" i="33"/>
  <c r="Y46" i="33"/>
  <c r="T46" i="33"/>
  <c r="J46" i="33"/>
  <c r="I46" i="33"/>
  <c r="H46" i="33"/>
  <c r="G46" i="33"/>
  <c r="F46" i="33"/>
  <c r="E46" i="33"/>
  <c r="D46" i="33"/>
  <c r="D47" i="33" s="1"/>
  <c r="V45" i="33"/>
  <c r="U43" i="33"/>
  <c r="U46" i="33" s="1"/>
  <c r="V42" i="33"/>
  <c r="V41" i="33"/>
  <c r="V40" i="33"/>
  <c r="V38" i="33"/>
  <c r="V37" i="33"/>
  <c r="V36" i="33"/>
  <c r="V35" i="33"/>
  <c r="V34" i="33"/>
  <c r="V33" i="33"/>
  <c r="O31" i="33"/>
  <c r="O47" i="33" s="1"/>
  <c r="N31" i="33"/>
  <c r="N47" i="33" s="1"/>
  <c r="M31" i="33"/>
  <c r="M47" i="33" s="1"/>
  <c r="L31" i="33"/>
  <c r="L47" i="33" s="1"/>
  <c r="K31" i="33"/>
  <c r="H31" i="33"/>
  <c r="H72" i="33" s="1"/>
  <c r="G31" i="33"/>
  <c r="D31" i="33"/>
  <c r="D72" i="33" s="1"/>
  <c r="V30" i="33"/>
  <c r="P30" i="33"/>
  <c r="V29" i="33"/>
  <c r="P29" i="33"/>
  <c r="R26" i="33"/>
  <c r="P26" i="33"/>
  <c r="T26" i="33" s="1"/>
  <c r="R25" i="33"/>
  <c r="P25" i="33"/>
  <c r="T25" i="33" s="1"/>
  <c r="P21" i="33"/>
  <c r="T21" i="33" s="1"/>
  <c r="V21" i="33" s="1"/>
  <c r="P24" i="33"/>
  <c r="T24" i="33" s="1"/>
  <c r="R28" i="33"/>
  <c r="P28" i="33"/>
  <c r="T28" i="33" s="1"/>
  <c r="V28" i="33" s="1"/>
  <c r="C28" i="33"/>
  <c r="P20" i="33"/>
  <c r="T20" i="33" s="1"/>
  <c r="P27" i="33"/>
  <c r="T27" i="33" s="1"/>
  <c r="V27" i="33" s="1"/>
  <c r="I27" i="33"/>
  <c r="J27" i="33" s="1"/>
  <c r="Q27" i="33" s="1"/>
  <c r="C27" i="33"/>
  <c r="Z23" i="33"/>
  <c r="Z31" i="33" s="1"/>
  <c r="X23" i="33"/>
  <c r="W23" i="33"/>
  <c r="P19" i="33"/>
  <c r="T19" i="33" s="1"/>
  <c r="V19" i="33" s="1"/>
  <c r="I19" i="33"/>
  <c r="I28" i="33" s="1"/>
  <c r="J28" i="33" s="1"/>
  <c r="Q28" i="33" s="1"/>
  <c r="P18" i="33"/>
  <c r="T18" i="33" s="1"/>
  <c r="V18" i="33" s="1"/>
  <c r="Y17" i="33"/>
  <c r="P17" i="33"/>
  <c r="T17" i="33" s="1"/>
  <c r="V17" i="33" s="1"/>
  <c r="AB17" i="33" s="1"/>
  <c r="AA16" i="33"/>
  <c r="Y16" i="33"/>
  <c r="P16" i="33"/>
  <c r="T16" i="33" s="1"/>
  <c r="V16" i="33" s="1"/>
  <c r="AA15" i="33"/>
  <c r="Y15" i="33"/>
  <c r="P15" i="33"/>
  <c r="T15" i="33" s="1"/>
  <c r="V15" i="33" s="1"/>
  <c r="AA14" i="33"/>
  <c r="Y14" i="33"/>
  <c r="P14" i="33"/>
  <c r="T14" i="33" s="1"/>
  <c r="V14" i="33" s="1"/>
  <c r="I14" i="33"/>
  <c r="J14" i="33" s="1"/>
  <c r="Q14" i="33" s="1"/>
  <c r="AA13" i="33"/>
  <c r="Y13" i="33"/>
  <c r="S13" i="33"/>
  <c r="P13" i="33"/>
  <c r="T13" i="33" s="1"/>
  <c r="V13" i="33" s="1"/>
  <c r="I13" i="33"/>
  <c r="J13" i="33" s="1"/>
  <c r="Q13" i="33" s="1"/>
  <c r="Y12" i="33"/>
  <c r="P12" i="33"/>
  <c r="T12" i="33" s="1"/>
  <c r="AA11" i="33"/>
  <c r="Y11" i="33"/>
  <c r="P11" i="33"/>
  <c r="T11" i="33" s="1"/>
  <c r="Y10" i="33"/>
  <c r="P10" i="33"/>
  <c r="T10" i="33" s="1"/>
  <c r="V10" i="33" s="1"/>
  <c r="AB10" i="33" s="1"/>
  <c r="I10" i="33"/>
  <c r="I17" i="33" s="1"/>
  <c r="J17" i="33" s="1"/>
  <c r="Q17" i="33" s="1"/>
  <c r="Y9" i="33"/>
  <c r="P9" i="33"/>
  <c r="T9" i="33" s="1"/>
  <c r="V9" i="33" s="1"/>
  <c r="AB9" i="33" s="1"/>
  <c r="P8" i="33"/>
  <c r="T8" i="33" s="1"/>
  <c r="V8" i="33" s="1"/>
  <c r="I8" i="33"/>
  <c r="J8" i="33" s="1"/>
  <c r="P7" i="33"/>
  <c r="T7" i="33" s="1"/>
  <c r="J7" i="33"/>
  <c r="Q7" i="33" s="1"/>
  <c r="P6" i="33"/>
  <c r="J6" i="33"/>
  <c r="Q6" i="33" s="1"/>
  <c r="V57" i="31"/>
  <c r="S9" i="31"/>
  <c r="V12" i="33" l="1"/>
  <c r="AB12" i="33" s="1"/>
  <c r="V11" i="33"/>
  <c r="Z47" i="33"/>
  <c r="I9" i="33"/>
  <c r="I16" i="33" s="1"/>
  <c r="I11" i="33"/>
  <c r="J10" i="33"/>
  <c r="Q10" i="33" s="1"/>
  <c r="I20" i="33"/>
  <c r="I12" i="33" s="1"/>
  <c r="I25" i="33" s="1"/>
  <c r="J25" i="33" s="1"/>
  <c r="Q25" i="33" s="1"/>
  <c r="U25" i="33" s="1"/>
  <c r="V25" i="33" s="1"/>
  <c r="I15" i="33"/>
  <c r="J15" i="33" s="1"/>
  <c r="Q15" i="33" s="1"/>
  <c r="J19" i="33"/>
  <c r="Q19" i="33" s="1"/>
  <c r="P31" i="33"/>
  <c r="P47" i="33" s="1"/>
  <c r="AB15" i="33"/>
  <c r="G72" i="33"/>
  <c r="Y23" i="33"/>
  <c r="Y31" i="33" s="1"/>
  <c r="Y47" i="33" s="1"/>
  <c r="T6" i="33"/>
  <c r="V6" i="33" s="1"/>
  <c r="AB11" i="33"/>
  <c r="AB13" i="33"/>
  <c r="G47" i="33"/>
  <c r="G51" i="33" s="1"/>
  <c r="V43" i="33"/>
  <c r="V46" i="33" s="1"/>
  <c r="V7" i="33"/>
  <c r="AB14" i="33"/>
  <c r="AB16" i="33"/>
  <c r="V20" i="33"/>
  <c r="I26" i="33"/>
  <c r="J26" i="33" s="1"/>
  <c r="Q26" i="33" s="1"/>
  <c r="V26" i="33" s="1"/>
  <c r="J16" i="33"/>
  <c r="Q16" i="33" s="1"/>
  <c r="J9" i="33"/>
  <c r="Q9" i="33" s="1"/>
  <c r="I21" i="33"/>
  <c r="J21" i="33" s="1"/>
  <c r="Q21" i="33" s="1"/>
  <c r="H47" i="33"/>
  <c r="H51" i="33" s="1"/>
  <c r="I24" i="33"/>
  <c r="J24" i="33" s="1"/>
  <c r="Q24" i="33" s="1"/>
  <c r="U24" i="33" s="1"/>
  <c r="V24" i="33" s="1"/>
  <c r="S18" i="31"/>
  <c r="S17" i="31"/>
  <c r="S16" i="31"/>
  <c r="S15" i="31"/>
  <c r="S14" i="31"/>
  <c r="S13" i="31"/>
  <c r="S12" i="31"/>
  <c r="S11" i="31"/>
  <c r="S36" i="31"/>
  <c r="S35" i="31"/>
  <c r="S34" i="31"/>
  <c r="S56" i="31"/>
  <c r="S37" i="31"/>
  <c r="AA25" i="31"/>
  <c r="AA28" i="31"/>
  <c r="AA27" i="31"/>
  <c r="AA11" i="31"/>
  <c r="AA16" i="31"/>
  <c r="AA14" i="31"/>
  <c r="AA13" i="31"/>
  <c r="AA15" i="31"/>
  <c r="W21" i="31"/>
  <c r="X21" i="31"/>
  <c r="Z21" i="31"/>
  <c r="Z31" i="31" s="1"/>
  <c r="U10" i="32"/>
  <c r="H72" i="32"/>
  <c r="G72" i="32"/>
  <c r="D72" i="32"/>
  <c r="H71" i="32"/>
  <c r="G71" i="32"/>
  <c r="D71" i="32"/>
  <c r="Z54" i="32"/>
  <c r="Y54" i="32"/>
  <c r="T54" i="32"/>
  <c r="Q54" i="32"/>
  <c r="P54" i="32"/>
  <c r="O54" i="32"/>
  <c r="N54" i="32"/>
  <c r="M54" i="32"/>
  <c r="L54" i="32"/>
  <c r="K54" i="32"/>
  <c r="J54" i="32"/>
  <c r="D54" i="32"/>
  <c r="V52" i="32"/>
  <c r="Z50" i="32"/>
  <c r="O50" i="32"/>
  <c r="N50" i="32"/>
  <c r="M50" i="32"/>
  <c r="L50" i="32"/>
  <c r="K50" i="32"/>
  <c r="H50" i="32"/>
  <c r="Z49" i="32"/>
  <c r="Y49" i="32"/>
  <c r="T49" i="32"/>
  <c r="J49" i="32"/>
  <c r="I49" i="32"/>
  <c r="H49" i="32"/>
  <c r="G49" i="32"/>
  <c r="F49" i="32"/>
  <c r="E49" i="32"/>
  <c r="D49" i="32"/>
  <c r="V48" i="32"/>
  <c r="V47" i="32"/>
  <c r="U45" i="32"/>
  <c r="U49" i="32" s="1"/>
  <c r="V44" i="32"/>
  <c r="V43" i="32"/>
  <c r="V42" i="32"/>
  <c r="V41" i="32"/>
  <c r="V40" i="32"/>
  <c r="S40" i="32"/>
  <c r="V39" i="32"/>
  <c r="S39" i="32"/>
  <c r="V38" i="32"/>
  <c r="V37" i="32"/>
  <c r="V36" i="32"/>
  <c r="V35" i="32"/>
  <c r="V34" i="32"/>
  <c r="V45" i="32" s="1"/>
  <c r="V49" i="32" s="1"/>
  <c r="Z32" i="32"/>
  <c r="O32" i="32"/>
  <c r="N32" i="32"/>
  <c r="M32" i="32"/>
  <c r="L32" i="32"/>
  <c r="K32" i="32"/>
  <c r="H32" i="32"/>
  <c r="H54" i="32" s="1"/>
  <c r="G32" i="32"/>
  <c r="G50" i="32" s="1"/>
  <c r="D32" i="32"/>
  <c r="D50" i="32" s="1"/>
  <c r="V31" i="32"/>
  <c r="P31" i="32"/>
  <c r="V30" i="32"/>
  <c r="P30" i="32"/>
  <c r="R29" i="32"/>
  <c r="P29" i="32"/>
  <c r="T29" i="32" s="1"/>
  <c r="I29" i="32"/>
  <c r="J29" i="32" s="1"/>
  <c r="Q29" i="32" s="1"/>
  <c r="U29" i="32" s="1"/>
  <c r="C29" i="32"/>
  <c r="R28" i="32"/>
  <c r="P28" i="32"/>
  <c r="T28" i="32" s="1"/>
  <c r="C28" i="32"/>
  <c r="T27" i="32"/>
  <c r="V27" i="32" s="1"/>
  <c r="P27" i="32"/>
  <c r="C27" i="32"/>
  <c r="P26" i="32"/>
  <c r="T26" i="32" s="1"/>
  <c r="V26" i="32" s="1"/>
  <c r="I26" i="32"/>
  <c r="J26" i="32" s="1"/>
  <c r="Q26" i="32" s="1"/>
  <c r="C26" i="32"/>
  <c r="R25" i="32"/>
  <c r="P25" i="32"/>
  <c r="T25" i="32" s="1"/>
  <c r="V25" i="32" s="1"/>
  <c r="I25" i="32"/>
  <c r="J25" i="32" s="1"/>
  <c r="Q25" i="32" s="1"/>
  <c r="C25" i="32"/>
  <c r="T24" i="32"/>
  <c r="R24" i="32"/>
  <c r="P24" i="32"/>
  <c r="C24" i="32"/>
  <c r="P23" i="32"/>
  <c r="T23" i="32" s="1"/>
  <c r="V23" i="32" s="1"/>
  <c r="I23" i="32"/>
  <c r="I11" i="32" s="1"/>
  <c r="C23" i="32"/>
  <c r="P22" i="32"/>
  <c r="T22" i="32" s="1"/>
  <c r="V22" i="32" s="1"/>
  <c r="I22" i="32"/>
  <c r="J22" i="32" s="1"/>
  <c r="Q22" i="32" s="1"/>
  <c r="C22" i="32"/>
  <c r="S18" i="32"/>
  <c r="P18" i="32"/>
  <c r="T18" i="32" s="1"/>
  <c r="V18" i="32" s="1"/>
  <c r="C18" i="32"/>
  <c r="Y17" i="32"/>
  <c r="S17" i="32"/>
  <c r="P17" i="32"/>
  <c r="T17" i="32" s="1"/>
  <c r="V17" i="32" s="1"/>
  <c r="C17" i="32"/>
  <c r="Y16" i="32"/>
  <c r="S16" i="32"/>
  <c r="P16" i="32"/>
  <c r="T16" i="32" s="1"/>
  <c r="V16" i="32" s="1"/>
  <c r="I16" i="32"/>
  <c r="J16" i="32" s="1"/>
  <c r="Q16" i="32" s="1"/>
  <c r="C16" i="32"/>
  <c r="Y15" i="32"/>
  <c r="S15" i="32"/>
  <c r="P15" i="32"/>
  <c r="T15" i="32" s="1"/>
  <c r="V15" i="32" s="1"/>
  <c r="I15" i="32"/>
  <c r="J15" i="32" s="1"/>
  <c r="Q15" i="32" s="1"/>
  <c r="C15" i="32"/>
  <c r="Y14" i="32"/>
  <c r="S14" i="32"/>
  <c r="P14" i="32"/>
  <c r="T14" i="32" s="1"/>
  <c r="V14" i="32" s="1"/>
  <c r="I14" i="32"/>
  <c r="J14" i="32" s="1"/>
  <c r="Q14" i="32" s="1"/>
  <c r="C14" i="32"/>
  <c r="Y13" i="32"/>
  <c r="Y32" i="32" s="1"/>
  <c r="Y50" i="32" s="1"/>
  <c r="T13" i="32"/>
  <c r="V13" i="32" s="1"/>
  <c r="S13" i="32"/>
  <c r="P13" i="32"/>
  <c r="I13" i="32"/>
  <c r="J13" i="32" s="1"/>
  <c r="Q13" i="32" s="1"/>
  <c r="C13" i="32"/>
  <c r="Y12" i="32"/>
  <c r="S12" i="32"/>
  <c r="P12" i="32"/>
  <c r="T12" i="32" s="1"/>
  <c r="V12" i="32" s="1"/>
  <c r="C12" i="32"/>
  <c r="Y11" i="32"/>
  <c r="S11" i="32"/>
  <c r="P11" i="32"/>
  <c r="T11" i="32" s="1"/>
  <c r="C11" i="32"/>
  <c r="Y10" i="32"/>
  <c r="S10" i="32"/>
  <c r="P10" i="32"/>
  <c r="T10" i="32" s="1"/>
  <c r="V10" i="32" s="1"/>
  <c r="AB10" i="32" s="1"/>
  <c r="I10" i="32"/>
  <c r="J10" i="32" s="1"/>
  <c r="Q10" i="32" s="1"/>
  <c r="C10" i="32"/>
  <c r="Y9" i="32"/>
  <c r="P9" i="32"/>
  <c r="T9" i="32" s="1"/>
  <c r="V9" i="32" s="1"/>
  <c r="I9" i="32"/>
  <c r="J9" i="32" s="1"/>
  <c r="Q9" i="32" s="1"/>
  <c r="C9" i="32"/>
  <c r="T8" i="32"/>
  <c r="V8" i="32" s="1"/>
  <c r="P8" i="32"/>
  <c r="I8" i="32"/>
  <c r="J8" i="32" s="1"/>
  <c r="C8" i="32"/>
  <c r="P7" i="32"/>
  <c r="T7" i="32" s="1"/>
  <c r="V7" i="32" s="1"/>
  <c r="J7" i="32"/>
  <c r="Q7" i="32" s="1"/>
  <c r="C7" i="32"/>
  <c r="T6" i="32"/>
  <c r="V6" i="32" s="1"/>
  <c r="P6" i="32"/>
  <c r="P32" i="32" s="1"/>
  <c r="P50" i="32" s="1"/>
  <c r="J6" i="32"/>
  <c r="Q6" i="32" s="1"/>
  <c r="C6" i="32"/>
  <c r="H70" i="31"/>
  <c r="G70" i="31"/>
  <c r="D70" i="31"/>
  <c r="Z50" i="31"/>
  <c r="Y50" i="31"/>
  <c r="T50" i="31"/>
  <c r="Q50" i="31"/>
  <c r="P50" i="31"/>
  <c r="O50" i="31"/>
  <c r="N50" i="31"/>
  <c r="M50" i="31"/>
  <c r="L50" i="31"/>
  <c r="K50" i="31"/>
  <c r="J50" i="31"/>
  <c r="D50" i="31"/>
  <c r="V48" i="31"/>
  <c r="Z45" i="31"/>
  <c r="Y45" i="31"/>
  <c r="T45" i="31"/>
  <c r="J45" i="31"/>
  <c r="I45" i="31"/>
  <c r="H45" i="31"/>
  <c r="G45" i="31"/>
  <c r="F45" i="31"/>
  <c r="E45" i="31"/>
  <c r="D45" i="31"/>
  <c r="V44" i="31"/>
  <c r="U42" i="31"/>
  <c r="U45" i="31" s="1"/>
  <c r="V41" i="31"/>
  <c r="V40" i="31"/>
  <c r="V39" i="31"/>
  <c r="V38" i="31"/>
  <c r="V55" i="31"/>
  <c r="V56" i="31"/>
  <c r="V37" i="31"/>
  <c r="V36" i="31"/>
  <c r="V35" i="31"/>
  <c r="V34" i="31"/>
  <c r="V33" i="31"/>
  <c r="O31" i="31"/>
  <c r="O46" i="31" s="1"/>
  <c r="N31" i="31"/>
  <c r="N46" i="31" s="1"/>
  <c r="M31" i="31"/>
  <c r="M46" i="31" s="1"/>
  <c r="L31" i="31"/>
  <c r="L46" i="31" s="1"/>
  <c r="K31" i="31"/>
  <c r="K46" i="31" s="1"/>
  <c r="H31" i="31"/>
  <c r="H71" i="31" s="1"/>
  <c r="G31" i="31"/>
  <c r="G71" i="31" s="1"/>
  <c r="D31" i="31"/>
  <c r="D71" i="31" s="1"/>
  <c r="V30" i="31"/>
  <c r="P30" i="31"/>
  <c r="V29" i="31"/>
  <c r="P29" i="31"/>
  <c r="R28" i="31"/>
  <c r="P28" i="31"/>
  <c r="T28" i="31" s="1"/>
  <c r="R27" i="31"/>
  <c r="P27" i="31"/>
  <c r="T27" i="31" s="1"/>
  <c r="P26" i="31"/>
  <c r="T26" i="31" s="1"/>
  <c r="V26" i="31" s="1"/>
  <c r="C26" i="31"/>
  <c r="P25" i="31"/>
  <c r="T25" i="31" s="1"/>
  <c r="R24" i="31"/>
  <c r="P24" i="31"/>
  <c r="T24" i="31" s="1"/>
  <c r="V24" i="31" s="1"/>
  <c r="C24" i="31"/>
  <c r="R23" i="31"/>
  <c r="P23" i="31"/>
  <c r="T23" i="31" s="1"/>
  <c r="C23" i="31"/>
  <c r="P22" i="31"/>
  <c r="T22" i="31" s="1"/>
  <c r="V22" i="31" s="1"/>
  <c r="I22" i="31"/>
  <c r="J22" i="31" s="1"/>
  <c r="Q22" i="31" s="1"/>
  <c r="C22" i="31"/>
  <c r="P19" i="31"/>
  <c r="T19" i="31" s="1"/>
  <c r="V19" i="31" s="1"/>
  <c r="I19" i="31"/>
  <c r="I24" i="31" s="1"/>
  <c r="J24" i="31" s="1"/>
  <c r="Q24" i="31" s="1"/>
  <c r="C19" i="31"/>
  <c r="P18" i="31"/>
  <c r="T18" i="31" s="1"/>
  <c r="V18" i="31" s="1"/>
  <c r="C18" i="31"/>
  <c r="Y17" i="31"/>
  <c r="P17" i="31"/>
  <c r="T17" i="31" s="1"/>
  <c r="V17" i="31" s="1"/>
  <c r="AB17" i="31" s="1"/>
  <c r="C17" i="31"/>
  <c r="Y16" i="31"/>
  <c r="P16" i="31"/>
  <c r="T16" i="31" s="1"/>
  <c r="V16" i="31" s="1"/>
  <c r="C16" i="31"/>
  <c r="Y15" i="31"/>
  <c r="P15" i="31"/>
  <c r="T15" i="31" s="1"/>
  <c r="V15" i="31" s="1"/>
  <c r="C15" i="31"/>
  <c r="Y14" i="31"/>
  <c r="P14" i="31"/>
  <c r="T14" i="31" s="1"/>
  <c r="V14" i="31" s="1"/>
  <c r="I14" i="31"/>
  <c r="I26" i="31" s="1"/>
  <c r="J26" i="31" s="1"/>
  <c r="Q26" i="31" s="1"/>
  <c r="C14" i="31"/>
  <c r="Y13" i="31"/>
  <c r="P13" i="31"/>
  <c r="T13" i="31" s="1"/>
  <c r="V13" i="31" s="1"/>
  <c r="I13" i="31"/>
  <c r="I25" i="31" s="1"/>
  <c r="J25" i="31" s="1"/>
  <c r="Q25" i="31" s="1"/>
  <c r="U25" i="31" s="1"/>
  <c r="C13" i="31"/>
  <c r="Y12" i="31"/>
  <c r="P12" i="31"/>
  <c r="T12" i="31" s="1"/>
  <c r="V12" i="31" s="1"/>
  <c r="AB12" i="31" s="1"/>
  <c r="C12" i="31"/>
  <c r="Y11" i="31"/>
  <c r="P11" i="31"/>
  <c r="T11" i="31" s="1"/>
  <c r="C11" i="31"/>
  <c r="Y10" i="31"/>
  <c r="P10" i="31"/>
  <c r="T10" i="31" s="1"/>
  <c r="V10" i="31" s="1"/>
  <c r="AB10" i="31" s="1"/>
  <c r="C10" i="31"/>
  <c r="Y9" i="31"/>
  <c r="P9" i="31"/>
  <c r="T9" i="31" s="1"/>
  <c r="V9" i="31" s="1"/>
  <c r="C9" i="31"/>
  <c r="P8" i="31"/>
  <c r="T8" i="31" s="1"/>
  <c r="V8" i="31" s="1"/>
  <c r="I8" i="31"/>
  <c r="I15" i="31" s="1"/>
  <c r="J15" i="31" s="1"/>
  <c r="Q15" i="31" s="1"/>
  <c r="C8" i="31"/>
  <c r="P7" i="31"/>
  <c r="T7" i="31" s="1"/>
  <c r="V7" i="31" s="1"/>
  <c r="J7" i="31"/>
  <c r="Q7" i="31" s="1"/>
  <c r="C7" i="31"/>
  <c r="P6" i="31"/>
  <c r="J6" i="31"/>
  <c r="C6" i="31"/>
  <c r="R24" i="24"/>
  <c r="R29" i="24"/>
  <c r="R28" i="24"/>
  <c r="R25" i="24"/>
  <c r="S40" i="24"/>
  <c r="S39" i="24"/>
  <c r="S38" i="24"/>
  <c r="S37" i="24"/>
  <c r="S36" i="24"/>
  <c r="S35" i="24"/>
  <c r="Z54" i="24"/>
  <c r="Y54" i="24"/>
  <c r="T54" i="24"/>
  <c r="Q54" i="24"/>
  <c r="P54" i="24"/>
  <c r="O54" i="24"/>
  <c r="N54" i="24"/>
  <c r="M54" i="24"/>
  <c r="L54" i="24"/>
  <c r="K54" i="24"/>
  <c r="J54" i="24"/>
  <c r="D54" i="24"/>
  <c r="S18" i="24"/>
  <c r="S17" i="24"/>
  <c r="S16" i="24"/>
  <c r="S15" i="24"/>
  <c r="S14" i="24"/>
  <c r="S13" i="24"/>
  <c r="S12" i="24"/>
  <c r="S11" i="24"/>
  <c r="S10" i="24"/>
  <c r="D72" i="30"/>
  <c r="H71" i="30"/>
  <c r="G71" i="30"/>
  <c r="D71" i="30"/>
  <c r="O52" i="30"/>
  <c r="Z51" i="30"/>
  <c r="Z52" i="30" s="1"/>
  <c r="Y51" i="30"/>
  <c r="T51" i="30"/>
  <c r="J51" i="30"/>
  <c r="I51" i="30"/>
  <c r="H51" i="30"/>
  <c r="G51" i="30"/>
  <c r="F51" i="30"/>
  <c r="E51" i="30"/>
  <c r="D51" i="30"/>
  <c r="D52" i="30" s="1"/>
  <c r="V50" i="30"/>
  <c r="V49" i="30"/>
  <c r="V48" i="30"/>
  <c r="U46" i="30"/>
  <c r="U51" i="30" s="1"/>
  <c r="V45" i="30"/>
  <c r="V44" i="30"/>
  <c r="V43" i="30"/>
  <c r="V42" i="30"/>
  <c r="S42" i="30"/>
  <c r="V41" i="30"/>
  <c r="V40" i="30"/>
  <c r="S40" i="30"/>
  <c r="V39" i="30"/>
  <c r="S39" i="30"/>
  <c r="V38" i="30"/>
  <c r="S38" i="30"/>
  <c r="V37" i="30"/>
  <c r="S37" i="30"/>
  <c r="V36" i="30"/>
  <c r="S36" i="30"/>
  <c r="V35" i="30"/>
  <c r="V46" i="30" s="1"/>
  <c r="V51" i="30" s="1"/>
  <c r="Z33" i="30"/>
  <c r="O33" i="30"/>
  <c r="N33" i="30"/>
  <c r="N52" i="30" s="1"/>
  <c r="M33" i="30"/>
  <c r="M52" i="30" s="1"/>
  <c r="L33" i="30"/>
  <c r="L52" i="30" s="1"/>
  <c r="K33" i="30"/>
  <c r="K52" i="30" s="1"/>
  <c r="H33" i="30"/>
  <c r="H72" i="30" s="1"/>
  <c r="G33" i="30"/>
  <c r="G72" i="30" s="1"/>
  <c r="D33" i="30"/>
  <c r="V32" i="30"/>
  <c r="P32" i="30"/>
  <c r="V31" i="30"/>
  <c r="P31" i="30"/>
  <c r="P30" i="30"/>
  <c r="T30" i="30" s="1"/>
  <c r="V30" i="30" s="1"/>
  <c r="C30" i="30"/>
  <c r="T29" i="30"/>
  <c r="V29" i="30" s="1"/>
  <c r="P29" i="30"/>
  <c r="C29" i="30"/>
  <c r="T28" i="30"/>
  <c r="V28" i="30" s="1"/>
  <c r="P28" i="30"/>
  <c r="C28" i="30"/>
  <c r="P27" i="30"/>
  <c r="T27" i="30" s="1"/>
  <c r="V27" i="30" s="1"/>
  <c r="C27" i="30"/>
  <c r="T26" i="30"/>
  <c r="V26" i="30" s="1"/>
  <c r="P26" i="30"/>
  <c r="C26" i="30"/>
  <c r="P25" i="30"/>
  <c r="T25" i="30" s="1"/>
  <c r="V25" i="30" s="1"/>
  <c r="C25" i="30"/>
  <c r="P24" i="30"/>
  <c r="T24" i="30" s="1"/>
  <c r="V24" i="30" s="1"/>
  <c r="J24" i="30"/>
  <c r="Q24" i="30" s="1"/>
  <c r="I24" i="30"/>
  <c r="C24" i="30"/>
  <c r="T23" i="30"/>
  <c r="V23" i="30" s="1"/>
  <c r="P23" i="30"/>
  <c r="J23" i="30"/>
  <c r="Q23" i="30" s="1"/>
  <c r="I23" i="30"/>
  <c r="I26" i="30" s="1"/>
  <c r="J26" i="30" s="1"/>
  <c r="Q26" i="30" s="1"/>
  <c r="C23" i="30"/>
  <c r="V19" i="30"/>
  <c r="T19" i="30"/>
  <c r="P19" i="30"/>
  <c r="C19" i="30"/>
  <c r="Y18" i="30"/>
  <c r="P18" i="30"/>
  <c r="T18" i="30" s="1"/>
  <c r="V18" i="30" s="1"/>
  <c r="C18" i="30"/>
  <c r="Y17" i="30"/>
  <c r="P17" i="30"/>
  <c r="T17" i="30" s="1"/>
  <c r="V17" i="30" s="1"/>
  <c r="C17" i="30"/>
  <c r="Y16" i="30"/>
  <c r="P16" i="30"/>
  <c r="T16" i="30" s="1"/>
  <c r="V16" i="30" s="1"/>
  <c r="C16" i="30"/>
  <c r="Y15" i="30"/>
  <c r="P15" i="30"/>
  <c r="T15" i="30" s="1"/>
  <c r="V15" i="30" s="1"/>
  <c r="AB15" i="30" s="1"/>
  <c r="J15" i="30"/>
  <c r="Q15" i="30" s="1"/>
  <c r="I15" i="30"/>
  <c r="I28" i="30" s="1"/>
  <c r="J28" i="30" s="1"/>
  <c r="Q28" i="30" s="1"/>
  <c r="C15" i="30"/>
  <c r="Y14" i="30"/>
  <c r="P14" i="30"/>
  <c r="T14" i="30" s="1"/>
  <c r="V14" i="30" s="1"/>
  <c r="I14" i="30"/>
  <c r="J14" i="30" s="1"/>
  <c r="Q14" i="30" s="1"/>
  <c r="C14" i="30"/>
  <c r="Y13" i="30"/>
  <c r="P13" i="30"/>
  <c r="T13" i="30" s="1"/>
  <c r="V13" i="30" s="1"/>
  <c r="C13" i="30"/>
  <c r="Y12" i="30"/>
  <c r="U12" i="30"/>
  <c r="P12" i="30"/>
  <c r="T12" i="30" s="1"/>
  <c r="V12" i="30" s="1"/>
  <c r="I12" i="30"/>
  <c r="I19" i="30" s="1"/>
  <c r="J19" i="30" s="1"/>
  <c r="Q19" i="30" s="1"/>
  <c r="C12" i="30"/>
  <c r="Y11" i="30"/>
  <c r="U11" i="30"/>
  <c r="U33" i="30" s="1"/>
  <c r="U52" i="30" s="1"/>
  <c r="T11" i="30"/>
  <c r="V11" i="30" s="1"/>
  <c r="P11" i="30"/>
  <c r="I11" i="30"/>
  <c r="I18" i="30" s="1"/>
  <c r="J18" i="30" s="1"/>
  <c r="Q18" i="30" s="1"/>
  <c r="C11" i="30"/>
  <c r="Y10" i="30"/>
  <c r="Y33" i="30" s="1"/>
  <c r="Y52" i="30" s="1"/>
  <c r="T10" i="30"/>
  <c r="V10" i="30" s="1"/>
  <c r="P10" i="30"/>
  <c r="I10" i="30"/>
  <c r="J10" i="30" s="1"/>
  <c r="Q10" i="30" s="1"/>
  <c r="C10" i="30"/>
  <c r="P9" i="30"/>
  <c r="T9" i="30" s="1"/>
  <c r="V9" i="30" s="1"/>
  <c r="J9" i="30"/>
  <c r="I9" i="30"/>
  <c r="I25" i="30" s="1"/>
  <c r="C9" i="30"/>
  <c r="P8" i="30"/>
  <c r="T8" i="30" s="1"/>
  <c r="V8" i="30" s="1"/>
  <c r="J8" i="30"/>
  <c r="Q8" i="30" s="1"/>
  <c r="C8" i="30"/>
  <c r="P7" i="30"/>
  <c r="P33" i="30" s="1"/>
  <c r="P52" i="30" s="1"/>
  <c r="J7" i="30"/>
  <c r="Q7" i="30" s="1"/>
  <c r="C7" i="30"/>
  <c r="U11" i="24"/>
  <c r="U45" i="24"/>
  <c r="U49" i="24" s="1"/>
  <c r="U10" i="24"/>
  <c r="P31" i="24"/>
  <c r="P30" i="24"/>
  <c r="V31" i="24"/>
  <c r="V30" i="24"/>
  <c r="T31" i="33" l="1"/>
  <c r="T47" i="33" s="1"/>
  <c r="J20" i="33"/>
  <c r="Q20" i="33" s="1"/>
  <c r="J12" i="33"/>
  <c r="Q12" i="33" s="1"/>
  <c r="J11" i="33"/>
  <c r="Q11" i="33" s="1"/>
  <c r="I18" i="33"/>
  <c r="J18" i="33" s="1"/>
  <c r="Q18" i="33" s="1"/>
  <c r="V31" i="33"/>
  <c r="V47" i="33" s="1"/>
  <c r="AD47" i="33" s="1"/>
  <c r="U31" i="33"/>
  <c r="U47" i="33" s="1"/>
  <c r="U51" i="33" s="1"/>
  <c r="AB14" i="31"/>
  <c r="Y21" i="31"/>
  <c r="I10" i="31"/>
  <c r="J10" i="31" s="1"/>
  <c r="Q10" i="31" s="1"/>
  <c r="AB15" i="31"/>
  <c r="Z46" i="31"/>
  <c r="V42" i="31"/>
  <c r="V45" i="31" s="1"/>
  <c r="V25" i="31"/>
  <c r="AB16" i="31"/>
  <c r="AB9" i="31"/>
  <c r="I11" i="31"/>
  <c r="AB13" i="31"/>
  <c r="J14" i="31"/>
  <c r="Q14" i="31" s="1"/>
  <c r="P31" i="31"/>
  <c r="P46" i="31" s="1"/>
  <c r="Y31" i="31"/>
  <c r="Y46" i="31" s="1"/>
  <c r="V11" i="32"/>
  <c r="J11" i="32"/>
  <c r="Q11" i="32" s="1"/>
  <c r="I18" i="32"/>
  <c r="J18" i="32" s="1"/>
  <c r="Q18" i="32" s="1"/>
  <c r="AB15" i="32"/>
  <c r="AB18" i="32"/>
  <c r="AB13" i="32"/>
  <c r="V29" i="32"/>
  <c r="AB16" i="32"/>
  <c r="AB9" i="32"/>
  <c r="AB14" i="32"/>
  <c r="I24" i="32"/>
  <c r="I27" i="32"/>
  <c r="J27" i="32" s="1"/>
  <c r="Q27" i="32" s="1"/>
  <c r="J23" i="32"/>
  <c r="Q23" i="32" s="1"/>
  <c r="G54" i="32"/>
  <c r="I17" i="32"/>
  <c r="J17" i="32" s="1"/>
  <c r="Q17" i="32" s="1"/>
  <c r="T32" i="32"/>
  <c r="T50" i="32" s="1"/>
  <c r="V11" i="31"/>
  <c r="AB11" i="31" s="1"/>
  <c r="J19" i="31"/>
  <c r="Q19" i="31" s="1"/>
  <c r="T6" i="31"/>
  <c r="I9" i="31"/>
  <c r="G46" i="31"/>
  <c r="G50" i="31" s="1"/>
  <c r="J13" i="31"/>
  <c r="Q13" i="31" s="1"/>
  <c r="I23" i="31"/>
  <c r="J8" i="31"/>
  <c r="Q6" i="31"/>
  <c r="I17" i="31"/>
  <c r="J17" i="31" s="1"/>
  <c r="Q17" i="31" s="1"/>
  <c r="D46" i="31"/>
  <c r="H46" i="31"/>
  <c r="H50" i="31" s="1"/>
  <c r="AB10" i="30"/>
  <c r="AB16" i="30"/>
  <c r="J25" i="30"/>
  <c r="Q25" i="30" s="1"/>
  <c r="I13" i="30"/>
  <c r="AB14" i="30"/>
  <c r="AB18" i="30"/>
  <c r="I17" i="30"/>
  <c r="J12" i="30"/>
  <c r="Q12" i="30" s="1"/>
  <c r="I16" i="30"/>
  <c r="J16" i="30" s="1"/>
  <c r="Q16" i="30" s="1"/>
  <c r="G52" i="30"/>
  <c r="H52" i="30"/>
  <c r="T7" i="30"/>
  <c r="J11" i="30"/>
  <c r="Q11" i="30" s="1"/>
  <c r="I27" i="30"/>
  <c r="J27" i="30" s="1"/>
  <c r="Q27" i="30" s="1"/>
  <c r="V40" i="24"/>
  <c r="V52" i="24"/>
  <c r="V44" i="24"/>
  <c r="V47" i="24"/>
  <c r="V48" i="24"/>
  <c r="V38" i="24"/>
  <c r="V43" i="24"/>
  <c r="V42" i="24"/>
  <c r="V41" i="24"/>
  <c r="V37" i="24"/>
  <c r="V39" i="24"/>
  <c r="V34" i="24"/>
  <c r="V35" i="24"/>
  <c r="V36" i="24"/>
  <c r="J21" i="29"/>
  <c r="I18" i="29"/>
  <c r="H18" i="29"/>
  <c r="G18" i="29"/>
  <c r="F18" i="29"/>
  <c r="E18" i="29"/>
  <c r="D18" i="29"/>
  <c r="L16" i="29"/>
  <c r="M16" i="29" s="1"/>
  <c r="J16" i="29"/>
  <c r="L15" i="29"/>
  <c r="M15" i="29" s="1"/>
  <c r="J15" i="29"/>
  <c r="L14" i="29"/>
  <c r="M14" i="29" s="1"/>
  <c r="J14" i="29"/>
  <c r="L13" i="29"/>
  <c r="L18" i="29" s="1"/>
  <c r="J13" i="29"/>
  <c r="L12" i="29"/>
  <c r="M12" i="29" s="1"/>
  <c r="J12" i="29"/>
  <c r="L11" i="29"/>
  <c r="M11" i="29" s="1"/>
  <c r="J11" i="29"/>
  <c r="L10" i="29"/>
  <c r="M10" i="29" s="1"/>
  <c r="J10" i="29"/>
  <c r="L9" i="29"/>
  <c r="M9" i="29" s="1"/>
  <c r="J9" i="29"/>
  <c r="L8" i="29"/>
  <c r="M8" i="29" s="1"/>
  <c r="J8" i="29"/>
  <c r="J7" i="29"/>
  <c r="J6" i="29"/>
  <c r="J5" i="29"/>
  <c r="J4" i="29"/>
  <c r="J3" i="29"/>
  <c r="J18" i="29" s="1"/>
  <c r="P5" i="28"/>
  <c r="J31" i="33" l="1"/>
  <c r="J47" i="33" s="1"/>
  <c r="V51" i="33"/>
  <c r="AA47" i="33"/>
  <c r="J11" i="31"/>
  <c r="Q11" i="31" s="1"/>
  <c r="I18" i="31"/>
  <c r="J18" i="31" s="1"/>
  <c r="Q18" i="31" s="1"/>
  <c r="J24" i="32"/>
  <c r="Q24" i="32" s="1"/>
  <c r="U24" i="32" s="1"/>
  <c r="I12" i="32"/>
  <c r="AB17" i="32"/>
  <c r="AB11" i="32"/>
  <c r="I12" i="31"/>
  <c r="J23" i="31"/>
  <c r="Q23" i="31" s="1"/>
  <c r="U23" i="31" s="1"/>
  <c r="I16" i="31"/>
  <c r="J9" i="31"/>
  <c r="V6" i="31"/>
  <c r="T31" i="31"/>
  <c r="T46" i="31" s="1"/>
  <c r="I29" i="30"/>
  <c r="J29" i="30" s="1"/>
  <c r="Q29" i="30" s="1"/>
  <c r="J13" i="30"/>
  <c r="V7" i="30"/>
  <c r="V33" i="30" s="1"/>
  <c r="V52" i="30" s="1"/>
  <c r="T33" i="30"/>
  <c r="T52" i="30" s="1"/>
  <c r="I30" i="30"/>
  <c r="J30" i="30" s="1"/>
  <c r="Q30" i="30" s="1"/>
  <c r="J17" i="30"/>
  <c r="AB11" i="30"/>
  <c r="J33" i="30"/>
  <c r="AB12" i="30"/>
  <c r="V45" i="24"/>
  <c r="V49" i="24" s="1"/>
  <c r="J22" i="29"/>
  <c r="M13" i="29"/>
  <c r="J8" i="28"/>
  <c r="Q31" i="33" l="1"/>
  <c r="Q47" i="33" s="1"/>
  <c r="AA48" i="33"/>
  <c r="J12" i="32"/>
  <c r="I28" i="32"/>
  <c r="J28" i="32" s="1"/>
  <c r="Q28" i="32" s="1"/>
  <c r="U28" i="32" s="1"/>
  <c r="V28" i="32" s="1"/>
  <c r="V24" i="32"/>
  <c r="Q9" i="31"/>
  <c r="I28" i="31"/>
  <c r="J28" i="31" s="1"/>
  <c r="Q28" i="31" s="1"/>
  <c r="J16" i="31"/>
  <c r="V23" i="31"/>
  <c r="I27" i="31"/>
  <c r="J27" i="31" s="1"/>
  <c r="Q27" i="31" s="1"/>
  <c r="J12" i="31"/>
  <c r="Q17" i="30"/>
  <c r="AB17" i="30"/>
  <c r="Q13" i="30"/>
  <c r="AB13" i="30"/>
  <c r="Q33" i="30"/>
  <c r="Q52" i="30" s="1"/>
  <c r="J52" i="30"/>
  <c r="L20" i="28"/>
  <c r="U27" i="31" l="1"/>
  <c r="V27" i="31" s="1"/>
  <c r="U28" i="31"/>
  <c r="V28" i="31" s="1"/>
  <c r="Q12" i="32"/>
  <c r="AB12" i="32"/>
  <c r="J32" i="32"/>
  <c r="V32" i="32"/>
  <c r="V50" i="32" s="1"/>
  <c r="U32" i="32"/>
  <c r="U50" i="32" s="1"/>
  <c r="U54" i="32" s="1"/>
  <c r="Q12" i="31"/>
  <c r="J31" i="31"/>
  <c r="Q16" i="31"/>
  <c r="K40" i="28"/>
  <c r="L40" i="28"/>
  <c r="M40" i="28"/>
  <c r="N40" i="28"/>
  <c r="O40" i="28"/>
  <c r="J40" i="28"/>
  <c r="X40" i="28"/>
  <c r="W40" i="28"/>
  <c r="T40" i="28"/>
  <c r="H40" i="28"/>
  <c r="G40" i="28"/>
  <c r="D40" i="28"/>
  <c r="T32" i="28"/>
  <c r="Q32" i="28"/>
  <c r="P32" i="28"/>
  <c r="T31" i="28"/>
  <c r="Q31" i="28"/>
  <c r="P31" i="28"/>
  <c r="T30" i="28"/>
  <c r="Q30" i="28"/>
  <c r="P30" i="28"/>
  <c r="Q29" i="28"/>
  <c r="P29" i="28"/>
  <c r="Q28" i="28"/>
  <c r="P28" i="28"/>
  <c r="W27" i="28"/>
  <c r="T27" i="28"/>
  <c r="Q27" i="28"/>
  <c r="P27" i="28"/>
  <c r="W26" i="28"/>
  <c r="T26" i="28"/>
  <c r="Q26" i="28"/>
  <c r="P26" i="28"/>
  <c r="W25" i="28"/>
  <c r="T25" i="28"/>
  <c r="Q25" i="28"/>
  <c r="P25" i="28"/>
  <c r="Q24" i="28"/>
  <c r="P24" i="28"/>
  <c r="Q23" i="28"/>
  <c r="P23" i="28"/>
  <c r="T23" i="28" s="1"/>
  <c r="Q22" i="28"/>
  <c r="P22" i="28"/>
  <c r="K20" i="28"/>
  <c r="M20" i="28"/>
  <c r="X20" i="28"/>
  <c r="X41" i="28" s="1"/>
  <c r="W20" i="28"/>
  <c r="T20" i="28"/>
  <c r="H20" i="28"/>
  <c r="H41" i="28" s="1"/>
  <c r="H78" i="28" s="1"/>
  <c r="G20" i="28"/>
  <c r="G41" i="28" s="1"/>
  <c r="G78" i="28" s="1"/>
  <c r="D20" i="28"/>
  <c r="D41" i="28" s="1"/>
  <c r="D78" i="28" s="1"/>
  <c r="C33" i="28"/>
  <c r="P33" i="28"/>
  <c r="T33" i="28"/>
  <c r="W33" i="28"/>
  <c r="C34" i="28"/>
  <c r="P34" i="28"/>
  <c r="T34" i="28"/>
  <c r="W34" i="28"/>
  <c r="C35" i="28"/>
  <c r="P35" i="28"/>
  <c r="T35" i="28"/>
  <c r="W35" i="28"/>
  <c r="C36" i="28"/>
  <c r="I36" i="28"/>
  <c r="J36" i="28" s="1"/>
  <c r="Q36" i="28" s="1"/>
  <c r="P36" i="28"/>
  <c r="T36" i="28"/>
  <c r="W36" i="28"/>
  <c r="C37" i="28"/>
  <c r="P37" i="28"/>
  <c r="T37" i="28"/>
  <c r="W37" i="28"/>
  <c r="C38" i="28"/>
  <c r="P38" i="28"/>
  <c r="T38" i="28"/>
  <c r="W38" i="28"/>
  <c r="C39" i="28"/>
  <c r="P39" i="28"/>
  <c r="T39" i="28"/>
  <c r="T42" i="28"/>
  <c r="T43" i="28"/>
  <c r="H77" i="28"/>
  <c r="G77" i="28"/>
  <c r="D77" i="28"/>
  <c r="X57" i="28"/>
  <c r="W57" i="28"/>
  <c r="I57" i="28"/>
  <c r="H57" i="28"/>
  <c r="G57" i="28"/>
  <c r="F57" i="28"/>
  <c r="E57" i="28"/>
  <c r="D57" i="28"/>
  <c r="T48" i="28"/>
  <c r="T57" i="28" s="1"/>
  <c r="T19" i="28"/>
  <c r="P19" i="28"/>
  <c r="T18" i="28"/>
  <c r="P18" i="28"/>
  <c r="T17" i="28"/>
  <c r="P17" i="28"/>
  <c r="P16" i="28"/>
  <c r="P15" i="28"/>
  <c r="W14" i="28"/>
  <c r="T14" i="28"/>
  <c r="P14" i="28"/>
  <c r="W13" i="28"/>
  <c r="T13" i="28"/>
  <c r="P13" i="28"/>
  <c r="Q13" i="28"/>
  <c r="W12" i="28"/>
  <c r="T12" i="28"/>
  <c r="P12" i="28"/>
  <c r="P11" i="28"/>
  <c r="P10" i="28"/>
  <c r="T10" i="28" s="1"/>
  <c r="I34" i="28"/>
  <c r="P9" i="28"/>
  <c r="Q9" i="28"/>
  <c r="T8" i="28"/>
  <c r="P8" i="28"/>
  <c r="I8" i="28"/>
  <c r="C8" i="28"/>
  <c r="T7" i="28"/>
  <c r="P7" i="28"/>
  <c r="J7" i="28"/>
  <c r="Q7" i="28" s="1"/>
  <c r="C7" i="28"/>
  <c r="T6" i="28"/>
  <c r="J6" i="28"/>
  <c r="J5" i="28" s="1"/>
  <c r="C6" i="28"/>
  <c r="V31" i="31" l="1"/>
  <c r="V46" i="31" s="1"/>
  <c r="AA46" i="31" s="1"/>
  <c r="U31" i="31"/>
  <c r="U46" i="31" s="1"/>
  <c r="U50" i="31" s="1"/>
  <c r="AA50" i="32"/>
  <c r="V54" i="32"/>
  <c r="J50" i="32"/>
  <c r="Q32" i="32"/>
  <c r="Q50" i="32" s="1"/>
  <c r="J46" i="31"/>
  <c r="Q31" i="31"/>
  <c r="Q46" i="31" s="1"/>
  <c r="P40" i="28"/>
  <c r="Q40" i="28"/>
  <c r="J20" i="28"/>
  <c r="K41" i="28"/>
  <c r="K58" i="28" s="1"/>
  <c r="L41" i="28"/>
  <c r="L58" i="28" s="1"/>
  <c r="M41" i="28"/>
  <c r="M58" i="28" s="1"/>
  <c r="I33" i="28"/>
  <c r="J33" i="28" s="1"/>
  <c r="Q33" i="28" s="1"/>
  <c r="I39" i="28"/>
  <c r="J39" i="28" s="1"/>
  <c r="Q39" i="28" s="1"/>
  <c r="J34" i="28"/>
  <c r="Q34" i="28" s="1"/>
  <c r="T41" i="28"/>
  <c r="T58" i="28" s="1"/>
  <c r="W41" i="28"/>
  <c r="W58" i="28" s="1"/>
  <c r="X58" i="28"/>
  <c r="J57" i="28"/>
  <c r="D58" i="28"/>
  <c r="Q15" i="28"/>
  <c r="H58" i="28"/>
  <c r="I37" i="28"/>
  <c r="J37" i="28" s="1"/>
  <c r="Q37" i="28" s="1"/>
  <c r="Q10" i="28"/>
  <c r="G58" i="28"/>
  <c r="Q14" i="28"/>
  <c r="I35" i="28"/>
  <c r="J35" i="28" s="1"/>
  <c r="Q35" i="28" s="1"/>
  <c r="T11" i="26"/>
  <c r="U13" i="26"/>
  <c r="V13" i="26" s="1"/>
  <c r="U13" i="27"/>
  <c r="V13" i="27" s="1"/>
  <c r="U12" i="27"/>
  <c r="V12" i="27" s="1"/>
  <c r="U9" i="27"/>
  <c r="V9" i="27" s="1"/>
  <c r="U8" i="27"/>
  <c r="V8" i="27" s="1"/>
  <c r="U7" i="27"/>
  <c r="V7" i="27" s="1"/>
  <c r="U6" i="27"/>
  <c r="H34" i="27"/>
  <c r="G34" i="27"/>
  <c r="D34" i="27"/>
  <c r="H33" i="27"/>
  <c r="G33" i="27"/>
  <c r="D33" i="27"/>
  <c r="R14" i="27"/>
  <c r="Q14" i="27"/>
  <c r="P14" i="27"/>
  <c r="O14" i="27"/>
  <c r="N14" i="27"/>
  <c r="M14" i="27"/>
  <c r="L14" i="27"/>
  <c r="K14" i="27"/>
  <c r="J14" i="27"/>
  <c r="T13" i="27"/>
  <c r="T12" i="27"/>
  <c r="U11" i="27"/>
  <c r="V11" i="27" s="1"/>
  <c r="T11" i="27"/>
  <c r="U10" i="27"/>
  <c r="S10" i="27"/>
  <c r="T10" i="27" s="1"/>
  <c r="T9" i="27"/>
  <c r="T8" i="27"/>
  <c r="T7" i="27"/>
  <c r="S6" i="27"/>
  <c r="T6" i="27" s="1"/>
  <c r="U5" i="27"/>
  <c r="T5" i="27"/>
  <c r="U9" i="26"/>
  <c r="V9" i="26" s="1"/>
  <c r="U8" i="26"/>
  <c r="V8" i="26" s="1"/>
  <c r="U7" i="26"/>
  <c r="V7" i="26" s="1"/>
  <c r="U6" i="26"/>
  <c r="U12" i="26"/>
  <c r="V12" i="26" s="1"/>
  <c r="U10" i="26"/>
  <c r="U11" i="26"/>
  <c r="V11" i="26"/>
  <c r="S10" i="26"/>
  <c r="S6" i="26"/>
  <c r="T7" i="26"/>
  <c r="T8" i="26"/>
  <c r="T9" i="26"/>
  <c r="T12" i="26"/>
  <c r="T13" i="26"/>
  <c r="T5" i="26"/>
  <c r="U5" i="26"/>
  <c r="V5" i="26" s="1"/>
  <c r="K14" i="26"/>
  <c r="L14" i="26"/>
  <c r="M14" i="26"/>
  <c r="N14" i="26"/>
  <c r="O14" i="26"/>
  <c r="P14" i="26"/>
  <c r="Q14" i="26"/>
  <c r="R14" i="26"/>
  <c r="J14" i="26"/>
  <c r="G34" i="26"/>
  <c r="H33" i="26"/>
  <c r="G33" i="26"/>
  <c r="D33" i="26"/>
  <c r="H34" i="26"/>
  <c r="D34" i="26"/>
  <c r="Y10" i="24"/>
  <c r="Y9" i="24"/>
  <c r="Y16" i="24"/>
  <c r="Y17" i="24"/>
  <c r="Y15" i="24"/>
  <c r="Y11" i="24"/>
  <c r="Y14" i="24"/>
  <c r="Y13" i="24"/>
  <c r="AA47" i="31" l="1"/>
  <c r="V50" i="31"/>
  <c r="AA51" i="32"/>
  <c r="I38" i="28"/>
  <c r="J38" i="28" s="1"/>
  <c r="Q38" i="28" s="1"/>
  <c r="Q17" i="28"/>
  <c r="Q11" i="28"/>
  <c r="Q12" i="28"/>
  <c r="V6" i="26"/>
  <c r="T14" i="27"/>
  <c r="V6" i="27"/>
  <c r="V10" i="27"/>
  <c r="S14" i="27"/>
  <c r="U14" i="27"/>
  <c r="V5" i="27"/>
  <c r="V10" i="26"/>
  <c r="S14" i="26"/>
  <c r="T10" i="26"/>
  <c r="T6" i="26"/>
  <c r="T14" i="26" s="1"/>
  <c r="U14" i="26"/>
  <c r="V14" i="26" l="1"/>
  <c r="V14" i="27"/>
  <c r="Q18" i="28" l="1"/>
  <c r="Z49" i="24"/>
  <c r="Z32" i="24"/>
  <c r="Y12" i="24"/>
  <c r="Y32" i="24" s="1"/>
  <c r="Y49" i="24"/>
  <c r="P9" i="24"/>
  <c r="T9" i="24" s="1"/>
  <c r="V9" i="24" s="1"/>
  <c r="I49" i="24"/>
  <c r="J49" i="24"/>
  <c r="E49" i="24"/>
  <c r="F49" i="24"/>
  <c r="G49" i="24"/>
  <c r="H49" i="24"/>
  <c r="D49" i="24"/>
  <c r="W40" i="25"/>
  <c r="W17" i="25"/>
  <c r="W16" i="25"/>
  <c r="W15" i="25"/>
  <c r="W14" i="25"/>
  <c r="W13" i="25"/>
  <c r="W11" i="25"/>
  <c r="W7" i="25"/>
  <c r="W6" i="25"/>
  <c r="W5" i="25"/>
  <c r="W26" i="25" s="1"/>
  <c r="W41" i="25" s="1"/>
  <c r="J45" i="25"/>
  <c r="H45" i="25"/>
  <c r="G45" i="25"/>
  <c r="D45" i="25"/>
  <c r="S26" i="25"/>
  <c r="O26" i="25"/>
  <c r="N26" i="25"/>
  <c r="P25" i="25"/>
  <c r="H25" i="25"/>
  <c r="F25" i="25"/>
  <c r="E25" i="25"/>
  <c r="D25" i="25"/>
  <c r="G25" i="25" s="1"/>
  <c r="C25" i="25"/>
  <c r="L24" i="25"/>
  <c r="P24" i="25" s="1"/>
  <c r="H24" i="25"/>
  <c r="F24" i="25"/>
  <c r="E24" i="25"/>
  <c r="D24" i="25"/>
  <c r="C24" i="25"/>
  <c r="P23" i="25"/>
  <c r="H23" i="25"/>
  <c r="F23" i="25"/>
  <c r="E23" i="25"/>
  <c r="D23" i="25"/>
  <c r="G23" i="25" s="1"/>
  <c r="C23" i="25"/>
  <c r="P22" i="25"/>
  <c r="H22" i="25"/>
  <c r="F22" i="25"/>
  <c r="E22" i="25"/>
  <c r="D22" i="25"/>
  <c r="C22" i="25"/>
  <c r="P21" i="25"/>
  <c r="I21" i="25"/>
  <c r="I25" i="25" s="1"/>
  <c r="H21" i="25"/>
  <c r="F21" i="25"/>
  <c r="E21" i="25"/>
  <c r="D21" i="25"/>
  <c r="G21" i="25" s="1"/>
  <c r="C21" i="25"/>
  <c r="P20" i="25"/>
  <c r="I20" i="25"/>
  <c r="H20" i="25"/>
  <c r="J20" i="25" s="1"/>
  <c r="Q20" i="25" s="1"/>
  <c r="T20" i="25" s="1"/>
  <c r="F20" i="25"/>
  <c r="E20" i="25"/>
  <c r="D20" i="25"/>
  <c r="C20" i="25"/>
  <c r="P19" i="25"/>
  <c r="I19" i="25"/>
  <c r="H19" i="25"/>
  <c r="J19" i="25" s="1"/>
  <c r="Q19" i="25" s="1"/>
  <c r="T19" i="25" s="1"/>
  <c r="F19" i="25"/>
  <c r="E19" i="25"/>
  <c r="D19" i="25"/>
  <c r="C19" i="25"/>
  <c r="P18" i="25"/>
  <c r="I18" i="25"/>
  <c r="H18" i="25"/>
  <c r="J18" i="25" s="1"/>
  <c r="Q18" i="25" s="1"/>
  <c r="T18" i="25" s="1"/>
  <c r="F18" i="25"/>
  <c r="E18" i="25"/>
  <c r="D18" i="25"/>
  <c r="C18" i="25"/>
  <c r="P17" i="25"/>
  <c r="I17" i="25"/>
  <c r="H17" i="25"/>
  <c r="J17" i="25" s="1"/>
  <c r="Q17" i="25" s="1"/>
  <c r="T17" i="25" s="1"/>
  <c r="F17" i="25"/>
  <c r="E17" i="25"/>
  <c r="D17" i="25"/>
  <c r="C17" i="25"/>
  <c r="P16" i="25"/>
  <c r="I16" i="25"/>
  <c r="H16" i="25"/>
  <c r="J16" i="25" s="1"/>
  <c r="Q16" i="25" s="1"/>
  <c r="T16" i="25" s="1"/>
  <c r="F16" i="25"/>
  <c r="E16" i="25"/>
  <c r="D16" i="25"/>
  <c r="G16" i="25" s="1"/>
  <c r="C16" i="25"/>
  <c r="P15" i="25"/>
  <c r="I15" i="25"/>
  <c r="H15" i="25"/>
  <c r="J15" i="25" s="1"/>
  <c r="Q15" i="25" s="1"/>
  <c r="T15" i="25" s="1"/>
  <c r="F15" i="25"/>
  <c r="E15" i="25"/>
  <c r="D15" i="25"/>
  <c r="C15" i="25"/>
  <c r="P14" i="25"/>
  <c r="H14" i="25"/>
  <c r="J14" i="25" s="1"/>
  <c r="Q14" i="25" s="1"/>
  <c r="T14" i="25" s="1"/>
  <c r="F14" i="25"/>
  <c r="E14" i="25"/>
  <c r="D14" i="25"/>
  <c r="G14" i="25" s="1"/>
  <c r="C14" i="25"/>
  <c r="P13" i="25"/>
  <c r="H13" i="25"/>
  <c r="F13" i="25"/>
  <c r="E13" i="25"/>
  <c r="D13" i="25"/>
  <c r="C13" i="25"/>
  <c r="P12" i="25"/>
  <c r="H12" i="25"/>
  <c r="F12" i="25"/>
  <c r="E12" i="25"/>
  <c r="D12" i="25"/>
  <c r="G12" i="25" s="1"/>
  <c r="C12" i="25"/>
  <c r="P11" i="25"/>
  <c r="I11" i="25"/>
  <c r="H11" i="25"/>
  <c r="J11" i="25" s="1"/>
  <c r="Q11" i="25" s="1"/>
  <c r="F11" i="25"/>
  <c r="E11" i="25"/>
  <c r="D11" i="25"/>
  <c r="G11" i="25" s="1"/>
  <c r="C11" i="25"/>
  <c r="L10" i="25"/>
  <c r="P10" i="25" s="1"/>
  <c r="I10" i="25"/>
  <c r="I14" i="25" s="1"/>
  <c r="I24" i="25" s="1"/>
  <c r="H10" i="25"/>
  <c r="J10" i="25" s="1"/>
  <c r="Q10" i="25" s="1"/>
  <c r="T10" i="25" s="1"/>
  <c r="F10" i="25"/>
  <c r="E10" i="25"/>
  <c r="D10" i="25"/>
  <c r="C10" i="25"/>
  <c r="P9" i="25"/>
  <c r="I9" i="25"/>
  <c r="H9" i="25"/>
  <c r="F9" i="25"/>
  <c r="E9" i="25"/>
  <c r="D9" i="25"/>
  <c r="G9" i="25" s="1"/>
  <c r="C9" i="25"/>
  <c r="R8" i="25"/>
  <c r="L8" i="25"/>
  <c r="K8" i="25"/>
  <c r="P8" i="25" s="1"/>
  <c r="I8" i="25"/>
  <c r="H8" i="25"/>
  <c r="J8" i="25" s="1"/>
  <c r="F8" i="25"/>
  <c r="E8" i="25"/>
  <c r="D8" i="25"/>
  <c r="C8" i="25"/>
  <c r="M7" i="25"/>
  <c r="P7" i="25" s="1"/>
  <c r="I7" i="25"/>
  <c r="H7" i="25"/>
  <c r="J7" i="25" s="1"/>
  <c r="Q7" i="25" s="1"/>
  <c r="T7" i="25" s="1"/>
  <c r="F7" i="25"/>
  <c r="E7" i="25"/>
  <c r="D7" i="25"/>
  <c r="C7" i="25"/>
  <c r="K6" i="25"/>
  <c r="P6" i="25" s="1"/>
  <c r="H6" i="25"/>
  <c r="J6" i="25" s="1"/>
  <c r="F6" i="25"/>
  <c r="E6" i="25"/>
  <c r="D6" i="25"/>
  <c r="G6" i="25" s="1"/>
  <c r="C6" i="25"/>
  <c r="L5" i="25"/>
  <c r="K5" i="25"/>
  <c r="P5" i="25" s="1"/>
  <c r="H5" i="25"/>
  <c r="J5" i="25" s="1"/>
  <c r="F5" i="25"/>
  <c r="E5" i="25"/>
  <c r="D5" i="25"/>
  <c r="C5" i="25"/>
  <c r="G5" i="25" l="1"/>
  <c r="G19" i="25"/>
  <c r="Z50" i="24"/>
  <c r="G8" i="25"/>
  <c r="G7" i="25"/>
  <c r="G20" i="25"/>
  <c r="G24" i="25"/>
  <c r="L26" i="25"/>
  <c r="J24" i="25"/>
  <c r="Q24" i="25" s="1"/>
  <c r="T24" i="25" s="1"/>
  <c r="G10" i="25"/>
  <c r="G22" i="25"/>
  <c r="H26" i="25"/>
  <c r="H46" i="25" s="1"/>
  <c r="G18" i="25"/>
  <c r="G13" i="25"/>
  <c r="G15" i="25"/>
  <c r="J25" i="25"/>
  <c r="Q25" i="25" s="1"/>
  <c r="T25" i="25" s="1"/>
  <c r="J9" i="25"/>
  <c r="Q9" i="25" s="1"/>
  <c r="T9" i="25" s="1"/>
  <c r="G17" i="25"/>
  <c r="P26" i="25"/>
  <c r="Q8" i="25"/>
  <c r="T8" i="25" s="1"/>
  <c r="Q6" i="25"/>
  <c r="R6" i="25" s="1"/>
  <c r="T6" i="25" s="1"/>
  <c r="K26" i="25"/>
  <c r="Y50" i="24"/>
  <c r="Q5" i="25"/>
  <c r="R11" i="25"/>
  <c r="T11" i="25" s="1"/>
  <c r="J21" i="25"/>
  <c r="Q21" i="25" s="1"/>
  <c r="T21" i="25" s="1"/>
  <c r="D26" i="25"/>
  <c r="D46" i="25" s="1"/>
  <c r="I13" i="25"/>
  <c r="M26" i="25"/>
  <c r="I12" i="25"/>
  <c r="G26" i="25" l="1"/>
  <c r="G46" i="25" s="1"/>
  <c r="Q16" i="28"/>
  <c r="R5" i="25"/>
  <c r="R26" i="25" s="1"/>
  <c r="I22" i="25"/>
  <c r="J22" i="25" s="1"/>
  <c r="Q22" i="25" s="1"/>
  <c r="T22" i="25" s="1"/>
  <c r="J12" i="25"/>
  <c r="I23" i="25"/>
  <c r="J23" i="25" s="1"/>
  <c r="Q23" i="25" s="1"/>
  <c r="T23" i="25" s="1"/>
  <c r="J13" i="25"/>
  <c r="Q13" i="25" s="1"/>
  <c r="T13" i="25" s="1"/>
  <c r="T5" i="25" l="1"/>
  <c r="Q12" i="25"/>
  <c r="J26" i="25"/>
  <c r="J46" i="25" l="1"/>
  <c r="T12" i="25"/>
  <c r="T26" i="25" s="1"/>
  <c r="Q26" i="25"/>
  <c r="T49" i="24" l="1"/>
  <c r="H71" i="24" l="1"/>
  <c r="G71" i="24"/>
  <c r="D71" i="24"/>
  <c r="O32" i="24"/>
  <c r="O50" i="24" s="1"/>
  <c r="N32" i="24"/>
  <c r="N50" i="24" s="1"/>
  <c r="P29" i="24"/>
  <c r="T29" i="24" s="1"/>
  <c r="C29" i="24"/>
  <c r="C28" i="24"/>
  <c r="P18" i="24"/>
  <c r="T18" i="24" s="1"/>
  <c r="C18" i="24"/>
  <c r="P17" i="24"/>
  <c r="T17" i="24" s="1"/>
  <c r="V17" i="24" s="1"/>
  <c r="C17" i="24"/>
  <c r="P16" i="24"/>
  <c r="T16" i="24" s="1"/>
  <c r="V16" i="24" s="1"/>
  <c r="C16" i="24"/>
  <c r="P27" i="24"/>
  <c r="T27" i="24" s="1"/>
  <c r="V27" i="24" s="1"/>
  <c r="C27" i="24"/>
  <c r="P26" i="24"/>
  <c r="T26" i="24" s="1"/>
  <c r="V26" i="24" s="1"/>
  <c r="C26" i="24"/>
  <c r="P25" i="24"/>
  <c r="T25" i="24" s="1"/>
  <c r="V25" i="24" s="1"/>
  <c r="C25" i="24"/>
  <c r="P15" i="24"/>
  <c r="T15" i="24" s="1"/>
  <c r="V15" i="24" s="1"/>
  <c r="C15" i="24"/>
  <c r="P14" i="24"/>
  <c r="T14" i="24" s="1"/>
  <c r="V14" i="24" s="1"/>
  <c r="I14" i="24"/>
  <c r="I27" i="24" s="1"/>
  <c r="J27" i="24" s="1"/>
  <c r="C14" i="24"/>
  <c r="P13" i="24"/>
  <c r="T13" i="24" s="1"/>
  <c r="V13" i="24" s="1"/>
  <c r="I13" i="24"/>
  <c r="I26" i="24" s="1"/>
  <c r="C13" i="24"/>
  <c r="P12" i="24"/>
  <c r="T12" i="24" s="1"/>
  <c r="V12" i="24" s="1"/>
  <c r="C12" i="24"/>
  <c r="P11" i="24"/>
  <c r="T11" i="24" s="1"/>
  <c r="V11" i="24" s="1"/>
  <c r="C11" i="24"/>
  <c r="P10" i="24"/>
  <c r="T10" i="24" s="1"/>
  <c r="V10" i="24" s="1"/>
  <c r="C10" i="24"/>
  <c r="C9" i="24"/>
  <c r="P24" i="24"/>
  <c r="T24" i="24" s="1"/>
  <c r="C24" i="24"/>
  <c r="P23" i="24"/>
  <c r="I23" i="24"/>
  <c r="I10" i="24" s="1"/>
  <c r="I17" i="24" s="1"/>
  <c r="C23" i="24"/>
  <c r="P22" i="24"/>
  <c r="T22" i="24" s="1"/>
  <c r="V22" i="24" s="1"/>
  <c r="I22" i="24"/>
  <c r="I9" i="24" s="1"/>
  <c r="I16" i="24" s="1"/>
  <c r="C22" i="24"/>
  <c r="M32" i="24"/>
  <c r="M50" i="24" s="1"/>
  <c r="I8" i="24"/>
  <c r="C8" i="24"/>
  <c r="P7" i="24"/>
  <c r="T7" i="24" s="1"/>
  <c r="V7" i="24" s="1"/>
  <c r="J7" i="24"/>
  <c r="C7" i="24"/>
  <c r="C6" i="24"/>
  <c r="I15" i="24" l="1"/>
  <c r="J15" i="24" s="1"/>
  <c r="Q15" i="24" s="1"/>
  <c r="J8" i="24"/>
  <c r="T23" i="24"/>
  <c r="V23" i="24" s="1"/>
  <c r="J13" i="24"/>
  <c r="Q13" i="24" s="1"/>
  <c r="J14" i="24"/>
  <c r="Q14" i="24" s="1"/>
  <c r="Q27" i="24"/>
  <c r="P28" i="24"/>
  <c r="T28" i="24" s="1"/>
  <c r="J22" i="24"/>
  <c r="Q22" i="24" s="1"/>
  <c r="J26" i="24"/>
  <c r="Q26" i="24" s="1"/>
  <c r="J9" i="24"/>
  <c r="Q7" i="24"/>
  <c r="D32" i="24"/>
  <c r="I11" i="24"/>
  <c r="I18" i="24" s="1"/>
  <c r="J18" i="24" s="1"/>
  <c r="H32" i="24"/>
  <c r="J6" i="24"/>
  <c r="Q6" i="24" s="1"/>
  <c r="K32" i="24"/>
  <c r="K50" i="24" s="1"/>
  <c r="L32" i="24"/>
  <c r="L50" i="24" s="1"/>
  <c r="J10" i="24"/>
  <c r="Q10" i="24" s="1"/>
  <c r="J23" i="24"/>
  <c r="Q23" i="24" s="1"/>
  <c r="I29" i="24"/>
  <c r="J16" i="24"/>
  <c r="Q16" i="24" s="1"/>
  <c r="J17" i="24"/>
  <c r="Q17" i="24" s="1"/>
  <c r="I24" i="24"/>
  <c r="I12" i="24" s="1"/>
  <c r="P8" i="24"/>
  <c r="T8" i="24" s="1"/>
  <c r="V8" i="24" s="1"/>
  <c r="I25" i="24"/>
  <c r="P6" i="24"/>
  <c r="AB16" i="24" l="1"/>
  <c r="AB10" i="24"/>
  <c r="AB13" i="24"/>
  <c r="AB17" i="24"/>
  <c r="AB14" i="24"/>
  <c r="Q9" i="24"/>
  <c r="AB9" i="24"/>
  <c r="AB15" i="24"/>
  <c r="T6" i="24"/>
  <c r="T32" i="24" s="1"/>
  <c r="P32" i="24"/>
  <c r="P50" i="24" s="1"/>
  <c r="V18" i="24"/>
  <c r="AB18" i="24" s="1"/>
  <c r="Q18" i="24"/>
  <c r="D72" i="24"/>
  <c r="D50" i="24"/>
  <c r="H72" i="24"/>
  <c r="H50" i="24"/>
  <c r="H54" i="24" s="1"/>
  <c r="G32" i="24"/>
  <c r="J29" i="24"/>
  <c r="Q29" i="24" s="1"/>
  <c r="U29" i="24" s="1"/>
  <c r="V29" i="24" s="1"/>
  <c r="J25" i="24"/>
  <c r="J11" i="24"/>
  <c r="I28" i="24"/>
  <c r="J12" i="24"/>
  <c r="J24" i="24"/>
  <c r="G72" i="24" l="1"/>
  <c r="Q12" i="24"/>
  <c r="AB12" i="24"/>
  <c r="Q11" i="24"/>
  <c r="AB11" i="24"/>
  <c r="V6" i="24"/>
  <c r="T50" i="24"/>
  <c r="Q25" i="24"/>
  <c r="G50" i="24"/>
  <c r="G54" i="24" s="1"/>
  <c r="J28" i="24"/>
  <c r="Q24" i="24"/>
  <c r="U24" i="24" s="1"/>
  <c r="V24" i="24" l="1"/>
  <c r="Q28" i="24"/>
  <c r="U28" i="24" s="1"/>
  <c r="V28" i="24" s="1"/>
  <c r="V32" i="24" s="1"/>
  <c r="V50" i="24" s="1"/>
  <c r="J32" i="24"/>
  <c r="AA50" i="24" l="1"/>
  <c r="V54" i="24"/>
  <c r="U32" i="24"/>
  <c r="U50" i="24" s="1"/>
  <c r="U54" i="24" s="1"/>
  <c r="J50" i="24"/>
  <c r="AA51" i="24" s="1"/>
  <c r="Q32" i="24"/>
  <c r="Q50" i="24" s="1"/>
  <c r="J56" i="8"/>
  <c r="K56" i="8" s="1"/>
  <c r="J55" i="8"/>
  <c r="K55" i="8" s="1"/>
  <c r="J52" i="8"/>
  <c r="K52" i="8" s="1"/>
  <c r="J50" i="8"/>
  <c r="K50" i="8" s="1"/>
  <c r="J49" i="8"/>
  <c r="K49" i="8" s="1"/>
  <c r="J48" i="8"/>
  <c r="K48" i="8" s="1"/>
  <c r="J47" i="8"/>
  <c r="K47" i="8" s="1"/>
  <c r="J45" i="8"/>
  <c r="K45" i="8" s="1"/>
  <c r="J44" i="8"/>
  <c r="K44" i="8" s="1"/>
  <c r="J43" i="8"/>
  <c r="K43" i="8" s="1"/>
  <c r="J41" i="8"/>
  <c r="K41" i="8" s="1"/>
  <c r="J40" i="8"/>
  <c r="K40" i="8" s="1"/>
  <c r="J36" i="8"/>
  <c r="K36" i="8" s="1"/>
  <c r="J35" i="8"/>
  <c r="K35" i="8" s="1"/>
  <c r="J32" i="8"/>
  <c r="K32" i="8" s="1"/>
  <c r="J31" i="8"/>
  <c r="K31" i="8" s="1"/>
  <c r="J30" i="8"/>
  <c r="K30" i="8" s="1"/>
  <c r="J29" i="8"/>
  <c r="K29" i="8" s="1"/>
  <c r="K28" i="8"/>
  <c r="K34" i="8"/>
  <c r="K38" i="8"/>
  <c r="K39" i="8"/>
  <c r="K42" i="8"/>
  <c r="K46" i="8"/>
  <c r="K51" i="8"/>
  <c r="K54" i="8"/>
  <c r="K58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J25" i="8"/>
  <c r="K25" i="8" s="1"/>
  <c r="J24" i="8"/>
  <c r="J26" i="8" l="1"/>
  <c r="K26" i="8" s="1"/>
  <c r="K24" i="8"/>
  <c r="J33" i="8"/>
  <c r="K33" i="8" s="1"/>
  <c r="J57" i="8"/>
  <c r="K57" i="8" s="1"/>
  <c r="J53" i="8"/>
  <c r="K53" i="8" s="1"/>
  <c r="J37" i="8"/>
  <c r="K37" i="8" s="1"/>
  <c r="D80" i="8"/>
  <c r="D81" i="8" s="1"/>
  <c r="D82" i="8" s="1"/>
  <c r="E80" i="8"/>
  <c r="E81" i="8" s="1"/>
  <c r="E82" i="8" s="1"/>
  <c r="J27" i="8" l="1"/>
  <c r="K27" i="8" s="1"/>
  <c r="K78" i="8"/>
  <c r="H80" i="8"/>
  <c r="H81" i="8" s="1"/>
  <c r="H82" i="8" s="1"/>
  <c r="J41" i="28"/>
  <c r="J58" i="28" s="1"/>
  <c r="Q19" i="28" l="1"/>
  <c r="N20" i="28"/>
  <c r="N41" i="28" s="1"/>
  <c r="N58" i="28" s="1"/>
  <c r="Q6" i="28"/>
  <c r="Q20" i="28"/>
  <c r="O20" i="28"/>
  <c r="O41" i="28" s="1"/>
  <c r="O58" i="28" s="1"/>
  <c r="P41" i="28"/>
  <c r="P58" i="28" s="1"/>
  <c r="P6" i="28"/>
  <c r="P20" i="28"/>
  <c r="Q41" i="28" l="1"/>
  <c r="Q58" i="2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U22" authorId="0" shapeId="0" xr:uid="{00DD90C2-D5D8-4D6E-B0EB-111D101B8AE5}">
      <text>
        <r>
          <rPr>
            <sz val="10"/>
            <color indexed="81"/>
            <rFont val="Tahoma"/>
            <family val="2"/>
            <charset val="204"/>
          </rPr>
          <t xml:space="preserve">61 284 725 с послеосадочным и разборка ж/бет. марки 300.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C38" authorId="0" shapeId="0" xr:uid="{5ECEC496-F6F6-4FC8-BCEC-758CD4178DAD}">
      <text>
        <r>
          <rPr>
            <sz val="10"/>
            <color indexed="81"/>
            <rFont val="Tahoma"/>
            <family val="2"/>
            <charset val="204"/>
          </rPr>
          <t xml:space="preserve">убрать слово АС1
</t>
        </r>
      </text>
    </comment>
    <comment ref="C39" authorId="0" shapeId="0" xr:uid="{89E81232-2792-4D22-AE24-48168F61CC87}">
      <text>
        <r>
          <rPr>
            <sz val="10"/>
            <color indexed="81"/>
            <rFont val="Tahoma"/>
            <family val="2"/>
            <charset val="204"/>
          </rPr>
          <t xml:space="preserve">убрать слово АС1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C38" authorId="0" shapeId="0" xr:uid="{02807A1F-F52A-4871-A2E5-32666BF7A810}">
      <text>
        <r>
          <rPr>
            <sz val="10"/>
            <color indexed="81"/>
            <rFont val="Tahoma"/>
            <family val="2"/>
            <charset val="204"/>
          </rPr>
          <t xml:space="preserve">убрать слово АС1
</t>
        </r>
      </text>
    </comment>
    <comment ref="C39" authorId="0" shapeId="0" xr:uid="{100E52B2-3F22-4563-A51A-C7614B7962AC}">
      <text>
        <r>
          <rPr>
            <sz val="10"/>
            <color indexed="81"/>
            <rFont val="Tahoma"/>
            <family val="2"/>
            <charset val="204"/>
          </rPr>
          <t xml:space="preserve">убрать слово АС1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U19" authorId="0" shapeId="0" xr:uid="{B6BE02EB-561B-4FAE-BC4D-14FEECA1FC04}">
      <text>
        <r>
          <rPr>
            <b/>
            <sz val="10"/>
            <color indexed="81"/>
            <rFont val="Tahoma"/>
            <family val="2"/>
            <charset val="204"/>
          </rPr>
          <t>44 199 244 -более реальная ст-ть, без послеосадочного ремонта (НВ его не пропустит,задваивается с рихтовкой)</t>
        </r>
      </text>
    </comment>
    <comment ref="S29" authorId="0" shapeId="0" xr:uid="{859429F6-F3D9-489A-A128-6A31D40C595D}">
      <text>
        <r>
          <rPr>
            <b/>
            <sz val="10"/>
            <color indexed="81"/>
            <rFont val="Tahoma"/>
            <family val="2"/>
            <charset val="204"/>
          </rPr>
          <t>а нужно ли подписывать ВОРы, если работы уже запроцентованы…?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U22" authorId="0" shapeId="0" xr:uid="{6D53A626-8512-4F9C-8692-611EEAA0E06F}">
      <text>
        <r>
          <rPr>
            <sz val="10"/>
            <color indexed="81"/>
            <rFont val="Tahoma"/>
            <family val="2"/>
            <charset val="204"/>
          </rPr>
          <t xml:space="preserve">61 284 725 с послеосадочным и разборка ж/бет. марки 300. 
</t>
        </r>
      </text>
    </comment>
  </commentList>
</comments>
</file>

<file path=xl/sharedStrings.xml><?xml version="1.0" encoding="utf-8"?>
<sst xmlns="http://schemas.openxmlformats.org/spreadsheetml/2006/main" count="1565" uniqueCount="329">
  <si>
    <t>(наименование стройки)</t>
  </si>
  <si>
    <t>монтажных работ</t>
  </si>
  <si>
    <t>оборудования</t>
  </si>
  <si>
    <t>прочих затрат</t>
  </si>
  <si>
    <t>№ п/п</t>
  </si>
  <si>
    <t>Обоснование</t>
  </si>
  <si>
    <t>всего</t>
  </si>
  <si>
    <t>[должность, подпись (инициалы, фамилия)]</t>
  </si>
  <si>
    <t>Генеральный план. Трансбордер. ГП1</t>
  </si>
  <si>
    <t>Выполнение работ по ликвидации объекта капитального строительства</t>
  </si>
  <si>
    <t>Демонтаж сетей и систем  инженерного обоспечения.</t>
  </si>
  <si>
    <t>Верхнее строение пути</t>
  </si>
  <si>
    <t>Восстановительные работы цеха №121/18. АС 3.</t>
  </si>
  <si>
    <t>Приложение № 6</t>
  </si>
  <si>
    <t>Утверждено приказом № 421 от 4 августа 2020 г. Минстроя РФ</t>
  </si>
  <si>
    <t>Заказчик</t>
  </si>
  <si>
    <t>(наименование организации)</t>
  </si>
  <si>
    <t>"Утвержден" "___"______________________2023г</t>
  </si>
  <si>
    <t>(ссылка на документ об утверждении)</t>
  </si>
  <si>
    <t>СВОДНЫЙ СМЕТНЫЙ РАСЧЕТ СТОИМОСТИ СТРОИТЕЛЬСТВА № 131-23-01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</si>
  <si>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</si>
  <si>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</si>
  <si>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</si>
  <si>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</si>
  <si>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Глава 1. Подготовка территории строительства, реконструкции, капитального ремонта</t>
  </si>
  <si>
    <t>01-01-01</t>
  </si>
  <si>
    <t>Выполнение работ по ликвидации объектов по трассе ж.д. путей, подготовке трассы ж.д. путей.</t>
  </si>
  <si>
    <t>01-01-02</t>
  </si>
  <si>
    <t>01-01-03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</si>
  <si>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</si>
  <si>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</si>
  <si>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02-01-01</t>
  </si>
  <si>
    <t>02-02-01</t>
  </si>
  <si>
    <t>02-03-01</t>
  </si>
  <si>
    <t>Архитектурно-строительные решения. Часть 1.АС1</t>
  </si>
  <si>
    <t>02-03-02</t>
  </si>
  <si>
    <t>Трансбордер. Архитектурно-строительные решения. Часть 2. АС2 .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</si>
  <si>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</si>
  <si>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</si>
  <si>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04-01-01</t>
  </si>
  <si>
    <t>Электроснабжение. ЭС 1.</t>
  </si>
  <si>
    <t>04-01-02</t>
  </si>
  <si>
    <t>Переустройство кабельных линий.ЭС2</t>
  </si>
  <si>
    <t>Итого по Главе 4. "Объекты энергетического хозяйства"</t>
  </si>
  <si>
    <t>Глава 6. Наружные сети и сооружения водоснабжения, водоотведения, теплоснабжения и газоснабжения</t>
  </si>
  <si>
    <t>Водоснабжение</t>
  </si>
  <si>
    <t>06-01-01</t>
  </si>
  <si>
    <t>Переустройство хозпитьевого водопровода.НВК2</t>
  </si>
  <si>
    <t>06-01-02</t>
  </si>
  <si>
    <t>Переустройство хозпитьевого водопровода.НВК3</t>
  </si>
  <si>
    <t>Водоотведение</t>
  </si>
  <si>
    <t>06-02-01</t>
  </si>
  <si>
    <t>Переустройство хозяйственно-бытовой канализации.НВК4</t>
  </si>
  <si>
    <t>06-02-02</t>
  </si>
  <si>
    <t>Переустройство ливневой канализации.НВК5.</t>
  </si>
  <si>
    <t>06-02-03</t>
  </si>
  <si>
    <t>Трубопровод ливневых сточных вод от трансбордера. НВК1</t>
  </si>
  <si>
    <t>Теплоснабжение</t>
  </si>
  <si>
    <t>06-03-01</t>
  </si>
  <si>
    <t>06-03-02</t>
  </si>
  <si>
    <t>Архитектурно-строительные решения. Эстакада для ТС1. АС 4</t>
  </si>
  <si>
    <t>06-03-03</t>
  </si>
  <si>
    <t>Теплоснабжение. Переустройство трубопровода.ТС2</t>
  </si>
  <si>
    <t>06-03-04</t>
  </si>
  <si>
    <t>Теплоснабжение. Переустройство трубопровода.ТС3</t>
  </si>
  <si>
    <t>Газоснабжение</t>
  </si>
  <si>
    <t>06-04-01</t>
  </si>
  <si>
    <t>Наружные газопроводы. Вынос газопровода среднего давления.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</si>
  <si>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</si>
  <si>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</si>
  <si>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07-01-01</t>
  </si>
  <si>
    <t>07-01-02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</si>
  <si>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</si>
  <si>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</si>
  <si>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</si>
  <si>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</si>
  <si>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Временные здания и сооружения - 8,2%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</si>
  <si>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</si>
  <si>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</si>
  <si>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</si>
  <si>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Приказ от 25.05.2021 № 325/пр прил.1 п.8</t>
  </si>
  <si>
    <t>Производство работ в зимнее время - 2,4%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</si>
  <si>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</si>
  <si>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</si>
  <si>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</si>
  <si>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</si>
  <si>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</si>
  <si>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Итого "Непредвиденные затраты"</t>
  </si>
  <si>
    <t>Итого с учетом "Непредвиденные затраты"</t>
  </si>
  <si>
    <t>Дополнительные работы и затраты</t>
  </si>
  <si>
    <t>Итого "Дополнительные работы и затраты"</t>
  </si>
  <si>
    <t>Итого с учетом "Дополнительные работы и затраты"</t>
  </si>
  <si>
    <t>Всего с учетом "Дополнительные работы и затраты"</t>
  </si>
  <si>
    <t>Повышающий договорной коэффициент 1,05136042</t>
  </si>
  <si>
    <t>Итого "с повышающим договорным коэффициентом 1,05136042"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</si>
  <si>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</si>
  <si>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</si>
  <si>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</si>
  <si>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</si>
  <si>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Сумма контракта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</si>
  <si>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</si>
  <si>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</si>
  <si>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</si>
  <si>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</si>
  <si>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</si>
  <si>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</si>
  <si>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Составлен(а) в базисном (текущем) уровне цен II квартал 2023 года (01.01.2000)</t>
  </si>
  <si>
    <t>Сводный сметный расчет сметной стоимостью 548 004,00 тыс. руб.</t>
  </si>
  <si>
    <t>Теплоснабжение. Переустройство трубопровода.ТС1</t>
  </si>
  <si>
    <t>Генеральный план. ГП2</t>
  </si>
  <si>
    <t xml:space="preserve"> АО «МЕТРОВАГОНМАШ»</t>
  </si>
  <si>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</si>
  <si>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</si>
  <si>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</si>
  <si>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</si>
  <si>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</si>
  <si>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</si>
  <si>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</si>
  <si>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ндс 20%</t>
  </si>
  <si>
    <t>СМР с материалами всего с ндс</t>
  </si>
  <si>
    <t>ИТОГО</t>
  </si>
  <si>
    <t>остаток</t>
  </si>
  <si>
    <t>ноябрь</t>
  </si>
  <si>
    <t>декабрь-1</t>
  </si>
  <si>
    <t>декабрь-2</t>
  </si>
  <si>
    <r>
      <t xml:space="preserve">всего без НДС с повышающим договорным коэффициентом </t>
    </r>
    <r>
      <rPr>
        <b/>
        <i/>
        <sz val="12"/>
        <color theme="1"/>
        <rFont val="Times New Roman"/>
        <family val="1"/>
        <charset val="204"/>
      </rPr>
      <t>1,05136042</t>
    </r>
  </si>
  <si>
    <r>
      <t xml:space="preserve">Всего (с НДС),                          </t>
    </r>
    <r>
      <rPr>
        <b/>
        <u/>
        <sz val="12"/>
        <color theme="1"/>
        <rFont val="Times New Roman"/>
        <family val="1"/>
        <charset val="204"/>
      </rPr>
      <t>кс-3 №1</t>
    </r>
    <r>
      <rPr>
        <b/>
        <sz val="12"/>
        <color theme="1"/>
        <rFont val="Times New Roman"/>
        <family val="1"/>
        <charset val="204"/>
      </rPr>
      <t xml:space="preserve"> от 20.11.2023г.</t>
    </r>
  </si>
  <si>
    <r>
      <t xml:space="preserve">Всего (с НДС),                           </t>
    </r>
    <r>
      <rPr>
        <b/>
        <u/>
        <sz val="12"/>
        <color theme="1"/>
        <rFont val="Times New Roman"/>
        <family val="1"/>
        <charset val="204"/>
      </rPr>
      <t>кс-3 №2</t>
    </r>
    <r>
      <rPr>
        <b/>
        <sz val="12"/>
        <color theme="1"/>
        <rFont val="Times New Roman"/>
        <family val="1"/>
        <charset val="204"/>
      </rPr>
      <t xml:space="preserve"> от 07.12.2023г.</t>
    </r>
  </si>
  <si>
    <r>
      <t xml:space="preserve">Всего (с НДС),                           </t>
    </r>
    <r>
      <rPr>
        <b/>
        <u/>
        <sz val="12"/>
        <color theme="1"/>
        <rFont val="Times New Roman"/>
        <family val="1"/>
        <charset val="204"/>
      </rPr>
      <t>кс-3 №3</t>
    </r>
    <r>
      <rPr>
        <b/>
        <sz val="12"/>
        <color theme="1"/>
        <rFont val="Times New Roman"/>
        <family val="1"/>
        <charset val="204"/>
      </rPr>
      <t xml:space="preserve"> от 29.12.2023г.</t>
    </r>
  </si>
  <si>
    <t>Не выполняли</t>
  </si>
  <si>
    <t>Остаток к закрытию</t>
  </si>
  <si>
    <t>Работы на весну</t>
  </si>
  <si>
    <t>январь</t>
  </si>
  <si>
    <t>февраль</t>
  </si>
  <si>
    <r>
      <t xml:space="preserve">Всего (с НДС),                           </t>
    </r>
    <r>
      <rPr>
        <b/>
        <u/>
        <sz val="12"/>
        <color rgb="FFFF0000"/>
        <rFont val="Times New Roman"/>
        <family val="1"/>
        <charset val="204"/>
      </rPr>
      <t>кс-3 №4</t>
    </r>
    <r>
      <rPr>
        <b/>
        <sz val="12"/>
        <color rgb="FFFF0000"/>
        <rFont val="Times New Roman"/>
        <family val="1"/>
        <charset val="204"/>
      </rPr>
      <t xml:space="preserve"> от 22.01.2024г.</t>
    </r>
  </si>
  <si>
    <r>
      <t xml:space="preserve">Всего (с НДС),                           </t>
    </r>
    <r>
      <rPr>
        <b/>
        <u/>
        <sz val="12"/>
        <color rgb="FFFF0000"/>
        <rFont val="Times New Roman"/>
        <family val="1"/>
        <charset val="204"/>
      </rPr>
      <t>кс-3 №5</t>
    </r>
    <r>
      <rPr>
        <b/>
        <sz val="12"/>
        <color rgb="FFFF0000"/>
        <rFont val="Times New Roman"/>
        <family val="1"/>
        <charset val="204"/>
      </rPr>
      <t xml:space="preserve"> от 20.03.2024г.</t>
    </r>
  </si>
  <si>
    <t>Всего закрыто на 20.03.2024</t>
  </si>
  <si>
    <t>ВОР</t>
  </si>
  <si>
    <t>статус отработки</t>
  </si>
  <si>
    <t>+</t>
  </si>
  <si>
    <t>СС.Переустройство кабельной канализации связи</t>
  </si>
  <si>
    <t>Временный переезд ч.жд.п цех 417</t>
  </si>
  <si>
    <t>Временный водопровод 121</t>
  </si>
  <si>
    <t>Демонтаж ламп-121+75</t>
  </si>
  <si>
    <t>КС трансбордер</t>
  </si>
  <si>
    <t>Проектное ограждение.АС1</t>
  </si>
  <si>
    <t>Вырубка кустарников</t>
  </si>
  <si>
    <t>Устройство ограждения вдоль обкаточных путей</t>
  </si>
  <si>
    <t>Удлинение подпорной стенки трансбордера (ПС-2)</t>
  </si>
  <si>
    <t>Отвод контактной сети</t>
  </si>
  <si>
    <t>Узел подпорной стены по коллектору</t>
  </si>
  <si>
    <t>Переустройство кабеля к кранам шихты под путями 32 34 36</t>
  </si>
  <si>
    <t>Смещение фундаментов под трансбордер</t>
  </si>
  <si>
    <t>ВСЕГО</t>
  </si>
  <si>
    <t>требуется корректировка ВОР, отпр. Роману</t>
  </si>
  <si>
    <t>требуется корректировка ВОР, отправлено Роману</t>
  </si>
  <si>
    <t>на проверке НВ</t>
  </si>
  <si>
    <t>сумма, с НДС</t>
  </si>
  <si>
    <t xml:space="preserve">ВОР отработан/смета оформлена </t>
  </si>
  <si>
    <t>01-01-01 изм.1</t>
  </si>
  <si>
    <t>01-01-02 изм.1</t>
  </si>
  <si>
    <t xml:space="preserve">частично, нужен еще на закрытый объем </t>
  </si>
  <si>
    <t>на кусочек, 1 раздел</t>
  </si>
  <si>
    <t xml:space="preserve">кусочек ВОР отработан/смета оформлена </t>
  </si>
  <si>
    <t>временная сеть</t>
  </si>
  <si>
    <t>мазутопровод</t>
  </si>
  <si>
    <t>добавить в АС1</t>
  </si>
  <si>
    <t>отправлено Кушаковой 22.04</t>
  </si>
  <si>
    <t>ВОРа на доп. не будет</t>
  </si>
  <si>
    <t>ждем ВОР</t>
  </si>
  <si>
    <t>на последний момент</t>
  </si>
  <si>
    <t>отправлено Кушаковой 25.04</t>
  </si>
  <si>
    <t>ОТ Романа-не спешим ОФОРМЛЯТЬ</t>
  </si>
  <si>
    <t xml:space="preserve">предварительный ВОР отработан/смета оформлена </t>
  </si>
  <si>
    <t>Мазутопровод</t>
  </si>
  <si>
    <t>Временная теплосеть</t>
  </si>
  <si>
    <t>01-01-03 изм.1</t>
  </si>
  <si>
    <t>02-03-02 изм.1</t>
  </si>
  <si>
    <t>04-01-02 изм.1</t>
  </si>
  <si>
    <t>06-01-01 изм.1</t>
  </si>
  <si>
    <t>06-01-02 изм.1</t>
  </si>
  <si>
    <t>06-02-01 изм.1</t>
  </si>
  <si>
    <t>06-02-02 изм.1</t>
  </si>
  <si>
    <t>06-03-03 изм.1</t>
  </si>
  <si>
    <t>06-03-04 изм.1</t>
  </si>
  <si>
    <t>нужен подписанный ВОР</t>
  </si>
  <si>
    <t>оформить на подпись</t>
  </si>
  <si>
    <t>смета оформлена</t>
  </si>
  <si>
    <t>ВОР оформлен на %-ый V,подписать</t>
  </si>
  <si>
    <t xml:space="preserve">ВОР на %-ый объем оформлен,отпр. 28.04 </t>
  </si>
  <si>
    <t>ВОР на %-ый объем оформлен,отпр. 28.04 , смета по предв. ВОРу набрана</t>
  </si>
  <si>
    <t>ВОР на %-ый объем оформлен,отпр. 28.04 , смета набрана по ПРОЕКТУ с изм.</t>
  </si>
  <si>
    <t>ВОР на %-ый объем оформлен,отпр. 28.04  , смета набрана по ПРОЕКТУ с изм.</t>
  </si>
  <si>
    <t>замечания по ВОР/смете</t>
  </si>
  <si>
    <t>отправлено Кушаковой 06.05</t>
  </si>
  <si>
    <t>04-01-01 изм.1</t>
  </si>
  <si>
    <t>Сумма сметы после корректировки Тех.Заказчиком + резка+к-т 1,1+засыпка вручную, с НДС</t>
  </si>
  <si>
    <t xml:space="preserve">Трансбордер. Архитектурно-строительные решения. Часть 2. АС2 </t>
  </si>
  <si>
    <t>Сумма сметы после корректировки Тех.Заказчиком, с НДС</t>
  </si>
  <si>
    <t>Сумма сметы по согласованному ВОР, с НДС</t>
  </si>
  <si>
    <t>±  по итогам проверки</t>
  </si>
  <si>
    <r>
      <t xml:space="preserve">Обратная засыпка грунтом применена расценка- </t>
    </r>
    <r>
      <rPr>
        <b/>
        <u/>
        <sz val="12"/>
        <color theme="1"/>
        <rFont val="Times New Roman"/>
        <family val="1"/>
        <charset val="204"/>
      </rPr>
      <t>вручную</t>
    </r>
    <r>
      <rPr>
        <sz val="12"/>
        <color theme="1"/>
        <rFont val="Times New Roman"/>
        <family val="1"/>
        <charset val="204"/>
      </rPr>
      <t xml:space="preserve"> (т.к. не было уточнения в ВОРе и было в утвержденной смете), Тех.Заказчик применяет расценку </t>
    </r>
    <r>
      <rPr>
        <b/>
        <u/>
        <sz val="12"/>
        <color theme="1"/>
        <rFont val="Times New Roman"/>
        <family val="1"/>
        <charset val="204"/>
      </rPr>
      <t>механизированная</t>
    </r>
    <r>
      <rPr>
        <sz val="12"/>
        <color theme="1"/>
        <rFont val="Times New Roman"/>
        <family val="1"/>
        <charset val="204"/>
      </rPr>
      <t xml:space="preserve"> обратная засыпка.</t>
    </r>
  </si>
  <si>
    <r>
      <t xml:space="preserve">Расценка "Засыпка вручную траншей, пазух котлованов и ям, группа грунтов: 1" к материалу: Песок применен к-т уплотнения 1,1. Тех.Заказчиком данный к-т </t>
    </r>
    <r>
      <rPr>
        <b/>
        <u/>
        <sz val="12"/>
        <color theme="1"/>
        <rFont val="Times New Roman"/>
        <family val="1"/>
        <charset val="204"/>
      </rPr>
      <t>исключается.</t>
    </r>
  </si>
  <si>
    <r>
      <rPr>
        <b/>
        <u/>
        <sz val="12"/>
        <color theme="1"/>
        <rFont val="Times New Roman"/>
        <family val="1"/>
        <charset val="204"/>
      </rPr>
      <t xml:space="preserve">Есть в утвержденных сметах,в ВОР к проекту. </t>
    </r>
    <r>
      <rPr>
        <sz val="12"/>
        <rFont val="Times New Roman"/>
        <family val="1"/>
        <charset val="204"/>
      </rPr>
      <t xml:space="preserve">
Мы привозим песок в «рыхлом теле», и далее уплотняем его до проектного объема (до требуемого уплотнения).
Поэтому к материалу применяем коэффициент относительного уплотнения 1,1.</t>
    </r>
  </si>
  <si>
    <r>
      <rPr>
        <b/>
        <u/>
        <sz val="12"/>
        <color theme="1"/>
        <rFont val="Times New Roman"/>
        <family val="1"/>
        <charset val="204"/>
      </rPr>
      <t>СПОРНЫЙ МОМЕНТ,</t>
    </r>
    <r>
      <rPr>
        <sz val="12"/>
        <rFont val="Times New Roman"/>
        <family val="1"/>
        <charset val="204"/>
      </rPr>
      <t xml:space="preserve"> т.к. в утв. смете  расценка (с объемом 665м3) взята для увеличения стоимости также,как и крепление траншеи щитами. В ВОРе к проекту не предусмотрена засыпка такого объема вручную.</t>
    </r>
  </si>
  <si>
    <t>№ пп</t>
  </si>
  <si>
    <r>
      <t xml:space="preserve">В ВОРе и смете присутствует работа - Резка асфальтобетонного покрытия фрезой. Тех.Заказчик данную работу </t>
    </r>
    <r>
      <rPr>
        <b/>
        <u/>
        <sz val="12"/>
        <color theme="1"/>
        <rFont val="Times New Roman"/>
        <family val="1"/>
        <charset val="204"/>
      </rPr>
      <t>исключает.</t>
    </r>
  </si>
  <si>
    <t>Сметные нормы на разборку асфальтобетонных покрытий не предусматривают рез покрытия для сохранения целостности краев сохраняемых участков. 
Эти затраты учитываются дополнительно. 
В нормах учтена разборка отбойными молотками. При таком методе работ края получаются с обломами. 
Норма на восстановление ( укладку) покрытия также не учитывает работы по выравниванию краев для  обеспечения примыкания нового и старого покрытия и исключения обрушения.В ином случае, Подрядчик не может нести гарантийную ответственность за выполненные работы по восстановлению вновь уложенных дорожных покрытий со старым с обеспечением примыканий.</t>
  </si>
  <si>
    <t>Корректировка расценок</t>
  </si>
  <si>
    <t>Сумма сметы по Договору</t>
  </si>
  <si>
    <r>
      <rPr>
        <b/>
        <u/>
        <sz val="12"/>
        <color theme="1"/>
        <rFont val="Times New Roman"/>
        <family val="1"/>
        <charset val="204"/>
      </rPr>
      <t>СПОРНЫЙ МОМЕНТ,</t>
    </r>
    <r>
      <rPr>
        <sz val="12"/>
        <rFont val="Times New Roman"/>
        <family val="1"/>
        <charset val="204"/>
      </rPr>
      <t xml:space="preserve"> т.к. в утв. смете  расценка (напр. НВК3, с объемом 665м3) взята для увеличения стоимости также,как и крепление траншеи щитами. В ВОРе к проекту </t>
    </r>
    <r>
      <rPr>
        <u/>
        <sz val="12"/>
        <rFont val="Times New Roman"/>
        <family val="1"/>
        <charset val="204"/>
      </rPr>
      <t xml:space="preserve">не предусмотрена </t>
    </r>
    <r>
      <rPr>
        <sz val="12"/>
        <rFont val="Times New Roman"/>
        <family val="1"/>
        <charset val="204"/>
      </rPr>
      <t>засыпка</t>
    </r>
    <r>
      <rPr>
        <u/>
        <sz val="12"/>
        <rFont val="Times New Roman"/>
        <family val="1"/>
        <charset val="204"/>
      </rPr>
      <t xml:space="preserve"> такого объема</t>
    </r>
    <r>
      <rPr>
        <sz val="12"/>
        <rFont val="Times New Roman"/>
        <family val="1"/>
        <charset val="204"/>
      </rPr>
      <t xml:space="preserve"> вручную.</t>
    </r>
  </si>
  <si>
    <t>5</t>
  </si>
  <si>
    <t>6</t>
  </si>
  <si>
    <t>7</t>
  </si>
  <si>
    <t>8</t>
  </si>
  <si>
    <t>9</t>
  </si>
  <si>
    <t>+ относительно ст.6</t>
  </si>
  <si>
    <t>04-01-01 изм.1 + ПНР</t>
  </si>
  <si>
    <t>04-01-02 изм.1 + ПНР</t>
  </si>
  <si>
    <r>
      <t xml:space="preserve">Сумма сметы после корректировки Тех.Заказчиком + резка+к-т 1,1+засыпка  </t>
    </r>
    <r>
      <rPr>
        <b/>
        <u/>
        <sz val="14"/>
        <color rgb="FFFF0000"/>
        <rFont val="Times New Roman"/>
        <family val="1"/>
        <charset val="204"/>
      </rPr>
      <t>95% механизированно, 5% вручную</t>
    </r>
    <r>
      <rPr>
        <b/>
        <sz val="12"/>
        <color theme="1"/>
        <rFont val="Times New Roman"/>
        <family val="1"/>
        <charset val="204"/>
      </rPr>
      <t>, с НДС</t>
    </r>
  </si>
  <si>
    <t>в ВОРе не отображен был материал Заказчика</t>
  </si>
  <si>
    <t>ССР №1 (к=1,0514)</t>
  </si>
  <si>
    <t>ССР №1 (к=1,11)</t>
  </si>
  <si>
    <t xml:space="preserve">01-01-01 </t>
  </si>
  <si>
    <t xml:space="preserve">06-02-02 </t>
  </si>
  <si>
    <r>
      <t xml:space="preserve">всего без НДС с повышающим договорным коэффициентом </t>
    </r>
    <r>
      <rPr>
        <b/>
        <i/>
        <sz val="12"/>
        <color theme="1"/>
        <rFont val="Times New Roman"/>
        <family val="1"/>
        <charset val="204"/>
      </rPr>
      <t>1,0514</t>
    </r>
  </si>
  <si>
    <t>всего без НДС с договорным коэффициентом 1,0514</t>
  </si>
  <si>
    <t>кс-2№5</t>
  </si>
  <si>
    <t xml:space="preserve">02-03-01 </t>
  </si>
  <si>
    <t>кс-2№7</t>
  </si>
  <si>
    <t xml:space="preserve"> 01-01-03</t>
  </si>
  <si>
    <t>Демонтаж сетей и систем  инженерного обеспечения.</t>
  </si>
  <si>
    <t>кс-2№8</t>
  </si>
  <si>
    <t>кс-2№9</t>
  </si>
  <si>
    <t>кс-2№10</t>
  </si>
  <si>
    <t>Генеральный план 131-23 ГП2</t>
  </si>
  <si>
    <t>кс-2№11</t>
  </si>
  <si>
    <t>кс-2№13</t>
  </si>
  <si>
    <t>кс-2№14</t>
  </si>
  <si>
    <t>кс-2№15</t>
  </si>
  <si>
    <t>кс-2№17</t>
  </si>
  <si>
    <t>кс-2№18</t>
  </si>
  <si>
    <t>ВСЕГО (ССР1+ССР2),                             с НДС</t>
  </si>
  <si>
    <t>-</t>
  </si>
  <si>
    <t>Сумма смет  по ДОГОВОРУ с ндс</t>
  </si>
  <si>
    <r>
      <t xml:space="preserve">сметы по ВОР на доп.работы- ОТРАБОТАНЫ  </t>
    </r>
    <r>
      <rPr>
        <b/>
        <i/>
        <u/>
        <sz val="12"/>
        <color theme="1"/>
        <rFont val="Times New Roman"/>
        <family val="1"/>
        <charset val="204"/>
      </rPr>
      <t xml:space="preserve">                                               </t>
    </r>
  </si>
  <si>
    <t>требуется корректировка ВОР</t>
  </si>
  <si>
    <r>
      <t xml:space="preserve">ВОР на %-ый объем оформлен,отпр. 28.04 ,нужен на </t>
    </r>
    <r>
      <rPr>
        <u/>
        <sz val="9"/>
        <rFont val="Times New Roman"/>
        <family val="1"/>
        <charset val="204"/>
      </rPr>
      <t>остальные работы</t>
    </r>
  </si>
  <si>
    <t>Резинокорд</t>
  </si>
  <si>
    <t>сумма ССР1                                                     (то,что %-но, Кдог=1,0514), с НДС</t>
  </si>
  <si>
    <t>АС2-ВК (Узел подпорной стены по коллектору)</t>
  </si>
  <si>
    <r>
      <t xml:space="preserve">ВОР на %-ый объем оформлен,отпр. 28.04 ,нужен на </t>
    </r>
    <r>
      <rPr>
        <u/>
        <sz val="9"/>
        <color theme="9"/>
        <rFont val="Times New Roman"/>
        <family val="1"/>
        <charset val="204"/>
      </rPr>
      <t>остальные работы</t>
    </r>
  </si>
  <si>
    <t>смета +, требуется корректировка ВОР согласно инструкции ТМХ</t>
  </si>
  <si>
    <t>сметы по ВОР на доп.работы - не выполненные работы</t>
  </si>
  <si>
    <r>
      <t xml:space="preserve">сметы по ВОР - ОТРАБОТАНЫ     </t>
    </r>
    <r>
      <rPr>
        <b/>
        <i/>
        <u/>
        <sz val="12"/>
        <color theme="1"/>
        <rFont val="Times New Roman"/>
        <family val="1"/>
        <charset val="204"/>
      </rPr>
      <t xml:space="preserve">                                      </t>
    </r>
    <r>
      <rPr>
        <b/>
        <i/>
        <sz val="12"/>
        <color theme="1"/>
        <rFont val="Times New Roman"/>
        <family val="1"/>
        <charset val="204"/>
      </rPr>
      <t xml:space="preserve"> </t>
    </r>
    <r>
      <rPr>
        <b/>
        <i/>
        <sz val="12"/>
        <color rgb="FFC00000"/>
        <rFont val="Times New Roman"/>
        <family val="1"/>
        <charset val="204"/>
      </rPr>
      <t>(не отправлялись на проверку)</t>
    </r>
  </si>
  <si>
    <t>! +, подписать ВОР</t>
  </si>
  <si>
    <t>сумма ССР2                                                         (Кдог=1,0514), с НДС</t>
  </si>
  <si>
    <t>вопросы в чат отправлены</t>
  </si>
  <si>
    <r>
      <t xml:space="preserve">сметы по ВОР - ОТРАБОТАНЫ  </t>
    </r>
    <r>
      <rPr>
        <b/>
        <i/>
        <u/>
        <sz val="12"/>
        <color theme="1"/>
        <rFont val="Times New Roman"/>
        <family val="1"/>
        <charset val="204"/>
      </rPr>
      <t xml:space="preserve">                                               </t>
    </r>
    <r>
      <rPr>
        <b/>
        <i/>
        <sz val="12"/>
        <color theme="1"/>
        <rFont val="Times New Roman"/>
        <family val="1"/>
        <charset val="204"/>
      </rPr>
      <t xml:space="preserve"> </t>
    </r>
    <r>
      <rPr>
        <b/>
        <i/>
        <sz val="12"/>
        <color rgb="FFC00000"/>
        <rFont val="Times New Roman"/>
        <family val="1"/>
        <charset val="204"/>
      </rPr>
      <t>(грунт-мех, песок-вручную, резка+, песок с Купл=1,1)</t>
    </r>
  </si>
  <si>
    <t xml:space="preserve">от ЭЭ - НУЖЕН ДОГОВОР НА ЭКСКАВАТОР с ковшом емк. 0,5 (или 0,65м3). </t>
  </si>
  <si>
    <t>в чате написано</t>
  </si>
  <si>
    <t>отправлено на проверку 05.06</t>
  </si>
  <si>
    <r>
      <t>ВОР на %-ый объем оформлен,отпр. 28.04 ,</t>
    </r>
    <r>
      <rPr>
        <b/>
        <sz val="9"/>
        <color rgb="FFFF0000"/>
        <rFont val="Times New Roman"/>
        <family val="1"/>
        <charset val="204"/>
      </rPr>
      <t>ОТРАБОТАТЬ</t>
    </r>
  </si>
  <si>
    <t>оформлено к отправке</t>
  </si>
  <si>
    <t>отправлено Кушаковой 25.04/ответ +, повторно отработано, ждем 1,1</t>
  </si>
  <si>
    <t>отправлено Кушаковой 06.05/ответ+,повторно отработано, ждем 1,1</t>
  </si>
  <si>
    <t>отправлено Кушаковой 22.04/ответ+, повторно отработано, ждем 1,1</t>
  </si>
  <si>
    <t>отправлено Кушаковой 25.04/ответ+, , ждем 1,1</t>
  </si>
  <si>
    <r>
      <t>отправлено Кушаковой 25.04/ответ+,</t>
    </r>
    <r>
      <rPr>
        <b/>
        <u/>
        <sz val="10"/>
        <rFont val="Times New Roman"/>
        <family val="1"/>
        <charset val="204"/>
      </rPr>
      <t xml:space="preserve"> , ждем 1,1</t>
    </r>
  </si>
  <si>
    <t>отправлено Кушаковой 25.04/ответ+, повторно отработано, ждем 1,1</t>
  </si>
  <si>
    <t>ждем 1,1</t>
  </si>
  <si>
    <t>расценка согласована, включить в ГП2</t>
  </si>
  <si>
    <r>
      <t xml:space="preserve">сметы по ВОР - не ОТРАБОТАНЫ     </t>
    </r>
    <r>
      <rPr>
        <b/>
        <i/>
        <u/>
        <sz val="12"/>
        <color theme="1"/>
        <rFont val="Times New Roman"/>
        <family val="1"/>
        <charset val="204"/>
      </rPr>
      <t xml:space="preserve">                                      </t>
    </r>
    <r>
      <rPr>
        <b/>
        <i/>
        <sz val="12"/>
        <color theme="1"/>
        <rFont val="Times New Roman"/>
        <family val="1"/>
        <charset val="204"/>
      </rPr>
      <t xml:space="preserve"> </t>
    </r>
    <r>
      <rPr>
        <b/>
        <i/>
        <sz val="12"/>
        <color rgb="FFC00000"/>
        <rFont val="Times New Roman"/>
        <family val="1"/>
        <charset val="204"/>
      </rPr>
      <t>(нет подписанного ВОР)</t>
    </r>
  </si>
  <si>
    <t>ВОР на %-ый объем оформлен,ВОР на остальное-отработан, отпр.05.06-отправляем?</t>
  </si>
  <si>
    <t xml:space="preserve"> ждем 1,1, затем ВОР подписываем и отправляем сметы на проверку</t>
  </si>
  <si>
    <t>ВОР на %-ый объем оформлен,отпр. 28.04 , нужен на остальные работы</t>
  </si>
  <si>
    <r>
      <t>сумма ССР2                                                         (Кдог=</t>
    </r>
    <r>
      <rPr>
        <b/>
        <u/>
        <sz val="12"/>
        <color theme="1"/>
        <rFont val="Times New Roman"/>
        <family val="1"/>
        <charset val="204"/>
      </rPr>
      <t>1,0514</t>
    </r>
    <r>
      <rPr>
        <b/>
        <sz val="12"/>
        <color theme="1"/>
        <rFont val="Times New Roman"/>
        <family val="1"/>
        <charset val="204"/>
      </rPr>
      <t>), с НДС</t>
    </r>
  </si>
  <si>
    <t>Устройство ограждения вдоль обкаточного пути</t>
  </si>
  <si>
    <t>ВОР+ надо подписать, смета отработана, оформлена, отпр.Андрею 11.06</t>
  </si>
  <si>
    <t>Резинокорд-войдет в ГП2</t>
  </si>
  <si>
    <t>щебень исключен-почему? Куда перенесен?</t>
  </si>
  <si>
    <t>ВОР будет в ГП2 на основные работы, расценка согласована, включить в  смету ГП2</t>
  </si>
  <si>
    <t>отправлено, 14.06</t>
  </si>
  <si>
    <r>
      <t xml:space="preserve">сметы по ВОР - ОТРАБОТАНЫ  </t>
    </r>
    <r>
      <rPr>
        <b/>
        <i/>
        <u/>
        <sz val="12"/>
        <color theme="1"/>
        <rFont val="Times New Roman"/>
        <family val="1"/>
        <charset val="204"/>
      </rPr>
      <t xml:space="preserve">                                               </t>
    </r>
    <r>
      <rPr>
        <b/>
        <i/>
        <sz val="12"/>
        <color theme="1"/>
        <rFont val="Times New Roman"/>
        <family val="1"/>
        <charset val="204"/>
      </rPr>
      <t xml:space="preserve"> </t>
    </r>
    <r>
      <rPr>
        <b/>
        <i/>
        <sz val="12"/>
        <color rgb="FFC00000"/>
        <rFont val="Times New Roman"/>
        <family val="1"/>
        <charset val="204"/>
      </rPr>
      <t>( песок с Купл=1,1)</t>
    </r>
  </si>
  <si>
    <t>ВОР+</t>
  </si>
  <si>
    <t>ВОР будет корректироваться, см. скрин.</t>
  </si>
  <si>
    <t>нужно принять решение или закрываем МК по КМД или править ИД+ВОР под требования сметчицы и стройконтроля техзака</t>
  </si>
  <si>
    <t>ВОР отпр. на подписание (14.06), смета отработана</t>
  </si>
  <si>
    <t>требуется корректировка ВОР,отправлено в ПТО,Вор в работе</t>
  </si>
  <si>
    <t>06-04-01 изм.1</t>
  </si>
  <si>
    <t>согласовано</t>
  </si>
  <si>
    <t>ВОР оформлен, отправлен на подпись для Дураева 14.06</t>
  </si>
  <si>
    <t>вопросы к емк. ковша и уплотнению трамбовками</t>
  </si>
  <si>
    <t>Вариант НВ (с 0,65 и без уплотнения)</t>
  </si>
  <si>
    <r>
      <t xml:space="preserve">ВОР на %-ый объем оформлен,отпр. 28.04 , нужен на </t>
    </r>
    <r>
      <rPr>
        <u/>
        <sz val="9"/>
        <rFont val="Times New Roman"/>
        <family val="1"/>
        <charset val="204"/>
      </rPr>
      <t>остальные работы</t>
    </r>
  </si>
  <si>
    <t>сумма остатка взята по утвержденной смете!!!</t>
  </si>
  <si>
    <t>ВОР подписан, смета отправлена на проверку 18.06</t>
  </si>
  <si>
    <t>Теплоснабжение.Переустройство трубопровода.ТС1</t>
  </si>
  <si>
    <t>ИСКЛЮЧЕНО (задвоение в основном ВОРе)</t>
  </si>
  <si>
    <t>ВОР подписан, смета отправлена на проверку 21.06</t>
  </si>
  <si>
    <t>исключено, вошло в АС2</t>
  </si>
  <si>
    <t>исключено, вошло в АС1</t>
  </si>
  <si>
    <t>ВОР подписан, смета отправлена на проверку 27.06</t>
  </si>
  <si>
    <t>Смещение ЗД.АС1</t>
  </si>
  <si>
    <t>Проектное ограждение.АС1(исключить АС1, не относится к 417)</t>
  </si>
  <si>
    <t>ВОР подписан, смета отправлена на проверку 28.06</t>
  </si>
  <si>
    <t>02-01-01 изм.1</t>
  </si>
  <si>
    <t>02-03-01 изм.1</t>
  </si>
  <si>
    <t>не изменяются</t>
  </si>
  <si>
    <r>
      <t xml:space="preserve">сметы по ВОР на </t>
    </r>
    <r>
      <rPr>
        <b/>
        <i/>
        <u/>
        <sz val="16"/>
        <color theme="1"/>
        <rFont val="Times New Roman"/>
        <family val="1"/>
        <charset val="204"/>
      </rPr>
      <t>доп.работы</t>
    </r>
    <r>
      <rPr>
        <b/>
        <i/>
        <sz val="12"/>
        <color theme="1"/>
        <rFont val="Times New Roman"/>
        <family val="1"/>
        <charset val="204"/>
      </rPr>
      <t xml:space="preserve">- ОТРАБОТАНЫ  </t>
    </r>
    <r>
      <rPr>
        <b/>
        <i/>
        <u/>
        <sz val="12"/>
        <color theme="1"/>
        <rFont val="Times New Roman"/>
        <family val="1"/>
        <charset val="204"/>
      </rPr>
      <t xml:space="preserve">                                               </t>
    </r>
  </si>
  <si>
    <t>не будет</t>
  </si>
  <si>
    <t>Замечания в работе (ждем решение от рук-ва о прнятии версии Заказчика)</t>
  </si>
  <si>
    <t>СОГЛАСОВАНО</t>
  </si>
  <si>
    <t>раздел ушел в ГП2</t>
  </si>
  <si>
    <t>Переустройство кабельных линий.ЭС2 + ПНР</t>
  </si>
  <si>
    <t>Электроснабжение. ЭС 1. + ПНР</t>
  </si>
  <si>
    <t>Замечания в работе (ждем решение от рук-ва)</t>
  </si>
  <si>
    <t>требуется корректировка ВОР,отправлено в ПТО,ВОР в работе</t>
  </si>
  <si>
    <r>
      <rPr>
        <b/>
        <u/>
        <sz val="12"/>
        <rFont val="Times New Roman"/>
        <family val="1"/>
        <charset val="204"/>
      </rPr>
      <t>расценка согласована,</t>
    </r>
    <r>
      <rPr>
        <sz val="12"/>
        <rFont val="Times New Roman"/>
        <family val="1"/>
        <charset val="204"/>
      </rPr>
      <t xml:space="preserve"> ВОР будет в ГП2 на основные работы,  включить в  смету ГП2</t>
    </r>
  </si>
  <si>
    <t>"+ " колодцы из НВК5</t>
  </si>
  <si>
    <r>
      <rPr>
        <b/>
        <u/>
        <sz val="12"/>
        <color rgb="FFFF0000"/>
        <rFont val="Times New Roman"/>
        <family val="1"/>
        <charset val="204"/>
      </rPr>
      <t xml:space="preserve">ПЕРЕПОДПИСАТЬ ВОР,  ИСКЛЮЧИТЬ 0,58м3, </t>
    </r>
    <r>
      <rPr>
        <b/>
        <u/>
        <sz val="12"/>
        <rFont val="Times New Roman"/>
        <family val="1"/>
        <charset val="204"/>
      </rPr>
      <t>СОГЛАСОВАНО</t>
    </r>
  </si>
  <si>
    <t>согласовано смет на сумму</t>
  </si>
  <si>
    <t>до согласования</t>
  </si>
  <si>
    <t>под вопросом</t>
  </si>
  <si>
    <t>сметы на доп-не будет, только %-ый объем</t>
  </si>
  <si>
    <t xml:space="preserve">! +, подписать ВОР, если требуется. </t>
  </si>
  <si>
    <t>см. папку Доп.работы</t>
  </si>
  <si>
    <t>см. папку Доп.работы, расценку включить в ГП2</t>
  </si>
  <si>
    <t>см. папку Доп.работы, работать с ЛСР "Версия Заказчика"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</si>
</sst>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00000000"/>
    <numFmt numFmtId="167" formatCode="#,##0.0"/>
    <numFmt numFmtId="168" formatCode="#,##0.0000"/>
  </numFmts>
  <fonts count="84" x14ac:knownFonts="1">
    <font>
      <sz val="11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u/>
      <sz val="12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rgb="FFFF0000"/>
      <name val="Calibri"/>
      <family val="2"/>
      <charset val="204"/>
      <scheme val="minor"/>
    </font>
    <font>
      <b/>
      <sz val="10"/>
      <color theme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8"/>
      <name val="Calibri"/>
      <family val="2"/>
      <charset val="204"/>
    </font>
    <font>
      <i/>
      <sz val="8"/>
      <color theme="1"/>
      <name val="Times New Roman"/>
      <family val="1"/>
      <charset val="204"/>
    </font>
    <font>
      <sz val="12"/>
      <color theme="4"/>
      <name val="Times New Roman"/>
      <family val="1"/>
      <charset val="204"/>
    </font>
    <font>
      <i/>
      <sz val="12"/>
      <name val="Times New Roman"/>
      <family val="1"/>
      <charset val="204"/>
    </font>
    <font>
      <b/>
      <u/>
      <sz val="14"/>
      <color rgb="FFFF0000"/>
      <name val="Times New Roman"/>
      <family val="1"/>
      <charset val="204"/>
    </font>
    <font>
      <u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i/>
      <sz val="12"/>
      <color rgb="FFC00000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u/>
      <sz val="9"/>
      <name val="Times New Roman"/>
      <family val="1"/>
      <charset val="204"/>
    </font>
    <font>
      <i/>
      <sz val="12"/>
      <color rgb="FF00B0F0"/>
      <name val="Times New Roman"/>
      <family val="1"/>
      <charset val="204"/>
    </font>
    <font>
      <sz val="12"/>
      <color theme="9"/>
      <name val="Times New Roman"/>
      <family val="1"/>
      <charset val="204"/>
    </font>
    <font>
      <b/>
      <sz val="12"/>
      <color theme="9"/>
      <name val="Times New Roman"/>
      <family val="1"/>
      <charset val="204"/>
    </font>
    <font>
      <sz val="9"/>
      <color theme="9"/>
      <name val="Times New Roman"/>
      <family val="1"/>
      <charset val="204"/>
    </font>
    <font>
      <i/>
      <sz val="8"/>
      <color theme="9"/>
      <name val="Times New Roman"/>
      <family val="1"/>
      <charset val="204"/>
    </font>
    <font>
      <sz val="10"/>
      <color theme="9"/>
      <name val="Times New Roman"/>
      <family val="1"/>
      <charset val="204"/>
    </font>
    <font>
      <i/>
      <sz val="12"/>
      <color theme="9"/>
      <name val="Times New Roman"/>
      <family val="1"/>
      <charset val="204"/>
    </font>
    <font>
      <u/>
      <sz val="9"/>
      <color theme="9"/>
      <name val="Times New Roman"/>
      <family val="1"/>
      <charset val="204"/>
    </font>
    <font>
      <b/>
      <i/>
      <sz val="24"/>
      <color rgb="FFC00000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10"/>
      <color indexed="81"/>
      <name val="Tahoma"/>
      <family val="2"/>
      <charset val="204"/>
    </font>
    <font>
      <b/>
      <u/>
      <sz val="12"/>
      <name val="Times New Roman"/>
      <family val="1"/>
      <charset val="204"/>
    </font>
    <font>
      <b/>
      <sz val="10"/>
      <color indexed="81"/>
      <name val="Tahoma"/>
      <family val="2"/>
      <charset val="204"/>
    </font>
    <font>
      <b/>
      <i/>
      <sz val="12"/>
      <color rgb="FF00B0F0"/>
      <name val="Times New Roman"/>
      <family val="1"/>
      <charset val="204"/>
    </font>
    <font>
      <b/>
      <i/>
      <u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8"/>
      <name val="Calibri"/>
      <charset val="1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4">
    <xf numFmtId="0" fontId="0" fillId="0" borderId="0"/>
    <xf numFmtId="0" fontId="6" fillId="0" borderId="0"/>
    <xf numFmtId="0" fontId="4" fillId="0" borderId="0"/>
    <xf numFmtId="0" fontId="23" fillId="0" borderId="0"/>
    <xf numFmtId="0" fontId="23" fillId="0" borderId="0"/>
    <xf numFmtId="164" fontId="24" fillId="0" borderId="0" applyFont="0" applyFill="0" applyBorder="0" applyAlignment="0" applyProtection="0"/>
    <xf numFmtId="0" fontId="25" fillId="0" borderId="0"/>
    <xf numFmtId="0" fontId="3" fillId="0" borderId="0"/>
    <xf numFmtId="164" fontId="6" fillId="0" borderId="0" applyFont="0" applyFill="0" applyBorder="0" applyAlignment="0" applyProtection="0"/>
    <xf numFmtId="0" fontId="2" fillId="0" borderId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4" fillId="0" borderId="0"/>
    <xf numFmtId="0" fontId="1" fillId="0" borderId="0"/>
  </cellStyleXfs>
  <cellXfs count="1155">
    <xf numFmtId="0" fontId="0" fillId="0" borderId="0" xfId="0"/>
    <xf numFmtId="0" fontId="6" fillId="0" borderId="0" xfId="1"/>
    <xf numFmtId="0" fontId="7" fillId="0" borderId="0" xfId="1" applyNumberFormat="1" applyFont="1" applyFill="1" applyBorder="1" applyAlignment="1" applyProtection="1">
      <alignment horizontal="right"/>
    </xf>
    <xf numFmtId="0" fontId="7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wrapText="1"/>
    </xf>
    <xf numFmtId="0" fontId="7" fillId="0" borderId="0" xfId="1" applyNumberFormat="1" applyFont="1" applyFill="1" applyBorder="1" applyAlignment="1" applyProtection="1">
      <alignment horizontal="center"/>
    </xf>
    <xf numFmtId="0" fontId="9" fillId="0" borderId="0" xfId="1" applyNumberFormat="1" applyFont="1" applyFill="1" applyBorder="1" applyAlignment="1" applyProtection="1">
      <alignment horizontal="center"/>
    </xf>
    <xf numFmtId="0" fontId="8" fillId="0" borderId="0" xfId="1" applyNumberFormat="1" applyFont="1" applyFill="1" applyBorder="1" applyAlignment="1" applyProtection="1">
      <alignment vertical="top"/>
    </xf>
    <xf numFmtId="0" fontId="8" fillId="0" borderId="0" xfId="1" applyNumberFormat="1" applyFont="1" applyFill="1" applyBorder="1" applyAlignment="1" applyProtection="1">
      <alignment horizontal="center"/>
    </xf>
    <xf numFmtId="0" fontId="8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>
      <alignment horizontal="left"/>
    </xf>
    <xf numFmtId="0" fontId="5" fillId="0" borderId="4" xfId="1" applyNumberFormat="1" applyFont="1" applyFill="1" applyBorder="1" applyAlignment="1" applyProtection="1">
      <alignment horizontal="center" vertical="top" wrapText="1"/>
    </xf>
    <xf numFmtId="1" fontId="5" fillId="0" borderId="4" xfId="1" applyNumberFormat="1" applyFont="1" applyFill="1" applyBorder="1" applyAlignment="1" applyProtection="1">
      <alignment horizontal="center" vertical="top" wrapText="1"/>
    </xf>
    <xf numFmtId="0" fontId="5" fillId="0" borderId="4" xfId="1" applyNumberFormat="1" applyFont="1" applyFill="1" applyBorder="1" applyAlignment="1" applyProtection="1">
      <alignment horizontal="left" vertical="top" wrapText="1"/>
    </xf>
    <xf numFmtId="4" fontId="5" fillId="0" borderId="4" xfId="1" applyNumberFormat="1" applyFont="1" applyFill="1" applyBorder="1" applyAlignment="1" applyProtection="1">
      <alignment horizontal="right" vertical="top" wrapText="1"/>
    </xf>
    <xf numFmtId="0" fontId="12" fillId="0" borderId="4" xfId="1" applyNumberFormat="1" applyFont="1" applyFill="1" applyBorder="1" applyAlignment="1" applyProtection="1"/>
    <xf numFmtId="4" fontId="12" fillId="0" borderId="4" xfId="1" applyNumberFormat="1" applyFont="1" applyFill="1" applyBorder="1" applyAlignment="1" applyProtection="1">
      <alignment horizontal="right" vertical="top" wrapText="1"/>
    </xf>
    <xf numFmtId="4" fontId="12" fillId="0" borderId="4" xfId="1" applyNumberFormat="1" applyFont="1" applyFill="1" applyBorder="1" applyAlignment="1" applyProtection="1">
      <alignment horizontal="right" vertical="top"/>
    </xf>
    <xf numFmtId="4" fontId="5" fillId="0" borderId="4" xfId="1" applyNumberFormat="1" applyFont="1" applyFill="1" applyBorder="1" applyAlignment="1" applyProtection="1">
      <alignment horizontal="right" vertical="top"/>
    </xf>
    <xf numFmtId="0" fontId="5" fillId="0" borderId="4" xfId="1" applyNumberFormat="1" applyFont="1" applyFill="1" applyBorder="1" applyAlignment="1" applyProtection="1">
      <alignment horizontal="right" vertical="top" wrapText="1"/>
    </xf>
    <xf numFmtId="0" fontId="5" fillId="0" borderId="0" xfId="1" applyNumberFormat="1" applyFont="1" applyFill="1" applyBorder="1" applyAlignment="1" applyProtection="1"/>
    <xf numFmtId="0" fontId="18" fillId="2" borderId="4" xfId="1" applyNumberFormat="1" applyFont="1" applyFill="1" applyBorder="1" applyAlignment="1" applyProtection="1">
      <alignment horizontal="center" vertical="center" wrapText="1"/>
    </xf>
    <xf numFmtId="0" fontId="7" fillId="0" borderId="0" xfId="1" applyNumberFormat="1" applyFont="1" applyFill="1" applyBorder="1" applyAlignment="1" applyProtection="1">
      <alignment horizontal="left" vertical="top"/>
    </xf>
    <xf numFmtId="0" fontId="7" fillId="0" borderId="1" xfId="1" applyNumberFormat="1" applyFont="1" applyFill="1" applyBorder="1" applyAlignment="1" applyProtection="1">
      <alignment horizontal="left" vertical="top"/>
    </xf>
    <xf numFmtId="0" fontId="19" fillId="0" borderId="4" xfId="1" applyNumberFormat="1" applyFont="1" applyFill="1" applyBorder="1" applyAlignment="1" applyProtection="1">
      <alignment horizontal="left" vertical="top" wrapText="1"/>
    </xf>
    <xf numFmtId="0" fontId="21" fillId="0" borderId="0" xfId="1" applyNumberFormat="1" applyFont="1" applyFill="1" applyBorder="1" applyAlignment="1" applyProtection="1"/>
    <xf numFmtId="0" fontId="22" fillId="0" borderId="0" xfId="1" applyFont="1" applyAlignment="1">
      <alignment horizontal="center" vertical="center"/>
    </xf>
    <xf numFmtId="0" fontId="22" fillId="0" borderId="0" xfId="1" applyFont="1"/>
    <xf numFmtId="4" fontId="22" fillId="0" borderId="0" xfId="1" applyNumberFormat="1" applyFont="1" applyAlignment="1">
      <alignment horizontal="center" vertical="center"/>
    </xf>
    <xf numFmtId="4" fontId="22" fillId="0" borderId="0" xfId="1" applyNumberFormat="1" applyFont="1"/>
    <xf numFmtId="0" fontId="19" fillId="0" borderId="0" xfId="1" applyNumberFormat="1" applyFont="1" applyFill="1" applyBorder="1" applyAlignment="1" applyProtection="1">
      <alignment horizontal="center" vertical="center"/>
    </xf>
    <xf numFmtId="3" fontId="18" fillId="2" borderId="4" xfId="1" applyNumberFormat="1" applyFont="1" applyFill="1" applyBorder="1" applyAlignment="1" applyProtection="1">
      <alignment horizontal="center" vertical="center" wrapText="1"/>
    </xf>
    <xf numFmtId="0" fontId="19" fillId="0" borderId="0" xfId="1" applyNumberFormat="1" applyFont="1" applyFill="1" applyBorder="1" applyAlignment="1" applyProtection="1"/>
    <xf numFmtId="166" fontId="16" fillId="0" borderId="8" xfId="1" applyNumberFormat="1" applyFont="1" applyFill="1" applyBorder="1" applyAlignment="1" applyProtection="1">
      <alignment horizontal="right" vertical="top" wrapText="1"/>
    </xf>
    <xf numFmtId="0" fontId="7" fillId="3" borderId="0" xfId="1" applyNumberFormat="1" applyFont="1" applyFill="1" applyBorder="1" applyAlignment="1" applyProtection="1">
      <alignment horizontal="center"/>
    </xf>
    <xf numFmtId="4" fontId="27" fillId="0" borderId="0" xfId="2" applyNumberFormat="1" applyFont="1" applyAlignment="1">
      <alignment horizontal="center" vertical="center"/>
    </xf>
    <xf numFmtId="0" fontId="27" fillId="0" borderId="0" xfId="2" applyFont="1"/>
    <xf numFmtId="0" fontId="27" fillId="0" borderId="0" xfId="4" applyFont="1" applyAlignment="1">
      <alignment horizontal="center"/>
    </xf>
    <xf numFmtId="0" fontId="27" fillId="0" borderId="0" xfId="4" applyFont="1"/>
    <xf numFmtId="0" fontId="27" fillId="0" borderId="0" xfId="2" applyFont="1" applyAlignment="1">
      <alignment horizontal="center" vertical="center"/>
    </xf>
    <xf numFmtId="49" fontId="28" fillId="5" borderId="4" xfId="2" applyNumberFormat="1" applyFont="1" applyFill="1" applyBorder="1" applyAlignment="1">
      <alignment horizontal="center" vertical="center" wrapText="1"/>
    </xf>
    <xf numFmtId="0" fontId="29" fillId="0" borderId="4" xfId="2" applyFont="1" applyBorder="1" applyAlignment="1">
      <alignment horizontal="center" vertical="center"/>
    </xf>
    <xf numFmtId="0" fontId="31" fillId="0" borderId="4" xfId="2" applyFont="1" applyBorder="1" applyAlignment="1">
      <alignment horizontal="left" vertical="center" wrapText="1"/>
    </xf>
    <xf numFmtId="164" fontId="31" fillId="0" borderId="4" xfId="5" applyFont="1" applyFill="1" applyBorder="1" applyAlignment="1">
      <alignment horizontal="center" vertical="center"/>
    </xf>
    <xf numFmtId="167" fontId="31" fillId="0" borderId="4" xfId="2" applyNumberFormat="1" applyFont="1" applyBorder="1" applyAlignment="1">
      <alignment horizontal="center" vertical="center"/>
    </xf>
    <xf numFmtId="4" fontId="27" fillId="0" borderId="0" xfId="2" applyNumberFormat="1" applyFont="1"/>
    <xf numFmtId="0" fontId="27" fillId="0" borderId="0" xfId="2" applyFont="1" applyBorder="1"/>
    <xf numFmtId="0" fontId="29" fillId="0" borderId="0" xfId="2" applyFont="1" applyBorder="1" applyAlignment="1">
      <alignment horizontal="center" vertical="center"/>
    </xf>
    <xf numFmtId="4" fontId="29" fillId="0" borderId="0" xfId="2" applyNumberFormat="1" applyFont="1" applyBorder="1" applyAlignment="1">
      <alignment horizontal="center" vertical="center"/>
    </xf>
    <xf numFmtId="164" fontId="27" fillId="0" borderId="0" xfId="2" applyNumberFormat="1" applyFont="1" applyBorder="1"/>
    <xf numFmtId="4" fontId="29" fillId="0" borderId="0" xfId="2" applyNumberFormat="1" applyFont="1" applyAlignment="1">
      <alignment horizontal="center" vertical="center"/>
    </xf>
    <xf numFmtId="165" fontId="27" fillId="0" borderId="0" xfId="2" applyNumberFormat="1" applyFont="1"/>
    <xf numFmtId="2" fontId="27" fillId="0" borderId="0" xfId="2" applyNumberFormat="1" applyFont="1"/>
    <xf numFmtId="4" fontId="27" fillId="5" borderId="4" xfId="2" applyNumberFormat="1" applyFont="1" applyFill="1" applyBorder="1" applyAlignment="1">
      <alignment horizontal="center" vertical="center"/>
    </xf>
    <xf numFmtId="49" fontId="28" fillId="4" borderId="4" xfId="2" applyNumberFormat="1" applyFont="1" applyFill="1" applyBorder="1" applyAlignment="1">
      <alignment horizontal="center" vertical="center" wrapText="1"/>
    </xf>
    <xf numFmtId="4" fontId="26" fillId="0" borderId="4" xfId="2" applyNumberFormat="1" applyFont="1" applyBorder="1" applyAlignment="1">
      <alignment horizontal="center" vertical="center"/>
    </xf>
    <xf numFmtId="4" fontId="27" fillId="4" borderId="4" xfId="2" applyNumberFormat="1" applyFont="1" applyFill="1" applyBorder="1" applyAlignment="1">
      <alignment horizontal="center" vertical="center"/>
    </xf>
    <xf numFmtId="0" fontId="29" fillId="0" borderId="9" xfId="2" applyFont="1" applyBorder="1" applyAlignment="1">
      <alignment horizontal="center" vertical="center"/>
    </xf>
    <xf numFmtId="0" fontId="29" fillId="0" borderId="10" xfId="2" applyFont="1" applyBorder="1" applyAlignment="1">
      <alignment horizontal="center" vertical="center"/>
    </xf>
    <xf numFmtId="0" fontId="31" fillId="0" borderId="10" xfId="2" applyFont="1" applyBorder="1" applyAlignment="1">
      <alignment horizontal="left" vertical="center" wrapText="1"/>
    </xf>
    <xf numFmtId="164" fontId="31" fillId="0" borderId="10" xfId="5" applyFont="1" applyFill="1" applyBorder="1" applyAlignment="1">
      <alignment horizontal="center" vertical="center"/>
    </xf>
    <xf numFmtId="167" fontId="31" fillId="0" borderId="10" xfId="2" applyNumberFormat="1" applyFont="1" applyBorder="1" applyAlignment="1">
      <alignment horizontal="center" vertical="center"/>
    </xf>
    <xf numFmtId="4" fontId="26" fillId="0" borderId="10" xfId="2" applyNumberFormat="1" applyFont="1" applyBorder="1" applyAlignment="1">
      <alignment horizontal="center" vertical="center"/>
    </xf>
    <xf numFmtId="4" fontId="27" fillId="4" borderId="10" xfId="2" applyNumberFormat="1" applyFont="1" applyFill="1" applyBorder="1" applyAlignment="1">
      <alignment horizontal="center" vertical="center"/>
    </xf>
    <xf numFmtId="4" fontId="27" fillId="5" borderId="10" xfId="2" applyNumberFormat="1" applyFont="1" applyFill="1" applyBorder="1" applyAlignment="1">
      <alignment horizontal="center" vertical="center"/>
    </xf>
    <xf numFmtId="49" fontId="28" fillId="6" borderId="4" xfId="2" applyNumberFormat="1" applyFont="1" applyFill="1" applyBorder="1" applyAlignment="1">
      <alignment horizontal="center" vertical="center" wrapText="1"/>
    </xf>
    <xf numFmtId="0" fontId="29" fillId="0" borderId="8" xfId="2" applyFont="1" applyBorder="1" applyAlignment="1">
      <alignment horizontal="center" vertical="center"/>
    </xf>
    <xf numFmtId="0" fontId="27" fillId="0" borderId="8" xfId="2" applyFont="1" applyBorder="1"/>
    <xf numFmtId="4" fontId="29" fillId="0" borderId="8" xfId="2" applyNumberFormat="1" applyFont="1" applyBorder="1" applyAlignment="1">
      <alignment horizontal="center" vertical="center"/>
    </xf>
    <xf numFmtId="4" fontId="29" fillId="4" borderId="8" xfId="2" applyNumberFormat="1" applyFont="1" applyFill="1" applyBorder="1" applyAlignment="1">
      <alignment horizontal="center" vertical="center"/>
    </xf>
    <xf numFmtId="0" fontId="27" fillId="2" borderId="11" xfId="2" applyFont="1" applyFill="1" applyBorder="1"/>
    <xf numFmtId="4" fontId="29" fillId="2" borderId="11" xfId="2" applyNumberFormat="1" applyFont="1" applyFill="1" applyBorder="1" applyAlignment="1">
      <alignment horizontal="center" vertical="center"/>
    </xf>
    <xf numFmtId="164" fontId="27" fillId="2" borderId="11" xfId="2" applyNumberFormat="1" applyFont="1" applyFill="1" applyBorder="1"/>
    <xf numFmtId="4" fontId="29" fillId="2" borderId="12" xfId="2" applyNumberFormat="1" applyFont="1" applyFill="1" applyBorder="1" applyAlignment="1">
      <alignment horizontal="center" vertical="center"/>
    </xf>
    <xf numFmtId="0" fontId="29" fillId="4" borderId="14" xfId="2" applyFont="1" applyFill="1" applyBorder="1" applyAlignment="1">
      <alignment horizontal="center" vertical="center" wrapText="1"/>
    </xf>
    <xf numFmtId="4" fontId="29" fillId="4" borderId="14" xfId="2" applyNumberFormat="1" applyFont="1" applyFill="1" applyBorder="1" applyAlignment="1">
      <alignment horizontal="center" vertical="center" wrapText="1"/>
    </xf>
    <xf numFmtId="0" fontId="32" fillId="4" borderId="14" xfId="2" applyFont="1" applyFill="1" applyBorder="1" applyAlignment="1">
      <alignment horizontal="center" vertical="center" wrapText="1"/>
    </xf>
    <xf numFmtId="4" fontId="32" fillId="4" borderId="14" xfId="2" applyNumberFormat="1" applyFont="1" applyFill="1" applyBorder="1" applyAlignment="1">
      <alignment horizontal="center" vertical="center" wrapText="1"/>
    </xf>
    <xf numFmtId="0" fontId="29" fillId="5" borderId="14" xfId="2" applyFont="1" applyFill="1" applyBorder="1" applyAlignment="1">
      <alignment horizontal="center" vertical="center" wrapText="1"/>
    </xf>
    <xf numFmtId="0" fontId="29" fillId="6" borderId="14" xfId="2" applyFont="1" applyFill="1" applyBorder="1" applyAlignment="1">
      <alignment horizontal="center" vertical="center" wrapText="1"/>
    </xf>
    <xf numFmtId="0" fontId="29" fillId="6" borderId="15" xfId="2" applyFont="1" applyFill="1" applyBorder="1" applyAlignment="1">
      <alignment horizontal="center" vertical="center" wrapText="1"/>
    </xf>
    <xf numFmtId="49" fontId="28" fillId="6" borderId="17" xfId="2" applyNumberFormat="1" applyFont="1" applyFill="1" applyBorder="1" applyAlignment="1">
      <alignment horizontal="center" vertical="center" wrapText="1"/>
    </xf>
    <xf numFmtId="0" fontId="31" fillId="0" borderId="16" xfId="2" applyFont="1" applyBorder="1" applyAlignment="1">
      <alignment horizontal="center" vertical="center"/>
    </xf>
    <xf numFmtId="4" fontId="31" fillId="6" borderId="17" xfId="2" applyNumberFormat="1" applyFont="1" applyFill="1" applyBorder="1" applyAlignment="1">
      <alignment horizontal="center" vertical="center"/>
    </xf>
    <xf numFmtId="4" fontId="27" fillId="6" borderId="17" xfId="2" applyNumberFormat="1" applyFont="1" applyFill="1" applyBorder="1" applyAlignment="1">
      <alignment horizontal="center" vertical="center"/>
    </xf>
    <xf numFmtId="4" fontId="27" fillId="6" borderId="18" xfId="2" applyNumberFormat="1" applyFont="1" applyFill="1" applyBorder="1" applyAlignment="1">
      <alignment horizontal="center" vertical="center"/>
    </xf>
    <xf numFmtId="4" fontId="29" fillId="4" borderId="20" xfId="2" applyNumberFormat="1" applyFont="1" applyFill="1" applyBorder="1" applyAlignment="1">
      <alignment horizontal="center" vertical="center"/>
    </xf>
    <xf numFmtId="0" fontId="31" fillId="0" borderId="22" xfId="2" applyFont="1" applyBorder="1" applyAlignment="1">
      <alignment horizontal="center" vertical="center"/>
    </xf>
    <xf numFmtId="0" fontId="31" fillId="0" borderId="21" xfId="2" applyFont="1" applyBorder="1" applyAlignment="1">
      <alignment horizontal="center" vertical="center"/>
    </xf>
    <xf numFmtId="0" fontId="31" fillId="0" borderId="9" xfId="2" applyFont="1" applyBorder="1" applyAlignment="1">
      <alignment horizontal="left" vertical="center" wrapText="1"/>
    </xf>
    <xf numFmtId="164" fontId="31" fillId="0" borderId="9" xfId="5" applyFont="1" applyFill="1" applyBorder="1" applyAlignment="1">
      <alignment horizontal="center" vertical="center"/>
    </xf>
    <xf numFmtId="167" fontId="31" fillId="0" borderId="9" xfId="2" applyNumberFormat="1" applyFont="1" applyBorder="1" applyAlignment="1">
      <alignment horizontal="center" vertical="center"/>
    </xf>
    <xf numFmtId="4" fontId="26" fillId="0" borderId="9" xfId="2" applyNumberFormat="1" applyFont="1" applyBorder="1" applyAlignment="1">
      <alignment horizontal="center" vertical="center"/>
    </xf>
    <xf numFmtId="4" fontId="27" fillId="4" borderId="9" xfId="2" applyNumberFormat="1" applyFont="1" applyFill="1" applyBorder="1" applyAlignment="1">
      <alignment horizontal="center" vertical="center"/>
    </xf>
    <xf numFmtId="4" fontId="27" fillId="5" borderId="9" xfId="2" applyNumberFormat="1" applyFont="1" applyFill="1" applyBorder="1" applyAlignment="1">
      <alignment horizontal="center" vertical="center"/>
    </xf>
    <xf numFmtId="0" fontId="27" fillId="0" borderId="23" xfId="2" applyFont="1" applyBorder="1"/>
    <xf numFmtId="0" fontId="29" fillId="0" borderId="24" xfId="2" applyFont="1" applyBorder="1" applyAlignment="1">
      <alignment horizontal="center" vertical="center"/>
    </xf>
    <xf numFmtId="0" fontId="27" fillId="0" borderId="24" xfId="2" applyFont="1" applyBorder="1"/>
    <xf numFmtId="4" fontId="29" fillId="0" borderId="24" xfId="2" applyNumberFormat="1" applyFont="1" applyBorder="1" applyAlignment="1">
      <alignment horizontal="center" vertical="center"/>
    </xf>
    <xf numFmtId="164" fontId="27" fillId="0" borderId="24" xfId="2" applyNumberFormat="1" applyFont="1" applyBorder="1"/>
    <xf numFmtId="4" fontId="29" fillId="4" borderId="24" xfId="2" applyNumberFormat="1" applyFont="1" applyFill="1" applyBorder="1" applyAlignment="1">
      <alignment horizontal="center" vertical="center"/>
    </xf>
    <xf numFmtId="4" fontId="29" fillId="4" borderId="25" xfId="2" applyNumberFormat="1" applyFont="1" applyFill="1" applyBorder="1" applyAlignment="1">
      <alignment horizontal="center" vertical="center"/>
    </xf>
    <xf numFmtId="0" fontId="27" fillId="0" borderId="26" xfId="2" applyFont="1" applyBorder="1"/>
    <xf numFmtId="0" fontId="29" fillId="2" borderId="11" xfId="2" applyFont="1" applyFill="1" applyBorder="1" applyAlignment="1">
      <alignment horizontal="center" vertical="center"/>
    </xf>
    <xf numFmtId="0" fontId="27" fillId="2" borderId="27" xfId="2" applyFont="1" applyFill="1" applyBorder="1"/>
    <xf numFmtId="4" fontId="27" fillId="7" borderId="19" xfId="2" applyNumberFormat="1" applyFont="1" applyFill="1" applyBorder="1" applyAlignment="1">
      <alignment horizontal="center" vertical="center"/>
    </xf>
    <xf numFmtId="4" fontId="34" fillId="7" borderId="4" xfId="0" applyNumberFormat="1" applyFont="1" applyFill="1" applyBorder="1" applyAlignment="1">
      <alignment horizontal="center" vertical="center" wrapText="1"/>
    </xf>
    <xf numFmtId="4" fontId="27" fillId="7" borderId="17" xfId="2" applyNumberFormat="1" applyFont="1" applyFill="1" applyBorder="1" applyAlignment="1">
      <alignment horizontal="center" vertical="center"/>
    </xf>
    <xf numFmtId="4" fontId="0" fillId="7" borderId="4" xfId="0" applyNumberFormat="1" applyFill="1" applyBorder="1" applyAlignment="1">
      <alignment horizontal="center" vertical="center" wrapText="1"/>
    </xf>
    <xf numFmtId="4" fontId="27" fillId="7" borderId="18" xfId="2" applyNumberFormat="1" applyFont="1" applyFill="1" applyBorder="1" applyAlignment="1">
      <alignment horizontal="center" vertical="center"/>
    </xf>
    <xf numFmtId="4" fontId="35" fillId="6" borderId="4" xfId="2" applyNumberFormat="1" applyFont="1" applyFill="1" applyBorder="1" applyAlignment="1">
      <alignment horizontal="center" vertical="center"/>
    </xf>
    <xf numFmtId="4" fontId="35" fillId="6" borderId="4" xfId="2" applyNumberFormat="1" applyFont="1" applyFill="1" applyBorder="1" applyAlignment="1">
      <alignment horizontal="center" vertical="center" wrapText="1"/>
    </xf>
    <xf numFmtId="4" fontId="36" fillId="6" borderId="4" xfId="2" applyNumberFormat="1" applyFont="1" applyFill="1" applyBorder="1" applyAlignment="1">
      <alignment horizontal="center" vertical="center"/>
    </xf>
    <xf numFmtId="4" fontId="36" fillId="6" borderId="10" xfId="2" applyNumberFormat="1" applyFont="1" applyFill="1" applyBorder="1" applyAlignment="1">
      <alignment horizontal="center" vertical="center"/>
    </xf>
    <xf numFmtId="4" fontId="35" fillId="6" borderId="10" xfId="2" applyNumberFormat="1" applyFont="1" applyFill="1" applyBorder="1" applyAlignment="1">
      <alignment horizontal="center" vertical="center"/>
    </xf>
    <xf numFmtId="4" fontId="37" fillId="4" borderId="24" xfId="2" applyNumberFormat="1" applyFont="1" applyFill="1" applyBorder="1" applyAlignment="1">
      <alignment horizontal="center" vertical="center"/>
    </xf>
    <xf numFmtId="4" fontId="38" fillId="7" borderId="4" xfId="0" applyNumberFormat="1" applyFont="1" applyFill="1" applyBorder="1" applyAlignment="1">
      <alignment horizontal="center" vertical="center" wrapText="1"/>
    </xf>
    <xf numFmtId="4" fontId="35" fillId="7" borderId="9" xfId="2" applyNumberFormat="1" applyFont="1" applyFill="1" applyBorder="1" applyAlignment="1">
      <alignment horizontal="center" vertical="center"/>
    </xf>
    <xf numFmtId="0" fontId="36" fillId="7" borderId="4" xfId="2" applyFont="1" applyFill="1" applyBorder="1" applyAlignment="1">
      <alignment horizontal="center" vertical="center"/>
    </xf>
    <xf numFmtId="4" fontId="35" fillId="7" borderId="4" xfId="2" applyNumberFormat="1" applyFont="1" applyFill="1" applyBorder="1" applyAlignment="1">
      <alignment horizontal="center" vertical="center"/>
    </xf>
    <xf numFmtId="4" fontId="39" fillId="7" borderId="4" xfId="0" applyNumberFormat="1" applyFont="1" applyFill="1" applyBorder="1" applyAlignment="1">
      <alignment horizontal="center" vertical="top" wrapText="1"/>
    </xf>
    <xf numFmtId="4" fontId="40" fillId="7" borderId="4" xfId="0" applyNumberFormat="1" applyFont="1" applyFill="1" applyBorder="1" applyAlignment="1">
      <alignment horizontal="center" vertical="center" wrapText="1"/>
    </xf>
    <xf numFmtId="4" fontId="41" fillId="7" borderId="4" xfId="0" applyNumberFormat="1" applyFont="1" applyFill="1" applyBorder="1" applyAlignment="1">
      <alignment horizontal="center" vertical="center" wrapText="1"/>
    </xf>
    <xf numFmtId="0" fontId="41" fillId="7" borderId="4" xfId="0" applyFont="1" applyFill="1" applyBorder="1" applyAlignment="1">
      <alignment wrapText="1"/>
    </xf>
    <xf numFmtId="0" fontId="41" fillId="7" borderId="10" xfId="0" applyFont="1" applyFill="1" applyBorder="1" applyAlignment="1">
      <alignment wrapText="1"/>
    </xf>
    <xf numFmtId="4" fontId="35" fillId="7" borderId="10" xfId="2" applyNumberFormat="1" applyFont="1" applyFill="1" applyBorder="1" applyAlignment="1">
      <alignment horizontal="center" vertical="center"/>
    </xf>
    <xf numFmtId="0" fontId="26" fillId="0" borderId="0" xfId="3" applyFont="1" applyAlignment="1">
      <alignment horizontal="center" vertical="center"/>
    </xf>
    <xf numFmtId="164" fontId="43" fillId="0" borderId="4" xfId="5" applyFont="1" applyFill="1" applyBorder="1" applyAlignment="1">
      <alignment horizontal="center" vertical="center"/>
    </xf>
    <xf numFmtId="164" fontId="43" fillId="0" borderId="10" xfId="5" applyFont="1" applyFill="1" applyBorder="1" applyAlignment="1">
      <alignment horizontal="center" vertical="center"/>
    </xf>
    <xf numFmtId="4" fontId="27" fillId="0" borderId="0" xfId="7" applyNumberFormat="1" applyFont="1" applyAlignment="1">
      <alignment horizontal="center" vertical="center"/>
    </xf>
    <xf numFmtId="0" fontId="27" fillId="0" borderId="0" xfId="7" applyFont="1"/>
    <xf numFmtId="0" fontId="27" fillId="0" borderId="0" xfId="7" applyFont="1" applyAlignment="1">
      <alignment horizontal="center" vertical="center"/>
    </xf>
    <xf numFmtId="0" fontId="27" fillId="0" borderId="4" xfId="7" applyFont="1" applyBorder="1" applyAlignment="1">
      <alignment horizontal="center" vertical="center"/>
    </xf>
    <xf numFmtId="0" fontId="29" fillId="4" borderId="4" xfId="7" applyFont="1" applyFill="1" applyBorder="1" applyAlignment="1">
      <alignment horizontal="center" vertical="center" wrapText="1"/>
    </xf>
    <xf numFmtId="4" fontId="29" fillId="4" borderId="4" xfId="7" applyNumberFormat="1" applyFont="1" applyFill="1" applyBorder="1" applyAlignment="1">
      <alignment horizontal="center" vertical="center" wrapText="1"/>
    </xf>
    <xf numFmtId="0" fontId="32" fillId="4" borderId="4" xfId="7" applyFont="1" applyFill="1" applyBorder="1" applyAlignment="1">
      <alignment horizontal="center" vertical="center" wrapText="1"/>
    </xf>
    <xf numFmtId="4" fontId="32" fillId="4" borderId="4" xfId="7" applyNumberFormat="1" applyFont="1" applyFill="1" applyBorder="1" applyAlignment="1">
      <alignment horizontal="center" vertical="center" wrapText="1"/>
    </xf>
    <xf numFmtId="0" fontId="29" fillId="5" borderId="4" xfId="7" applyFont="1" applyFill="1" applyBorder="1" applyAlignment="1">
      <alignment horizontal="center" vertical="center" wrapText="1"/>
    </xf>
    <xf numFmtId="49" fontId="28" fillId="4" borderId="4" xfId="7" applyNumberFormat="1" applyFont="1" applyFill="1" applyBorder="1" applyAlignment="1">
      <alignment horizontal="center" vertical="center" wrapText="1"/>
    </xf>
    <xf numFmtId="49" fontId="28" fillId="5" borderId="4" xfId="7" applyNumberFormat="1" applyFont="1" applyFill="1" applyBorder="1" applyAlignment="1">
      <alignment horizontal="center" vertical="center" wrapText="1"/>
    </xf>
    <xf numFmtId="0" fontId="31" fillId="0" borderId="4" xfId="7" applyFont="1" applyBorder="1" applyAlignment="1">
      <alignment horizontal="center" vertical="center"/>
    </xf>
    <xf numFmtId="0" fontId="29" fillId="0" borderId="4" xfId="7" applyFont="1" applyBorder="1" applyAlignment="1">
      <alignment horizontal="center" vertical="center"/>
    </xf>
    <xf numFmtId="0" fontId="31" fillId="0" borderId="4" xfId="7" applyFont="1" applyBorder="1" applyAlignment="1">
      <alignment horizontal="left" vertical="center" wrapText="1"/>
    </xf>
    <xf numFmtId="164" fontId="31" fillId="0" borderId="4" xfId="8" applyFont="1" applyFill="1" applyBorder="1" applyAlignment="1">
      <alignment horizontal="center" vertical="center"/>
    </xf>
    <xf numFmtId="167" fontId="31" fillId="0" borderId="4" xfId="7" applyNumberFormat="1" applyFont="1" applyBorder="1" applyAlignment="1">
      <alignment horizontal="center" vertical="center"/>
    </xf>
    <xf numFmtId="4" fontId="26" fillId="0" borderId="4" xfId="7" applyNumberFormat="1" applyFont="1" applyBorder="1" applyAlignment="1">
      <alignment horizontal="center" vertical="center"/>
    </xf>
    <xf numFmtId="4" fontId="27" fillId="4" borderId="4" xfId="7" applyNumberFormat="1" applyFont="1" applyFill="1" applyBorder="1" applyAlignment="1">
      <alignment horizontal="center" vertical="center"/>
    </xf>
    <xf numFmtId="4" fontId="27" fillId="5" borderId="4" xfId="7" applyNumberFormat="1" applyFont="1" applyFill="1" applyBorder="1" applyAlignment="1">
      <alignment horizontal="center" vertical="center"/>
    </xf>
    <xf numFmtId="4" fontId="31" fillId="5" borderId="4" xfId="7" applyNumberFormat="1" applyFont="1" applyFill="1" applyBorder="1" applyAlignment="1">
      <alignment horizontal="center" vertical="center"/>
    </xf>
    <xf numFmtId="14" fontId="29" fillId="0" borderId="4" xfId="7" applyNumberFormat="1" applyFont="1" applyBorder="1" applyAlignment="1">
      <alignment horizontal="center" vertical="center"/>
    </xf>
    <xf numFmtId="0" fontId="29" fillId="0" borderId="10" xfId="7" applyFont="1" applyBorder="1" applyAlignment="1">
      <alignment horizontal="center" vertical="center"/>
    </xf>
    <xf numFmtId="0" fontId="31" fillId="0" borderId="10" xfId="7" applyFont="1" applyBorder="1" applyAlignment="1">
      <alignment horizontal="left" vertical="center" wrapText="1"/>
    </xf>
    <xf numFmtId="164" fontId="31" fillId="0" borderId="10" xfId="8" applyFont="1" applyFill="1" applyBorder="1" applyAlignment="1">
      <alignment horizontal="center" vertical="center"/>
    </xf>
    <xf numFmtId="167" fontId="31" fillId="0" borderId="10" xfId="7" applyNumberFormat="1" applyFont="1" applyBorder="1" applyAlignment="1">
      <alignment horizontal="center" vertical="center"/>
    </xf>
    <xf numFmtId="4" fontId="26" fillId="0" borderId="10" xfId="7" applyNumberFormat="1" applyFont="1" applyBorder="1" applyAlignment="1">
      <alignment horizontal="center" vertical="center"/>
    </xf>
    <xf numFmtId="4" fontId="27" fillId="4" borderId="10" xfId="7" applyNumberFormat="1" applyFont="1" applyFill="1" applyBorder="1" applyAlignment="1">
      <alignment horizontal="center" vertical="center"/>
    </xf>
    <xf numFmtId="4" fontId="27" fillId="5" borderId="10" xfId="7" applyNumberFormat="1" applyFont="1" applyFill="1" applyBorder="1" applyAlignment="1">
      <alignment horizontal="center" vertical="center"/>
    </xf>
    <xf numFmtId="4" fontId="31" fillId="5" borderId="10" xfId="7" applyNumberFormat="1" applyFont="1" applyFill="1" applyBorder="1" applyAlignment="1">
      <alignment horizontal="center" vertical="center"/>
    </xf>
    <xf numFmtId="0" fontId="27" fillId="0" borderId="4" xfId="7" applyFont="1" applyBorder="1"/>
    <xf numFmtId="0" fontId="29" fillId="0" borderId="9" xfId="7" applyFont="1" applyBorder="1" applyAlignment="1">
      <alignment horizontal="center" vertical="center"/>
    </xf>
    <xf numFmtId="0" fontId="27" fillId="0" borderId="9" xfId="7" applyFont="1" applyBorder="1"/>
    <xf numFmtId="4" fontId="29" fillId="0" borderId="9" xfId="7" applyNumberFormat="1" applyFont="1" applyBorder="1" applyAlignment="1">
      <alignment horizontal="center" vertical="center"/>
    </xf>
    <xf numFmtId="164" fontId="27" fillId="0" borderId="9" xfId="7" applyNumberFormat="1" applyFont="1" applyBorder="1"/>
    <xf numFmtId="4" fontId="29" fillId="4" borderId="9" xfId="7" applyNumberFormat="1" applyFont="1" applyFill="1" applyBorder="1" applyAlignment="1">
      <alignment horizontal="center" vertical="center"/>
    </xf>
    <xf numFmtId="0" fontId="29" fillId="0" borderId="0" xfId="7" applyFont="1" applyAlignment="1">
      <alignment horizontal="center" vertical="center"/>
    </xf>
    <xf numFmtId="4" fontId="29" fillId="0" borderId="0" xfId="7" applyNumberFormat="1" applyFont="1" applyAlignment="1">
      <alignment horizontal="center" vertical="center"/>
    </xf>
    <xf numFmtId="164" fontId="27" fillId="0" borderId="0" xfId="7" applyNumberFormat="1" applyFont="1"/>
    <xf numFmtId="4" fontId="27" fillId="0" borderId="0" xfId="7" applyNumberFormat="1" applyFont="1"/>
    <xf numFmtId="165" fontId="27" fillId="0" borderId="0" xfId="7" applyNumberFormat="1" applyFont="1"/>
    <xf numFmtId="2" fontId="27" fillId="0" borderId="0" xfId="7" applyNumberFormat="1" applyFont="1"/>
    <xf numFmtId="0" fontId="42" fillId="0" borderId="16" xfId="2" applyFont="1" applyBorder="1" applyAlignment="1">
      <alignment horizontal="center" vertical="center"/>
    </xf>
    <xf numFmtId="0" fontId="42" fillId="0" borderId="4" xfId="2" applyFont="1" applyBorder="1" applyAlignment="1">
      <alignment horizontal="left" vertical="center" wrapText="1"/>
    </xf>
    <xf numFmtId="4" fontId="32" fillId="0" borderId="4" xfId="2" applyNumberFormat="1" applyFont="1" applyBorder="1" applyAlignment="1">
      <alignment horizontal="center" vertical="center"/>
    </xf>
    <xf numFmtId="4" fontId="42" fillId="5" borderId="4" xfId="2" applyNumberFormat="1" applyFont="1" applyFill="1" applyBorder="1" applyAlignment="1">
      <alignment horizontal="center" vertical="center"/>
    </xf>
    <xf numFmtId="4" fontId="42" fillId="6" borderId="17" xfId="2" applyNumberFormat="1" applyFont="1" applyFill="1" applyBorder="1" applyAlignment="1">
      <alignment horizontal="center" vertical="center"/>
    </xf>
    <xf numFmtId="4" fontId="44" fillId="6" borderId="4" xfId="2" applyNumberFormat="1" applyFont="1" applyFill="1" applyBorder="1" applyAlignment="1">
      <alignment horizontal="center" vertical="center" wrapText="1"/>
    </xf>
    <xf numFmtId="0" fontId="45" fillId="0" borderId="0" xfId="2" applyFont="1" applyAlignment="1">
      <alignment vertical="center" wrapText="1" shrinkToFit="1"/>
    </xf>
    <xf numFmtId="4" fontId="45" fillId="0" borderId="0" xfId="2" applyNumberFormat="1" applyFont="1" applyAlignment="1">
      <alignment vertical="center" wrapText="1" shrinkToFit="1"/>
    </xf>
    <xf numFmtId="0" fontId="46" fillId="0" borderId="0" xfId="2" applyFont="1" applyAlignment="1">
      <alignment vertical="center" wrapText="1" shrinkToFit="1"/>
    </xf>
    <xf numFmtId="4" fontId="0" fillId="7" borderId="17" xfId="0" applyNumberFormat="1" applyFill="1" applyBorder="1" applyAlignment="1">
      <alignment horizontal="center" vertical="center" wrapText="1"/>
    </xf>
    <xf numFmtId="4" fontId="34" fillId="7" borderId="17" xfId="0" applyNumberFormat="1" applyFont="1" applyFill="1" applyBorder="1" applyAlignment="1">
      <alignment horizontal="center" vertical="center" wrapText="1"/>
    </xf>
    <xf numFmtId="4" fontId="27" fillId="2" borderId="4" xfId="2" applyNumberFormat="1" applyFont="1" applyFill="1" applyBorder="1" applyAlignment="1">
      <alignment horizontal="center" vertical="center"/>
    </xf>
    <xf numFmtId="4" fontId="35" fillId="2" borderId="4" xfId="2" applyNumberFormat="1" applyFont="1" applyFill="1" applyBorder="1" applyAlignment="1">
      <alignment horizontal="center" vertical="center"/>
    </xf>
    <xf numFmtId="4" fontId="27" fillId="2" borderId="17" xfId="2" applyNumberFormat="1" applyFont="1" applyFill="1" applyBorder="1" applyAlignment="1">
      <alignment horizontal="center" vertical="center"/>
    </xf>
    <xf numFmtId="0" fontId="32" fillId="8" borderId="4" xfId="2" applyFont="1" applyFill="1" applyBorder="1" applyAlignment="1">
      <alignment horizontal="center" vertical="center"/>
    </xf>
    <xf numFmtId="0" fontId="29" fillId="8" borderId="4" xfId="2" applyFont="1" applyFill="1" applyBorder="1" applyAlignment="1">
      <alignment horizontal="center" vertical="center"/>
    </xf>
    <xf numFmtId="49" fontId="29" fillId="8" borderId="4" xfId="2" applyNumberFormat="1" applyFont="1" applyFill="1" applyBorder="1" applyAlignment="1">
      <alignment horizontal="center" vertical="center"/>
    </xf>
    <xf numFmtId="0" fontId="29" fillId="8" borderId="10" xfId="2" applyFont="1" applyFill="1" applyBorder="1" applyAlignment="1">
      <alignment horizontal="center" vertical="center"/>
    </xf>
    <xf numFmtId="0" fontId="45" fillId="9" borderId="0" xfId="2" applyFont="1" applyFill="1" applyAlignment="1">
      <alignment vertical="center" wrapText="1" shrinkToFit="1"/>
    </xf>
    <xf numFmtId="0" fontId="45" fillId="10" borderId="0" xfId="2" applyFont="1" applyFill="1" applyAlignment="1">
      <alignment vertical="center" wrapText="1" shrinkToFit="1"/>
    </xf>
    <xf numFmtId="4" fontId="35" fillId="11" borderId="4" xfId="2" applyNumberFormat="1" applyFont="1" applyFill="1" applyBorder="1" applyAlignment="1">
      <alignment horizontal="center" vertical="center" wrapText="1"/>
    </xf>
    <xf numFmtId="4" fontId="36" fillId="11" borderId="4" xfId="2" applyNumberFormat="1" applyFont="1" applyFill="1" applyBorder="1" applyAlignment="1">
      <alignment horizontal="center" vertical="center"/>
    </xf>
    <xf numFmtId="0" fontId="42" fillId="12" borderId="16" xfId="2" applyFont="1" applyFill="1" applyBorder="1" applyAlignment="1">
      <alignment horizontal="center" vertical="center"/>
    </xf>
    <xf numFmtId="0" fontId="32" fillId="12" borderId="4" xfId="2" applyFont="1" applyFill="1" applyBorder="1" applyAlignment="1">
      <alignment horizontal="center" vertical="center"/>
    </xf>
    <xf numFmtId="0" fontId="42" fillId="12" borderId="4" xfId="2" applyFont="1" applyFill="1" applyBorder="1" applyAlignment="1">
      <alignment horizontal="left" vertical="center" wrapText="1"/>
    </xf>
    <xf numFmtId="164" fontId="43" fillId="12" borderId="4" xfId="5" applyFont="1" applyFill="1" applyBorder="1" applyAlignment="1">
      <alignment horizontal="center" vertical="center"/>
    </xf>
    <xf numFmtId="167" fontId="31" fillId="12" borderId="4" xfId="2" applyNumberFormat="1" applyFont="1" applyFill="1" applyBorder="1" applyAlignment="1">
      <alignment horizontal="center" vertical="center"/>
    </xf>
    <xf numFmtId="4" fontId="32" fillId="12" borderId="4" xfId="2" applyNumberFormat="1" applyFont="1" applyFill="1" applyBorder="1" applyAlignment="1">
      <alignment horizontal="center" vertical="center"/>
    </xf>
    <xf numFmtId="4" fontId="27" fillId="12" borderId="4" xfId="2" applyNumberFormat="1" applyFont="1" applyFill="1" applyBorder="1" applyAlignment="1">
      <alignment horizontal="center" vertical="center"/>
    </xf>
    <xf numFmtId="4" fontId="42" fillId="12" borderId="4" xfId="2" applyNumberFormat="1" applyFont="1" applyFill="1" applyBorder="1" applyAlignment="1">
      <alignment horizontal="center" vertical="center"/>
    </xf>
    <xf numFmtId="4" fontId="44" fillId="12" borderId="4" xfId="2" applyNumberFormat="1" applyFont="1" applyFill="1" applyBorder="1" applyAlignment="1">
      <alignment horizontal="center" vertical="center" wrapText="1"/>
    </xf>
    <xf numFmtId="4" fontId="42" fillId="12" borderId="17" xfId="2" applyNumberFormat="1" applyFont="1" applyFill="1" applyBorder="1" applyAlignment="1">
      <alignment horizontal="center" vertical="center"/>
    </xf>
    <xf numFmtId="4" fontId="44" fillId="12" borderId="4" xfId="2" applyNumberFormat="1" applyFont="1" applyFill="1" applyBorder="1" applyAlignment="1">
      <alignment horizontal="center" vertical="center"/>
    </xf>
    <xf numFmtId="4" fontId="35" fillId="12" borderId="4" xfId="2" applyNumberFormat="1" applyFont="1" applyFill="1" applyBorder="1" applyAlignment="1">
      <alignment horizontal="center" vertical="center"/>
    </xf>
    <xf numFmtId="4" fontId="27" fillId="12" borderId="17" xfId="2" applyNumberFormat="1" applyFont="1" applyFill="1" applyBorder="1" applyAlignment="1">
      <alignment horizontal="center" vertical="center"/>
    </xf>
    <xf numFmtId="4" fontId="35" fillId="12" borderId="4" xfId="2" applyNumberFormat="1" applyFont="1" applyFill="1" applyBorder="1" applyAlignment="1">
      <alignment horizontal="center" vertical="center" wrapText="1"/>
    </xf>
    <xf numFmtId="0" fontId="45" fillId="3" borderId="0" xfId="2" applyFont="1" applyFill="1" applyAlignment="1">
      <alignment vertical="center" wrapText="1" shrinkToFit="1"/>
    </xf>
    <xf numFmtId="0" fontId="48" fillId="0" borderId="0" xfId="2" applyFont="1" applyAlignment="1">
      <alignment vertical="center" wrapText="1" shrinkToFit="1"/>
    </xf>
    <xf numFmtId="4" fontId="27" fillId="6" borderId="17" xfId="2" applyNumberFormat="1" applyFont="1" applyFill="1" applyBorder="1" applyAlignment="1">
      <alignment horizontal="center" vertical="center" wrapText="1"/>
    </xf>
    <xf numFmtId="4" fontId="27" fillId="6" borderId="18" xfId="2" applyNumberFormat="1" applyFont="1" applyFill="1" applyBorder="1" applyAlignment="1">
      <alignment horizontal="center" vertical="center" wrapText="1"/>
    </xf>
    <xf numFmtId="4" fontId="29" fillId="4" borderId="25" xfId="2" applyNumberFormat="1" applyFont="1" applyFill="1" applyBorder="1" applyAlignment="1">
      <alignment horizontal="center" vertical="center" wrapText="1"/>
    </xf>
    <xf numFmtId="4" fontId="27" fillId="7" borderId="19" xfId="2" applyNumberFormat="1" applyFont="1" applyFill="1" applyBorder="1" applyAlignment="1">
      <alignment horizontal="center" vertical="center" wrapText="1"/>
    </xf>
    <xf numFmtId="4" fontId="27" fillId="2" borderId="17" xfId="2" applyNumberFormat="1" applyFont="1" applyFill="1" applyBorder="1" applyAlignment="1">
      <alignment horizontal="center" vertical="center" wrapText="1"/>
    </xf>
    <xf numFmtId="4" fontId="27" fillId="7" borderId="17" xfId="2" applyNumberFormat="1" applyFont="1" applyFill="1" applyBorder="1" applyAlignment="1">
      <alignment horizontal="center" vertical="center" wrapText="1"/>
    </xf>
    <xf numFmtId="4" fontId="27" fillId="7" borderId="18" xfId="2" applyNumberFormat="1" applyFont="1" applyFill="1" applyBorder="1" applyAlignment="1">
      <alignment horizontal="center" vertical="center" wrapText="1"/>
    </xf>
    <xf numFmtId="4" fontId="29" fillId="4" borderId="20" xfId="2" applyNumberFormat="1" applyFont="1" applyFill="1" applyBorder="1" applyAlignment="1">
      <alignment horizontal="center" vertical="center" wrapText="1"/>
    </xf>
    <xf numFmtId="4" fontId="29" fillId="2" borderId="12" xfId="2" applyNumberFormat="1" applyFont="1" applyFill="1" applyBorder="1" applyAlignment="1">
      <alignment horizontal="center" vertical="center" wrapText="1"/>
    </xf>
    <xf numFmtId="0" fontId="31" fillId="3" borderId="16" xfId="2" applyFont="1" applyFill="1" applyBorder="1" applyAlignment="1">
      <alignment horizontal="center" vertical="center"/>
    </xf>
    <xf numFmtId="0" fontId="29" fillId="3" borderId="4" xfId="2" applyFont="1" applyFill="1" applyBorder="1" applyAlignment="1">
      <alignment horizontal="center" vertical="center"/>
    </xf>
    <xf numFmtId="0" fontId="31" fillId="3" borderId="4" xfId="2" applyFont="1" applyFill="1" applyBorder="1" applyAlignment="1">
      <alignment horizontal="left" vertical="center" wrapText="1"/>
    </xf>
    <xf numFmtId="164" fontId="31" fillId="3" borderId="4" xfId="5" applyFont="1" applyFill="1" applyBorder="1" applyAlignment="1">
      <alignment horizontal="center" vertical="center"/>
    </xf>
    <xf numFmtId="167" fontId="31" fillId="3" borderId="4" xfId="2" applyNumberFormat="1" applyFont="1" applyFill="1" applyBorder="1" applyAlignment="1">
      <alignment horizontal="center" vertical="center"/>
    </xf>
    <xf numFmtId="4" fontId="26" fillId="3" borderId="4" xfId="2" applyNumberFormat="1" applyFont="1" applyFill="1" applyBorder="1" applyAlignment="1">
      <alignment horizontal="center" vertical="center"/>
    </xf>
    <xf numFmtId="0" fontId="36" fillId="7" borderId="4" xfId="2" applyFont="1" applyFill="1" applyBorder="1" applyAlignment="1">
      <alignment horizontal="center" vertical="center" wrapText="1"/>
    </xf>
    <xf numFmtId="4" fontId="49" fillId="6" borderId="17" xfId="2" applyNumberFormat="1" applyFont="1" applyFill="1" applyBorder="1" applyAlignment="1">
      <alignment horizontal="center" vertical="center"/>
    </xf>
    <xf numFmtId="4" fontId="35" fillId="7" borderId="4" xfId="2" applyNumberFormat="1" applyFont="1" applyFill="1" applyBorder="1" applyAlignment="1">
      <alignment horizontal="center" vertical="center" wrapText="1"/>
    </xf>
    <xf numFmtId="4" fontId="35" fillId="7" borderId="9" xfId="2" applyNumberFormat="1" applyFont="1" applyFill="1" applyBorder="1" applyAlignment="1">
      <alignment horizontal="center" vertical="center" wrapText="1"/>
    </xf>
    <xf numFmtId="4" fontId="27" fillId="13" borderId="4" xfId="2" applyNumberFormat="1" applyFont="1" applyFill="1" applyBorder="1" applyAlignment="1">
      <alignment horizontal="center" vertical="center"/>
    </xf>
    <xf numFmtId="4" fontId="35" fillId="13" borderId="4" xfId="2" applyNumberFormat="1" applyFont="1" applyFill="1" applyBorder="1" applyAlignment="1">
      <alignment horizontal="center" vertical="center" wrapText="1"/>
    </xf>
    <xf numFmtId="4" fontId="44" fillId="13" borderId="4" xfId="2" applyNumberFormat="1" applyFont="1" applyFill="1" applyBorder="1" applyAlignment="1">
      <alignment horizontal="center" vertical="center" wrapText="1"/>
    </xf>
    <xf numFmtId="4" fontId="27" fillId="13" borderId="17" xfId="2" applyNumberFormat="1" applyFont="1" applyFill="1" applyBorder="1" applyAlignment="1">
      <alignment horizontal="center" vertical="center"/>
    </xf>
    <xf numFmtId="0" fontId="46" fillId="13" borderId="0" xfId="2" applyFont="1" applyFill="1" applyAlignment="1">
      <alignment vertical="center" wrapText="1" shrinkToFit="1"/>
    </xf>
    <xf numFmtId="4" fontId="29" fillId="13" borderId="17" xfId="2" applyNumberFormat="1" applyFont="1" applyFill="1" applyBorder="1" applyAlignment="1">
      <alignment horizontal="center" vertical="center"/>
    </xf>
    <xf numFmtId="4" fontId="29" fillId="13" borderId="17" xfId="2" applyNumberFormat="1" applyFont="1" applyFill="1" applyBorder="1" applyAlignment="1">
      <alignment horizontal="center" vertical="center" wrapText="1"/>
    </xf>
    <xf numFmtId="4" fontId="42" fillId="13" borderId="4" xfId="2" applyNumberFormat="1" applyFont="1" applyFill="1" applyBorder="1" applyAlignment="1">
      <alignment horizontal="center" vertical="center"/>
    </xf>
    <xf numFmtId="4" fontId="42" fillId="13" borderId="17" xfId="2" applyNumberFormat="1" applyFont="1" applyFill="1" applyBorder="1" applyAlignment="1">
      <alignment horizontal="center" vertical="center"/>
    </xf>
    <xf numFmtId="0" fontId="45" fillId="13" borderId="0" xfId="2" applyFont="1" applyFill="1" applyAlignment="1">
      <alignment vertical="center" wrapText="1" shrinkToFit="1"/>
    </xf>
    <xf numFmtId="4" fontId="44" fillId="13" borderId="4" xfId="2" applyNumberFormat="1" applyFont="1" applyFill="1" applyBorder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7" fillId="0" borderId="13" xfId="2" applyFont="1" applyBorder="1" applyAlignment="1">
      <alignment horizontal="center" vertical="center"/>
    </xf>
    <xf numFmtId="0" fontId="27" fillId="0" borderId="16" xfId="2" applyFont="1" applyBorder="1" applyAlignment="1">
      <alignment horizontal="center" vertical="center"/>
    </xf>
    <xf numFmtId="0" fontId="27" fillId="0" borderId="14" xfId="2" applyFont="1" applyBorder="1" applyAlignment="1">
      <alignment horizontal="center" vertical="center"/>
    </xf>
    <xf numFmtId="0" fontId="27" fillId="0" borderId="4" xfId="2" applyFont="1" applyBorder="1" applyAlignment="1">
      <alignment horizontal="center" vertical="center"/>
    </xf>
    <xf numFmtId="0" fontId="27" fillId="0" borderId="14" xfId="2" applyFont="1" applyBorder="1" applyAlignment="1">
      <alignment horizontal="center" vertical="center" wrapText="1"/>
    </xf>
    <xf numFmtId="0" fontId="27" fillId="0" borderId="4" xfId="2" applyFont="1" applyBorder="1" applyAlignment="1">
      <alignment horizontal="center" vertical="center" wrapText="1"/>
    </xf>
    <xf numFmtId="0" fontId="26" fillId="3" borderId="4" xfId="2" applyFont="1" applyFill="1" applyBorder="1" applyAlignment="1">
      <alignment horizontal="center" vertical="center"/>
    </xf>
    <xf numFmtId="4" fontId="31" fillId="3" borderId="4" xfId="2" applyNumberFormat="1" applyFont="1" applyFill="1" applyBorder="1" applyAlignment="1">
      <alignment horizontal="center" vertical="center"/>
    </xf>
    <xf numFmtId="4" fontId="31" fillId="3" borderId="17" xfId="2" applyNumberFormat="1" applyFont="1" applyFill="1" applyBorder="1" applyAlignment="1">
      <alignment horizontal="center" vertical="center"/>
    </xf>
    <xf numFmtId="4" fontId="26" fillId="3" borderId="17" xfId="2" applyNumberFormat="1" applyFont="1" applyFill="1" applyBorder="1" applyAlignment="1">
      <alignment horizontal="center" vertical="center"/>
    </xf>
    <xf numFmtId="0" fontId="27" fillId="8" borderId="23" xfId="2" applyFont="1" applyFill="1" applyBorder="1"/>
    <xf numFmtId="0" fontId="29" fillId="8" borderId="24" xfId="2" applyFont="1" applyFill="1" applyBorder="1" applyAlignment="1">
      <alignment horizontal="center" vertical="center"/>
    </xf>
    <xf numFmtId="0" fontId="27" fillId="8" borderId="24" xfId="2" applyFont="1" applyFill="1" applyBorder="1"/>
    <xf numFmtId="4" fontId="29" fillId="8" borderId="24" xfId="2" applyNumberFormat="1" applyFont="1" applyFill="1" applyBorder="1" applyAlignment="1">
      <alignment horizontal="center" vertical="center"/>
    </xf>
    <xf numFmtId="164" fontId="27" fillId="8" borderId="24" xfId="2" applyNumberFormat="1" applyFont="1" applyFill="1" applyBorder="1"/>
    <xf numFmtId="4" fontId="29" fillId="8" borderId="25" xfId="2" applyNumberFormat="1" applyFont="1" applyFill="1" applyBorder="1" applyAlignment="1">
      <alignment horizontal="center" vertical="center"/>
    </xf>
    <xf numFmtId="0" fontId="27" fillId="0" borderId="0" xfId="2" applyFont="1" applyAlignment="1">
      <alignment wrapText="1"/>
    </xf>
    <xf numFmtId="0" fontId="27" fillId="0" borderId="0" xfId="2" applyFont="1" applyAlignment="1">
      <alignment horizontal="center" vertical="center" wrapText="1"/>
    </xf>
    <xf numFmtId="4" fontId="27" fillId="0" borderId="0" xfId="2" applyNumberFormat="1" applyFont="1" applyAlignment="1">
      <alignment horizontal="center" vertical="center" wrapText="1"/>
    </xf>
    <xf numFmtId="0" fontId="27" fillId="0" borderId="4" xfId="2" applyFont="1" applyBorder="1" applyAlignment="1">
      <alignment wrapText="1"/>
    </xf>
    <xf numFmtId="0" fontId="27" fillId="0" borderId="4" xfId="2" applyFont="1" applyBorder="1" applyAlignment="1">
      <alignment vertical="center" wrapText="1"/>
    </xf>
    <xf numFmtId="4" fontId="26" fillId="8" borderId="24" xfId="2" applyNumberFormat="1" applyFont="1" applyFill="1" applyBorder="1" applyAlignment="1">
      <alignment horizontal="center" vertical="center"/>
    </xf>
    <xf numFmtId="4" fontId="26" fillId="8" borderId="25" xfId="2" applyNumberFormat="1" applyFont="1" applyFill="1" applyBorder="1" applyAlignment="1">
      <alignment horizontal="center" vertical="center"/>
    </xf>
    <xf numFmtId="0" fontId="50" fillId="0" borderId="4" xfId="0" applyFont="1" applyBorder="1" applyAlignment="1">
      <alignment horizontal="center" vertical="center" wrapText="1"/>
    </xf>
    <xf numFmtId="0" fontId="45" fillId="0" borderId="0" xfId="2" applyFont="1"/>
    <xf numFmtId="49" fontId="27" fillId="4" borderId="4" xfId="2" applyNumberFormat="1" applyFont="1" applyFill="1" applyBorder="1" applyAlignment="1">
      <alignment horizontal="center" vertical="center" wrapText="1"/>
    </xf>
    <xf numFmtId="49" fontId="27" fillId="5" borderId="4" xfId="2" applyNumberFormat="1" applyFont="1" applyFill="1" applyBorder="1" applyAlignment="1">
      <alignment horizontal="center" vertical="center" wrapText="1"/>
    </xf>
    <xf numFmtId="49" fontId="27" fillId="6" borderId="17" xfId="2" applyNumberFormat="1" applyFont="1" applyFill="1" applyBorder="1" applyAlignment="1">
      <alignment horizontal="center" vertical="center" wrapText="1"/>
    </xf>
    <xf numFmtId="49" fontId="29" fillId="6" borderId="15" xfId="2" applyNumberFormat="1" applyFont="1" applyFill="1" applyBorder="1" applyAlignment="1">
      <alignment horizontal="center" vertical="center" wrapText="1"/>
    </xf>
    <xf numFmtId="0" fontId="26" fillId="0" borderId="0" xfId="3" applyFont="1" applyAlignment="1">
      <alignment horizontal="center" vertical="center"/>
    </xf>
    <xf numFmtId="0" fontId="27" fillId="0" borderId="16" xfId="2" applyFont="1" applyBorder="1" applyAlignment="1">
      <alignment horizontal="center" vertical="center"/>
    </xf>
    <xf numFmtId="0" fontId="27" fillId="0" borderId="14" xfId="2" applyFont="1" applyBorder="1" applyAlignment="1">
      <alignment horizontal="center" vertical="center"/>
    </xf>
    <xf numFmtId="0" fontId="27" fillId="0" borderId="4" xfId="2" applyFont="1" applyBorder="1" applyAlignment="1">
      <alignment horizontal="center" vertical="center"/>
    </xf>
    <xf numFmtId="0" fontId="27" fillId="0" borderId="4" xfId="2" applyFont="1" applyBorder="1" applyAlignment="1">
      <alignment horizontal="center" vertical="center" wrapText="1"/>
    </xf>
    <xf numFmtId="0" fontId="31" fillId="2" borderId="16" xfId="2" applyFont="1" applyFill="1" applyBorder="1" applyAlignment="1">
      <alignment horizontal="center" vertical="center"/>
    </xf>
    <xf numFmtId="0" fontId="29" fillId="2" borderId="4" xfId="2" applyFont="1" applyFill="1" applyBorder="1" applyAlignment="1">
      <alignment horizontal="center" vertical="center"/>
    </xf>
    <xf numFmtId="0" fontId="31" fillId="2" borderId="4" xfId="2" applyFont="1" applyFill="1" applyBorder="1" applyAlignment="1">
      <alignment horizontal="left" vertical="center" wrapText="1"/>
    </xf>
    <xf numFmtId="164" fontId="43" fillId="2" borderId="4" xfId="5" applyFont="1" applyFill="1" applyBorder="1" applyAlignment="1">
      <alignment horizontal="center" vertical="center"/>
    </xf>
    <xf numFmtId="167" fontId="31" fillId="2" borderId="4" xfId="2" applyNumberFormat="1" applyFont="1" applyFill="1" applyBorder="1" applyAlignment="1">
      <alignment horizontal="center" vertical="center"/>
    </xf>
    <xf numFmtId="4" fontId="26" fillId="2" borderId="4" xfId="2" applyNumberFormat="1" applyFont="1" applyFill="1" applyBorder="1" applyAlignment="1">
      <alignment horizontal="center" vertical="center"/>
    </xf>
    <xf numFmtId="0" fontId="42" fillId="2" borderId="16" xfId="2" applyFont="1" applyFill="1" applyBorder="1" applyAlignment="1">
      <alignment horizontal="center" vertical="center"/>
    </xf>
    <xf numFmtId="0" fontId="32" fillId="2" borderId="4" xfId="2" applyFont="1" applyFill="1" applyBorder="1" applyAlignment="1">
      <alignment horizontal="center" vertical="center"/>
    </xf>
    <xf numFmtId="0" fontId="42" fillId="2" borderId="4" xfId="2" applyFont="1" applyFill="1" applyBorder="1" applyAlignment="1">
      <alignment horizontal="left" vertical="center" wrapText="1"/>
    </xf>
    <xf numFmtId="4" fontId="32" fillId="2" borderId="4" xfId="2" applyNumberFormat="1" applyFont="1" applyFill="1" applyBorder="1" applyAlignment="1">
      <alignment horizontal="center" vertical="center"/>
    </xf>
    <xf numFmtId="0" fontId="31" fillId="0" borderId="28" xfId="2" applyFont="1" applyBorder="1" applyAlignment="1">
      <alignment horizontal="center" vertical="center"/>
    </xf>
    <xf numFmtId="0" fontId="29" fillId="8" borderId="7" xfId="2" applyFont="1" applyFill="1" applyBorder="1" applyAlignment="1">
      <alignment horizontal="center" vertical="center"/>
    </xf>
    <xf numFmtId="0" fontId="31" fillId="0" borderId="7" xfId="2" applyFont="1" applyBorder="1" applyAlignment="1">
      <alignment horizontal="left" vertical="center" wrapText="1"/>
    </xf>
    <xf numFmtId="164" fontId="43" fillId="0" borderId="7" xfId="5" applyFont="1" applyFill="1" applyBorder="1" applyAlignment="1">
      <alignment horizontal="center" vertical="center"/>
    </xf>
    <xf numFmtId="167" fontId="31" fillId="0" borderId="7" xfId="2" applyNumberFormat="1" applyFont="1" applyBorder="1" applyAlignment="1">
      <alignment horizontal="center" vertical="center"/>
    </xf>
    <xf numFmtId="4" fontId="26" fillId="0" borderId="7" xfId="2" applyNumberFormat="1" applyFont="1" applyBorder="1" applyAlignment="1">
      <alignment horizontal="center" vertical="center"/>
    </xf>
    <xf numFmtId="4" fontId="27" fillId="4" borderId="7" xfId="2" applyNumberFormat="1" applyFont="1" applyFill="1" applyBorder="1" applyAlignment="1">
      <alignment horizontal="center" vertical="center"/>
    </xf>
    <xf numFmtId="4" fontId="27" fillId="5" borderId="7" xfId="2" applyNumberFormat="1" applyFont="1" applyFill="1" applyBorder="1" applyAlignment="1">
      <alignment horizontal="center" vertical="center"/>
    </xf>
    <xf numFmtId="4" fontId="27" fillId="6" borderId="29" xfId="2" applyNumberFormat="1" applyFont="1" applyFill="1" applyBorder="1" applyAlignment="1">
      <alignment horizontal="center" vertical="center"/>
    </xf>
    <xf numFmtId="4" fontId="27" fillId="6" borderId="29" xfId="2" applyNumberFormat="1" applyFont="1" applyFill="1" applyBorder="1" applyAlignment="1">
      <alignment horizontal="center" vertical="center" wrapText="1"/>
    </xf>
    <xf numFmtId="4" fontId="27" fillId="5" borderId="8" xfId="2" applyNumberFormat="1" applyFont="1" applyFill="1" applyBorder="1" applyAlignment="1">
      <alignment horizontal="center" vertical="center"/>
    </xf>
    <xf numFmtId="4" fontId="44" fillId="6" borderId="9" xfId="2" applyNumberFormat="1" applyFont="1" applyFill="1" applyBorder="1" applyAlignment="1">
      <alignment horizontal="center" vertical="center" wrapText="1"/>
    </xf>
    <xf numFmtId="4" fontId="35" fillId="6" borderId="9" xfId="2" applyNumberFormat="1" applyFont="1" applyFill="1" applyBorder="1" applyAlignment="1">
      <alignment horizontal="center" vertical="center" wrapText="1"/>
    </xf>
    <xf numFmtId="4" fontId="27" fillId="6" borderId="20" xfId="2" applyNumberFormat="1" applyFont="1" applyFill="1" applyBorder="1" applyAlignment="1">
      <alignment horizontal="center" vertical="center"/>
    </xf>
    <xf numFmtId="4" fontId="44" fillId="6" borderId="10" xfId="2" applyNumberFormat="1" applyFont="1" applyFill="1" applyBorder="1" applyAlignment="1">
      <alignment horizontal="center" vertical="center" wrapText="1"/>
    </xf>
    <xf numFmtId="4" fontId="35" fillId="6" borderId="10" xfId="2" applyNumberFormat="1" applyFont="1" applyFill="1" applyBorder="1" applyAlignment="1">
      <alignment horizontal="center" vertical="center" wrapText="1"/>
    </xf>
    <xf numFmtId="4" fontId="27" fillId="10" borderId="4" xfId="2" applyNumberFormat="1" applyFont="1" applyFill="1" applyBorder="1" applyAlignment="1">
      <alignment horizontal="center" vertical="center"/>
    </xf>
    <xf numFmtId="4" fontId="27" fillId="10" borderId="10" xfId="2" applyNumberFormat="1" applyFont="1" applyFill="1" applyBorder="1" applyAlignment="1">
      <alignment horizontal="center" vertical="center"/>
    </xf>
    <xf numFmtId="0" fontId="31" fillId="10" borderId="16" xfId="2" applyFont="1" applyFill="1" applyBorder="1" applyAlignment="1">
      <alignment horizontal="center" vertical="center"/>
    </xf>
    <xf numFmtId="0" fontId="31" fillId="10" borderId="4" xfId="2" applyFont="1" applyFill="1" applyBorder="1" applyAlignment="1">
      <alignment horizontal="left" vertical="center" wrapText="1"/>
    </xf>
    <xf numFmtId="164" fontId="43" fillId="10" borderId="4" xfId="5" applyFont="1" applyFill="1" applyBorder="1" applyAlignment="1">
      <alignment horizontal="center" vertical="center"/>
    </xf>
    <xf numFmtId="167" fontId="31" fillId="10" borderId="4" xfId="2" applyNumberFormat="1" applyFont="1" applyFill="1" applyBorder="1" applyAlignment="1">
      <alignment horizontal="center" vertical="center"/>
    </xf>
    <xf numFmtId="4" fontId="26" fillId="10" borderId="4" xfId="2" applyNumberFormat="1" applyFont="1" applyFill="1" applyBorder="1" applyAlignment="1">
      <alignment horizontal="center" vertical="center"/>
    </xf>
    <xf numFmtId="0" fontId="31" fillId="10" borderId="10" xfId="2" applyFont="1" applyFill="1" applyBorder="1" applyAlignment="1">
      <alignment horizontal="left" vertical="center" wrapText="1"/>
    </xf>
    <xf numFmtId="164" fontId="43" fillId="10" borderId="10" xfId="5" applyFont="1" applyFill="1" applyBorder="1" applyAlignment="1">
      <alignment horizontal="center" vertical="center"/>
    </xf>
    <xf numFmtId="167" fontId="31" fillId="10" borderId="10" xfId="2" applyNumberFormat="1" applyFont="1" applyFill="1" applyBorder="1" applyAlignment="1">
      <alignment horizontal="center" vertical="center"/>
    </xf>
    <xf numFmtId="4" fontId="26" fillId="10" borderId="10" xfId="2" applyNumberFormat="1" applyFont="1" applyFill="1" applyBorder="1" applyAlignment="1">
      <alignment horizontal="center" vertical="center"/>
    </xf>
    <xf numFmtId="0" fontId="31" fillId="14" borderId="16" xfId="2" applyFont="1" applyFill="1" applyBorder="1" applyAlignment="1">
      <alignment horizontal="center" vertical="center"/>
    </xf>
    <xf numFmtId="49" fontId="29" fillId="14" borderId="4" xfId="2" applyNumberFormat="1" applyFont="1" applyFill="1" applyBorder="1" applyAlignment="1">
      <alignment horizontal="center" vertical="center"/>
    </xf>
    <xf numFmtId="0" fontId="31" fillId="14" borderId="4" xfId="2" applyFont="1" applyFill="1" applyBorder="1" applyAlignment="1">
      <alignment horizontal="left" vertical="center" wrapText="1"/>
    </xf>
    <xf numFmtId="164" fontId="43" fillId="14" borderId="4" xfId="5" applyFont="1" applyFill="1" applyBorder="1" applyAlignment="1">
      <alignment horizontal="center" vertical="center"/>
    </xf>
    <xf numFmtId="167" fontId="31" fillId="14" borderId="4" xfId="2" applyNumberFormat="1" applyFont="1" applyFill="1" applyBorder="1" applyAlignment="1">
      <alignment horizontal="center" vertical="center"/>
    </xf>
    <xf numFmtId="4" fontId="26" fillId="14" borderId="4" xfId="2" applyNumberFormat="1" applyFont="1" applyFill="1" applyBorder="1" applyAlignment="1">
      <alignment horizontal="center" vertical="center"/>
    </xf>
    <xf numFmtId="4" fontId="27" fillId="14" borderId="4" xfId="2" applyNumberFormat="1" applyFont="1" applyFill="1" applyBorder="1" applyAlignment="1">
      <alignment horizontal="center" vertical="center"/>
    </xf>
    <xf numFmtId="4" fontId="32" fillId="0" borderId="24" xfId="2" applyNumberFormat="1" applyFont="1" applyBorder="1" applyAlignment="1">
      <alignment horizontal="center" vertical="center"/>
    </xf>
    <xf numFmtId="4" fontId="28" fillId="5" borderId="4" xfId="2" applyNumberFormat="1" applyFont="1" applyFill="1" applyBorder="1" applyAlignment="1">
      <alignment horizontal="center" vertical="center" wrapText="1"/>
    </xf>
    <xf numFmtId="49" fontId="32" fillId="10" borderId="4" xfId="2" applyNumberFormat="1" applyFont="1" applyFill="1" applyBorder="1" applyAlignment="1">
      <alignment horizontal="center" vertical="center"/>
    </xf>
    <xf numFmtId="49" fontId="32" fillId="10" borderId="10" xfId="2" applyNumberFormat="1" applyFont="1" applyFill="1" applyBorder="1" applyAlignment="1">
      <alignment horizontal="center" vertical="center"/>
    </xf>
    <xf numFmtId="0" fontId="32" fillId="0" borderId="4" xfId="2" applyFont="1" applyBorder="1" applyAlignment="1">
      <alignment horizontal="center" vertical="center"/>
    </xf>
    <xf numFmtId="164" fontId="42" fillId="0" borderId="4" xfId="5" applyFont="1" applyFill="1" applyBorder="1" applyAlignment="1">
      <alignment horizontal="center" vertical="center"/>
    </xf>
    <xf numFmtId="167" fontId="42" fillId="0" borderId="4" xfId="2" applyNumberFormat="1" applyFont="1" applyBorder="1" applyAlignment="1">
      <alignment horizontal="center" vertical="center"/>
    </xf>
    <xf numFmtId="4" fontId="42" fillId="4" borderId="4" xfId="2" applyNumberFormat="1" applyFont="1" applyFill="1" applyBorder="1" applyAlignment="1">
      <alignment horizontal="center" vertical="center"/>
    </xf>
    <xf numFmtId="4" fontId="44" fillId="7" borderId="4" xfId="2" applyNumberFormat="1" applyFont="1" applyFill="1" applyBorder="1" applyAlignment="1">
      <alignment horizontal="center" vertical="center"/>
    </xf>
    <xf numFmtId="4" fontId="42" fillId="7" borderId="17" xfId="2" applyNumberFormat="1" applyFont="1" applyFill="1" applyBorder="1" applyAlignment="1">
      <alignment horizontal="center" vertical="center"/>
    </xf>
    <xf numFmtId="0" fontId="32" fillId="0" borderId="10" xfId="2" applyFont="1" applyBorder="1" applyAlignment="1">
      <alignment horizontal="center" vertical="center"/>
    </xf>
    <xf numFmtId="0" fontId="42" fillId="0" borderId="10" xfId="2" applyFont="1" applyBorder="1" applyAlignment="1">
      <alignment horizontal="left" vertical="center" wrapText="1"/>
    </xf>
    <xf numFmtId="164" fontId="42" fillId="0" borderId="10" xfId="5" applyFont="1" applyFill="1" applyBorder="1" applyAlignment="1">
      <alignment horizontal="center" vertical="center"/>
    </xf>
    <xf numFmtId="167" fontId="42" fillId="0" borderId="10" xfId="2" applyNumberFormat="1" applyFont="1" applyBorder="1" applyAlignment="1">
      <alignment horizontal="center" vertical="center"/>
    </xf>
    <xf numFmtId="4" fontId="32" fillId="0" borderId="10" xfId="2" applyNumberFormat="1" applyFont="1" applyBorder="1" applyAlignment="1">
      <alignment horizontal="center" vertical="center"/>
    </xf>
    <xf numFmtId="4" fontId="42" fillId="4" borderId="10" xfId="2" applyNumberFormat="1" applyFont="1" applyFill="1" applyBorder="1" applyAlignment="1">
      <alignment horizontal="center" vertical="center"/>
    </xf>
    <xf numFmtId="4" fontId="42" fillId="5" borderId="10" xfId="2" applyNumberFormat="1" applyFont="1" applyFill="1" applyBorder="1" applyAlignment="1">
      <alignment horizontal="center" vertical="center"/>
    </xf>
    <xf numFmtId="4" fontId="44" fillId="7" borderId="10" xfId="2" applyNumberFormat="1" applyFont="1" applyFill="1" applyBorder="1" applyAlignment="1">
      <alignment horizontal="center" vertical="center"/>
    </xf>
    <xf numFmtId="4" fontId="42" fillId="7" borderId="18" xfId="2" applyNumberFormat="1" applyFont="1" applyFill="1" applyBorder="1" applyAlignment="1">
      <alignment horizontal="center" vertical="center"/>
    </xf>
    <xf numFmtId="0" fontId="53" fillId="0" borderId="0" xfId="4" applyFont="1" applyAlignment="1">
      <alignment horizontal="center"/>
    </xf>
    <xf numFmtId="0" fontId="53" fillId="0" borderId="0" xfId="4" applyFont="1"/>
    <xf numFmtId="0" fontId="53" fillId="0" borderId="4" xfId="9" applyFont="1" applyBorder="1" applyAlignment="1">
      <alignment horizontal="center" vertical="center"/>
    </xf>
    <xf numFmtId="0" fontId="53" fillId="0" borderId="4" xfId="9" applyFont="1" applyBorder="1" applyAlignment="1">
      <alignment horizontal="center" vertical="center" wrapText="1"/>
    </xf>
    <xf numFmtId="0" fontId="43" fillId="0" borderId="4" xfId="9" applyFont="1" applyBorder="1" applyAlignment="1">
      <alignment horizontal="center" vertical="center"/>
    </xf>
    <xf numFmtId="49" fontId="43" fillId="0" borderId="4" xfId="9" applyNumberFormat="1" applyFont="1" applyBorder="1" applyAlignment="1">
      <alignment horizontal="center" vertical="center"/>
    </xf>
    <xf numFmtId="0" fontId="43" fillId="0" borderId="4" xfId="9" applyFont="1" applyBorder="1" applyAlignment="1">
      <alignment horizontal="left" vertical="center" wrapText="1"/>
    </xf>
    <xf numFmtId="43" fontId="43" fillId="0" borderId="4" xfId="10" applyFont="1" applyFill="1" applyBorder="1" applyAlignment="1">
      <alignment horizontal="center" vertical="center"/>
    </xf>
    <xf numFmtId="167" fontId="43" fillId="0" borderId="4" xfId="9" applyNumberFormat="1" applyFont="1" applyBorder="1" applyAlignment="1">
      <alignment horizontal="center" vertical="center"/>
    </xf>
    <xf numFmtId="4" fontId="55" fillId="0" borderId="4" xfId="9" applyNumberFormat="1" applyFont="1" applyBorder="1" applyAlignment="1">
      <alignment horizontal="center" vertical="center"/>
    </xf>
    <xf numFmtId="0" fontId="54" fillId="0" borderId="0" xfId="0" applyFont="1"/>
    <xf numFmtId="49" fontId="43" fillId="0" borderId="4" xfId="9" applyNumberFormat="1" applyFont="1" applyBorder="1" applyAlignment="1">
      <alignment horizontal="center" vertical="center" wrapText="1"/>
    </xf>
    <xf numFmtId="43" fontId="43" fillId="0" borderId="4" xfId="11" applyFont="1" applyFill="1" applyBorder="1" applyAlignment="1">
      <alignment horizontal="center" vertical="center"/>
    </xf>
    <xf numFmtId="0" fontId="54" fillId="0" borderId="0" xfId="12"/>
    <xf numFmtId="4" fontId="54" fillId="0" borderId="0" xfId="12" applyNumberFormat="1"/>
    <xf numFmtId="164" fontId="54" fillId="0" borderId="0" xfId="12" applyNumberFormat="1"/>
    <xf numFmtId="0" fontId="53" fillId="0" borderId="4" xfId="9" applyFont="1" applyBorder="1"/>
    <xf numFmtId="0" fontId="56" fillId="0" borderId="4" xfId="9" applyFont="1" applyBorder="1" applyAlignment="1">
      <alignment horizontal="center" vertical="center"/>
    </xf>
    <xf numFmtId="4" fontId="56" fillId="0" borderId="4" xfId="9" applyNumberFormat="1" applyFont="1" applyBorder="1" applyAlignment="1">
      <alignment horizontal="center" vertical="center"/>
    </xf>
    <xf numFmtId="4" fontId="0" fillId="0" borderId="0" xfId="0" applyNumberFormat="1"/>
    <xf numFmtId="43" fontId="57" fillId="3" borderId="4" xfId="10" applyFont="1" applyFill="1" applyBorder="1" applyAlignment="1">
      <alignment horizontal="center" vertical="center"/>
    </xf>
    <xf numFmtId="43" fontId="57" fillId="3" borderId="4" xfId="11" applyFont="1" applyFill="1" applyBorder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7" fillId="0" borderId="14" xfId="2" applyFont="1" applyBorder="1" applyAlignment="1">
      <alignment horizontal="center" vertical="center"/>
    </xf>
    <xf numFmtId="0" fontId="27" fillId="0" borderId="4" xfId="2" applyFont="1" applyBorder="1" applyAlignment="1">
      <alignment horizontal="center" vertical="center"/>
    </xf>
    <xf numFmtId="0" fontId="26" fillId="2" borderId="4" xfId="2" applyFont="1" applyFill="1" applyBorder="1" applyAlignment="1">
      <alignment horizontal="center" vertical="center"/>
    </xf>
    <xf numFmtId="4" fontId="35" fillId="2" borderId="4" xfId="2" applyNumberFormat="1" applyFont="1" applyFill="1" applyBorder="1" applyAlignment="1">
      <alignment horizontal="center" vertical="center" wrapText="1"/>
    </xf>
    <xf numFmtId="4" fontId="31" fillId="2" borderId="17" xfId="2" applyNumberFormat="1" applyFont="1" applyFill="1" applyBorder="1" applyAlignment="1">
      <alignment horizontal="center" vertical="center"/>
    </xf>
    <xf numFmtId="4" fontId="26" fillId="2" borderId="17" xfId="2" applyNumberFormat="1" applyFont="1" applyFill="1" applyBorder="1" applyAlignment="1">
      <alignment horizontal="center" vertical="center"/>
    </xf>
    <xf numFmtId="4" fontId="31" fillId="2" borderId="4" xfId="2" applyNumberFormat="1" applyFont="1" applyFill="1" applyBorder="1" applyAlignment="1">
      <alignment horizontal="center" vertical="center"/>
    </xf>
    <xf numFmtId="4" fontId="58" fillId="6" borderId="17" xfId="2" applyNumberFormat="1" applyFont="1" applyFill="1" applyBorder="1" applyAlignment="1">
      <alignment horizontal="center" vertical="center"/>
    </xf>
    <xf numFmtId="4" fontId="58" fillId="7" borderId="17" xfId="2" applyNumberFormat="1" applyFont="1" applyFill="1" applyBorder="1" applyAlignment="1">
      <alignment horizontal="center" vertical="center"/>
    </xf>
    <xf numFmtId="4" fontId="31" fillId="7" borderId="17" xfId="2" applyNumberFormat="1" applyFont="1" applyFill="1" applyBorder="1" applyAlignment="1">
      <alignment horizontal="center" vertical="center"/>
    </xf>
    <xf numFmtId="4" fontId="31" fillId="7" borderId="30" xfId="2" applyNumberFormat="1" applyFont="1" applyFill="1" applyBorder="1" applyAlignment="1">
      <alignment horizontal="center" vertical="center"/>
    </xf>
    <xf numFmtId="4" fontId="31" fillId="6" borderId="18" xfId="2" applyNumberFormat="1" applyFont="1" applyFill="1" applyBorder="1" applyAlignment="1">
      <alignment horizontal="center" vertical="center"/>
    </xf>
    <xf numFmtId="4" fontId="31" fillId="5" borderId="4" xfId="2" applyNumberFormat="1" applyFont="1" applyFill="1" applyBorder="1" applyAlignment="1">
      <alignment horizontal="center" vertical="center"/>
    </xf>
    <xf numFmtId="49" fontId="26" fillId="3" borderId="4" xfId="2" applyNumberFormat="1" applyFont="1" applyFill="1" applyBorder="1" applyAlignment="1">
      <alignment horizontal="center" vertical="center"/>
    </xf>
    <xf numFmtId="4" fontId="31" fillId="4" borderId="4" xfId="2" applyNumberFormat="1" applyFont="1" applyFill="1" applyBorder="1" applyAlignment="1">
      <alignment horizontal="center" vertical="center"/>
    </xf>
    <xf numFmtId="0" fontId="26" fillId="3" borderId="10" xfId="2" applyFont="1" applyFill="1" applyBorder="1" applyAlignment="1">
      <alignment horizontal="center" vertical="center"/>
    </xf>
    <xf numFmtId="0" fontId="31" fillId="3" borderId="10" xfId="2" applyFont="1" applyFill="1" applyBorder="1" applyAlignment="1">
      <alignment horizontal="left" vertical="center" wrapText="1"/>
    </xf>
    <xf numFmtId="167" fontId="31" fillId="3" borderId="10" xfId="2" applyNumberFormat="1" applyFont="1" applyFill="1" applyBorder="1" applyAlignment="1">
      <alignment horizontal="center" vertical="center"/>
    </xf>
    <xf numFmtId="4" fontId="26" fillId="3" borderId="10" xfId="2" applyNumberFormat="1" applyFont="1" applyFill="1" applyBorder="1" applyAlignment="1">
      <alignment horizontal="center" vertical="center"/>
    </xf>
    <xf numFmtId="4" fontId="31" fillId="4" borderId="10" xfId="2" applyNumberFormat="1" applyFont="1" applyFill="1" applyBorder="1" applyAlignment="1">
      <alignment horizontal="center" vertical="center"/>
    </xf>
    <xf numFmtId="4" fontId="31" fillId="5" borderId="10" xfId="2" applyNumberFormat="1" applyFont="1" applyFill="1" applyBorder="1" applyAlignment="1">
      <alignment horizontal="center" vertical="center"/>
    </xf>
    <xf numFmtId="0" fontId="27" fillId="15" borderId="16" xfId="2" applyFont="1" applyFill="1" applyBorder="1" applyAlignment="1">
      <alignment horizontal="center" vertical="center"/>
    </xf>
    <xf numFmtId="0" fontId="27" fillId="15" borderId="4" xfId="2" applyFont="1" applyFill="1" applyBorder="1" applyAlignment="1">
      <alignment horizontal="center" vertical="center"/>
    </xf>
    <xf numFmtId="0" fontId="27" fillId="15" borderId="4" xfId="2" applyFont="1" applyFill="1" applyBorder="1" applyAlignment="1">
      <alignment horizontal="center" vertical="center" wrapText="1"/>
    </xf>
    <xf numFmtId="49" fontId="28" fillId="15" borderId="4" xfId="2" applyNumberFormat="1" applyFont="1" applyFill="1" applyBorder="1" applyAlignment="1">
      <alignment horizontal="center" vertical="center" wrapText="1"/>
    </xf>
    <xf numFmtId="49" fontId="28" fillId="15" borderId="17" xfId="2" applyNumberFormat="1" applyFont="1" applyFill="1" applyBorder="1" applyAlignment="1">
      <alignment horizontal="center" vertical="center" wrapText="1"/>
    </xf>
    <xf numFmtId="164" fontId="31" fillId="2" borderId="4" xfId="5" applyFont="1" applyFill="1" applyBorder="1" applyAlignment="1">
      <alignment horizontal="center" vertical="center"/>
    </xf>
    <xf numFmtId="4" fontId="37" fillId="4" borderId="8" xfId="2" applyNumberFormat="1" applyFont="1" applyFill="1" applyBorder="1" applyAlignment="1">
      <alignment horizontal="center" vertical="center"/>
    </xf>
    <xf numFmtId="0" fontId="31" fillId="2" borderId="21" xfId="2" applyFont="1" applyFill="1" applyBorder="1" applyAlignment="1">
      <alignment horizontal="center" vertical="center"/>
    </xf>
    <xf numFmtId="0" fontId="29" fillId="2" borderId="9" xfId="2" applyFont="1" applyFill="1" applyBorder="1" applyAlignment="1">
      <alignment horizontal="center" vertical="center"/>
    </xf>
    <xf numFmtId="0" fontId="31" fillId="2" borderId="9" xfId="2" applyFont="1" applyFill="1" applyBorder="1" applyAlignment="1">
      <alignment horizontal="left" vertical="center" wrapText="1"/>
    </xf>
    <xf numFmtId="164" fontId="31" fillId="2" borderId="9" xfId="5" applyFont="1" applyFill="1" applyBorder="1" applyAlignment="1">
      <alignment horizontal="center" vertical="center"/>
    </xf>
    <xf numFmtId="167" fontId="31" fillId="2" borderId="9" xfId="2" applyNumberFormat="1" applyFont="1" applyFill="1" applyBorder="1" applyAlignment="1">
      <alignment horizontal="center" vertical="center"/>
    </xf>
    <xf numFmtId="4" fontId="26" fillId="2" borderId="9" xfId="2" applyNumberFormat="1" applyFont="1" applyFill="1" applyBorder="1" applyAlignment="1">
      <alignment horizontal="center" vertical="center"/>
    </xf>
    <xf numFmtId="4" fontId="27" fillId="2" borderId="9" xfId="2" applyNumberFormat="1" applyFont="1" applyFill="1" applyBorder="1" applyAlignment="1">
      <alignment horizontal="center" vertical="center"/>
    </xf>
    <xf numFmtId="4" fontId="35" fillId="2" borderId="9" xfId="2" applyNumberFormat="1" applyFont="1" applyFill="1" applyBorder="1" applyAlignment="1">
      <alignment horizontal="center" vertical="center" wrapText="1"/>
    </xf>
    <xf numFmtId="4" fontId="31" fillId="6" borderId="4" xfId="2" applyNumberFormat="1" applyFont="1" applyFill="1" applyBorder="1" applyAlignment="1">
      <alignment horizontal="center" vertical="center" wrapText="1"/>
    </xf>
    <xf numFmtId="4" fontId="31" fillId="6" borderId="4" xfId="2" applyNumberFormat="1" applyFont="1" applyFill="1" applyBorder="1" applyAlignment="1">
      <alignment horizontal="center" vertical="center"/>
    </xf>
    <xf numFmtId="164" fontId="31" fillId="3" borderId="10" xfId="5" applyFont="1" applyFill="1" applyBorder="1" applyAlignment="1">
      <alignment horizontal="center" vertical="center"/>
    </xf>
    <xf numFmtId="0" fontId="27" fillId="7" borderId="4" xfId="2" applyFont="1" applyFill="1" applyBorder="1" applyAlignment="1">
      <alignment horizontal="center" vertical="center"/>
    </xf>
    <xf numFmtId="4" fontId="31" fillId="7" borderId="17" xfId="0" applyNumberFormat="1" applyFont="1" applyFill="1" applyBorder="1" applyAlignment="1">
      <alignment horizontal="center" vertical="center" wrapText="1"/>
    </xf>
    <xf numFmtId="4" fontId="31" fillId="7" borderId="4" xfId="0" applyNumberFormat="1" applyFont="1" applyFill="1" applyBorder="1" applyAlignment="1">
      <alignment horizontal="center" vertical="center" wrapText="1"/>
    </xf>
    <xf numFmtId="4" fontId="42" fillId="7" borderId="4" xfId="0" applyNumberFormat="1" applyFont="1" applyFill="1" applyBorder="1" applyAlignment="1">
      <alignment horizontal="center" vertical="center" wrapText="1"/>
    </xf>
    <xf numFmtId="4" fontId="37" fillId="2" borderId="11" xfId="2" applyNumberFormat="1" applyFont="1" applyFill="1" applyBorder="1" applyAlignment="1">
      <alignment horizontal="center" vertical="center"/>
    </xf>
    <xf numFmtId="4" fontId="63" fillId="6" borderId="4" xfId="2" applyNumberFormat="1" applyFont="1" applyFill="1" applyBorder="1" applyAlignment="1">
      <alignment horizontal="center" vertical="center" wrapText="1"/>
    </xf>
    <xf numFmtId="0" fontId="42" fillId="7" borderId="4" xfId="0" applyFont="1" applyFill="1" applyBorder="1" applyAlignment="1">
      <alignment horizontal="center" vertical="center" wrapText="1"/>
    </xf>
    <xf numFmtId="0" fontId="42" fillId="7" borderId="10" xfId="0" applyFont="1" applyFill="1" applyBorder="1" applyAlignment="1">
      <alignment horizontal="center" vertical="center" wrapText="1"/>
    </xf>
    <xf numFmtId="0" fontId="65" fillId="0" borderId="0" xfId="2" applyFont="1"/>
    <xf numFmtId="0" fontId="65" fillId="0" borderId="0" xfId="2" applyFont="1" applyAlignment="1">
      <alignment horizontal="center" vertical="center"/>
    </xf>
    <xf numFmtId="4" fontId="31" fillId="7" borderId="30" xfId="0" applyNumberFormat="1" applyFont="1" applyFill="1" applyBorder="1" applyAlignment="1">
      <alignment horizontal="center" vertical="center" wrapText="1"/>
    </xf>
    <xf numFmtId="0" fontId="31" fillId="11" borderId="16" xfId="2" applyFont="1" applyFill="1" applyBorder="1" applyAlignment="1">
      <alignment horizontal="center" vertical="center"/>
    </xf>
    <xf numFmtId="0" fontId="26" fillId="11" borderId="4" xfId="2" applyFont="1" applyFill="1" applyBorder="1" applyAlignment="1">
      <alignment horizontal="center" vertical="center"/>
    </xf>
    <xf numFmtId="0" fontId="31" fillId="11" borderId="4" xfId="2" applyFont="1" applyFill="1" applyBorder="1" applyAlignment="1">
      <alignment horizontal="left" vertical="center" wrapText="1"/>
    </xf>
    <xf numFmtId="164" fontId="31" fillId="11" borderId="4" xfId="5" applyFont="1" applyFill="1" applyBorder="1" applyAlignment="1">
      <alignment horizontal="center" vertical="center"/>
    </xf>
    <xf numFmtId="167" fontId="31" fillId="11" borderId="4" xfId="2" applyNumberFormat="1" applyFont="1" applyFill="1" applyBorder="1" applyAlignment="1">
      <alignment horizontal="center" vertical="center"/>
    </xf>
    <xf numFmtId="4" fontId="26" fillId="11" borderId="4" xfId="2" applyNumberFormat="1" applyFont="1" applyFill="1" applyBorder="1" applyAlignment="1">
      <alignment horizontal="center" vertical="center"/>
    </xf>
    <xf numFmtId="4" fontId="31" fillId="11" borderId="4" xfId="2" applyNumberFormat="1" applyFont="1" applyFill="1" applyBorder="1" applyAlignment="1">
      <alignment horizontal="center" vertical="center"/>
    </xf>
    <xf numFmtId="4" fontId="31" fillId="11" borderId="5" xfId="2" applyNumberFormat="1" applyFont="1" applyFill="1" applyBorder="1" applyAlignment="1">
      <alignment horizontal="center" vertical="center"/>
    </xf>
    <xf numFmtId="4" fontId="31" fillId="11" borderId="31" xfId="2" applyNumberFormat="1" applyFont="1" applyFill="1" applyBorder="1" applyAlignment="1">
      <alignment horizontal="center" vertical="center"/>
    </xf>
    <xf numFmtId="4" fontId="26" fillId="11" borderId="17" xfId="2" applyNumberFormat="1" applyFont="1" applyFill="1" applyBorder="1" applyAlignment="1">
      <alignment horizontal="center" vertical="center"/>
    </xf>
    <xf numFmtId="0" fontId="65" fillId="2" borderId="0" xfId="2" applyFont="1" applyFill="1"/>
    <xf numFmtId="4" fontId="31" fillId="2" borderId="19" xfId="0" applyNumberFormat="1" applyFont="1" applyFill="1" applyBorder="1" applyAlignment="1">
      <alignment horizontal="center" vertical="center" wrapText="1"/>
    </xf>
    <xf numFmtId="0" fontId="31" fillId="3" borderId="22" xfId="2" applyFont="1" applyFill="1" applyBorder="1" applyAlignment="1">
      <alignment horizontal="center" vertical="center"/>
    </xf>
    <xf numFmtId="4" fontId="31" fillId="6" borderId="10" xfId="2" applyNumberFormat="1" applyFont="1" applyFill="1" applyBorder="1" applyAlignment="1">
      <alignment horizontal="center" vertical="center" wrapText="1"/>
    </xf>
    <xf numFmtId="4" fontId="63" fillId="6" borderId="10" xfId="2" applyNumberFormat="1" applyFont="1" applyFill="1" applyBorder="1" applyAlignment="1">
      <alignment horizontal="center" vertical="center" wrapText="1"/>
    </xf>
    <xf numFmtId="4" fontId="58" fillId="7" borderId="18" xfId="2" applyNumberFormat="1" applyFont="1" applyFill="1" applyBorder="1" applyAlignment="1">
      <alignment horizontal="center" vertical="center"/>
    </xf>
    <xf numFmtId="0" fontId="31" fillId="2" borderId="22" xfId="2" applyFont="1" applyFill="1" applyBorder="1" applyAlignment="1">
      <alignment horizontal="center" vertical="center"/>
    </xf>
    <xf numFmtId="0" fontId="29" fillId="2" borderId="10" xfId="2" applyFont="1" applyFill="1" applyBorder="1" applyAlignment="1">
      <alignment horizontal="center" vertical="center"/>
    </xf>
    <xf numFmtId="0" fontId="31" fillId="2" borderId="10" xfId="2" applyFont="1" applyFill="1" applyBorder="1" applyAlignment="1">
      <alignment horizontal="left" vertical="center" wrapText="1"/>
    </xf>
    <xf numFmtId="164" fontId="31" fillId="2" borderId="10" xfId="5" applyFont="1" applyFill="1" applyBorder="1" applyAlignment="1">
      <alignment horizontal="center" vertical="center"/>
    </xf>
    <xf numFmtId="167" fontId="31" fillId="2" borderId="10" xfId="2" applyNumberFormat="1" applyFont="1" applyFill="1" applyBorder="1" applyAlignment="1">
      <alignment horizontal="center" vertical="center"/>
    </xf>
    <xf numFmtId="4" fontId="26" fillId="2" borderId="10" xfId="2" applyNumberFormat="1" applyFont="1" applyFill="1" applyBorder="1" applyAlignment="1">
      <alignment horizontal="center" vertical="center"/>
    </xf>
    <xf numFmtId="4" fontId="27" fillId="2" borderId="10" xfId="2" applyNumberFormat="1" applyFont="1" applyFill="1" applyBorder="1" applyAlignment="1">
      <alignment horizontal="center" vertical="center"/>
    </xf>
    <xf numFmtId="4" fontId="27" fillId="2" borderId="18" xfId="2" applyNumberFormat="1" applyFont="1" applyFill="1" applyBorder="1" applyAlignment="1">
      <alignment horizontal="center" vertical="center"/>
    </xf>
    <xf numFmtId="4" fontId="31" fillId="2" borderId="18" xfId="0" applyNumberFormat="1" applyFont="1" applyFill="1" applyBorder="1" applyAlignment="1">
      <alignment horizontal="center" vertical="center" wrapText="1"/>
    </xf>
    <xf numFmtId="0" fontId="66" fillId="3" borderId="16" xfId="2" applyFont="1" applyFill="1" applyBorder="1" applyAlignment="1">
      <alignment horizontal="center" vertical="center"/>
    </xf>
    <xf numFmtId="0" fontId="67" fillId="3" borderId="4" xfId="2" applyFont="1" applyFill="1" applyBorder="1" applyAlignment="1">
      <alignment horizontal="center" vertical="center"/>
    </xf>
    <xf numFmtId="0" fontId="66" fillId="3" borderId="4" xfId="2" applyFont="1" applyFill="1" applyBorder="1" applyAlignment="1">
      <alignment horizontal="left" vertical="center" wrapText="1"/>
    </xf>
    <xf numFmtId="164" fontId="66" fillId="3" borderId="4" xfId="5" applyFont="1" applyFill="1" applyBorder="1" applyAlignment="1">
      <alignment horizontal="center" vertical="center"/>
    </xf>
    <xf numFmtId="167" fontId="66" fillId="3" borderId="4" xfId="2" applyNumberFormat="1" applyFont="1" applyFill="1" applyBorder="1" applyAlignment="1">
      <alignment horizontal="center" vertical="center"/>
    </xf>
    <xf numFmtId="4" fontId="67" fillId="3" borderId="4" xfId="2" applyNumberFormat="1" applyFont="1" applyFill="1" applyBorder="1" applyAlignment="1">
      <alignment horizontal="center" vertical="center"/>
    </xf>
    <xf numFmtId="4" fontId="66" fillId="4" borderId="4" xfId="2" applyNumberFormat="1" applyFont="1" applyFill="1" applyBorder="1" applyAlignment="1">
      <alignment horizontal="center" vertical="center"/>
    </xf>
    <xf numFmtId="4" fontId="66" fillId="5" borderId="4" xfId="2" applyNumberFormat="1" applyFont="1" applyFill="1" applyBorder="1" applyAlignment="1">
      <alignment horizontal="center" vertical="center"/>
    </xf>
    <xf numFmtId="4" fontId="68" fillId="6" borderId="4" xfId="2" applyNumberFormat="1" applyFont="1" applyFill="1" applyBorder="1" applyAlignment="1">
      <alignment horizontal="center" vertical="center" wrapText="1"/>
    </xf>
    <xf numFmtId="4" fontId="66" fillId="6" borderId="17" xfId="2" applyNumberFormat="1" applyFont="1" applyFill="1" applyBorder="1" applyAlignment="1">
      <alignment horizontal="center" vertical="center"/>
    </xf>
    <xf numFmtId="4" fontId="67" fillId="6" borderId="17" xfId="2" applyNumberFormat="1" applyFont="1" applyFill="1" applyBorder="1" applyAlignment="1">
      <alignment horizontal="center" vertical="center"/>
    </xf>
    <xf numFmtId="0" fontId="69" fillId="0" borderId="0" xfId="2" applyFont="1" applyAlignment="1">
      <alignment vertical="center" wrapText="1" shrinkToFit="1"/>
    </xf>
    <xf numFmtId="4" fontId="70" fillId="6" borderId="4" xfId="2" applyNumberFormat="1" applyFont="1" applyFill="1" applyBorder="1" applyAlignment="1">
      <alignment horizontal="center" vertical="center" wrapText="1"/>
    </xf>
    <xf numFmtId="4" fontId="66" fillId="6" borderId="17" xfId="2" applyNumberFormat="1" applyFont="1" applyFill="1" applyBorder="1" applyAlignment="1">
      <alignment horizontal="center" vertical="center" wrapText="1"/>
    </xf>
    <xf numFmtId="0" fontId="71" fillId="0" borderId="0" xfId="2" applyFont="1"/>
    <xf numFmtId="0" fontId="66" fillId="0" borderId="0" xfId="2" applyFont="1"/>
    <xf numFmtId="4" fontId="66" fillId="6" borderId="4" xfId="2" applyNumberFormat="1" applyFont="1" applyFill="1" applyBorder="1" applyAlignment="1">
      <alignment horizontal="center" vertical="center" wrapText="1"/>
    </xf>
    <xf numFmtId="0" fontId="71" fillId="0" borderId="0" xfId="2" applyFont="1" applyAlignment="1">
      <alignment vertical="center" wrapText="1" shrinkToFit="1"/>
    </xf>
    <xf numFmtId="4" fontId="66" fillId="7" borderId="4" xfId="2" applyNumberFormat="1" applyFont="1" applyFill="1" applyBorder="1" applyAlignment="1">
      <alignment horizontal="center" vertical="center"/>
    </xf>
    <xf numFmtId="4" fontId="68" fillId="7" borderId="4" xfId="2" applyNumberFormat="1" applyFont="1" applyFill="1" applyBorder="1" applyAlignment="1">
      <alignment horizontal="center" vertical="center" wrapText="1"/>
    </xf>
    <xf numFmtId="4" fontId="67" fillId="7" borderId="17" xfId="2" applyNumberFormat="1" applyFont="1" applyFill="1" applyBorder="1" applyAlignment="1">
      <alignment horizontal="center" vertical="center"/>
    </xf>
    <xf numFmtId="4" fontId="66" fillId="7" borderId="17" xfId="2" applyNumberFormat="1" applyFont="1" applyFill="1" applyBorder="1" applyAlignment="1">
      <alignment horizontal="center" vertical="center"/>
    </xf>
    <xf numFmtId="4" fontId="66" fillId="7" borderId="4" xfId="2" applyNumberFormat="1" applyFont="1" applyFill="1" applyBorder="1" applyAlignment="1">
      <alignment horizontal="center" vertical="center" wrapText="1"/>
    </xf>
    <xf numFmtId="4" fontId="35" fillId="11" borderId="4" xfId="2" applyNumberFormat="1" applyFont="1" applyFill="1" applyBorder="1" applyAlignment="1">
      <alignment horizontal="center" vertical="center"/>
    </xf>
    <xf numFmtId="0" fontId="31" fillId="3" borderId="21" xfId="2" applyFont="1" applyFill="1" applyBorder="1" applyAlignment="1">
      <alignment horizontal="center" vertical="center"/>
    </xf>
    <xf numFmtId="4" fontId="27" fillId="3" borderId="4" xfId="2" applyNumberFormat="1" applyFont="1" applyFill="1" applyBorder="1" applyAlignment="1">
      <alignment horizontal="center" vertical="center"/>
    </xf>
    <xf numFmtId="0" fontId="27" fillId="3" borderId="4" xfId="2" applyFont="1" applyFill="1" applyBorder="1" applyAlignment="1">
      <alignment horizontal="center" vertical="center"/>
    </xf>
    <xf numFmtId="4" fontId="35" fillId="3" borderId="4" xfId="2" applyNumberFormat="1" applyFont="1" applyFill="1" applyBorder="1" applyAlignment="1">
      <alignment horizontal="center" vertical="center" wrapText="1"/>
    </xf>
    <xf numFmtId="4" fontId="31" fillId="3" borderId="17" xfId="0" applyNumberFormat="1" applyFont="1" applyFill="1" applyBorder="1" applyAlignment="1">
      <alignment horizontal="center" vertical="center" wrapText="1"/>
    </xf>
    <xf numFmtId="0" fontId="29" fillId="3" borderId="9" xfId="2" applyFont="1" applyFill="1" applyBorder="1" applyAlignment="1">
      <alignment horizontal="center" vertical="center"/>
    </xf>
    <xf numFmtId="0" fontId="31" fillId="3" borderId="9" xfId="2" applyFont="1" applyFill="1" applyBorder="1" applyAlignment="1">
      <alignment horizontal="left" vertical="center" wrapText="1"/>
    </xf>
    <xf numFmtId="164" fontId="31" fillId="3" borderId="9" xfId="5" applyFont="1" applyFill="1" applyBorder="1" applyAlignment="1">
      <alignment horizontal="center" vertical="center"/>
    </xf>
    <xf numFmtId="167" fontId="31" fillId="3" borderId="9" xfId="2" applyNumberFormat="1" applyFont="1" applyFill="1" applyBorder="1" applyAlignment="1">
      <alignment horizontal="center" vertical="center"/>
    </xf>
    <xf numFmtId="4" fontId="26" fillId="3" borderId="9" xfId="2" applyNumberFormat="1" applyFont="1" applyFill="1" applyBorder="1" applyAlignment="1">
      <alignment horizontal="center" vertical="center"/>
    </xf>
    <xf numFmtId="4" fontId="27" fillId="3" borderId="9" xfId="2" applyNumberFormat="1" applyFont="1" applyFill="1" applyBorder="1" applyAlignment="1">
      <alignment horizontal="center" vertical="center"/>
    </xf>
    <xf numFmtId="4" fontId="59" fillId="3" borderId="4" xfId="0" applyNumberFormat="1" applyFont="1" applyFill="1" applyBorder="1" applyAlignment="1">
      <alignment horizontal="center" vertical="center" wrapText="1"/>
    </xf>
    <xf numFmtId="4" fontId="27" fillId="3" borderId="19" xfId="2" applyNumberFormat="1" applyFont="1" applyFill="1" applyBorder="1" applyAlignment="1">
      <alignment horizontal="center" vertical="center"/>
    </xf>
    <xf numFmtId="164" fontId="42" fillId="3" borderId="10" xfId="5" applyFont="1" applyFill="1" applyBorder="1" applyAlignment="1">
      <alignment horizontal="center" vertical="center"/>
    </xf>
    <xf numFmtId="167" fontId="42" fillId="3" borderId="10" xfId="2" applyNumberFormat="1" applyFont="1" applyFill="1" applyBorder="1" applyAlignment="1">
      <alignment horizontal="center" vertical="center"/>
    </xf>
    <xf numFmtId="4" fontId="32" fillId="3" borderId="10" xfId="2" applyNumberFormat="1" applyFont="1" applyFill="1" applyBorder="1" applyAlignment="1">
      <alignment horizontal="center" vertical="center"/>
    </xf>
    <xf numFmtId="4" fontId="42" fillId="3" borderId="10" xfId="2" applyNumberFormat="1" applyFont="1" applyFill="1" applyBorder="1" applyAlignment="1">
      <alignment horizontal="center" vertical="center"/>
    </xf>
    <xf numFmtId="0" fontId="31" fillId="11" borderId="21" xfId="2" applyFont="1" applyFill="1" applyBorder="1" applyAlignment="1">
      <alignment horizontal="center" vertical="center"/>
    </xf>
    <xf numFmtId="0" fontId="29" fillId="11" borderId="4" xfId="2" applyFont="1" applyFill="1" applyBorder="1" applyAlignment="1">
      <alignment horizontal="center" vertical="center"/>
    </xf>
    <xf numFmtId="0" fontId="58" fillId="2" borderId="9" xfId="2" applyFont="1" applyFill="1" applyBorder="1" applyAlignment="1">
      <alignment horizontal="center" vertical="center" wrapText="1"/>
    </xf>
    <xf numFmtId="4" fontId="60" fillId="2" borderId="10" xfId="0" applyNumberFormat="1" applyFont="1" applyFill="1" applyBorder="1" applyAlignment="1">
      <alignment horizontal="center" vertical="center" wrapText="1"/>
    </xf>
    <xf numFmtId="0" fontId="29" fillId="2" borderId="7" xfId="2" applyFont="1" applyFill="1" applyBorder="1" applyAlignment="1">
      <alignment horizontal="center" vertical="center"/>
    </xf>
    <xf numFmtId="0" fontId="31" fillId="2" borderId="7" xfId="2" applyFont="1" applyFill="1" applyBorder="1" applyAlignment="1">
      <alignment horizontal="left" vertical="center" wrapText="1"/>
    </xf>
    <xf numFmtId="164" fontId="31" fillId="2" borderId="7" xfId="5" applyFont="1" applyFill="1" applyBorder="1" applyAlignment="1">
      <alignment horizontal="center" vertical="center"/>
    </xf>
    <xf numFmtId="167" fontId="31" fillId="2" borderId="7" xfId="2" applyNumberFormat="1" applyFont="1" applyFill="1" applyBorder="1" applyAlignment="1">
      <alignment horizontal="center" vertical="center"/>
    </xf>
    <xf numFmtId="4" fontId="26" fillId="2" borderId="7" xfId="2" applyNumberFormat="1" applyFont="1" applyFill="1" applyBorder="1" applyAlignment="1">
      <alignment horizontal="center" vertical="center"/>
    </xf>
    <xf numFmtId="4" fontId="27" fillId="2" borderId="7" xfId="2" applyNumberFormat="1" applyFont="1" applyFill="1" applyBorder="1" applyAlignment="1">
      <alignment horizontal="center" vertical="center"/>
    </xf>
    <xf numFmtId="4" fontId="27" fillId="2" borderId="29" xfId="2" applyNumberFormat="1" applyFont="1" applyFill="1" applyBorder="1" applyAlignment="1">
      <alignment horizontal="center" vertical="center"/>
    </xf>
    <xf numFmtId="4" fontId="31" fillId="2" borderId="29" xfId="0" applyNumberFormat="1" applyFont="1" applyFill="1" applyBorder="1" applyAlignment="1">
      <alignment horizontal="center" vertical="center" wrapText="1"/>
    </xf>
    <xf numFmtId="0" fontId="31" fillId="11" borderId="26" xfId="2" applyFont="1" applyFill="1" applyBorder="1" applyAlignment="1">
      <alignment horizontal="center" vertical="center"/>
    </xf>
    <xf numFmtId="0" fontId="29" fillId="11" borderId="7" xfId="2" applyFont="1" applyFill="1" applyBorder="1" applyAlignment="1">
      <alignment horizontal="center" vertical="center"/>
    </xf>
    <xf numFmtId="0" fontId="31" fillId="11" borderId="7" xfId="2" applyFont="1" applyFill="1" applyBorder="1" applyAlignment="1">
      <alignment horizontal="left" vertical="center" wrapText="1"/>
    </xf>
    <xf numFmtId="164" fontId="31" fillId="11" borderId="7" xfId="5" applyFont="1" applyFill="1" applyBorder="1" applyAlignment="1">
      <alignment horizontal="center" vertical="center"/>
    </xf>
    <xf numFmtId="167" fontId="31" fillId="11" borderId="7" xfId="2" applyNumberFormat="1" applyFont="1" applyFill="1" applyBorder="1" applyAlignment="1">
      <alignment horizontal="center" vertical="center"/>
    </xf>
    <xf numFmtId="4" fontId="26" fillId="11" borderId="7" xfId="2" applyNumberFormat="1" applyFont="1" applyFill="1" applyBorder="1" applyAlignment="1">
      <alignment horizontal="center" vertical="center"/>
    </xf>
    <xf numFmtId="4" fontId="31" fillId="2" borderId="7" xfId="2" applyNumberFormat="1" applyFont="1" applyFill="1" applyBorder="1" applyAlignment="1">
      <alignment horizontal="center" vertical="center"/>
    </xf>
    <xf numFmtId="4" fontId="31" fillId="7" borderId="7" xfId="0" applyNumberFormat="1" applyFont="1" applyFill="1" applyBorder="1" applyAlignment="1">
      <alignment horizontal="center" vertical="center" wrapText="1"/>
    </xf>
    <xf numFmtId="4" fontId="35" fillId="11" borderId="7" xfId="2" applyNumberFormat="1" applyFont="1" applyFill="1" applyBorder="1" applyAlignment="1">
      <alignment horizontal="center" vertical="center"/>
    </xf>
    <xf numFmtId="4" fontId="27" fillId="7" borderId="29" xfId="2" applyNumberFormat="1" applyFont="1" applyFill="1" applyBorder="1" applyAlignment="1">
      <alignment horizontal="center" vertical="center"/>
    </xf>
    <xf numFmtId="4" fontId="31" fillId="7" borderId="29" xfId="0" applyNumberFormat="1" applyFont="1" applyFill="1" applyBorder="1" applyAlignment="1">
      <alignment horizontal="center" vertical="center" wrapText="1"/>
    </xf>
    <xf numFmtId="0" fontId="27" fillId="15" borderId="21" xfId="2" applyFont="1" applyFill="1" applyBorder="1" applyAlignment="1">
      <alignment horizontal="center" vertical="center"/>
    </xf>
    <xf numFmtId="0" fontId="27" fillId="15" borderId="9" xfId="2" applyFont="1" applyFill="1" applyBorder="1" applyAlignment="1">
      <alignment horizontal="center" vertical="center"/>
    </xf>
    <xf numFmtId="0" fontId="27" fillId="15" borderId="9" xfId="2" applyFont="1" applyFill="1" applyBorder="1" applyAlignment="1">
      <alignment horizontal="center" vertical="center" wrapText="1"/>
    </xf>
    <xf numFmtId="49" fontId="28" fillId="15" borderId="9" xfId="2" applyNumberFormat="1" applyFont="1" applyFill="1" applyBorder="1" applyAlignment="1">
      <alignment horizontal="center" vertical="center" wrapText="1"/>
    </xf>
    <xf numFmtId="49" fontId="62" fillId="15" borderId="9" xfId="2" applyNumberFormat="1" applyFont="1" applyFill="1" applyBorder="1" applyAlignment="1">
      <alignment horizontal="center" vertical="center" wrapText="1"/>
    </xf>
    <xf numFmtId="49" fontId="28" fillId="15" borderId="19" xfId="2" applyNumberFormat="1" applyFont="1" applyFill="1" applyBorder="1" applyAlignment="1">
      <alignment horizontal="center" vertical="center" wrapText="1"/>
    </xf>
    <xf numFmtId="0" fontId="31" fillId="2" borderId="34" xfId="2" applyFont="1" applyFill="1" applyBorder="1" applyAlignment="1">
      <alignment horizontal="center" vertical="center"/>
    </xf>
    <xf numFmtId="0" fontId="31" fillId="2" borderId="11" xfId="2" applyFont="1" applyFill="1" applyBorder="1" applyAlignment="1">
      <alignment horizontal="left" vertical="center" wrapText="1"/>
    </xf>
    <xf numFmtId="164" fontId="31" fillId="2" borderId="11" xfId="5" applyFont="1" applyFill="1" applyBorder="1" applyAlignment="1">
      <alignment horizontal="center" vertical="center"/>
    </xf>
    <xf numFmtId="167" fontId="31" fillId="2" borderId="11" xfId="2" applyNumberFormat="1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/>
    </xf>
    <xf numFmtId="4" fontId="59" fillId="2" borderId="11" xfId="0" applyNumberFormat="1" applyFont="1" applyFill="1" applyBorder="1" applyAlignment="1">
      <alignment horizontal="center" vertical="center" wrapText="1"/>
    </xf>
    <xf numFmtId="4" fontId="35" fillId="2" borderId="11" xfId="2" applyNumberFormat="1" applyFont="1" applyFill="1" applyBorder="1" applyAlignment="1">
      <alignment horizontal="center" vertical="center"/>
    </xf>
    <xf numFmtId="4" fontId="27" fillId="2" borderId="12" xfId="2" applyNumberFormat="1" applyFont="1" applyFill="1" applyBorder="1" applyAlignment="1">
      <alignment horizontal="center" vertical="center"/>
    </xf>
    <xf numFmtId="0" fontId="31" fillId="2" borderId="28" xfId="2" applyFont="1" applyFill="1" applyBorder="1" applyAlignment="1">
      <alignment horizontal="center" vertical="center"/>
    </xf>
    <xf numFmtId="0" fontId="58" fillId="2" borderId="7" xfId="2" applyFont="1" applyFill="1" applyBorder="1" applyAlignment="1">
      <alignment horizontal="center" vertical="center" wrapText="1"/>
    </xf>
    <xf numFmtId="4" fontId="35" fillId="2" borderId="7" xfId="2" applyNumberFormat="1" applyFont="1" applyFill="1" applyBorder="1" applyAlignment="1">
      <alignment horizontal="center" vertical="center" wrapText="1"/>
    </xf>
    <xf numFmtId="0" fontId="27" fillId="0" borderId="34" xfId="2" applyFont="1" applyBorder="1"/>
    <xf numFmtId="0" fontId="29" fillId="0" borderId="11" xfId="2" applyFont="1" applyBorder="1" applyAlignment="1">
      <alignment horizontal="center" vertical="center"/>
    </xf>
    <xf numFmtId="0" fontId="27" fillId="0" borderId="11" xfId="2" applyFont="1" applyBorder="1"/>
    <xf numFmtId="4" fontId="29" fillId="0" borderId="11" xfId="2" applyNumberFormat="1" applyFont="1" applyBorder="1" applyAlignment="1">
      <alignment horizontal="center" vertical="center"/>
    </xf>
    <xf numFmtId="164" fontId="27" fillId="0" borderId="11" xfId="2" applyNumberFormat="1" applyFont="1" applyBorder="1"/>
    <xf numFmtId="4" fontId="29" fillId="4" borderId="11" xfId="2" applyNumberFormat="1" applyFont="1" applyFill="1" applyBorder="1" applyAlignment="1">
      <alignment horizontal="center" vertical="center"/>
    </xf>
    <xf numFmtId="4" fontId="29" fillId="4" borderId="12" xfId="2" applyNumberFormat="1" applyFont="1" applyFill="1" applyBorder="1" applyAlignment="1">
      <alignment horizontal="center" vertical="center"/>
    </xf>
    <xf numFmtId="4" fontId="32" fillId="13" borderId="17" xfId="2" applyNumberFormat="1" applyFont="1" applyFill="1" applyBorder="1" applyAlignment="1">
      <alignment horizontal="center" vertical="center"/>
    </xf>
    <xf numFmtId="4" fontId="32" fillId="13" borderId="17" xfId="2" applyNumberFormat="1" applyFont="1" applyFill="1" applyBorder="1" applyAlignment="1">
      <alignment horizontal="center" vertical="center" wrapText="1"/>
    </xf>
    <xf numFmtId="0" fontId="42" fillId="0" borderId="0" xfId="2" applyFont="1"/>
    <xf numFmtId="4" fontId="42" fillId="0" borderId="0" xfId="2" applyNumberFormat="1" applyFont="1"/>
    <xf numFmtId="4" fontId="35" fillId="3" borderId="10" xfId="2" applyNumberFormat="1" applyFont="1" applyFill="1" applyBorder="1" applyAlignment="1">
      <alignment horizontal="center" vertical="center" wrapText="1"/>
    </xf>
    <xf numFmtId="4" fontId="35" fillId="3" borderId="9" xfId="2" applyNumberFormat="1" applyFont="1" applyFill="1" applyBorder="1" applyAlignment="1">
      <alignment horizontal="center" vertical="center" wrapText="1"/>
    </xf>
    <xf numFmtId="4" fontId="31" fillId="3" borderId="4" xfId="0" applyNumberFormat="1" applyFont="1" applyFill="1" applyBorder="1" applyAlignment="1">
      <alignment horizontal="center" vertical="center" wrapText="1"/>
    </xf>
    <xf numFmtId="4" fontId="27" fillId="3" borderId="17" xfId="2" applyNumberFormat="1" applyFont="1" applyFill="1" applyBorder="1" applyAlignment="1">
      <alignment horizontal="center" vertical="center"/>
    </xf>
    <xf numFmtId="4" fontId="27" fillId="3" borderId="10" xfId="2" applyNumberFormat="1" applyFont="1" applyFill="1" applyBorder="1" applyAlignment="1">
      <alignment horizontal="center" vertical="center"/>
    </xf>
    <xf numFmtId="4" fontId="31" fillId="3" borderId="10" xfId="0" applyNumberFormat="1" applyFont="1" applyFill="1" applyBorder="1" applyAlignment="1">
      <alignment horizontal="center" vertical="center" wrapText="1"/>
    </xf>
    <xf numFmtId="4" fontId="31" fillId="3" borderId="18" xfId="2" applyNumberFormat="1" applyFont="1" applyFill="1" applyBorder="1" applyAlignment="1">
      <alignment horizontal="center" vertical="center"/>
    </xf>
    <xf numFmtId="4" fontId="31" fillId="3" borderId="18" xfId="0" applyNumberFormat="1" applyFont="1" applyFill="1" applyBorder="1" applyAlignment="1">
      <alignment horizontal="center" vertical="center" wrapText="1"/>
    </xf>
    <xf numFmtId="4" fontId="35" fillId="2" borderId="10" xfId="2" applyNumberFormat="1" applyFont="1" applyFill="1" applyBorder="1" applyAlignment="1">
      <alignment horizontal="center" vertical="center" wrapText="1"/>
    </xf>
    <xf numFmtId="0" fontId="26" fillId="0" borderId="0" xfId="3" applyFont="1" applyAlignment="1">
      <alignment horizontal="center" vertical="center"/>
    </xf>
    <xf numFmtId="0" fontId="27" fillId="0" borderId="14" xfId="2" applyFont="1" applyBorder="1" applyAlignment="1">
      <alignment horizontal="center" vertical="center"/>
    </xf>
    <xf numFmtId="0" fontId="27" fillId="0" borderId="4" xfId="2" applyFont="1" applyBorder="1" applyAlignment="1">
      <alignment horizontal="center" vertical="center"/>
    </xf>
    <xf numFmtId="4" fontId="31" fillId="3" borderId="4" xfId="2" applyNumberFormat="1" applyFont="1" applyFill="1" applyBorder="1" applyAlignment="1">
      <alignment horizontal="center" vertical="center" wrapText="1"/>
    </xf>
    <xf numFmtId="4" fontId="42" fillId="3" borderId="4" xfId="2" applyNumberFormat="1" applyFont="1" applyFill="1" applyBorder="1" applyAlignment="1">
      <alignment horizontal="center" vertical="center" wrapText="1"/>
    </xf>
    <xf numFmtId="4" fontId="58" fillId="3" borderId="17" xfId="2" applyNumberFormat="1" applyFont="1" applyFill="1" applyBorder="1" applyAlignment="1">
      <alignment horizontal="center" vertical="center"/>
    </xf>
    <xf numFmtId="0" fontId="29" fillId="16" borderId="4" xfId="2" applyFont="1" applyFill="1" applyBorder="1" applyAlignment="1">
      <alignment horizontal="center" vertical="center"/>
    </xf>
    <xf numFmtId="0" fontId="29" fillId="16" borderId="9" xfId="2" applyFont="1" applyFill="1" applyBorder="1" applyAlignment="1">
      <alignment horizontal="center" vertical="center"/>
    </xf>
    <xf numFmtId="0" fontId="26" fillId="16" borderId="10" xfId="2" applyFont="1" applyFill="1" applyBorder="1" applyAlignment="1">
      <alignment horizontal="center" vertical="center"/>
    </xf>
    <xf numFmtId="0" fontId="31" fillId="11" borderId="36" xfId="2" applyFont="1" applyFill="1" applyBorder="1" applyAlignment="1">
      <alignment horizontal="center" vertical="center"/>
    </xf>
    <xf numFmtId="0" fontId="31" fillId="11" borderId="22" xfId="2" applyFont="1" applyFill="1" applyBorder="1" applyAlignment="1">
      <alignment horizontal="center" vertical="center"/>
    </xf>
    <xf numFmtId="0" fontId="29" fillId="11" borderId="10" xfId="2" applyFont="1" applyFill="1" applyBorder="1" applyAlignment="1">
      <alignment horizontal="center" vertical="center"/>
    </xf>
    <xf numFmtId="0" fontId="31" fillId="11" borderId="10" xfId="2" applyFont="1" applyFill="1" applyBorder="1" applyAlignment="1">
      <alignment horizontal="left" vertical="center" wrapText="1"/>
    </xf>
    <xf numFmtId="164" fontId="31" fillId="11" borderId="10" xfId="5" applyFont="1" applyFill="1" applyBorder="1" applyAlignment="1">
      <alignment horizontal="center" vertical="center"/>
    </xf>
    <xf numFmtId="167" fontId="31" fillId="11" borderId="10" xfId="2" applyNumberFormat="1" applyFont="1" applyFill="1" applyBorder="1" applyAlignment="1">
      <alignment horizontal="center" vertical="center"/>
    </xf>
    <xf numFmtId="4" fontId="26" fillId="11" borderId="10" xfId="2" applyNumberFormat="1" applyFont="1" applyFill="1" applyBorder="1" applyAlignment="1">
      <alignment horizontal="center" vertical="center"/>
    </xf>
    <xf numFmtId="4" fontId="27" fillId="11" borderId="10" xfId="2" applyNumberFormat="1" applyFont="1" applyFill="1" applyBorder="1" applyAlignment="1">
      <alignment horizontal="center" vertical="center"/>
    </xf>
    <xf numFmtId="4" fontId="60" fillId="11" borderId="10" xfId="0" applyNumberFormat="1" applyFont="1" applyFill="1" applyBorder="1" applyAlignment="1">
      <alignment horizontal="center" vertical="center" wrapText="1"/>
    </xf>
    <xf numFmtId="4" fontId="35" fillId="11" borderId="10" xfId="2" applyNumberFormat="1" applyFont="1" applyFill="1" applyBorder="1" applyAlignment="1">
      <alignment horizontal="center" vertical="center" wrapText="1"/>
    </xf>
    <xf numFmtId="4" fontId="27" fillId="11" borderId="18" xfId="2" applyNumberFormat="1" applyFont="1" applyFill="1" applyBorder="1" applyAlignment="1">
      <alignment horizontal="center" vertical="center"/>
    </xf>
    <xf numFmtId="4" fontId="31" fillId="11" borderId="18" xfId="0" applyNumberFormat="1" applyFont="1" applyFill="1" applyBorder="1" applyAlignment="1">
      <alignment horizontal="center" vertical="center" wrapText="1"/>
    </xf>
    <xf numFmtId="168" fontId="59" fillId="0" borderId="0" xfId="2" applyNumberFormat="1" applyFont="1"/>
    <xf numFmtId="0" fontId="29" fillId="11" borderId="8" xfId="2" applyFont="1" applyFill="1" applyBorder="1" applyAlignment="1">
      <alignment horizontal="center" vertical="center"/>
    </xf>
    <xf numFmtId="0" fontId="31" fillId="11" borderId="8" xfId="2" applyFont="1" applyFill="1" applyBorder="1" applyAlignment="1">
      <alignment horizontal="left" vertical="center" wrapText="1"/>
    </xf>
    <xf numFmtId="164" fontId="31" fillId="11" borderId="8" xfId="5" applyFont="1" applyFill="1" applyBorder="1" applyAlignment="1">
      <alignment horizontal="center" vertical="center"/>
    </xf>
    <xf numFmtId="167" fontId="31" fillId="11" borderId="8" xfId="2" applyNumberFormat="1" applyFont="1" applyFill="1" applyBorder="1" applyAlignment="1">
      <alignment horizontal="center" vertical="center"/>
    </xf>
    <xf numFmtId="4" fontId="26" fillId="11" borderId="8" xfId="2" applyNumberFormat="1" applyFont="1" applyFill="1" applyBorder="1" applyAlignment="1">
      <alignment horizontal="center" vertical="center"/>
    </xf>
    <xf numFmtId="4" fontId="31" fillId="2" borderId="8" xfId="2" applyNumberFormat="1" applyFont="1" applyFill="1" applyBorder="1" applyAlignment="1">
      <alignment horizontal="center" vertical="center"/>
    </xf>
    <xf numFmtId="4" fontId="31" fillId="7" borderId="8" xfId="0" applyNumberFormat="1" applyFont="1" applyFill="1" applyBorder="1" applyAlignment="1">
      <alignment horizontal="center" vertical="center" wrapText="1"/>
    </xf>
    <xf numFmtId="4" fontId="35" fillId="11" borderId="9" xfId="2" applyNumberFormat="1" applyFont="1" applyFill="1" applyBorder="1" applyAlignment="1">
      <alignment horizontal="center" vertical="center" wrapText="1"/>
    </xf>
    <xf numFmtId="4" fontId="27" fillId="7" borderId="20" xfId="2" applyNumberFormat="1" applyFont="1" applyFill="1" applyBorder="1" applyAlignment="1">
      <alignment horizontal="center" vertical="center"/>
    </xf>
    <xf numFmtId="4" fontId="31" fillId="7" borderId="20" xfId="0" applyNumberFormat="1" applyFont="1" applyFill="1" applyBorder="1" applyAlignment="1">
      <alignment horizontal="center" vertical="center" wrapText="1"/>
    </xf>
    <xf numFmtId="0" fontId="29" fillId="11" borderId="37" xfId="2" applyFont="1" applyFill="1" applyBorder="1" applyAlignment="1">
      <alignment horizontal="center" vertical="center"/>
    </xf>
    <xf numFmtId="0" fontId="31" fillId="11" borderId="37" xfId="2" applyFont="1" applyFill="1" applyBorder="1" applyAlignment="1">
      <alignment horizontal="left" vertical="center" wrapText="1"/>
    </xf>
    <xf numFmtId="164" fontId="31" fillId="11" borderId="37" xfId="5" applyFont="1" applyFill="1" applyBorder="1" applyAlignment="1">
      <alignment horizontal="center" vertical="center"/>
    </xf>
    <xf numFmtId="167" fontId="31" fillId="11" borderId="37" xfId="2" applyNumberFormat="1" applyFont="1" applyFill="1" applyBorder="1" applyAlignment="1">
      <alignment horizontal="center" vertical="center"/>
    </xf>
    <xf numFmtId="4" fontId="26" fillId="11" borderId="37" xfId="2" applyNumberFormat="1" applyFont="1" applyFill="1" applyBorder="1" applyAlignment="1">
      <alignment horizontal="center" vertical="center"/>
    </xf>
    <xf numFmtId="4" fontId="27" fillId="4" borderId="37" xfId="2" applyNumberFormat="1" applyFont="1" applyFill="1" applyBorder="1" applyAlignment="1">
      <alignment horizontal="center" vertical="center"/>
    </xf>
    <xf numFmtId="4" fontId="27" fillId="5" borderId="37" xfId="2" applyNumberFormat="1" applyFont="1" applyFill="1" applyBorder="1" applyAlignment="1">
      <alignment horizontal="center" vertical="center"/>
    </xf>
    <xf numFmtId="0" fontId="27" fillId="7" borderId="37" xfId="2" applyFont="1" applyFill="1" applyBorder="1" applyAlignment="1">
      <alignment horizontal="center" vertical="center"/>
    </xf>
    <xf numFmtId="4" fontId="35" fillId="11" borderId="37" xfId="2" applyNumberFormat="1" applyFont="1" applyFill="1" applyBorder="1" applyAlignment="1">
      <alignment horizontal="center" vertical="center" wrapText="1"/>
    </xf>
    <xf numFmtId="4" fontId="31" fillId="7" borderId="38" xfId="0" applyNumberFormat="1" applyFont="1" applyFill="1" applyBorder="1" applyAlignment="1">
      <alignment horizontal="center" vertical="center" wrapText="1"/>
    </xf>
    <xf numFmtId="4" fontId="58" fillId="6" borderId="4" xfId="2" applyNumberFormat="1" applyFont="1" applyFill="1" applyBorder="1" applyAlignment="1">
      <alignment horizontal="center" vertical="center" wrapText="1"/>
    </xf>
    <xf numFmtId="4" fontId="31" fillId="7" borderId="4" xfId="2" applyNumberFormat="1" applyFont="1" applyFill="1" applyBorder="1" applyAlignment="1">
      <alignment horizontal="center" vertical="center"/>
    </xf>
    <xf numFmtId="4" fontId="63" fillId="7" borderId="4" xfId="2" applyNumberFormat="1" applyFont="1" applyFill="1" applyBorder="1" applyAlignment="1">
      <alignment horizontal="center" vertical="center" wrapText="1"/>
    </xf>
    <xf numFmtId="4" fontId="26" fillId="7" borderId="17" xfId="2" applyNumberFormat="1" applyFont="1" applyFill="1" applyBorder="1" applyAlignment="1">
      <alignment horizontal="center" vertical="center"/>
    </xf>
    <xf numFmtId="0" fontId="50" fillId="0" borderId="0" xfId="2" applyFont="1" applyAlignment="1">
      <alignment vertical="center" wrapText="1" shrinkToFit="1"/>
    </xf>
    <xf numFmtId="4" fontId="31" fillId="6" borderId="17" xfId="2" applyNumberFormat="1" applyFont="1" applyFill="1" applyBorder="1" applyAlignment="1">
      <alignment horizontal="center" vertical="center" wrapText="1"/>
    </xf>
    <xf numFmtId="0" fontId="50" fillId="0" borderId="0" xfId="2" applyFont="1"/>
    <xf numFmtId="0" fontId="31" fillId="0" borderId="0" xfId="2" applyFont="1"/>
    <xf numFmtId="4" fontId="26" fillId="6" borderId="17" xfId="2" applyNumberFormat="1" applyFont="1" applyFill="1" applyBorder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7" fillId="0" borderId="14" xfId="2" applyFont="1" applyBorder="1" applyAlignment="1">
      <alignment horizontal="center" vertical="center"/>
    </xf>
    <xf numFmtId="0" fontId="27" fillId="0" borderId="4" xfId="2" applyFont="1" applyBorder="1" applyAlignment="1">
      <alignment horizontal="center" vertical="center"/>
    </xf>
    <xf numFmtId="4" fontId="42" fillId="3" borderId="17" xfId="2" applyNumberFormat="1" applyFont="1" applyFill="1" applyBorder="1" applyAlignment="1">
      <alignment horizontal="center" vertical="center"/>
    </xf>
    <xf numFmtId="0" fontId="31" fillId="16" borderId="16" xfId="2" applyFont="1" applyFill="1" applyBorder="1" applyAlignment="1">
      <alignment horizontal="center" vertical="center"/>
    </xf>
    <xf numFmtId="0" fontId="31" fillId="16" borderId="4" xfId="2" applyFont="1" applyFill="1" applyBorder="1" applyAlignment="1">
      <alignment horizontal="left" vertical="center" wrapText="1"/>
    </xf>
    <xf numFmtId="164" fontId="31" fillId="16" borderId="4" xfId="5" applyFont="1" applyFill="1" applyBorder="1" applyAlignment="1">
      <alignment horizontal="center" vertical="center"/>
    </xf>
    <xf numFmtId="167" fontId="31" fillId="16" borderId="4" xfId="2" applyNumberFormat="1" applyFont="1" applyFill="1" applyBorder="1" applyAlignment="1">
      <alignment horizontal="center" vertical="center"/>
    </xf>
    <xf numFmtId="4" fontId="26" fillId="16" borderId="4" xfId="2" applyNumberFormat="1" applyFont="1" applyFill="1" applyBorder="1" applyAlignment="1">
      <alignment horizontal="center" vertical="center"/>
    </xf>
    <xf numFmtId="4" fontId="27" fillId="16" borderId="4" xfId="2" applyNumberFormat="1" applyFont="1" applyFill="1" applyBorder="1" applyAlignment="1">
      <alignment horizontal="center" vertical="center"/>
    </xf>
    <xf numFmtId="0" fontId="27" fillId="16" borderId="4" xfId="2" applyFont="1" applyFill="1" applyBorder="1" applyAlignment="1">
      <alignment horizontal="center" vertical="center"/>
    </xf>
    <xf numFmtId="4" fontId="31" fillId="16" borderId="17" xfId="0" applyNumberFormat="1" applyFont="1" applyFill="1" applyBorder="1" applyAlignment="1">
      <alignment horizontal="center" vertical="center" wrapText="1"/>
    </xf>
    <xf numFmtId="0" fontId="31" fillId="16" borderId="21" xfId="2" applyFont="1" applyFill="1" applyBorder="1" applyAlignment="1">
      <alignment horizontal="center" vertical="center"/>
    </xf>
    <xf numFmtId="4" fontId="77" fillId="16" borderId="4" xfId="2" applyNumberFormat="1" applyFont="1" applyFill="1" applyBorder="1" applyAlignment="1">
      <alignment horizontal="center" vertical="center" wrapText="1"/>
    </xf>
    <xf numFmtId="0" fontId="26" fillId="0" borderId="0" xfId="3" applyFont="1" applyAlignment="1">
      <alignment horizontal="center" vertical="center"/>
    </xf>
    <xf numFmtId="0" fontId="27" fillId="0" borderId="14" xfId="2" applyFont="1" applyBorder="1" applyAlignment="1">
      <alignment horizontal="center" vertical="center"/>
    </xf>
    <xf numFmtId="0" fontId="27" fillId="0" borderId="4" xfId="2" applyFont="1" applyBorder="1" applyAlignment="1">
      <alignment horizontal="center" vertical="center"/>
    </xf>
    <xf numFmtId="4" fontId="26" fillId="0" borderId="0" xfId="2" applyNumberFormat="1" applyFont="1" applyAlignment="1">
      <alignment horizontal="center" vertical="center" wrapText="1"/>
    </xf>
    <xf numFmtId="4" fontId="28" fillId="15" borderId="17" xfId="2" applyNumberFormat="1" applyFont="1" applyFill="1" applyBorder="1" applyAlignment="1">
      <alignment horizontal="center" vertical="center" wrapText="1"/>
    </xf>
    <xf numFmtId="4" fontId="42" fillId="0" borderId="0" xfId="2" applyNumberFormat="1" applyFont="1" applyAlignment="1">
      <alignment horizontal="center" vertical="center"/>
    </xf>
    <xf numFmtId="4" fontId="42" fillId="2" borderId="17" xfId="2" applyNumberFormat="1" applyFont="1" applyFill="1" applyBorder="1" applyAlignment="1">
      <alignment horizontal="center" vertical="center"/>
    </xf>
    <xf numFmtId="4" fontId="31" fillId="2" borderId="4" xfId="2" applyNumberFormat="1" applyFont="1" applyFill="1" applyBorder="1" applyAlignment="1">
      <alignment horizontal="center" vertical="center" wrapText="1"/>
    </xf>
    <xf numFmtId="4" fontId="63" fillId="2" borderId="4" xfId="2" applyNumberFormat="1" applyFont="1" applyFill="1" applyBorder="1" applyAlignment="1">
      <alignment horizontal="center" vertical="center" wrapText="1"/>
    </xf>
    <xf numFmtId="4" fontId="58" fillId="2" borderId="17" xfId="2" applyNumberFormat="1" applyFont="1" applyFill="1" applyBorder="1" applyAlignment="1">
      <alignment horizontal="center" vertical="center"/>
    </xf>
    <xf numFmtId="0" fontId="26" fillId="2" borderId="10" xfId="2" applyFont="1" applyFill="1" applyBorder="1" applyAlignment="1">
      <alignment horizontal="center" vertical="center"/>
    </xf>
    <xf numFmtId="4" fontId="31" fillId="2" borderId="10" xfId="2" applyNumberFormat="1" applyFont="1" applyFill="1" applyBorder="1" applyAlignment="1">
      <alignment horizontal="center" vertical="center"/>
    </xf>
    <xf numFmtId="4" fontId="31" fillId="2" borderId="10" xfId="2" applyNumberFormat="1" applyFont="1" applyFill="1" applyBorder="1" applyAlignment="1">
      <alignment horizontal="center" vertical="center" wrapText="1"/>
    </xf>
    <xf numFmtId="4" fontId="63" fillId="2" borderId="10" xfId="2" applyNumberFormat="1" applyFont="1" applyFill="1" applyBorder="1" applyAlignment="1">
      <alignment horizontal="center" vertical="center" wrapText="1"/>
    </xf>
    <xf numFmtId="4" fontId="31" fillId="2" borderId="18" xfId="2" applyNumberFormat="1" applyFont="1" applyFill="1" applyBorder="1" applyAlignment="1">
      <alignment horizontal="center" vertical="center"/>
    </xf>
    <xf numFmtId="4" fontId="58" fillId="2" borderId="18" xfId="2" applyNumberFormat="1" applyFont="1" applyFill="1" applyBorder="1" applyAlignment="1">
      <alignment horizontal="center" vertical="center"/>
    </xf>
    <xf numFmtId="4" fontId="31" fillId="2" borderId="30" xfId="2" applyNumberFormat="1" applyFont="1" applyFill="1" applyBorder="1" applyAlignment="1">
      <alignment horizontal="center" vertical="center"/>
    </xf>
    <xf numFmtId="4" fontId="33" fillId="7" borderId="4" xfId="2" applyNumberFormat="1" applyFont="1" applyFill="1" applyBorder="1" applyAlignment="1">
      <alignment horizontal="center" vertical="center" wrapText="1"/>
    </xf>
    <xf numFmtId="4" fontId="26" fillId="3" borderId="0" xfId="2" applyNumberFormat="1" applyFont="1" applyFill="1" applyAlignment="1">
      <alignment horizontal="center" vertical="center" wrapText="1"/>
    </xf>
    <xf numFmtId="0" fontId="26" fillId="10" borderId="4" xfId="2" applyFont="1" applyFill="1" applyBorder="1" applyAlignment="1">
      <alignment horizontal="center" vertical="center"/>
    </xf>
    <xf numFmtId="164" fontId="31" fillId="10" borderId="4" xfId="5" applyFont="1" applyFill="1" applyBorder="1" applyAlignment="1">
      <alignment horizontal="center" vertical="center"/>
    </xf>
    <xf numFmtId="4" fontId="31" fillId="10" borderId="4" xfId="2" applyNumberFormat="1" applyFont="1" applyFill="1" applyBorder="1" applyAlignment="1">
      <alignment horizontal="center" vertical="center"/>
    </xf>
    <xf numFmtId="4" fontId="35" fillId="10" borderId="4" xfId="2" applyNumberFormat="1" applyFont="1" applyFill="1" applyBorder="1" applyAlignment="1">
      <alignment horizontal="center" vertical="center" wrapText="1"/>
    </xf>
    <xf numFmtId="4" fontId="31" fillId="10" borderId="17" xfId="2" applyNumberFormat="1" applyFont="1" applyFill="1" applyBorder="1" applyAlignment="1">
      <alignment horizontal="center" vertical="center"/>
    </xf>
    <xf numFmtId="4" fontId="26" fillId="10" borderId="17" xfId="2" applyNumberFormat="1" applyFont="1" applyFill="1" applyBorder="1" applyAlignment="1">
      <alignment horizontal="center" vertical="center"/>
    </xf>
    <xf numFmtId="49" fontId="26" fillId="10" borderId="4" xfId="2" applyNumberFormat="1" applyFont="1" applyFill="1" applyBorder="1" applyAlignment="1">
      <alignment horizontal="center" vertical="center"/>
    </xf>
    <xf numFmtId="4" fontId="58" fillId="10" borderId="17" xfId="2" applyNumberFormat="1" applyFont="1" applyFill="1" applyBorder="1" applyAlignment="1">
      <alignment horizontal="center" vertical="center"/>
    </xf>
    <xf numFmtId="0" fontId="31" fillId="16" borderId="9" xfId="2" applyFont="1" applyFill="1" applyBorder="1" applyAlignment="1">
      <alignment horizontal="left" vertical="center" wrapText="1"/>
    </xf>
    <xf numFmtId="164" fontId="31" fillId="16" borderId="9" xfId="5" applyFont="1" applyFill="1" applyBorder="1" applyAlignment="1">
      <alignment horizontal="center" vertical="center"/>
    </xf>
    <xf numFmtId="167" fontId="31" fillId="16" borderId="9" xfId="2" applyNumberFormat="1" applyFont="1" applyFill="1" applyBorder="1" applyAlignment="1">
      <alignment horizontal="center" vertical="center"/>
    </xf>
    <xf numFmtId="4" fontId="26" fillId="16" borderId="9" xfId="2" applyNumberFormat="1" applyFont="1" applyFill="1" applyBorder="1" applyAlignment="1">
      <alignment horizontal="center" vertical="center"/>
    </xf>
    <xf numFmtId="4" fontId="27" fillId="16" borderId="9" xfId="2" applyNumberFormat="1" applyFont="1" applyFill="1" applyBorder="1" applyAlignment="1">
      <alignment horizontal="center" vertical="center"/>
    </xf>
    <xf numFmtId="4" fontId="59" fillId="16" borderId="4" xfId="0" applyNumberFormat="1" applyFont="1" applyFill="1" applyBorder="1" applyAlignment="1">
      <alignment horizontal="center" vertical="center" wrapText="1"/>
    </xf>
    <xf numFmtId="4" fontId="27" fillId="16" borderId="19" xfId="2" applyNumberFormat="1" applyFont="1" applyFill="1" applyBorder="1" applyAlignment="1">
      <alignment horizontal="center" vertical="center"/>
    </xf>
    <xf numFmtId="4" fontId="31" fillId="16" borderId="4" xfId="0" applyNumberFormat="1" applyFont="1" applyFill="1" applyBorder="1" applyAlignment="1">
      <alignment horizontal="center" vertical="center" wrapText="1"/>
    </xf>
    <xf numFmtId="4" fontId="27" fillId="16" borderId="17" xfId="2" applyNumberFormat="1" applyFont="1" applyFill="1" applyBorder="1" applyAlignment="1">
      <alignment horizontal="center" vertical="center"/>
    </xf>
    <xf numFmtId="0" fontId="31" fillId="16" borderId="22" xfId="2" applyFont="1" applyFill="1" applyBorder="1" applyAlignment="1">
      <alignment horizontal="center" vertical="center"/>
    </xf>
    <xf numFmtId="0" fontId="31" fillId="16" borderId="10" xfId="2" applyFont="1" applyFill="1" applyBorder="1" applyAlignment="1">
      <alignment horizontal="left" vertical="center" wrapText="1"/>
    </xf>
    <xf numFmtId="164" fontId="42" fillId="16" borderId="10" xfId="5" applyFont="1" applyFill="1" applyBorder="1" applyAlignment="1">
      <alignment horizontal="center" vertical="center"/>
    </xf>
    <xf numFmtId="167" fontId="42" fillId="16" borderId="10" xfId="2" applyNumberFormat="1" applyFont="1" applyFill="1" applyBorder="1" applyAlignment="1">
      <alignment horizontal="center" vertical="center"/>
    </xf>
    <xf numFmtId="4" fontId="32" fillId="16" borderId="10" xfId="2" applyNumberFormat="1" applyFont="1" applyFill="1" applyBorder="1" applyAlignment="1">
      <alignment horizontal="center" vertical="center"/>
    </xf>
    <xf numFmtId="4" fontId="42" fillId="16" borderId="10" xfId="2" applyNumberFormat="1" applyFont="1" applyFill="1" applyBorder="1" applyAlignment="1">
      <alignment horizontal="center" vertical="center"/>
    </xf>
    <xf numFmtId="4" fontId="27" fillId="16" borderId="10" xfId="2" applyNumberFormat="1" applyFont="1" applyFill="1" applyBorder="1" applyAlignment="1">
      <alignment horizontal="center" vertical="center"/>
    </xf>
    <xf numFmtId="4" fontId="31" fillId="16" borderId="10" xfId="0" applyNumberFormat="1" applyFont="1" applyFill="1" applyBorder="1" applyAlignment="1">
      <alignment horizontal="center" vertical="center" wrapText="1"/>
    </xf>
    <xf numFmtId="4" fontId="31" fillId="16" borderId="18" xfId="2" applyNumberFormat="1" applyFont="1" applyFill="1" applyBorder="1" applyAlignment="1">
      <alignment horizontal="center" vertical="center"/>
    </xf>
    <xf numFmtId="4" fontId="31" fillId="16" borderId="18" xfId="0" applyNumberFormat="1" applyFont="1" applyFill="1" applyBorder="1" applyAlignment="1">
      <alignment horizontal="center" vertical="center" wrapText="1"/>
    </xf>
    <xf numFmtId="0" fontId="26" fillId="16" borderId="4" xfId="2" applyFont="1" applyFill="1" applyBorder="1" applyAlignment="1">
      <alignment horizontal="center" vertical="center"/>
    </xf>
    <xf numFmtId="4" fontId="31" fillId="16" borderId="4" xfId="2" applyNumberFormat="1" applyFont="1" applyFill="1" applyBorder="1" applyAlignment="1">
      <alignment horizontal="center" vertical="center"/>
    </xf>
    <xf numFmtId="4" fontId="31" fillId="16" borderId="4" xfId="2" applyNumberFormat="1" applyFont="1" applyFill="1" applyBorder="1" applyAlignment="1">
      <alignment horizontal="center" vertical="center" wrapText="1"/>
    </xf>
    <xf numFmtId="4" fontId="31" fillId="16" borderId="17" xfId="2" applyNumberFormat="1" applyFont="1" applyFill="1" applyBorder="1" applyAlignment="1">
      <alignment horizontal="center" vertical="center"/>
    </xf>
    <xf numFmtId="4" fontId="42" fillId="16" borderId="17" xfId="2" applyNumberFormat="1" applyFont="1" applyFill="1" applyBorder="1" applyAlignment="1">
      <alignment horizontal="center" vertical="center"/>
    </xf>
    <xf numFmtId="4" fontId="26" fillId="16" borderId="17" xfId="2" applyNumberFormat="1" applyFont="1" applyFill="1" applyBorder="1" applyAlignment="1">
      <alignment horizontal="center" vertical="center"/>
    </xf>
    <xf numFmtId="4" fontId="42" fillId="16" borderId="4" xfId="2" applyNumberFormat="1" applyFont="1" applyFill="1" applyBorder="1" applyAlignment="1">
      <alignment horizontal="center" vertical="center" wrapText="1"/>
    </xf>
    <xf numFmtId="0" fontId="26" fillId="0" borderId="0" xfId="3" applyFont="1" applyAlignment="1">
      <alignment horizontal="center" vertical="center"/>
    </xf>
    <xf numFmtId="0" fontId="27" fillId="0" borderId="14" xfId="2" applyFont="1" applyBorder="1" applyAlignment="1">
      <alignment horizontal="center" vertical="center"/>
    </xf>
    <xf numFmtId="0" fontId="27" fillId="0" borderId="4" xfId="2" applyFont="1" applyBorder="1" applyAlignment="1">
      <alignment horizontal="center" vertical="center"/>
    </xf>
    <xf numFmtId="0" fontId="65" fillId="0" borderId="0" xfId="2" applyFont="1" applyAlignment="1">
      <alignment vertical="center"/>
    </xf>
    <xf numFmtId="0" fontId="66" fillId="3" borderId="13" xfId="2" applyFont="1" applyFill="1" applyBorder="1" applyAlignment="1">
      <alignment horizontal="center" vertical="center"/>
    </xf>
    <xf numFmtId="0" fontId="67" fillId="3" borderId="14" xfId="2" applyFont="1" applyFill="1" applyBorder="1" applyAlignment="1">
      <alignment horizontal="center" vertical="center"/>
    </xf>
    <xf numFmtId="0" fontId="66" fillId="3" borderId="14" xfId="2" applyFont="1" applyFill="1" applyBorder="1" applyAlignment="1">
      <alignment horizontal="left" vertical="center" wrapText="1"/>
    </xf>
    <xf numFmtId="164" fontId="66" fillId="3" borderId="14" xfId="5" applyFont="1" applyFill="1" applyBorder="1" applyAlignment="1">
      <alignment horizontal="center" vertical="center"/>
    </xf>
    <xf numFmtId="167" fontId="66" fillId="3" borderId="14" xfId="2" applyNumberFormat="1" applyFont="1" applyFill="1" applyBorder="1" applyAlignment="1">
      <alignment horizontal="center" vertical="center"/>
    </xf>
    <xf numFmtId="4" fontId="67" fillId="3" borderId="14" xfId="2" applyNumberFormat="1" applyFont="1" applyFill="1" applyBorder="1" applyAlignment="1">
      <alignment horizontal="center" vertical="center"/>
    </xf>
    <xf numFmtId="4" fontId="66" fillId="4" borderId="14" xfId="2" applyNumberFormat="1" applyFont="1" applyFill="1" applyBorder="1" applyAlignment="1">
      <alignment horizontal="center" vertical="center"/>
    </xf>
    <xf numFmtId="4" fontId="66" fillId="5" borderId="14" xfId="2" applyNumberFormat="1" applyFont="1" applyFill="1" applyBorder="1" applyAlignment="1">
      <alignment horizontal="center" vertical="center"/>
    </xf>
    <xf numFmtId="4" fontId="58" fillId="6" borderId="14" xfId="2" applyNumberFormat="1" applyFont="1" applyFill="1" applyBorder="1" applyAlignment="1">
      <alignment horizontal="center" vertical="center" wrapText="1"/>
    </xf>
    <xf numFmtId="4" fontId="66" fillId="6" borderId="15" xfId="2" applyNumberFormat="1" applyFont="1" applyFill="1" applyBorder="1" applyAlignment="1">
      <alignment horizontal="center" vertical="center"/>
    </xf>
    <xf numFmtId="4" fontId="67" fillId="6" borderId="15" xfId="2" applyNumberFormat="1" applyFont="1" applyFill="1" applyBorder="1" applyAlignment="1">
      <alignment horizontal="center" vertical="center"/>
    </xf>
    <xf numFmtId="0" fontId="66" fillId="3" borderId="40" xfId="2" applyFont="1" applyFill="1" applyBorder="1" applyAlignment="1">
      <alignment horizontal="center" vertical="center"/>
    </xf>
    <xf numFmtId="0" fontId="67" fillId="3" borderId="41" xfId="2" applyFont="1" applyFill="1" applyBorder="1" applyAlignment="1">
      <alignment horizontal="center" vertical="center"/>
    </xf>
    <xf numFmtId="0" fontId="66" fillId="3" borderId="41" xfId="2" applyFont="1" applyFill="1" applyBorder="1" applyAlignment="1">
      <alignment horizontal="left" vertical="center" wrapText="1"/>
    </xf>
    <xf numFmtId="164" fontId="66" fillId="3" borderId="41" xfId="5" applyFont="1" applyFill="1" applyBorder="1" applyAlignment="1">
      <alignment horizontal="center" vertical="center"/>
    </xf>
    <xf numFmtId="167" fontId="66" fillId="3" borderId="41" xfId="2" applyNumberFormat="1" applyFont="1" applyFill="1" applyBorder="1" applyAlignment="1">
      <alignment horizontal="center" vertical="center"/>
    </xf>
    <xf numFmtId="4" fontId="67" fillId="3" borderId="41" xfId="2" applyNumberFormat="1" applyFont="1" applyFill="1" applyBorder="1" applyAlignment="1">
      <alignment horizontal="center" vertical="center"/>
    </xf>
    <xf numFmtId="4" fontId="66" fillId="7" borderId="41" xfId="2" applyNumberFormat="1" applyFont="1" applyFill="1" applyBorder="1" applyAlignment="1">
      <alignment horizontal="center" vertical="center"/>
    </xf>
    <xf numFmtId="4" fontId="66" fillId="5" borderId="41" xfId="2" applyNumberFormat="1" applyFont="1" applyFill="1" applyBorder="1" applyAlignment="1">
      <alignment horizontal="center" vertical="center"/>
    </xf>
    <xf numFmtId="4" fontId="58" fillId="6" borderId="41" xfId="2" applyNumberFormat="1" applyFont="1" applyFill="1" applyBorder="1" applyAlignment="1">
      <alignment horizontal="center" vertical="center" wrapText="1"/>
    </xf>
    <xf numFmtId="4" fontId="66" fillId="6" borderId="42" xfId="2" applyNumberFormat="1" applyFont="1" applyFill="1" applyBorder="1" applyAlignment="1">
      <alignment horizontal="center" vertical="center"/>
    </xf>
    <xf numFmtId="4" fontId="67" fillId="7" borderId="42" xfId="2" applyNumberFormat="1" applyFont="1" applyFill="1" applyBorder="1" applyAlignment="1">
      <alignment horizontal="center" vertical="center"/>
    </xf>
    <xf numFmtId="4" fontId="66" fillId="7" borderId="42" xfId="2" applyNumberFormat="1" applyFont="1" applyFill="1" applyBorder="1" applyAlignment="1">
      <alignment horizontal="center" vertical="center"/>
    </xf>
    <xf numFmtId="4" fontId="58" fillId="16" borderId="17" xfId="2" applyNumberFormat="1" applyFont="1" applyFill="1" applyBorder="1" applyAlignment="1">
      <alignment horizontal="center" vertical="center"/>
    </xf>
    <xf numFmtId="49" fontId="26" fillId="16" borderId="4" xfId="2" applyNumberFormat="1" applyFont="1" applyFill="1" applyBorder="1" applyAlignment="1">
      <alignment horizontal="center" vertical="center"/>
    </xf>
    <xf numFmtId="4" fontId="77" fillId="11" borderId="4" xfId="2" applyNumberFormat="1" applyFont="1" applyFill="1" applyBorder="1" applyAlignment="1">
      <alignment horizontal="center" vertical="center" wrapText="1"/>
    </xf>
    <xf numFmtId="0" fontId="31" fillId="17" borderId="16" xfId="2" applyFont="1" applyFill="1" applyBorder="1" applyAlignment="1">
      <alignment horizontal="center" vertical="center"/>
    </xf>
    <xf numFmtId="0" fontId="26" fillId="17" borderId="4" xfId="2" applyFont="1" applyFill="1" applyBorder="1" applyAlignment="1">
      <alignment horizontal="center" vertical="center"/>
    </xf>
    <xf numFmtId="0" fontId="31" fillId="17" borderId="4" xfId="2" applyFont="1" applyFill="1" applyBorder="1" applyAlignment="1">
      <alignment horizontal="left" vertical="center" wrapText="1"/>
    </xf>
    <xf numFmtId="164" fontId="31" fillId="17" borderId="4" xfId="5" applyFont="1" applyFill="1" applyBorder="1" applyAlignment="1">
      <alignment horizontal="center" vertical="center"/>
    </xf>
    <xf numFmtId="167" fontId="31" fillId="17" borderId="4" xfId="2" applyNumberFormat="1" applyFont="1" applyFill="1" applyBorder="1" applyAlignment="1">
      <alignment horizontal="center" vertical="center"/>
    </xf>
    <xf numFmtId="4" fontId="26" fillId="17" borderId="4" xfId="2" applyNumberFormat="1" applyFont="1" applyFill="1" applyBorder="1" applyAlignment="1">
      <alignment horizontal="center" vertical="center"/>
    </xf>
    <xf numFmtId="4" fontId="31" fillId="17" borderId="4" xfId="2" applyNumberFormat="1" applyFont="1" applyFill="1" applyBorder="1" applyAlignment="1">
      <alignment horizontal="center" vertical="center"/>
    </xf>
    <xf numFmtId="4" fontId="31" fillId="17" borderId="4" xfId="2" applyNumberFormat="1" applyFont="1" applyFill="1" applyBorder="1" applyAlignment="1">
      <alignment horizontal="center" vertical="center" wrapText="1"/>
    </xf>
    <xf numFmtId="4" fontId="77" fillId="17" borderId="4" xfId="2" applyNumberFormat="1" applyFont="1" applyFill="1" applyBorder="1" applyAlignment="1">
      <alignment horizontal="center" vertical="center" wrapText="1"/>
    </xf>
    <xf numFmtId="4" fontId="31" fillId="17" borderId="17" xfId="2" applyNumberFormat="1" applyFont="1" applyFill="1" applyBorder="1" applyAlignment="1">
      <alignment horizontal="center" vertical="center"/>
    </xf>
    <xf numFmtId="4" fontId="26" fillId="17" borderId="17" xfId="2" applyNumberFormat="1" applyFont="1" applyFill="1" applyBorder="1" applyAlignment="1">
      <alignment horizontal="center" vertical="center"/>
    </xf>
    <xf numFmtId="0" fontId="31" fillId="17" borderId="28" xfId="2" applyFont="1" applyFill="1" applyBorder="1" applyAlignment="1">
      <alignment horizontal="center" vertical="center"/>
    </xf>
    <xf numFmtId="0" fontId="26" fillId="17" borderId="7" xfId="2" applyFont="1" applyFill="1" applyBorder="1" applyAlignment="1">
      <alignment horizontal="center" vertical="center"/>
    </xf>
    <xf numFmtId="0" fontId="31" fillId="17" borderId="7" xfId="2" applyFont="1" applyFill="1" applyBorder="1" applyAlignment="1">
      <alignment horizontal="left" vertical="center" wrapText="1"/>
    </xf>
    <xf numFmtId="164" fontId="31" fillId="17" borderId="7" xfId="5" applyFont="1" applyFill="1" applyBorder="1" applyAlignment="1">
      <alignment horizontal="center" vertical="center"/>
    </xf>
    <xf numFmtId="167" fontId="31" fillId="17" borderId="7" xfId="2" applyNumberFormat="1" applyFont="1" applyFill="1" applyBorder="1" applyAlignment="1">
      <alignment horizontal="center" vertical="center"/>
    </xf>
    <xf numFmtId="4" fontId="26" fillId="17" borderId="7" xfId="2" applyNumberFormat="1" applyFont="1" applyFill="1" applyBorder="1" applyAlignment="1">
      <alignment horizontal="center" vertical="center"/>
    </xf>
    <xf numFmtId="4" fontId="31" fillId="17" borderId="7" xfId="2" applyNumberFormat="1" applyFont="1" applyFill="1" applyBorder="1" applyAlignment="1">
      <alignment horizontal="center" vertical="center"/>
    </xf>
    <xf numFmtId="4" fontId="31" fillId="17" borderId="29" xfId="2" applyNumberFormat="1" applyFont="1" applyFill="1" applyBorder="1" applyAlignment="1">
      <alignment horizontal="center" vertical="center"/>
    </xf>
    <xf numFmtId="0" fontId="26" fillId="0" borderId="0" xfId="3" applyFont="1" applyAlignment="1">
      <alignment horizontal="center" vertical="center"/>
    </xf>
    <xf numFmtId="4" fontId="32" fillId="0" borderId="0" xfId="2" applyNumberFormat="1" applyFont="1"/>
    <xf numFmtId="4" fontId="27" fillId="17" borderId="4" xfId="2" applyNumberFormat="1" applyFont="1" applyFill="1" applyBorder="1" applyAlignment="1">
      <alignment horizontal="center" vertical="center"/>
    </xf>
    <xf numFmtId="4" fontId="42" fillId="17" borderId="4" xfId="2" applyNumberFormat="1" applyFont="1" applyFill="1" applyBorder="1" applyAlignment="1">
      <alignment horizontal="center" vertical="center" wrapText="1"/>
    </xf>
    <xf numFmtId="4" fontId="27" fillId="0" borderId="0" xfId="13" applyNumberFormat="1" applyFont="1" applyAlignment="1">
      <alignment horizontal="center" vertical="center"/>
    </xf>
    <xf numFmtId="0" fontId="27" fillId="0" borderId="0" xfId="13" applyFont="1"/>
    <xf numFmtId="0" fontId="45" fillId="0" borderId="0" xfId="13" applyFont="1" applyAlignment="1">
      <alignment vertical="center" wrapText="1" shrinkToFit="1"/>
    </xf>
    <xf numFmtId="0" fontId="65" fillId="0" borderId="0" xfId="13" applyFont="1"/>
    <xf numFmtId="0" fontId="27" fillId="0" borderId="0" xfId="13" applyFont="1" applyAlignment="1">
      <alignment horizontal="center" vertical="center"/>
    </xf>
    <xf numFmtId="0" fontId="27" fillId="0" borderId="14" xfId="13" applyFont="1" applyBorder="1" applyAlignment="1">
      <alignment horizontal="center" vertical="center"/>
    </xf>
    <xf numFmtId="0" fontId="29" fillId="4" borderId="14" xfId="13" applyFont="1" applyFill="1" applyBorder="1" applyAlignment="1">
      <alignment horizontal="center" vertical="center" wrapText="1"/>
    </xf>
    <xf numFmtId="4" fontId="29" fillId="4" borderId="14" xfId="13" applyNumberFormat="1" applyFont="1" applyFill="1" applyBorder="1" applyAlignment="1">
      <alignment horizontal="center" vertical="center" wrapText="1"/>
    </xf>
    <xf numFmtId="0" fontId="32" fillId="4" borderId="14" xfId="13" applyFont="1" applyFill="1" applyBorder="1" applyAlignment="1">
      <alignment horizontal="center" vertical="center" wrapText="1"/>
    </xf>
    <xf numFmtId="4" fontId="32" fillId="4" borderId="14" xfId="13" applyNumberFormat="1" applyFont="1" applyFill="1" applyBorder="1" applyAlignment="1">
      <alignment horizontal="center" vertical="center" wrapText="1"/>
    </xf>
    <xf numFmtId="0" fontId="29" fillId="5" borderId="14" xfId="13" applyFont="1" applyFill="1" applyBorder="1" applyAlignment="1">
      <alignment horizontal="center" vertical="center" wrapText="1"/>
    </xf>
    <xf numFmtId="0" fontId="29" fillId="6" borderId="14" xfId="13" applyFont="1" applyFill="1" applyBorder="1" applyAlignment="1">
      <alignment horizontal="center" vertical="center" wrapText="1"/>
    </xf>
    <xf numFmtId="0" fontId="29" fillId="6" borderId="15" xfId="13" applyFont="1" applyFill="1" applyBorder="1" applyAlignment="1">
      <alignment horizontal="center" vertical="center" wrapText="1"/>
    </xf>
    <xf numFmtId="0" fontId="27" fillId="0" borderId="4" xfId="13" applyFont="1" applyBorder="1" applyAlignment="1">
      <alignment horizontal="center" vertical="center"/>
    </xf>
    <xf numFmtId="49" fontId="28" fillId="4" borderId="4" xfId="13" applyNumberFormat="1" applyFont="1" applyFill="1" applyBorder="1" applyAlignment="1">
      <alignment horizontal="center" vertical="center" wrapText="1"/>
    </xf>
    <xf numFmtId="49" fontId="28" fillId="5" borderId="4" xfId="13" applyNumberFormat="1" applyFont="1" applyFill="1" applyBorder="1" applyAlignment="1">
      <alignment horizontal="center" vertical="center" wrapText="1"/>
    </xf>
    <xf numFmtId="49" fontId="28" fillId="6" borderId="4" xfId="13" applyNumberFormat="1" applyFont="1" applyFill="1" applyBorder="1" applyAlignment="1">
      <alignment horizontal="center" vertical="center" wrapText="1"/>
    </xf>
    <xf numFmtId="49" fontId="28" fillId="6" borderId="17" xfId="13" applyNumberFormat="1" applyFont="1" applyFill="1" applyBorder="1" applyAlignment="1">
      <alignment horizontal="center" vertical="center" wrapText="1"/>
    </xf>
    <xf numFmtId="0" fontId="27" fillId="15" borderId="16" xfId="13" applyFont="1" applyFill="1" applyBorder="1" applyAlignment="1">
      <alignment horizontal="center" vertical="center"/>
    </xf>
    <xf numFmtId="0" fontId="27" fillId="15" borderId="4" xfId="13" applyFont="1" applyFill="1" applyBorder="1" applyAlignment="1">
      <alignment horizontal="center" vertical="center"/>
    </xf>
    <xf numFmtId="0" fontId="27" fillId="15" borderId="4" xfId="13" applyFont="1" applyFill="1" applyBorder="1" applyAlignment="1">
      <alignment horizontal="center" vertical="center" wrapText="1"/>
    </xf>
    <xf numFmtId="49" fontId="28" fillId="15" borderId="4" xfId="13" applyNumberFormat="1" applyFont="1" applyFill="1" applyBorder="1" applyAlignment="1">
      <alignment horizontal="center" vertical="center" wrapText="1"/>
    </xf>
    <xf numFmtId="49" fontId="28" fillId="15" borderId="17" xfId="13" applyNumberFormat="1" applyFont="1" applyFill="1" applyBorder="1" applyAlignment="1">
      <alignment horizontal="center" vertical="center" wrapText="1"/>
    </xf>
    <xf numFmtId="0" fontId="31" fillId="10" borderId="16" xfId="13" applyFont="1" applyFill="1" applyBorder="1" applyAlignment="1">
      <alignment horizontal="center" vertical="center"/>
    </xf>
    <xf numFmtId="0" fontId="26" fillId="10" borderId="4" xfId="13" applyFont="1" applyFill="1" applyBorder="1" applyAlignment="1">
      <alignment horizontal="center" vertical="center"/>
    </xf>
    <xf numFmtId="0" fontId="31" fillId="10" borderId="4" xfId="13" applyFont="1" applyFill="1" applyBorder="1" applyAlignment="1">
      <alignment horizontal="left" vertical="center" wrapText="1"/>
    </xf>
    <xf numFmtId="164" fontId="31" fillId="10" borderId="4" xfId="8" applyFont="1" applyFill="1" applyBorder="1" applyAlignment="1">
      <alignment horizontal="center" vertical="center"/>
    </xf>
    <xf numFmtId="167" fontId="31" fillId="10" borderId="4" xfId="13" applyNumberFormat="1" applyFont="1" applyFill="1" applyBorder="1" applyAlignment="1">
      <alignment horizontal="center" vertical="center"/>
    </xf>
    <xf numFmtId="4" fontId="26" fillId="10" borderId="4" xfId="13" applyNumberFormat="1" applyFont="1" applyFill="1" applyBorder="1" applyAlignment="1">
      <alignment horizontal="center" vertical="center"/>
    </xf>
    <xf numFmtId="4" fontId="31" fillId="10" borderId="4" xfId="13" applyNumberFormat="1" applyFont="1" applyFill="1" applyBorder="1" applyAlignment="1">
      <alignment horizontal="center" vertical="center"/>
    </xf>
    <xf numFmtId="4" fontId="35" fillId="10" borderId="4" xfId="13" applyNumberFormat="1" applyFont="1" applyFill="1" applyBorder="1" applyAlignment="1">
      <alignment horizontal="center" vertical="center" wrapText="1"/>
    </xf>
    <xf numFmtId="4" fontId="31" fillId="10" borderId="17" xfId="13" applyNumberFormat="1" applyFont="1" applyFill="1" applyBorder="1" applyAlignment="1">
      <alignment horizontal="center" vertical="center"/>
    </xf>
    <xf numFmtId="4" fontId="26" fillId="10" borderId="17" xfId="13" applyNumberFormat="1" applyFont="1" applyFill="1" applyBorder="1" applyAlignment="1">
      <alignment horizontal="center" vertical="center"/>
    </xf>
    <xf numFmtId="4" fontId="45" fillId="0" borderId="0" xfId="13" applyNumberFormat="1" applyFont="1" applyAlignment="1">
      <alignment vertical="center" wrapText="1" shrinkToFit="1"/>
    </xf>
    <xf numFmtId="4" fontId="35" fillId="6" borderId="4" xfId="13" applyNumberFormat="1" applyFont="1" applyFill="1" applyBorder="1" applyAlignment="1">
      <alignment horizontal="center" vertical="center" wrapText="1"/>
    </xf>
    <xf numFmtId="4" fontId="27" fillId="6" borderId="17" xfId="13" applyNumberFormat="1" applyFont="1" applyFill="1" applyBorder="1" applyAlignment="1">
      <alignment horizontal="center" vertical="center"/>
    </xf>
    <xf numFmtId="4" fontId="27" fillId="6" borderId="17" xfId="13" applyNumberFormat="1" applyFont="1" applyFill="1" applyBorder="1" applyAlignment="1">
      <alignment horizontal="center" vertical="center" wrapText="1"/>
    </xf>
    <xf numFmtId="4" fontId="26" fillId="0" borderId="0" xfId="13" applyNumberFormat="1" applyFont="1" applyAlignment="1">
      <alignment horizontal="center" vertical="center" wrapText="1"/>
    </xf>
    <xf numFmtId="0" fontId="31" fillId="16" borderId="16" xfId="13" applyFont="1" applyFill="1" applyBorder="1" applyAlignment="1">
      <alignment horizontal="center" vertical="center"/>
    </xf>
    <xf numFmtId="0" fontId="26" fillId="16" borderId="4" xfId="13" applyFont="1" applyFill="1" applyBorder="1" applyAlignment="1">
      <alignment horizontal="center" vertical="center"/>
    </xf>
    <xf numFmtId="0" fontId="31" fillId="16" borderId="4" xfId="13" applyFont="1" applyFill="1" applyBorder="1" applyAlignment="1">
      <alignment horizontal="left" vertical="center" wrapText="1"/>
    </xf>
    <xf numFmtId="164" fontId="31" fillId="16" borderId="4" xfId="8" applyFont="1" applyFill="1" applyBorder="1" applyAlignment="1">
      <alignment horizontal="center" vertical="center"/>
    </xf>
    <xf numFmtId="167" fontId="31" fillId="16" borderId="4" xfId="13" applyNumberFormat="1" applyFont="1" applyFill="1" applyBorder="1" applyAlignment="1">
      <alignment horizontal="center" vertical="center"/>
    </xf>
    <xf numFmtId="4" fontId="26" fillId="16" borderId="4" xfId="13" applyNumberFormat="1" applyFont="1" applyFill="1" applyBorder="1" applyAlignment="1">
      <alignment horizontal="center" vertical="center"/>
    </xf>
    <xf numFmtId="4" fontId="31" fillId="16" borderId="4" xfId="13" applyNumberFormat="1" applyFont="1" applyFill="1" applyBorder="1" applyAlignment="1">
      <alignment horizontal="center" vertical="center"/>
    </xf>
    <xf numFmtId="4" fontId="31" fillId="16" borderId="4" xfId="13" applyNumberFormat="1" applyFont="1" applyFill="1" applyBorder="1" applyAlignment="1">
      <alignment horizontal="center" vertical="center" wrapText="1"/>
    </xf>
    <xf numFmtId="4" fontId="77" fillId="16" borderId="4" xfId="13" applyNumberFormat="1" applyFont="1" applyFill="1" applyBorder="1" applyAlignment="1">
      <alignment horizontal="center" vertical="center" wrapText="1"/>
    </xf>
    <xf numFmtId="4" fontId="31" fillId="16" borderId="17" xfId="13" applyNumberFormat="1" applyFont="1" applyFill="1" applyBorder="1" applyAlignment="1">
      <alignment horizontal="center" vertical="center"/>
    </xf>
    <xf numFmtId="4" fontId="58" fillId="16" borderId="17" xfId="13" applyNumberFormat="1" applyFont="1" applyFill="1" applyBorder="1" applyAlignment="1">
      <alignment horizontal="center" vertical="center"/>
    </xf>
    <xf numFmtId="4" fontId="26" fillId="16" borderId="17" xfId="13" applyNumberFormat="1" applyFont="1" applyFill="1" applyBorder="1" applyAlignment="1">
      <alignment horizontal="center" vertical="center"/>
    </xf>
    <xf numFmtId="0" fontId="46" fillId="13" borderId="0" xfId="13" applyFont="1" applyFill="1" applyAlignment="1">
      <alignment vertical="center" wrapText="1" shrinkToFit="1"/>
    </xf>
    <xf numFmtId="4" fontId="44" fillId="13" borderId="4" xfId="13" applyNumberFormat="1" applyFont="1" applyFill="1" applyBorder="1" applyAlignment="1">
      <alignment horizontal="center" vertical="center" wrapText="1"/>
    </xf>
    <xf numFmtId="4" fontId="32" fillId="13" borderId="17" xfId="13" applyNumberFormat="1" applyFont="1" applyFill="1" applyBorder="1" applyAlignment="1">
      <alignment horizontal="center" vertical="center"/>
    </xf>
    <xf numFmtId="4" fontId="32" fillId="13" borderId="17" xfId="13" applyNumberFormat="1" applyFont="1" applyFill="1" applyBorder="1" applyAlignment="1">
      <alignment horizontal="center" vertical="center" wrapText="1"/>
    </xf>
    <xf numFmtId="4" fontId="42" fillId="0" borderId="0" xfId="13" applyNumberFormat="1" applyFont="1" applyAlignment="1">
      <alignment horizontal="center" vertical="center"/>
    </xf>
    <xf numFmtId="0" fontId="42" fillId="0" borderId="0" xfId="13" applyFont="1"/>
    <xf numFmtId="0" fontId="45" fillId="13" borderId="0" xfId="13" applyFont="1" applyFill="1" applyAlignment="1">
      <alignment vertical="center" wrapText="1" shrinkToFit="1"/>
    </xf>
    <xf numFmtId="4" fontId="35" fillId="13" borderId="4" xfId="13" applyNumberFormat="1" applyFont="1" applyFill="1" applyBorder="1" applyAlignment="1">
      <alignment horizontal="center" vertical="center" wrapText="1"/>
    </xf>
    <xf numFmtId="4" fontId="29" fillId="13" borderId="17" xfId="13" applyNumberFormat="1" applyFont="1" applyFill="1" applyBorder="1" applyAlignment="1">
      <alignment horizontal="center" vertical="center"/>
    </xf>
    <xf numFmtId="4" fontId="29" fillId="13" borderId="17" xfId="13" applyNumberFormat="1" applyFont="1" applyFill="1" applyBorder="1" applyAlignment="1">
      <alignment horizontal="center" vertical="center" wrapText="1"/>
    </xf>
    <xf numFmtId="0" fontId="46" fillId="0" borderId="0" xfId="13" applyFont="1" applyAlignment="1">
      <alignment vertical="center" wrapText="1" shrinkToFit="1"/>
    </xf>
    <xf numFmtId="4" fontId="26" fillId="3" borderId="0" xfId="13" applyNumberFormat="1" applyFont="1" applyFill="1" applyAlignment="1">
      <alignment horizontal="center" vertical="center" wrapText="1"/>
    </xf>
    <xf numFmtId="4" fontId="44" fillId="6" borderId="4" xfId="13" applyNumberFormat="1" applyFont="1" applyFill="1" applyBorder="1" applyAlignment="1">
      <alignment horizontal="center" vertical="center" wrapText="1"/>
    </xf>
    <xf numFmtId="4" fontId="42" fillId="6" borderId="17" xfId="13" applyNumberFormat="1" applyFont="1" applyFill="1" applyBorder="1" applyAlignment="1">
      <alignment horizontal="center" vertical="center"/>
    </xf>
    <xf numFmtId="4" fontId="27" fillId="16" borderId="4" xfId="13" applyNumberFormat="1" applyFont="1" applyFill="1" applyBorder="1" applyAlignment="1">
      <alignment horizontal="center" vertical="center"/>
    </xf>
    <xf numFmtId="4" fontId="42" fillId="16" borderId="4" xfId="13" applyNumberFormat="1" applyFont="1" applyFill="1" applyBorder="1" applyAlignment="1">
      <alignment horizontal="center" vertical="center" wrapText="1"/>
    </xf>
    <xf numFmtId="0" fontId="45" fillId="9" borderId="0" xfId="13" applyFont="1" applyFill="1" applyAlignment="1">
      <alignment vertical="center" wrapText="1" shrinkToFit="1"/>
    </xf>
    <xf numFmtId="4" fontId="42" fillId="0" borderId="0" xfId="13" applyNumberFormat="1" applyFont="1"/>
    <xf numFmtId="49" fontId="26" fillId="16" borderId="4" xfId="13" applyNumberFormat="1" applyFont="1" applyFill="1" applyBorder="1" applyAlignment="1">
      <alignment horizontal="center" vertical="center"/>
    </xf>
    <xf numFmtId="4" fontId="77" fillId="11" borderId="4" xfId="13" applyNumberFormat="1" applyFont="1" applyFill="1" applyBorder="1" applyAlignment="1">
      <alignment horizontal="center" vertical="center" wrapText="1"/>
    </xf>
    <xf numFmtId="4" fontId="27" fillId="0" borderId="0" xfId="13" applyNumberFormat="1" applyFont="1"/>
    <xf numFmtId="0" fontId="50" fillId="0" borderId="0" xfId="13" applyFont="1" applyAlignment="1">
      <alignment vertical="center" wrapText="1" shrinkToFit="1"/>
    </xf>
    <xf numFmtId="4" fontId="31" fillId="6" borderId="17" xfId="13" applyNumberFormat="1" applyFont="1" applyFill="1" applyBorder="1" applyAlignment="1">
      <alignment horizontal="center" vertical="center"/>
    </xf>
    <xf numFmtId="4" fontId="31" fillId="6" borderId="17" xfId="13" applyNumberFormat="1" applyFont="1" applyFill="1" applyBorder="1" applyAlignment="1">
      <alignment horizontal="center" vertical="center" wrapText="1"/>
    </xf>
    <xf numFmtId="0" fontId="50" fillId="0" borderId="0" xfId="13" applyFont="1"/>
    <xf numFmtId="0" fontId="31" fillId="0" borderId="0" xfId="13" applyFont="1"/>
    <xf numFmtId="0" fontId="31" fillId="18" borderId="28" xfId="13" applyFont="1" applyFill="1" applyBorder="1" applyAlignment="1">
      <alignment horizontal="center" vertical="center"/>
    </xf>
    <xf numFmtId="0" fontId="26" fillId="18" borderId="7" xfId="13" applyFont="1" applyFill="1" applyBorder="1" applyAlignment="1">
      <alignment horizontal="center" vertical="center"/>
    </xf>
    <xf numFmtId="0" fontId="31" fillId="18" borderId="7" xfId="13" applyFont="1" applyFill="1" applyBorder="1" applyAlignment="1">
      <alignment horizontal="left" vertical="center" wrapText="1"/>
    </xf>
    <xf numFmtId="164" fontId="31" fillId="18" borderId="7" xfId="8" applyFont="1" applyFill="1" applyBorder="1" applyAlignment="1">
      <alignment horizontal="center" vertical="center"/>
    </xf>
    <xf numFmtId="167" fontId="31" fillId="18" borderId="7" xfId="13" applyNumberFormat="1" applyFont="1" applyFill="1" applyBorder="1" applyAlignment="1">
      <alignment horizontal="center" vertical="center"/>
    </xf>
    <xf numFmtId="4" fontId="26" fillId="18" borderId="7" xfId="13" applyNumberFormat="1" applyFont="1" applyFill="1" applyBorder="1" applyAlignment="1">
      <alignment horizontal="center" vertical="center"/>
    </xf>
    <xf numFmtId="4" fontId="31" fillId="18" borderId="7" xfId="13" applyNumberFormat="1" applyFont="1" applyFill="1" applyBorder="1" applyAlignment="1">
      <alignment horizontal="center" vertical="center"/>
    </xf>
    <xf numFmtId="4" fontId="31" fillId="18" borderId="4" xfId="13" applyNumberFormat="1" applyFont="1" applyFill="1" applyBorder="1" applyAlignment="1">
      <alignment horizontal="center" vertical="center"/>
    </xf>
    <xf numFmtId="4" fontId="77" fillId="18" borderId="4" xfId="13" applyNumberFormat="1" applyFont="1" applyFill="1" applyBorder="1" applyAlignment="1">
      <alignment horizontal="center" vertical="center" wrapText="1"/>
    </xf>
    <xf numFmtId="4" fontId="31" fillId="18" borderId="29" xfId="13" applyNumberFormat="1" applyFont="1" applyFill="1" applyBorder="1" applyAlignment="1">
      <alignment horizontal="center" vertical="center"/>
    </xf>
    <xf numFmtId="4" fontId="58" fillId="18" borderId="17" xfId="13" applyNumberFormat="1" applyFont="1" applyFill="1" applyBorder="1" applyAlignment="1">
      <alignment horizontal="center" vertical="center"/>
    </xf>
    <xf numFmtId="4" fontId="26" fillId="18" borderId="17" xfId="13" applyNumberFormat="1" applyFont="1" applyFill="1" applyBorder="1" applyAlignment="1">
      <alignment horizontal="center" vertical="center"/>
    </xf>
    <xf numFmtId="0" fontId="71" fillId="0" borderId="0" xfId="13" applyFont="1" applyAlignment="1">
      <alignment vertical="center" wrapText="1" shrinkToFit="1"/>
    </xf>
    <xf numFmtId="4" fontId="70" fillId="6" borderId="4" xfId="13" applyNumberFormat="1" applyFont="1" applyFill="1" applyBorder="1" applyAlignment="1">
      <alignment horizontal="center" vertical="center" wrapText="1"/>
    </xf>
    <xf numFmtId="4" fontId="66" fillId="6" borderId="17" xfId="13" applyNumberFormat="1" applyFont="1" applyFill="1" applyBorder="1" applyAlignment="1">
      <alignment horizontal="center" vertical="center"/>
    </xf>
    <xf numFmtId="4" fontId="66" fillId="6" borderId="17" xfId="13" applyNumberFormat="1" applyFont="1" applyFill="1" applyBorder="1" applyAlignment="1">
      <alignment horizontal="center" vertical="center" wrapText="1"/>
    </xf>
    <xf numFmtId="0" fontId="71" fillId="0" borderId="0" xfId="13" applyFont="1"/>
    <xf numFmtId="0" fontId="66" fillId="0" borderId="0" xfId="13" applyFont="1"/>
    <xf numFmtId="0" fontId="31" fillId="11" borderId="16" xfId="13" applyFont="1" applyFill="1" applyBorder="1" applyAlignment="1">
      <alignment horizontal="center" vertical="center"/>
    </xf>
    <xf numFmtId="0" fontId="26" fillId="11" borderId="4" xfId="13" applyFont="1" applyFill="1" applyBorder="1" applyAlignment="1">
      <alignment horizontal="center" vertical="center"/>
    </xf>
    <xf numFmtId="0" fontId="31" fillId="11" borderId="4" xfId="13" applyFont="1" applyFill="1" applyBorder="1" applyAlignment="1">
      <alignment horizontal="left" vertical="center" wrapText="1"/>
    </xf>
    <xf numFmtId="164" fontId="31" fillId="11" borderId="4" xfId="8" applyFont="1" applyFill="1" applyBorder="1" applyAlignment="1">
      <alignment horizontal="center" vertical="center"/>
    </xf>
    <xf numFmtId="167" fontId="31" fillId="11" borderId="4" xfId="13" applyNumberFormat="1" applyFont="1" applyFill="1" applyBorder="1" applyAlignment="1">
      <alignment horizontal="center" vertical="center"/>
    </xf>
    <xf numFmtId="4" fontId="26" fillId="11" borderId="4" xfId="13" applyNumberFormat="1" applyFont="1" applyFill="1" applyBorder="1" applyAlignment="1">
      <alignment horizontal="center" vertical="center"/>
    </xf>
    <xf numFmtId="4" fontId="31" fillId="11" borderId="4" xfId="13" applyNumberFormat="1" applyFont="1" applyFill="1" applyBorder="1" applyAlignment="1">
      <alignment horizontal="center" vertical="center"/>
    </xf>
    <xf numFmtId="4" fontId="35" fillId="11" borderId="4" xfId="13" applyNumberFormat="1" applyFont="1" applyFill="1" applyBorder="1" applyAlignment="1">
      <alignment horizontal="center" vertical="center" wrapText="1"/>
    </xf>
    <xf numFmtId="4" fontId="31" fillId="11" borderId="5" xfId="13" applyNumberFormat="1" applyFont="1" applyFill="1" applyBorder="1" applyAlignment="1">
      <alignment horizontal="center" vertical="center"/>
    </xf>
    <xf numFmtId="4" fontId="31" fillId="11" borderId="31" xfId="13" applyNumberFormat="1" applyFont="1" applyFill="1" applyBorder="1" applyAlignment="1">
      <alignment horizontal="center" vertical="center"/>
    </xf>
    <xf numFmtId="4" fontId="26" fillId="11" borderId="17" xfId="13" applyNumberFormat="1" applyFont="1" applyFill="1" applyBorder="1" applyAlignment="1">
      <alignment horizontal="center" vertical="center"/>
    </xf>
    <xf numFmtId="4" fontId="28" fillId="15" borderId="17" xfId="13" applyNumberFormat="1" applyFont="1" applyFill="1" applyBorder="1" applyAlignment="1">
      <alignment horizontal="center" vertical="center" wrapText="1"/>
    </xf>
    <xf numFmtId="0" fontId="31" fillId="2" borderId="16" xfId="13" applyFont="1" applyFill="1" applyBorder="1" applyAlignment="1">
      <alignment horizontal="center" vertical="center"/>
    </xf>
    <xf numFmtId="0" fontId="26" fillId="2" borderId="4" xfId="13" applyFont="1" applyFill="1" applyBorder="1" applyAlignment="1">
      <alignment horizontal="center" vertical="center"/>
    </xf>
    <xf numFmtId="0" fontId="31" fillId="2" borderId="4" xfId="13" applyFont="1" applyFill="1" applyBorder="1" applyAlignment="1">
      <alignment horizontal="left" vertical="center" wrapText="1"/>
    </xf>
    <xf numFmtId="164" fontId="31" fillId="2" borderId="4" xfId="8" applyFont="1" applyFill="1" applyBorder="1" applyAlignment="1">
      <alignment horizontal="center" vertical="center"/>
    </xf>
    <xf numFmtId="167" fontId="31" fillId="2" borderId="4" xfId="13" applyNumberFormat="1" applyFont="1" applyFill="1" applyBorder="1" applyAlignment="1">
      <alignment horizontal="center" vertical="center"/>
    </xf>
    <xf numFmtId="4" fontId="26" fillId="2" borderId="4" xfId="13" applyNumberFormat="1" applyFont="1" applyFill="1" applyBorder="1" applyAlignment="1">
      <alignment horizontal="center" vertical="center"/>
    </xf>
    <xf numFmtId="4" fontId="31" fillId="2" borderId="4" xfId="13" applyNumberFormat="1" applyFont="1" applyFill="1" applyBorder="1" applyAlignment="1">
      <alignment horizontal="center" vertical="center"/>
    </xf>
    <xf numFmtId="4" fontId="63" fillId="2" borderId="4" xfId="13" applyNumberFormat="1" applyFont="1" applyFill="1" applyBorder="1" applyAlignment="1">
      <alignment horizontal="center" vertical="center" wrapText="1"/>
    </xf>
    <xf numFmtId="4" fontId="31" fillId="2" borderId="17" xfId="13" applyNumberFormat="1" applyFont="1" applyFill="1" applyBorder="1" applyAlignment="1">
      <alignment horizontal="center" vertical="center"/>
    </xf>
    <xf numFmtId="4" fontId="58" fillId="2" borderId="17" xfId="13" applyNumberFormat="1" applyFont="1" applyFill="1" applyBorder="1" applyAlignment="1">
      <alignment horizontal="center" vertical="center"/>
    </xf>
    <xf numFmtId="4" fontId="31" fillId="2" borderId="4" xfId="13" applyNumberFormat="1" applyFont="1" applyFill="1" applyBorder="1" applyAlignment="1">
      <alignment horizontal="center" vertical="center" wrapText="1"/>
    </xf>
    <xf numFmtId="0" fontId="45" fillId="3" borderId="0" xfId="13" applyFont="1" applyFill="1" applyAlignment="1">
      <alignment vertical="center" wrapText="1" shrinkToFit="1"/>
    </xf>
    <xf numFmtId="0" fontId="31" fillId="2" borderId="22" xfId="13" applyFont="1" applyFill="1" applyBorder="1" applyAlignment="1">
      <alignment horizontal="center" vertical="center"/>
    </xf>
    <xf numFmtId="0" fontId="26" fillId="2" borderId="10" xfId="13" applyFont="1" applyFill="1" applyBorder="1" applyAlignment="1">
      <alignment horizontal="center" vertical="center"/>
    </xf>
    <xf numFmtId="0" fontId="31" fillId="2" borderId="10" xfId="13" applyFont="1" applyFill="1" applyBorder="1" applyAlignment="1">
      <alignment horizontal="left" vertical="center" wrapText="1"/>
    </xf>
    <xf numFmtId="164" fontId="31" fillId="2" borderId="10" xfId="8" applyFont="1" applyFill="1" applyBorder="1" applyAlignment="1">
      <alignment horizontal="center" vertical="center"/>
    </xf>
    <xf numFmtId="167" fontId="31" fillId="2" borderId="10" xfId="13" applyNumberFormat="1" applyFont="1" applyFill="1" applyBorder="1" applyAlignment="1">
      <alignment horizontal="center" vertical="center"/>
    </xf>
    <xf numFmtId="4" fontId="26" fillId="2" borderId="10" xfId="13" applyNumberFormat="1" applyFont="1" applyFill="1" applyBorder="1" applyAlignment="1">
      <alignment horizontal="center" vertical="center"/>
    </xf>
    <xf numFmtId="4" fontId="31" fillId="2" borderId="10" xfId="13" applyNumberFormat="1" applyFont="1" applyFill="1" applyBorder="1" applyAlignment="1">
      <alignment horizontal="center" vertical="center"/>
    </xf>
    <xf numFmtId="4" fontId="31" fillId="2" borderId="10" xfId="13" applyNumberFormat="1" applyFont="1" applyFill="1" applyBorder="1" applyAlignment="1">
      <alignment horizontal="center" vertical="center" wrapText="1"/>
    </xf>
    <xf numFmtId="4" fontId="63" fillId="2" borderId="10" xfId="13" applyNumberFormat="1" applyFont="1" applyFill="1" applyBorder="1" applyAlignment="1">
      <alignment horizontal="center" vertical="center" wrapText="1"/>
    </xf>
    <xf numFmtId="4" fontId="31" fillId="2" borderId="18" xfId="13" applyNumberFormat="1" applyFont="1" applyFill="1" applyBorder="1" applyAlignment="1">
      <alignment horizontal="center" vertical="center"/>
    </xf>
    <xf numFmtId="4" fontId="58" fillId="2" borderId="18" xfId="13" applyNumberFormat="1" applyFont="1" applyFill="1" applyBorder="1" applyAlignment="1">
      <alignment horizontal="center" vertical="center"/>
    </xf>
    <xf numFmtId="4" fontId="31" fillId="2" borderId="30" xfId="13" applyNumberFormat="1" applyFont="1" applyFill="1" applyBorder="1" applyAlignment="1">
      <alignment horizontal="center" vertical="center"/>
    </xf>
    <xf numFmtId="4" fontId="27" fillId="6" borderId="18" xfId="13" applyNumberFormat="1" applyFont="1" applyFill="1" applyBorder="1" applyAlignment="1">
      <alignment horizontal="center" vertical="center"/>
    </xf>
    <xf numFmtId="4" fontId="27" fillId="6" borderId="18" xfId="13" applyNumberFormat="1" applyFont="1" applyFill="1" applyBorder="1" applyAlignment="1">
      <alignment horizontal="center" vertical="center" wrapText="1"/>
    </xf>
    <xf numFmtId="0" fontId="66" fillId="3" borderId="13" xfId="13" applyFont="1" applyFill="1" applyBorder="1" applyAlignment="1">
      <alignment horizontal="center" vertical="center"/>
    </xf>
    <xf numFmtId="0" fontId="67" fillId="3" borderId="14" xfId="13" applyFont="1" applyFill="1" applyBorder="1" applyAlignment="1">
      <alignment horizontal="center" vertical="center"/>
    </xf>
    <xf numFmtId="0" fontId="66" fillId="3" borderId="14" xfId="13" applyFont="1" applyFill="1" applyBorder="1" applyAlignment="1">
      <alignment horizontal="left" vertical="center" wrapText="1"/>
    </xf>
    <xf numFmtId="164" fontId="66" fillId="3" borderId="14" xfId="8" applyFont="1" applyFill="1" applyBorder="1" applyAlignment="1">
      <alignment horizontal="center" vertical="center"/>
    </xf>
    <xf numFmtId="167" fontId="66" fillId="3" borderId="14" xfId="13" applyNumberFormat="1" applyFont="1" applyFill="1" applyBorder="1" applyAlignment="1">
      <alignment horizontal="center" vertical="center"/>
    </xf>
    <xf numFmtId="4" fontId="67" fillId="3" borderId="14" xfId="13" applyNumberFormat="1" applyFont="1" applyFill="1" applyBorder="1" applyAlignment="1">
      <alignment horizontal="center" vertical="center"/>
    </xf>
    <xf numFmtId="4" fontId="66" fillId="4" borderId="14" xfId="13" applyNumberFormat="1" applyFont="1" applyFill="1" applyBorder="1" applyAlignment="1">
      <alignment horizontal="center" vertical="center"/>
    </xf>
    <xf numFmtId="4" fontId="66" fillId="5" borderId="14" xfId="13" applyNumberFormat="1" applyFont="1" applyFill="1" applyBorder="1" applyAlignment="1">
      <alignment horizontal="center" vertical="center"/>
    </xf>
    <xf numFmtId="4" fontId="58" fillId="6" borderId="14" xfId="13" applyNumberFormat="1" applyFont="1" applyFill="1" applyBorder="1" applyAlignment="1">
      <alignment horizontal="center" vertical="center" wrapText="1"/>
    </xf>
    <xf numFmtId="4" fontId="68" fillId="6" borderId="14" xfId="13" applyNumberFormat="1" applyFont="1" applyFill="1" applyBorder="1" applyAlignment="1">
      <alignment horizontal="center" vertical="center" wrapText="1"/>
    </xf>
    <xf numFmtId="4" fontId="66" fillId="6" borderId="15" xfId="13" applyNumberFormat="1" applyFont="1" applyFill="1" applyBorder="1" applyAlignment="1">
      <alignment horizontal="center" vertical="center"/>
    </xf>
    <xf numFmtId="4" fontId="67" fillId="6" borderId="15" xfId="13" applyNumberFormat="1" applyFont="1" applyFill="1" applyBorder="1" applyAlignment="1">
      <alignment horizontal="center" vertical="center"/>
    </xf>
    <xf numFmtId="0" fontId="69" fillId="0" borderId="0" xfId="13" applyFont="1" applyAlignment="1">
      <alignment vertical="center" wrapText="1" shrinkToFit="1"/>
    </xf>
    <xf numFmtId="0" fontId="66" fillId="3" borderId="40" xfId="13" applyFont="1" applyFill="1" applyBorder="1" applyAlignment="1">
      <alignment horizontal="center" vertical="center"/>
    </xf>
    <xf numFmtId="0" fontId="67" fillId="3" borderId="41" xfId="13" applyFont="1" applyFill="1" applyBorder="1" applyAlignment="1">
      <alignment horizontal="center" vertical="center"/>
    </xf>
    <xf numFmtId="0" fontId="66" fillId="3" borderId="41" xfId="13" applyFont="1" applyFill="1" applyBorder="1" applyAlignment="1">
      <alignment horizontal="left" vertical="center" wrapText="1"/>
    </xf>
    <xf numFmtId="164" fontId="66" fillId="3" borderId="41" xfId="8" applyFont="1" applyFill="1" applyBorder="1" applyAlignment="1">
      <alignment horizontal="center" vertical="center"/>
    </xf>
    <xf numFmtId="167" fontId="66" fillId="3" borderId="41" xfId="13" applyNumberFormat="1" applyFont="1" applyFill="1" applyBorder="1" applyAlignment="1">
      <alignment horizontal="center" vertical="center"/>
    </xf>
    <xf numFmtId="4" fontId="67" fillId="3" borderId="41" xfId="13" applyNumberFormat="1" applyFont="1" applyFill="1" applyBorder="1" applyAlignment="1">
      <alignment horizontal="center" vertical="center"/>
    </xf>
    <xf numFmtId="4" fontId="66" fillId="7" borderId="41" xfId="13" applyNumberFormat="1" applyFont="1" applyFill="1" applyBorder="1" applyAlignment="1">
      <alignment horizontal="center" vertical="center"/>
    </xf>
    <xf numFmtId="4" fontId="66" fillId="5" borderId="41" xfId="13" applyNumberFormat="1" applyFont="1" applyFill="1" applyBorder="1" applyAlignment="1">
      <alignment horizontal="center" vertical="center"/>
    </xf>
    <xf numFmtId="4" fontId="58" fillId="6" borderId="41" xfId="13" applyNumberFormat="1" applyFont="1" applyFill="1" applyBorder="1" applyAlignment="1">
      <alignment horizontal="center" vertical="center" wrapText="1"/>
    </xf>
    <xf numFmtId="4" fontId="68" fillId="7" borderId="41" xfId="13" applyNumberFormat="1" applyFont="1" applyFill="1" applyBorder="1" applyAlignment="1">
      <alignment horizontal="center" vertical="center" wrapText="1"/>
    </xf>
    <xf numFmtId="4" fontId="66" fillId="6" borderId="42" xfId="13" applyNumberFormat="1" applyFont="1" applyFill="1" applyBorder="1" applyAlignment="1">
      <alignment horizontal="center" vertical="center"/>
    </xf>
    <xf numFmtId="4" fontId="67" fillId="7" borderId="42" xfId="13" applyNumberFormat="1" applyFont="1" applyFill="1" applyBorder="1" applyAlignment="1">
      <alignment horizontal="center" vertical="center"/>
    </xf>
    <xf numFmtId="4" fontId="66" fillId="7" borderId="42" xfId="13" applyNumberFormat="1" applyFont="1" applyFill="1" applyBorder="1" applyAlignment="1">
      <alignment horizontal="center" vertical="center"/>
    </xf>
    <xf numFmtId="0" fontId="31" fillId="2" borderId="21" xfId="13" applyFont="1" applyFill="1" applyBorder="1" applyAlignment="1">
      <alignment horizontal="center" vertical="center"/>
    </xf>
    <xf numFmtId="0" fontId="29" fillId="2" borderId="9" xfId="13" applyFont="1" applyFill="1" applyBorder="1" applyAlignment="1">
      <alignment horizontal="center" vertical="center"/>
    </xf>
    <xf numFmtId="0" fontId="31" fillId="2" borderId="9" xfId="13" applyFont="1" applyFill="1" applyBorder="1" applyAlignment="1">
      <alignment horizontal="left" vertical="center" wrapText="1"/>
    </xf>
    <xf numFmtId="164" fontId="31" fillId="2" borderId="9" xfId="8" applyFont="1" applyFill="1" applyBorder="1" applyAlignment="1">
      <alignment horizontal="center" vertical="center"/>
    </xf>
    <xf numFmtId="167" fontId="31" fillId="2" borderId="9" xfId="13" applyNumberFormat="1" applyFont="1" applyFill="1" applyBorder="1" applyAlignment="1">
      <alignment horizontal="center" vertical="center"/>
    </xf>
    <xf numFmtId="4" fontId="26" fillId="2" borderId="9" xfId="13" applyNumberFormat="1" applyFont="1" applyFill="1" applyBorder="1" applyAlignment="1">
      <alignment horizontal="center" vertical="center"/>
    </xf>
    <xf numFmtId="4" fontId="27" fillId="2" borderId="9" xfId="13" applyNumberFormat="1" applyFont="1" applyFill="1" applyBorder="1" applyAlignment="1">
      <alignment horizontal="center" vertical="center"/>
    </xf>
    <xf numFmtId="0" fontId="58" fillId="2" borderId="9" xfId="13" applyFont="1" applyFill="1" applyBorder="1" applyAlignment="1">
      <alignment horizontal="center" vertical="center" wrapText="1"/>
    </xf>
    <xf numFmtId="4" fontId="35" fillId="2" borderId="9" xfId="13" applyNumberFormat="1" applyFont="1" applyFill="1" applyBorder="1" applyAlignment="1">
      <alignment horizontal="center" vertical="center" wrapText="1"/>
    </xf>
    <xf numFmtId="4" fontId="31" fillId="2" borderId="19" xfId="12" applyNumberFormat="1" applyFont="1" applyFill="1" applyBorder="1" applyAlignment="1">
      <alignment horizontal="center" vertical="center" wrapText="1"/>
    </xf>
    <xf numFmtId="4" fontId="35" fillId="7" borderId="4" xfId="13" applyNumberFormat="1" applyFont="1" applyFill="1" applyBorder="1" applyAlignment="1">
      <alignment horizontal="center" vertical="center"/>
    </xf>
    <xf numFmtId="4" fontId="54" fillId="7" borderId="17" xfId="12" applyNumberFormat="1" applyFill="1" applyBorder="1" applyAlignment="1">
      <alignment horizontal="center" vertical="center" wrapText="1"/>
    </xf>
    <xf numFmtId="0" fontId="31" fillId="2" borderId="28" xfId="13" applyFont="1" applyFill="1" applyBorder="1" applyAlignment="1">
      <alignment horizontal="center" vertical="center"/>
    </xf>
    <xf numFmtId="0" fontId="29" fillId="2" borderId="7" xfId="13" applyFont="1" applyFill="1" applyBorder="1" applyAlignment="1">
      <alignment horizontal="center" vertical="center"/>
    </xf>
    <xf numFmtId="0" fontId="31" fillId="2" borderId="7" xfId="13" applyFont="1" applyFill="1" applyBorder="1" applyAlignment="1">
      <alignment horizontal="left" vertical="center" wrapText="1"/>
    </xf>
    <xf numFmtId="164" fontId="31" fillId="2" borderId="7" xfId="8" applyFont="1" applyFill="1" applyBorder="1" applyAlignment="1">
      <alignment horizontal="center" vertical="center"/>
    </xf>
    <xf numFmtId="167" fontId="31" fillId="2" borderId="7" xfId="13" applyNumberFormat="1" applyFont="1" applyFill="1" applyBorder="1" applyAlignment="1">
      <alignment horizontal="center" vertical="center"/>
    </xf>
    <xf numFmtId="4" fontId="26" fillId="2" borderId="7" xfId="13" applyNumberFormat="1" applyFont="1" applyFill="1" applyBorder="1" applyAlignment="1">
      <alignment horizontal="center" vertical="center"/>
    </xf>
    <xf numFmtId="4" fontId="27" fillId="2" borderId="7" xfId="13" applyNumberFormat="1" applyFont="1" applyFill="1" applyBorder="1" applyAlignment="1">
      <alignment horizontal="center" vertical="center"/>
    </xf>
    <xf numFmtId="0" fontId="58" fillId="2" borderId="7" xfId="13" applyFont="1" applyFill="1" applyBorder="1" applyAlignment="1">
      <alignment horizontal="center" vertical="center" wrapText="1"/>
    </xf>
    <xf numFmtId="4" fontId="35" fillId="2" borderId="7" xfId="13" applyNumberFormat="1" applyFont="1" applyFill="1" applyBorder="1" applyAlignment="1">
      <alignment horizontal="center" vertical="center" wrapText="1"/>
    </xf>
    <xf numFmtId="4" fontId="27" fillId="2" borderId="29" xfId="13" applyNumberFormat="1" applyFont="1" applyFill="1" applyBorder="1" applyAlignment="1">
      <alignment horizontal="center" vertical="center"/>
    </xf>
    <xf numFmtId="4" fontId="31" fillId="2" borderId="29" xfId="12" applyNumberFormat="1" applyFont="1" applyFill="1" applyBorder="1" applyAlignment="1">
      <alignment horizontal="center" vertical="center" wrapText="1"/>
    </xf>
    <xf numFmtId="4" fontId="35" fillId="7" borderId="9" xfId="13" applyNumberFormat="1" applyFont="1" applyFill="1" applyBorder="1" applyAlignment="1">
      <alignment horizontal="center" vertical="center"/>
    </xf>
    <xf numFmtId="4" fontId="27" fillId="7" borderId="19" xfId="13" applyNumberFormat="1" applyFont="1" applyFill="1" applyBorder="1" applyAlignment="1">
      <alignment horizontal="center" vertical="center"/>
    </xf>
    <xf numFmtId="4" fontId="27" fillId="7" borderId="19" xfId="13" applyNumberFormat="1" applyFont="1" applyFill="1" applyBorder="1" applyAlignment="1">
      <alignment horizontal="center" vertical="center" wrapText="1"/>
    </xf>
    <xf numFmtId="0" fontId="27" fillId="0" borderId="34" xfId="13" applyFont="1" applyBorder="1"/>
    <xf numFmtId="0" fontId="29" fillId="0" borderId="11" xfId="13" applyFont="1" applyBorder="1" applyAlignment="1">
      <alignment horizontal="center" vertical="center"/>
    </xf>
    <xf numFmtId="0" fontId="27" fillId="0" borderId="11" xfId="13" applyFont="1" applyBorder="1"/>
    <xf numFmtId="4" fontId="29" fillId="0" borderId="11" xfId="13" applyNumberFormat="1" applyFont="1" applyBorder="1" applyAlignment="1">
      <alignment horizontal="center" vertical="center"/>
    </xf>
    <xf numFmtId="164" fontId="27" fillId="0" borderId="11" xfId="13" applyNumberFormat="1" applyFont="1" applyBorder="1"/>
    <xf numFmtId="4" fontId="29" fillId="4" borderId="11" xfId="13" applyNumberFormat="1" applyFont="1" applyFill="1" applyBorder="1" applyAlignment="1">
      <alignment horizontal="center" vertical="center"/>
    </xf>
    <xf numFmtId="4" fontId="29" fillId="4" borderId="12" xfId="13" applyNumberFormat="1" applyFont="1" applyFill="1" applyBorder="1" applyAlignment="1">
      <alignment horizontal="center" vertical="center"/>
    </xf>
    <xf numFmtId="4" fontId="37" fillId="4" borderId="24" xfId="13" applyNumberFormat="1" applyFont="1" applyFill="1" applyBorder="1" applyAlignment="1">
      <alignment horizontal="center" vertical="center"/>
    </xf>
    <xf numFmtId="4" fontId="29" fillId="4" borderId="25" xfId="13" applyNumberFormat="1" applyFont="1" applyFill="1" applyBorder="1" applyAlignment="1">
      <alignment horizontal="center" vertical="center"/>
    </xf>
    <xf numFmtId="4" fontId="29" fillId="4" borderId="25" xfId="13" applyNumberFormat="1" applyFont="1" applyFill="1" applyBorder="1" applyAlignment="1">
      <alignment horizontal="center" vertical="center" wrapText="1"/>
    </xf>
    <xf numFmtId="0" fontId="27" fillId="15" borderId="21" xfId="13" applyFont="1" applyFill="1" applyBorder="1" applyAlignment="1">
      <alignment horizontal="center" vertical="center"/>
    </xf>
    <xf numFmtId="0" fontId="27" fillId="15" borderId="9" xfId="13" applyFont="1" applyFill="1" applyBorder="1" applyAlignment="1">
      <alignment horizontal="center" vertical="center"/>
    </xf>
    <xf numFmtId="0" fontId="27" fillId="15" borderId="9" xfId="13" applyFont="1" applyFill="1" applyBorder="1" applyAlignment="1">
      <alignment horizontal="center" vertical="center" wrapText="1"/>
    </xf>
    <xf numFmtId="49" fontId="28" fillId="15" borderId="9" xfId="13" applyNumberFormat="1" applyFont="1" applyFill="1" applyBorder="1" applyAlignment="1">
      <alignment horizontal="center" vertical="center" wrapText="1"/>
    </xf>
    <xf numFmtId="49" fontId="28" fillId="15" borderId="19" xfId="13" applyNumberFormat="1" applyFont="1" applyFill="1" applyBorder="1" applyAlignment="1">
      <alignment horizontal="center" vertical="center" wrapText="1"/>
    </xf>
    <xf numFmtId="0" fontId="29" fillId="16" borderId="4" xfId="13" applyFont="1" applyFill="1" applyBorder="1" applyAlignment="1">
      <alignment horizontal="center" vertical="center"/>
    </xf>
    <xf numFmtId="0" fontId="27" fillId="16" borderId="4" xfId="13" applyFont="1" applyFill="1" applyBorder="1" applyAlignment="1">
      <alignment horizontal="center" vertical="center"/>
    </xf>
    <xf numFmtId="4" fontId="31" fillId="16" borderId="17" xfId="12" applyNumberFormat="1" applyFont="1" applyFill="1" applyBorder="1" applyAlignment="1">
      <alignment horizontal="center" vertical="center" wrapText="1"/>
    </xf>
    <xf numFmtId="0" fontId="31" fillId="16" borderId="21" xfId="13" applyFont="1" applyFill="1" applyBorder="1" applyAlignment="1">
      <alignment horizontal="center" vertical="center"/>
    </xf>
    <xf numFmtId="4" fontId="34" fillId="7" borderId="17" xfId="12" applyNumberFormat="1" applyFont="1" applyFill="1" applyBorder="1" applyAlignment="1">
      <alignment horizontal="center" vertical="center" wrapText="1"/>
    </xf>
    <xf numFmtId="0" fontId="29" fillId="16" borderId="9" xfId="13" applyFont="1" applyFill="1" applyBorder="1" applyAlignment="1">
      <alignment horizontal="center" vertical="center"/>
    </xf>
    <xf numFmtId="0" fontId="31" fillId="16" borderId="9" xfId="13" applyFont="1" applyFill="1" applyBorder="1" applyAlignment="1">
      <alignment horizontal="left" vertical="center" wrapText="1"/>
    </xf>
    <xf numFmtId="164" fontId="31" fillId="16" borderId="9" xfId="8" applyFont="1" applyFill="1" applyBorder="1" applyAlignment="1">
      <alignment horizontal="center" vertical="center"/>
    </xf>
    <xf numFmtId="167" fontId="31" fillId="16" borderId="9" xfId="13" applyNumberFormat="1" applyFont="1" applyFill="1" applyBorder="1" applyAlignment="1">
      <alignment horizontal="center" vertical="center"/>
    </xf>
    <xf numFmtId="4" fontId="26" fillId="16" borderId="9" xfId="13" applyNumberFormat="1" applyFont="1" applyFill="1" applyBorder="1" applyAlignment="1">
      <alignment horizontal="center" vertical="center"/>
    </xf>
    <xf numFmtId="4" fontId="27" fillId="16" borderId="9" xfId="13" applyNumberFormat="1" applyFont="1" applyFill="1" applyBorder="1" applyAlignment="1">
      <alignment horizontal="center" vertical="center"/>
    </xf>
    <xf numFmtId="4" fontId="59" fillId="16" borderId="4" xfId="12" applyNumberFormat="1" applyFont="1" applyFill="1" applyBorder="1" applyAlignment="1">
      <alignment horizontal="center" vertical="center" wrapText="1"/>
    </xf>
    <xf numFmtId="4" fontId="77" fillId="16" borderId="10" xfId="13" applyNumberFormat="1" applyFont="1" applyFill="1" applyBorder="1" applyAlignment="1">
      <alignment horizontal="center" vertical="center" wrapText="1"/>
    </xf>
    <xf numFmtId="4" fontId="27" fillId="16" borderId="19" xfId="13" applyNumberFormat="1" applyFont="1" applyFill="1" applyBorder="1" applyAlignment="1">
      <alignment horizontal="center" vertical="center"/>
    </xf>
    <xf numFmtId="0" fontId="31" fillId="16" borderId="23" xfId="13" applyFont="1" applyFill="1" applyBorder="1" applyAlignment="1">
      <alignment horizontal="center" vertical="center"/>
    </xf>
    <xf numFmtId="0" fontId="29" fillId="16" borderId="24" xfId="13" applyFont="1" applyFill="1" applyBorder="1" applyAlignment="1">
      <alignment horizontal="center" vertical="center"/>
    </xf>
    <xf numFmtId="0" fontId="31" fillId="16" borderId="24" xfId="13" applyFont="1" applyFill="1" applyBorder="1" applyAlignment="1">
      <alignment horizontal="left" vertical="center" wrapText="1"/>
    </xf>
    <xf numFmtId="164" fontId="31" fillId="16" borderId="24" xfId="8" applyFont="1" applyFill="1" applyBorder="1" applyAlignment="1">
      <alignment horizontal="center" vertical="center"/>
    </xf>
    <xf numFmtId="167" fontId="31" fillId="16" borderId="24" xfId="13" applyNumberFormat="1" applyFont="1" applyFill="1" applyBorder="1" applyAlignment="1">
      <alignment horizontal="center" vertical="center"/>
    </xf>
    <xf numFmtId="4" fontId="26" fillId="16" borderId="24" xfId="13" applyNumberFormat="1" applyFont="1" applyFill="1" applyBorder="1" applyAlignment="1">
      <alignment horizontal="center" vertical="center"/>
    </xf>
    <xf numFmtId="4" fontId="27" fillId="16" borderId="24" xfId="13" applyNumberFormat="1" applyFont="1" applyFill="1" applyBorder="1" applyAlignment="1">
      <alignment horizontal="center" vertical="center"/>
    </xf>
    <xf numFmtId="0" fontId="27" fillId="16" borderId="24" xfId="13" applyFont="1" applyFill="1" applyBorder="1" applyAlignment="1">
      <alignment horizontal="center" vertical="center"/>
    </xf>
    <xf numFmtId="4" fontId="77" fillId="16" borderId="24" xfId="13" applyNumberFormat="1" applyFont="1" applyFill="1" applyBorder="1" applyAlignment="1">
      <alignment horizontal="center" vertical="center" wrapText="1"/>
    </xf>
    <xf numFmtId="4" fontId="31" fillId="16" borderId="25" xfId="12" applyNumberFormat="1" applyFont="1" applyFill="1" applyBorder="1" applyAlignment="1">
      <alignment horizontal="center" vertical="center" wrapText="1"/>
    </xf>
    <xf numFmtId="0" fontId="31" fillId="11" borderId="21" xfId="13" applyFont="1" applyFill="1" applyBorder="1" applyAlignment="1">
      <alignment horizontal="center" vertical="center"/>
    </xf>
    <xf numFmtId="0" fontId="29" fillId="11" borderId="8" xfId="13" applyFont="1" applyFill="1" applyBorder="1" applyAlignment="1">
      <alignment horizontal="center" vertical="center"/>
    </xf>
    <xf numFmtId="0" fontId="31" fillId="11" borderId="8" xfId="13" applyFont="1" applyFill="1" applyBorder="1" applyAlignment="1">
      <alignment horizontal="left" vertical="center" wrapText="1"/>
    </xf>
    <xf numFmtId="164" fontId="31" fillId="11" borderId="8" xfId="8" applyFont="1" applyFill="1" applyBorder="1" applyAlignment="1">
      <alignment horizontal="center" vertical="center"/>
    </xf>
    <xf numFmtId="167" fontId="31" fillId="11" borderId="8" xfId="13" applyNumberFormat="1" applyFont="1" applyFill="1" applyBorder="1" applyAlignment="1">
      <alignment horizontal="center" vertical="center"/>
    </xf>
    <xf numFmtId="4" fontId="26" fillId="11" borderId="8" xfId="13" applyNumberFormat="1" applyFont="1" applyFill="1" applyBorder="1" applyAlignment="1">
      <alignment horizontal="center" vertical="center"/>
    </xf>
    <xf numFmtId="4" fontId="31" fillId="11" borderId="8" xfId="13" applyNumberFormat="1" applyFont="1" applyFill="1" applyBorder="1" applyAlignment="1">
      <alignment horizontal="center" vertical="center"/>
    </xf>
    <xf numFmtId="4" fontId="27" fillId="11" borderId="8" xfId="13" applyNumberFormat="1" applyFont="1" applyFill="1" applyBorder="1" applyAlignment="1">
      <alignment horizontal="center" vertical="center"/>
    </xf>
    <xf numFmtId="4" fontId="31" fillId="11" borderId="8" xfId="12" applyNumberFormat="1" applyFont="1" applyFill="1" applyBorder="1" applyAlignment="1">
      <alignment horizontal="center" vertical="center" wrapText="1"/>
    </xf>
    <xf numFmtId="4" fontId="31" fillId="11" borderId="9" xfId="13" applyNumberFormat="1" applyFont="1" applyFill="1" applyBorder="1" applyAlignment="1">
      <alignment horizontal="center" vertical="center" wrapText="1"/>
    </xf>
    <xf numFmtId="4" fontId="27" fillId="11" borderId="20" xfId="13" applyNumberFormat="1" applyFont="1" applyFill="1" applyBorder="1" applyAlignment="1">
      <alignment horizontal="center" vertical="center"/>
    </xf>
    <xf numFmtId="4" fontId="31" fillId="11" borderId="20" xfId="12" applyNumberFormat="1" applyFont="1" applyFill="1" applyBorder="1" applyAlignment="1">
      <alignment horizontal="center" vertical="center" wrapText="1"/>
    </xf>
    <xf numFmtId="0" fontId="45" fillId="10" borderId="0" xfId="13" applyFont="1" applyFill="1" applyAlignment="1">
      <alignment vertical="center" wrapText="1" shrinkToFit="1"/>
    </xf>
    <xf numFmtId="4" fontId="35" fillId="2" borderId="4" xfId="13" applyNumberFormat="1" applyFont="1" applyFill="1" applyBorder="1" applyAlignment="1">
      <alignment horizontal="center" vertical="center"/>
    </xf>
    <xf numFmtId="4" fontId="27" fillId="2" borderId="17" xfId="13" applyNumberFormat="1" applyFont="1" applyFill="1" applyBorder="1" applyAlignment="1">
      <alignment horizontal="center" vertical="center"/>
    </xf>
    <xf numFmtId="4" fontId="27" fillId="2" borderId="17" xfId="13" applyNumberFormat="1" applyFont="1" applyFill="1" applyBorder="1" applyAlignment="1">
      <alignment horizontal="center" vertical="center" wrapText="1"/>
    </xf>
    <xf numFmtId="0" fontId="31" fillId="11" borderId="22" xfId="13" applyFont="1" applyFill="1" applyBorder="1" applyAlignment="1">
      <alignment horizontal="center" vertical="center"/>
    </xf>
    <xf numFmtId="0" fontId="29" fillId="11" borderId="10" xfId="13" applyFont="1" applyFill="1" applyBorder="1" applyAlignment="1">
      <alignment horizontal="center" vertical="center"/>
    </xf>
    <xf numFmtId="0" fontId="31" fillId="11" borderId="10" xfId="13" applyFont="1" applyFill="1" applyBorder="1" applyAlignment="1">
      <alignment horizontal="left" vertical="center" wrapText="1"/>
    </xf>
    <xf numFmtId="164" fontId="31" fillId="11" borderId="10" xfId="8" applyFont="1" applyFill="1" applyBorder="1" applyAlignment="1">
      <alignment horizontal="center" vertical="center"/>
    </xf>
    <xf numFmtId="167" fontId="31" fillId="11" borderId="10" xfId="13" applyNumberFormat="1" applyFont="1" applyFill="1" applyBorder="1" applyAlignment="1">
      <alignment horizontal="center" vertical="center"/>
    </xf>
    <xf numFmtId="4" fontId="26" fillId="11" borderId="10" xfId="13" applyNumberFormat="1" applyFont="1" applyFill="1" applyBorder="1" applyAlignment="1">
      <alignment horizontal="center" vertical="center"/>
    </xf>
    <xf numFmtId="4" fontId="27" fillId="11" borderId="10" xfId="13" applyNumberFormat="1" applyFont="1" applyFill="1" applyBorder="1" applyAlignment="1">
      <alignment horizontal="center" vertical="center"/>
    </xf>
    <xf numFmtId="4" fontId="60" fillId="11" borderId="10" xfId="12" applyNumberFormat="1" applyFont="1" applyFill="1" applyBorder="1" applyAlignment="1">
      <alignment horizontal="center" vertical="center" wrapText="1"/>
    </xf>
    <xf numFmtId="4" fontId="31" fillId="11" borderId="10" xfId="13" applyNumberFormat="1" applyFont="1" applyFill="1" applyBorder="1" applyAlignment="1">
      <alignment horizontal="center" vertical="center" wrapText="1"/>
    </xf>
    <xf numFmtId="4" fontId="27" fillId="11" borderId="18" xfId="13" applyNumberFormat="1" applyFont="1" applyFill="1" applyBorder="1" applyAlignment="1">
      <alignment horizontal="center" vertical="center"/>
    </xf>
    <xf numFmtId="4" fontId="31" fillId="11" borderId="18" xfId="12" applyNumberFormat="1" applyFont="1" applyFill="1" applyBorder="1" applyAlignment="1">
      <alignment horizontal="center" vertical="center" wrapText="1"/>
    </xf>
    <xf numFmtId="0" fontId="31" fillId="0" borderId="16" xfId="13" applyFont="1" applyBorder="1" applyAlignment="1">
      <alignment horizontal="center" vertical="center"/>
    </xf>
    <xf numFmtId="0" fontId="32" fillId="0" borderId="4" xfId="13" applyFont="1" applyBorder="1" applyAlignment="1">
      <alignment horizontal="center" vertical="center"/>
    </xf>
    <xf numFmtId="0" fontId="42" fillId="0" borderId="4" xfId="13" applyFont="1" applyBorder="1" applyAlignment="1">
      <alignment horizontal="left" vertical="center" wrapText="1"/>
    </xf>
    <xf numFmtId="164" fontId="42" fillId="0" borderId="4" xfId="8" applyFont="1" applyFill="1" applyBorder="1" applyAlignment="1">
      <alignment horizontal="center" vertical="center"/>
    </xf>
    <xf numFmtId="167" fontId="42" fillId="0" borderId="4" xfId="13" applyNumberFormat="1" applyFont="1" applyBorder="1" applyAlignment="1">
      <alignment horizontal="center" vertical="center"/>
    </xf>
    <xf numFmtId="4" fontId="32" fillId="0" borderId="4" xfId="13" applyNumberFormat="1" applyFont="1" applyBorder="1" applyAlignment="1">
      <alignment horizontal="center" vertical="center"/>
    </xf>
    <xf numFmtId="4" fontId="42" fillId="4" borderId="4" xfId="13" applyNumberFormat="1" applyFont="1" applyFill="1" applyBorder="1" applyAlignment="1">
      <alignment horizontal="center" vertical="center"/>
    </xf>
    <xf numFmtId="4" fontId="42" fillId="5" borderId="4" xfId="13" applyNumberFormat="1" applyFont="1" applyFill="1" applyBorder="1" applyAlignment="1">
      <alignment horizontal="center" vertical="center"/>
    </xf>
    <xf numFmtId="4" fontId="42" fillId="7" borderId="4" xfId="12" applyNumberFormat="1" applyFont="1" applyFill="1" applyBorder="1" applyAlignment="1">
      <alignment horizontal="center" vertical="center" wrapText="1"/>
    </xf>
    <xf numFmtId="4" fontId="42" fillId="7" borderId="17" xfId="13" applyNumberFormat="1" applyFont="1" applyFill="1" applyBorder="1" applyAlignment="1">
      <alignment horizontal="center" vertical="center"/>
    </xf>
    <xf numFmtId="4" fontId="31" fillId="7" borderId="17" xfId="12" applyNumberFormat="1" applyFont="1" applyFill="1" applyBorder="1" applyAlignment="1">
      <alignment horizontal="center" vertical="center" wrapText="1"/>
    </xf>
    <xf numFmtId="4" fontId="27" fillId="7" borderId="17" xfId="13" applyNumberFormat="1" applyFont="1" applyFill="1" applyBorder="1" applyAlignment="1">
      <alignment horizontal="center" vertical="center"/>
    </xf>
    <xf numFmtId="4" fontId="27" fillId="7" borderId="17" xfId="13" applyNumberFormat="1" applyFont="1" applyFill="1" applyBorder="1" applyAlignment="1">
      <alignment horizontal="center" vertical="center" wrapText="1"/>
    </xf>
    <xf numFmtId="0" fontId="31" fillId="2" borderId="34" xfId="13" applyFont="1" applyFill="1" applyBorder="1" applyAlignment="1">
      <alignment horizontal="center" vertical="center"/>
    </xf>
    <xf numFmtId="0" fontId="29" fillId="2" borderId="11" xfId="13" applyFont="1" applyFill="1" applyBorder="1" applyAlignment="1">
      <alignment horizontal="center" vertical="center"/>
    </xf>
    <xf numFmtId="0" fontId="31" fillId="2" borderId="11" xfId="13" applyFont="1" applyFill="1" applyBorder="1" applyAlignment="1">
      <alignment horizontal="left" vertical="center" wrapText="1"/>
    </xf>
    <xf numFmtId="164" fontId="31" fillId="2" borderId="11" xfId="8" applyFont="1" applyFill="1" applyBorder="1" applyAlignment="1">
      <alignment horizontal="center" vertical="center"/>
    </xf>
    <xf numFmtId="167" fontId="31" fillId="2" borderId="11" xfId="13" applyNumberFormat="1" applyFont="1" applyFill="1" applyBorder="1" applyAlignment="1">
      <alignment horizontal="center" vertical="center"/>
    </xf>
    <xf numFmtId="4" fontId="26" fillId="2" borderId="11" xfId="13" applyNumberFormat="1" applyFont="1" applyFill="1" applyBorder="1" applyAlignment="1">
      <alignment horizontal="center" vertical="center"/>
    </xf>
    <xf numFmtId="4" fontId="27" fillId="2" borderId="11" xfId="13" applyNumberFormat="1" applyFont="1" applyFill="1" applyBorder="1" applyAlignment="1">
      <alignment horizontal="center" vertical="center"/>
    </xf>
    <xf numFmtId="4" fontId="59" fillId="2" borderId="11" xfId="12" applyNumberFormat="1" applyFont="1" applyFill="1" applyBorder="1" applyAlignment="1">
      <alignment horizontal="center" vertical="center" wrapText="1"/>
    </xf>
    <xf numFmtId="4" fontId="35" fillId="2" borderId="11" xfId="13" applyNumberFormat="1" applyFont="1" applyFill="1" applyBorder="1" applyAlignment="1">
      <alignment horizontal="center" vertical="center"/>
    </xf>
    <xf numFmtId="4" fontId="27" fillId="2" borderId="12" xfId="13" applyNumberFormat="1" applyFont="1" applyFill="1" applyBorder="1" applyAlignment="1">
      <alignment horizontal="center" vertical="center"/>
    </xf>
    <xf numFmtId="4" fontId="29" fillId="2" borderId="12" xfId="13" applyNumberFormat="1" applyFont="1" applyFill="1" applyBorder="1" applyAlignment="1">
      <alignment horizontal="center" vertical="center"/>
    </xf>
    <xf numFmtId="49" fontId="62" fillId="15" borderId="9" xfId="13" applyNumberFormat="1" applyFont="1" applyFill="1" applyBorder="1" applyAlignment="1">
      <alignment horizontal="center" vertical="center" wrapText="1"/>
    </xf>
    <xf numFmtId="0" fontId="31" fillId="0" borderId="22" xfId="13" applyFont="1" applyBorder="1" applyAlignment="1">
      <alignment horizontal="center" vertical="center"/>
    </xf>
    <xf numFmtId="0" fontId="32" fillId="0" borderId="10" xfId="13" applyFont="1" applyBorder="1" applyAlignment="1">
      <alignment horizontal="center" vertical="center"/>
    </xf>
    <xf numFmtId="0" fontId="42" fillId="0" borderId="10" xfId="13" applyFont="1" applyBorder="1" applyAlignment="1">
      <alignment horizontal="left" vertical="center" wrapText="1"/>
    </xf>
    <xf numFmtId="164" fontId="42" fillId="0" borderId="10" xfId="8" applyFont="1" applyFill="1" applyBorder="1" applyAlignment="1">
      <alignment horizontal="center" vertical="center"/>
    </xf>
    <xf numFmtId="167" fontId="42" fillId="0" borderId="10" xfId="13" applyNumberFormat="1" applyFont="1" applyBorder="1" applyAlignment="1">
      <alignment horizontal="center" vertical="center"/>
    </xf>
    <xf numFmtId="4" fontId="32" fillId="0" borderId="10" xfId="13" applyNumberFormat="1" applyFont="1" applyBorder="1" applyAlignment="1">
      <alignment horizontal="center" vertical="center"/>
    </xf>
    <xf numFmtId="4" fontId="42" fillId="4" borderId="10" xfId="13" applyNumberFormat="1" applyFont="1" applyFill="1" applyBorder="1" applyAlignment="1">
      <alignment horizontal="center" vertical="center"/>
    </xf>
    <xf numFmtId="4" fontId="42" fillId="5" borderId="10" xfId="13" applyNumberFormat="1" applyFont="1" applyFill="1" applyBorder="1" applyAlignment="1">
      <alignment horizontal="center" vertical="center"/>
    </xf>
    <xf numFmtId="0" fontId="42" fillId="7" borderId="10" xfId="12" applyFont="1" applyFill="1" applyBorder="1" applyAlignment="1">
      <alignment horizontal="center" vertical="center" wrapText="1"/>
    </xf>
    <xf numFmtId="4" fontId="44" fillId="7" borderId="10" xfId="13" applyNumberFormat="1" applyFont="1" applyFill="1" applyBorder="1" applyAlignment="1">
      <alignment horizontal="center" vertical="center"/>
    </xf>
    <xf numFmtId="4" fontId="42" fillId="7" borderId="18" xfId="13" applyNumberFormat="1" applyFont="1" applyFill="1" applyBorder="1" applyAlignment="1">
      <alignment horizontal="center" vertical="center"/>
    </xf>
    <xf numFmtId="4" fontId="31" fillId="7" borderId="30" xfId="12" applyNumberFormat="1" applyFont="1" applyFill="1" applyBorder="1" applyAlignment="1">
      <alignment horizontal="center" vertical="center" wrapText="1"/>
    </xf>
    <xf numFmtId="4" fontId="35" fillId="7" borderId="10" xfId="13" applyNumberFormat="1" applyFont="1" applyFill="1" applyBorder="1" applyAlignment="1">
      <alignment horizontal="center" vertical="center"/>
    </xf>
    <xf numFmtId="4" fontId="27" fillId="7" borderId="18" xfId="13" applyNumberFormat="1" applyFont="1" applyFill="1" applyBorder="1" applyAlignment="1">
      <alignment horizontal="center" vertical="center"/>
    </xf>
    <xf numFmtId="4" fontId="27" fillId="7" borderId="18" xfId="13" applyNumberFormat="1" applyFont="1" applyFill="1" applyBorder="1" applyAlignment="1">
      <alignment horizontal="center" vertical="center" wrapText="1"/>
    </xf>
    <xf numFmtId="0" fontId="27" fillId="0" borderId="26" xfId="13" applyFont="1" applyBorder="1"/>
    <xf numFmtId="0" fontId="29" fillId="0" borderId="8" xfId="13" applyFont="1" applyBorder="1" applyAlignment="1">
      <alignment horizontal="center" vertical="center"/>
    </xf>
    <xf numFmtId="0" fontId="27" fillId="0" borderId="8" xfId="13" applyFont="1" applyBorder="1"/>
    <xf numFmtId="4" fontId="29" fillId="0" borderId="8" xfId="13" applyNumberFormat="1" applyFont="1" applyBorder="1" applyAlignment="1">
      <alignment horizontal="center" vertical="center"/>
    </xf>
    <xf numFmtId="4" fontId="29" fillId="4" borderId="8" xfId="13" applyNumberFormat="1" applyFont="1" applyFill="1" applyBorder="1" applyAlignment="1">
      <alignment horizontal="center" vertical="center"/>
    </xf>
    <xf numFmtId="4" fontId="37" fillId="4" borderId="8" xfId="13" applyNumberFormat="1" applyFont="1" applyFill="1" applyBorder="1" applyAlignment="1">
      <alignment horizontal="center" vertical="center"/>
    </xf>
    <xf numFmtId="4" fontId="29" fillId="4" borderId="20" xfId="13" applyNumberFormat="1" applyFont="1" applyFill="1" applyBorder="1" applyAlignment="1">
      <alignment horizontal="center" vertical="center"/>
    </xf>
    <xf numFmtId="4" fontId="29" fillId="4" borderId="20" xfId="13" applyNumberFormat="1" applyFont="1" applyFill="1" applyBorder="1" applyAlignment="1">
      <alignment horizontal="center" vertical="center" wrapText="1"/>
    </xf>
    <xf numFmtId="0" fontId="27" fillId="2" borderId="27" xfId="13" applyFont="1" applyFill="1" applyBorder="1"/>
    <xf numFmtId="0" fontId="27" fillId="2" borderId="11" xfId="13" applyFont="1" applyFill="1" applyBorder="1"/>
    <xf numFmtId="4" fontId="29" fillId="2" borderId="11" xfId="13" applyNumberFormat="1" applyFont="1" applyFill="1" applyBorder="1" applyAlignment="1">
      <alignment horizontal="center" vertical="center"/>
    </xf>
    <xf numFmtId="164" fontId="27" fillId="2" borderId="11" xfId="13" applyNumberFormat="1" applyFont="1" applyFill="1" applyBorder="1"/>
    <xf numFmtId="4" fontId="37" fillId="2" borderId="11" xfId="13" applyNumberFormat="1" applyFont="1" applyFill="1" applyBorder="1" applyAlignment="1">
      <alignment horizontal="center" vertical="center"/>
    </xf>
    <xf numFmtId="4" fontId="29" fillId="2" borderId="12" xfId="13" applyNumberFormat="1" applyFont="1" applyFill="1" applyBorder="1" applyAlignment="1">
      <alignment horizontal="center" vertical="center" wrapText="1"/>
    </xf>
    <xf numFmtId="168" fontId="59" fillId="0" borderId="0" xfId="13" applyNumberFormat="1" applyFont="1"/>
    <xf numFmtId="0" fontId="31" fillId="16" borderId="22" xfId="13" applyFont="1" applyFill="1" applyBorder="1" applyAlignment="1">
      <alignment horizontal="center" vertical="center"/>
    </xf>
    <xf numFmtId="0" fontId="26" fillId="16" borderId="10" xfId="13" applyFont="1" applyFill="1" applyBorder="1" applyAlignment="1">
      <alignment horizontal="center" vertical="center"/>
    </xf>
    <xf numFmtId="0" fontId="31" fillId="16" borderId="10" xfId="13" applyFont="1" applyFill="1" applyBorder="1" applyAlignment="1">
      <alignment horizontal="left" vertical="center" wrapText="1"/>
    </xf>
    <xf numFmtId="164" fontId="42" fillId="16" borderId="10" xfId="8" applyFont="1" applyFill="1" applyBorder="1" applyAlignment="1">
      <alignment horizontal="center" vertical="center"/>
    </xf>
    <xf numFmtId="167" fontId="42" fillId="16" borderId="10" xfId="13" applyNumberFormat="1" applyFont="1" applyFill="1" applyBorder="1" applyAlignment="1">
      <alignment horizontal="center" vertical="center"/>
    </xf>
    <xf numFmtId="4" fontId="32" fillId="16" borderId="10" xfId="13" applyNumberFormat="1" applyFont="1" applyFill="1" applyBorder="1" applyAlignment="1">
      <alignment horizontal="center" vertical="center"/>
    </xf>
    <xf numFmtId="4" fontId="42" fillId="16" borderId="10" xfId="13" applyNumberFormat="1" applyFont="1" applyFill="1" applyBorder="1" applyAlignment="1">
      <alignment horizontal="center" vertical="center"/>
    </xf>
    <xf numFmtId="4" fontId="27" fillId="16" borderId="10" xfId="13" applyNumberFormat="1" applyFont="1" applyFill="1" applyBorder="1" applyAlignment="1">
      <alignment horizontal="center" vertical="center"/>
    </xf>
    <xf numFmtId="4" fontId="31" fillId="16" borderId="10" xfId="12" applyNumberFormat="1" applyFont="1" applyFill="1" applyBorder="1" applyAlignment="1">
      <alignment horizontal="center" vertical="center" wrapText="1"/>
    </xf>
    <xf numFmtId="4" fontId="31" fillId="16" borderId="18" xfId="13" applyNumberFormat="1" applyFont="1" applyFill="1" applyBorder="1" applyAlignment="1">
      <alignment horizontal="center" vertical="center"/>
    </xf>
    <xf numFmtId="4" fontId="31" fillId="16" borderId="18" xfId="12" applyNumberFormat="1" applyFont="1" applyFill="1" applyBorder="1" applyAlignment="1">
      <alignment horizontal="center" vertical="center" wrapText="1"/>
    </xf>
    <xf numFmtId="4" fontId="31" fillId="16" borderId="4" xfId="12" applyNumberFormat="1" applyFont="1" applyFill="1" applyBorder="1" applyAlignment="1">
      <alignment horizontal="center" vertical="center" wrapText="1"/>
    </xf>
    <xf numFmtId="4" fontId="27" fillId="16" borderId="17" xfId="13" applyNumberFormat="1" applyFont="1" applyFill="1" applyBorder="1" applyAlignment="1">
      <alignment horizontal="center" vertical="center"/>
    </xf>
    <xf numFmtId="0" fontId="42" fillId="7" borderId="4" xfId="12" applyFont="1" applyFill="1" applyBorder="1" applyAlignment="1">
      <alignment horizontal="center" vertical="center" wrapText="1"/>
    </xf>
    <xf numFmtId="4" fontId="44" fillId="7" borderId="4" xfId="13" applyNumberFormat="1" applyFont="1" applyFill="1" applyBorder="1" applyAlignment="1">
      <alignment horizontal="center" vertical="center"/>
    </xf>
    <xf numFmtId="0" fontId="65" fillId="0" borderId="0" xfId="13" applyFont="1" applyAlignment="1">
      <alignment vertical="center"/>
    </xf>
    <xf numFmtId="0" fontId="29" fillId="0" borderId="0" xfId="13" applyFont="1" applyAlignment="1">
      <alignment horizontal="center" vertical="center"/>
    </xf>
    <xf numFmtId="4" fontId="29" fillId="0" borderId="0" xfId="13" applyNumberFormat="1" applyFont="1" applyAlignment="1">
      <alignment horizontal="center" vertical="center"/>
    </xf>
    <xf numFmtId="164" fontId="27" fillId="0" borderId="0" xfId="13" applyNumberFormat="1" applyFont="1"/>
    <xf numFmtId="0" fontId="65" fillId="0" borderId="0" xfId="13" applyFont="1" applyAlignment="1">
      <alignment horizontal="center" vertical="center"/>
    </xf>
    <xf numFmtId="165" fontId="27" fillId="0" borderId="0" xfId="13" applyNumberFormat="1" applyFont="1"/>
    <xf numFmtId="2" fontId="27" fillId="0" borderId="0" xfId="13" applyNumberFormat="1" applyFont="1"/>
    <xf numFmtId="0" fontId="31" fillId="17" borderId="21" xfId="2" applyFont="1" applyFill="1" applyBorder="1" applyAlignment="1">
      <alignment horizontal="center" vertical="center"/>
    </xf>
    <xf numFmtId="0" fontId="29" fillId="17" borderId="4" xfId="2" applyFont="1" applyFill="1" applyBorder="1" applyAlignment="1">
      <alignment horizontal="center" vertical="center"/>
    </xf>
    <xf numFmtId="0" fontId="27" fillId="17" borderId="4" xfId="2" applyFont="1" applyFill="1" applyBorder="1" applyAlignment="1">
      <alignment horizontal="center" vertical="center"/>
    </xf>
    <xf numFmtId="4" fontId="31" fillId="17" borderId="17" xfId="0" applyNumberFormat="1" applyFont="1" applyFill="1" applyBorder="1" applyAlignment="1">
      <alignment horizontal="center" vertical="center" wrapText="1"/>
    </xf>
    <xf numFmtId="0" fontId="29" fillId="17" borderId="9" xfId="2" applyFont="1" applyFill="1" applyBorder="1" applyAlignment="1">
      <alignment horizontal="center" vertical="center"/>
    </xf>
    <xf numFmtId="0" fontId="31" fillId="17" borderId="9" xfId="2" applyFont="1" applyFill="1" applyBorder="1" applyAlignment="1">
      <alignment horizontal="left" vertical="center" wrapText="1"/>
    </xf>
    <xf numFmtId="164" fontId="31" fillId="17" borderId="9" xfId="5" applyFont="1" applyFill="1" applyBorder="1" applyAlignment="1">
      <alignment horizontal="center" vertical="center"/>
    </xf>
    <xf numFmtId="167" fontId="31" fillId="17" borderId="9" xfId="2" applyNumberFormat="1" applyFont="1" applyFill="1" applyBorder="1" applyAlignment="1">
      <alignment horizontal="center" vertical="center"/>
    </xf>
    <xf numFmtId="4" fontId="26" fillId="17" borderId="9" xfId="2" applyNumberFormat="1" applyFont="1" applyFill="1" applyBorder="1" applyAlignment="1">
      <alignment horizontal="center" vertical="center"/>
    </xf>
    <xf numFmtId="4" fontId="27" fillId="17" borderId="9" xfId="2" applyNumberFormat="1" applyFont="1" applyFill="1" applyBorder="1" applyAlignment="1">
      <alignment horizontal="center" vertical="center"/>
    </xf>
    <xf numFmtId="4" fontId="59" fillId="17" borderId="4" xfId="0" applyNumberFormat="1" applyFont="1" applyFill="1" applyBorder="1" applyAlignment="1">
      <alignment horizontal="center" vertical="center" wrapText="1"/>
    </xf>
    <xf numFmtId="4" fontId="27" fillId="17" borderId="19" xfId="2" applyNumberFormat="1" applyFont="1" applyFill="1" applyBorder="1" applyAlignment="1">
      <alignment horizontal="center" vertical="center"/>
    </xf>
    <xf numFmtId="0" fontId="31" fillId="17" borderId="23" xfId="2" applyFont="1" applyFill="1" applyBorder="1" applyAlignment="1">
      <alignment horizontal="center" vertical="center"/>
    </xf>
    <xf numFmtId="0" fontId="29" fillId="17" borderId="24" xfId="2" applyFont="1" applyFill="1" applyBorder="1" applyAlignment="1">
      <alignment horizontal="center" vertical="center"/>
    </xf>
    <xf numFmtId="0" fontId="31" fillId="17" borderId="24" xfId="2" applyFont="1" applyFill="1" applyBorder="1" applyAlignment="1">
      <alignment horizontal="left" vertical="center" wrapText="1"/>
    </xf>
    <xf numFmtId="164" fontId="31" fillId="17" borderId="24" xfId="5" applyFont="1" applyFill="1" applyBorder="1" applyAlignment="1">
      <alignment horizontal="center" vertical="center"/>
    </xf>
    <xf numFmtId="167" fontId="31" fillId="17" borderId="24" xfId="2" applyNumberFormat="1" applyFont="1" applyFill="1" applyBorder="1" applyAlignment="1">
      <alignment horizontal="center" vertical="center"/>
    </xf>
    <xf numFmtId="4" fontId="26" fillId="17" borderId="24" xfId="2" applyNumberFormat="1" applyFont="1" applyFill="1" applyBorder="1" applyAlignment="1">
      <alignment horizontal="center" vertical="center"/>
    </xf>
    <xf numFmtId="4" fontId="27" fillId="17" borderId="24" xfId="2" applyNumberFormat="1" applyFont="1" applyFill="1" applyBorder="1" applyAlignment="1">
      <alignment horizontal="center" vertical="center"/>
    </xf>
    <xf numFmtId="0" fontId="27" fillId="17" borderId="24" xfId="2" applyFont="1" applyFill="1" applyBorder="1" applyAlignment="1">
      <alignment horizontal="center" vertical="center"/>
    </xf>
    <xf numFmtId="4" fontId="77" fillId="17" borderId="24" xfId="2" applyNumberFormat="1" applyFont="1" applyFill="1" applyBorder="1" applyAlignment="1">
      <alignment horizontal="center" vertical="center" wrapText="1"/>
    </xf>
    <xf numFmtId="4" fontId="31" fillId="17" borderId="25" xfId="0" applyNumberFormat="1" applyFont="1" applyFill="1" applyBorder="1" applyAlignment="1">
      <alignment horizontal="center" vertical="center" wrapText="1"/>
    </xf>
    <xf numFmtId="4" fontId="81" fillId="17" borderId="0" xfId="2" applyNumberFormat="1" applyFont="1" applyFill="1"/>
    <xf numFmtId="0" fontId="81" fillId="17" borderId="0" xfId="2" applyFont="1" applyFill="1"/>
    <xf numFmtId="49" fontId="26" fillId="17" borderId="4" xfId="2" applyNumberFormat="1" applyFont="1" applyFill="1" applyBorder="1" applyAlignment="1">
      <alignment horizontal="center" vertical="center"/>
    </xf>
    <xf numFmtId="4" fontId="31" fillId="2" borderId="17" xfId="0" applyNumberFormat="1" applyFont="1" applyFill="1" applyBorder="1" applyAlignment="1">
      <alignment horizontal="center" vertical="center" wrapText="1"/>
    </xf>
    <xf numFmtId="4" fontId="27" fillId="2" borderId="19" xfId="2" applyNumberFormat="1" applyFont="1" applyFill="1" applyBorder="1" applyAlignment="1">
      <alignment horizontal="center" vertical="center"/>
    </xf>
    <xf numFmtId="4" fontId="31" fillId="2" borderId="25" xfId="0" applyNumberFormat="1" applyFont="1" applyFill="1" applyBorder="1" applyAlignment="1">
      <alignment horizontal="center" vertical="center" wrapText="1"/>
    </xf>
    <xf numFmtId="4" fontId="63" fillId="11" borderId="4" xfId="2" applyNumberFormat="1" applyFont="1" applyFill="1" applyBorder="1" applyAlignment="1">
      <alignment horizontal="center" vertical="center" wrapText="1"/>
    </xf>
    <xf numFmtId="4" fontId="31" fillId="11" borderId="17" xfId="2" applyNumberFormat="1" applyFont="1" applyFill="1" applyBorder="1" applyAlignment="1">
      <alignment horizontal="center" vertical="center"/>
    </xf>
    <xf numFmtId="4" fontId="31" fillId="11" borderId="4" xfId="2" applyNumberFormat="1" applyFont="1" applyFill="1" applyBorder="1" applyAlignment="1">
      <alignment horizontal="center" vertical="center" wrapText="1"/>
    </xf>
    <xf numFmtId="0" fontId="26" fillId="11" borderId="10" xfId="2" applyFont="1" applyFill="1" applyBorder="1" applyAlignment="1">
      <alignment horizontal="center" vertical="center"/>
    </xf>
    <xf numFmtId="4" fontId="31" fillId="11" borderId="10" xfId="2" applyNumberFormat="1" applyFont="1" applyFill="1" applyBorder="1" applyAlignment="1">
      <alignment horizontal="center" vertical="center"/>
    </xf>
    <xf numFmtId="4" fontId="31" fillId="11" borderId="10" xfId="2" applyNumberFormat="1" applyFont="1" applyFill="1" applyBorder="1" applyAlignment="1">
      <alignment horizontal="center" vertical="center" wrapText="1"/>
    </xf>
    <xf numFmtId="4" fontId="63" fillId="11" borderId="10" xfId="2" applyNumberFormat="1" applyFont="1" applyFill="1" applyBorder="1" applyAlignment="1">
      <alignment horizontal="center" vertical="center" wrapText="1"/>
    </xf>
    <xf numFmtId="4" fontId="31" fillId="11" borderId="18" xfId="2" applyNumberFormat="1" applyFont="1" applyFill="1" applyBorder="1" applyAlignment="1">
      <alignment horizontal="center" vertical="center"/>
    </xf>
    <xf numFmtId="4" fontId="31" fillId="11" borderId="30" xfId="2" applyNumberFormat="1" applyFont="1" applyFill="1" applyBorder="1" applyAlignment="1">
      <alignment horizontal="center" vertical="center"/>
    </xf>
    <xf numFmtId="4" fontId="26" fillId="11" borderId="18" xfId="2" applyNumberFormat="1" applyFont="1" applyFill="1" applyBorder="1" applyAlignment="1">
      <alignment horizontal="center" vertical="center"/>
    </xf>
    <xf numFmtId="4" fontId="31" fillId="11" borderId="8" xfId="2" applyNumberFormat="1" applyFont="1" applyFill="1" applyBorder="1" applyAlignment="1">
      <alignment horizontal="center" vertical="center"/>
    </xf>
    <xf numFmtId="4" fontId="31" fillId="11" borderId="8" xfId="0" applyNumberFormat="1" applyFont="1" applyFill="1" applyBorder="1" applyAlignment="1">
      <alignment horizontal="center" vertical="center" wrapText="1"/>
    </xf>
    <xf numFmtId="4" fontId="31" fillId="11" borderId="20" xfId="0" applyNumberFormat="1" applyFont="1" applyFill="1" applyBorder="1" applyAlignment="1">
      <alignment horizontal="center" vertical="center" wrapText="1"/>
    </xf>
    <xf numFmtId="0" fontId="26" fillId="11" borderId="8" xfId="2" applyFont="1" applyFill="1" applyBorder="1" applyAlignment="1">
      <alignment horizontal="center" vertical="center"/>
    </xf>
    <xf numFmtId="4" fontId="31" fillId="11" borderId="20" xfId="2" applyNumberFormat="1" applyFont="1" applyFill="1" applyBorder="1" applyAlignment="1">
      <alignment horizontal="center" vertical="center"/>
    </xf>
    <xf numFmtId="4" fontId="82" fillId="11" borderId="10" xfId="0" applyNumberFormat="1" applyFont="1" applyFill="1" applyBorder="1" applyAlignment="1">
      <alignment horizontal="center" vertical="center" wrapText="1"/>
    </xf>
    <xf numFmtId="4" fontId="31" fillId="11" borderId="17" xfId="0" applyNumberFormat="1" applyFont="1" applyFill="1" applyBorder="1" applyAlignment="1">
      <alignment horizontal="center" vertical="center" wrapText="1"/>
    </xf>
    <xf numFmtId="4" fontId="31" fillId="11" borderId="4" xfId="0" applyNumberFormat="1" applyFont="1" applyFill="1" applyBorder="1" applyAlignment="1">
      <alignment horizontal="center" vertical="center" wrapText="1"/>
    </xf>
    <xf numFmtId="4" fontId="31" fillId="11" borderId="30" xfId="0" applyNumberFormat="1" applyFont="1" applyFill="1" applyBorder="1" applyAlignment="1">
      <alignment horizontal="center" vertical="center" wrapText="1"/>
    </xf>
    <xf numFmtId="0" fontId="31" fillId="11" borderId="10" xfId="0" applyFont="1" applyFill="1" applyBorder="1" applyAlignment="1">
      <alignment horizontal="center" vertical="center" wrapText="1"/>
    </xf>
    <xf numFmtId="4" fontId="35" fillId="11" borderId="10" xfId="2" applyNumberFormat="1" applyFont="1" applyFill="1" applyBorder="1" applyAlignment="1">
      <alignment horizontal="center" vertical="center"/>
    </xf>
    <xf numFmtId="4" fontId="35" fillId="6" borderId="14" xfId="2" applyNumberFormat="1" applyFont="1" applyFill="1" applyBorder="1" applyAlignment="1">
      <alignment horizontal="center" vertical="center" wrapText="1"/>
    </xf>
    <xf numFmtId="4" fontId="35" fillId="7" borderId="41" xfId="2" applyNumberFormat="1" applyFont="1" applyFill="1" applyBorder="1" applyAlignment="1">
      <alignment horizontal="center" vertical="center" wrapText="1"/>
    </xf>
    <xf numFmtId="0" fontId="8" fillId="0" borderId="3" xfId="1" applyNumberFormat="1" applyFont="1" applyFill="1" applyBorder="1" applyAlignment="1" applyProtection="1">
      <alignment horizontal="center" vertical="top"/>
    </xf>
    <xf numFmtId="0" fontId="7" fillId="0" borderId="1" xfId="1" applyNumberFormat="1" applyFont="1" applyFill="1" applyBorder="1" applyAlignment="1" applyProtection="1">
      <alignment horizontal="left" vertical="top" wrapText="1"/>
    </xf>
    <xf numFmtId="0" fontId="7" fillId="0" borderId="1" xfId="1" applyNumberFormat="1" applyFont="1" applyFill="1" applyBorder="1" applyAlignment="1" applyProtection="1">
      <alignment horizontal="right" vertical="top" wrapText="1"/>
    </xf>
    <xf numFmtId="49" fontId="7" fillId="0" borderId="0" xfId="1" applyNumberFormat="1" applyFont="1" applyFill="1" applyBorder="1" applyAlignment="1" applyProtection="1">
      <alignment horizontal="left" vertical="top" wrapText="1"/>
    </xf>
    <xf numFmtId="0" fontId="10" fillId="0" borderId="5" xfId="1" applyNumberFormat="1" applyFont="1" applyFill="1" applyBorder="1" applyAlignment="1" applyProtection="1">
      <alignment horizontal="right" vertical="top" wrapText="1"/>
    </xf>
    <xf numFmtId="0" fontId="10" fillId="0" borderId="6" xfId="1" applyNumberFormat="1" applyFont="1" applyFill="1" applyBorder="1" applyAlignment="1" applyProtection="1">
      <alignment horizontal="right" vertical="top" wrapText="1"/>
    </xf>
    <xf numFmtId="0" fontId="11" fillId="0" borderId="5" xfId="1" applyNumberFormat="1" applyFont="1" applyFill="1" applyBorder="1" applyAlignment="1" applyProtection="1">
      <alignment horizontal="left" vertical="center" wrapText="1"/>
    </xf>
    <xf numFmtId="0" fontId="11" fillId="0" borderId="2" xfId="1" applyNumberFormat="1" applyFont="1" applyFill="1" applyBorder="1" applyAlignment="1" applyProtection="1">
      <alignment horizontal="left" vertical="center" wrapText="1"/>
    </xf>
    <xf numFmtId="0" fontId="11" fillId="0" borderId="6" xfId="1" applyNumberFormat="1" applyFont="1" applyFill="1" applyBorder="1" applyAlignment="1" applyProtection="1">
      <alignment horizontal="left" vertical="center" wrapText="1"/>
    </xf>
    <xf numFmtId="0" fontId="12" fillId="0" borderId="5" xfId="1" applyNumberFormat="1" applyFont="1" applyFill="1" applyBorder="1" applyAlignment="1" applyProtection="1">
      <alignment horizontal="right" vertical="top" wrapText="1"/>
    </xf>
    <xf numFmtId="0" fontId="12" fillId="0" borderId="6" xfId="1" applyNumberFormat="1" applyFont="1" applyFill="1" applyBorder="1" applyAlignment="1" applyProtection="1">
      <alignment horizontal="right" vertical="top" wrapText="1"/>
    </xf>
    <xf numFmtId="0" fontId="5" fillId="0" borderId="5" xfId="1" applyNumberFormat="1" applyFont="1" applyFill="1" applyBorder="1" applyAlignment="1" applyProtection="1">
      <alignment horizontal="right" vertical="top" wrapText="1"/>
    </xf>
    <xf numFmtId="0" fontId="5" fillId="0" borderId="6" xfId="1" applyNumberFormat="1" applyFont="1" applyFill="1" applyBorder="1" applyAlignment="1" applyProtection="1">
      <alignment horizontal="right" vertical="top" wrapText="1"/>
    </xf>
    <xf numFmtId="0" fontId="10" fillId="0" borderId="5" xfId="1" applyNumberFormat="1" applyFont="1" applyFill="1" applyBorder="1" applyAlignment="1" applyProtection="1">
      <alignment horizontal="left" vertical="top" wrapText="1"/>
    </xf>
    <xf numFmtId="0" fontId="10" fillId="0" borderId="6" xfId="1" applyNumberFormat="1" applyFont="1" applyFill="1" applyBorder="1" applyAlignment="1" applyProtection="1">
      <alignment horizontal="left" vertical="top" wrapText="1"/>
    </xf>
    <xf numFmtId="0" fontId="17" fillId="0" borderId="5" xfId="1" applyNumberFormat="1" applyFont="1" applyFill="1" applyBorder="1" applyAlignment="1" applyProtection="1">
      <alignment horizontal="left" vertical="center" wrapText="1"/>
    </xf>
    <xf numFmtId="0" fontId="18" fillId="0" borderId="5" xfId="1" applyNumberFormat="1" applyFont="1" applyFill="1" applyBorder="1" applyAlignment="1" applyProtection="1">
      <alignment horizontal="right" vertical="top" wrapText="1"/>
    </xf>
    <xf numFmtId="0" fontId="18" fillId="0" borderId="5" xfId="1" applyNumberFormat="1" applyFont="1" applyFill="1" applyBorder="1" applyAlignment="1" applyProtection="1">
      <alignment horizontal="left" vertical="center" wrapText="1"/>
    </xf>
    <xf numFmtId="0" fontId="18" fillId="0" borderId="2" xfId="1" applyNumberFormat="1" applyFont="1" applyFill="1" applyBorder="1" applyAlignment="1" applyProtection="1">
      <alignment horizontal="left" vertical="center" wrapText="1"/>
    </xf>
    <xf numFmtId="0" fontId="18" fillId="0" borderId="6" xfId="1" applyNumberFormat="1" applyFont="1" applyFill="1" applyBorder="1" applyAlignment="1" applyProtection="1">
      <alignment horizontal="left" vertical="center" wrapText="1"/>
    </xf>
    <xf numFmtId="0" fontId="15" fillId="0" borderId="5" xfId="1" applyNumberFormat="1" applyFont="1" applyFill="1" applyBorder="1" applyAlignment="1" applyProtection="1">
      <alignment horizontal="left" vertical="center" wrapText="1"/>
    </xf>
    <xf numFmtId="0" fontId="15" fillId="0" borderId="2" xfId="1" applyNumberFormat="1" applyFont="1" applyFill="1" applyBorder="1" applyAlignment="1" applyProtection="1">
      <alignment horizontal="left" vertical="center" wrapText="1"/>
    </xf>
    <xf numFmtId="0" fontId="15" fillId="0" borderId="6" xfId="1" applyNumberFormat="1" applyFont="1" applyFill="1" applyBorder="1" applyAlignment="1" applyProtection="1">
      <alignment horizontal="left" vertical="center" wrapText="1"/>
    </xf>
    <xf numFmtId="0" fontId="5" fillId="0" borderId="7" xfId="1" applyNumberFormat="1" applyFont="1" applyFill="1" applyBorder="1" applyAlignment="1" applyProtection="1">
      <alignment horizontal="center" vertical="center" wrapText="1"/>
    </xf>
    <xf numFmtId="0" fontId="5" fillId="0" borderId="9" xfId="1" applyNumberFormat="1" applyFont="1" applyFill="1" applyBorder="1" applyAlignment="1" applyProtection="1">
      <alignment horizontal="center" vertical="center" wrapText="1"/>
    </xf>
    <xf numFmtId="0" fontId="20" fillId="3" borderId="0" xfId="1" applyNumberFormat="1" applyFont="1" applyFill="1" applyBorder="1" applyAlignment="1" applyProtection="1">
      <alignment wrapText="1"/>
    </xf>
    <xf numFmtId="0" fontId="7" fillId="3" borderId="0" xfId="1" applyNumberFormat="1" applyFont="1" applyFill="1" applyBorder="1" applyAlignment="1" applyProtection="1">
      <alignment wrapText="1"/>
    </xf>
    <xf numFmtId="0" fontId="5" fillId="0" borderId="8" xfId="1" applyNumberFormat="1" applyFont="1" applyFill="1" applyBorder="1" applyAlignment="1" applyProtection="1">
      <alignment horizontal="center" vertical="center" wrapText="1"/>
    </xf>
    <xf numFmtId="0" fontId="5" fillId="0" borderId="5" xfId="1" applyNumberFormat="1" applyFont="1" applyFill="1" applyBorder="1" applyAlignment="1" applyProtection="1">
      <alignment horizontal="center" vertical="center" wrapText="1"/>
    </xf>
    <xf numFmtId="0" fontId="5" fillId="0" borderId="2" xfId="1" applyNumberFormat="1" applyFont="1" applyFill="1" applyBorder="1" applyAlignment="1" applyProtection="1">
      <alignment horizontal="center" vertical="center" wrapText="1"/>
    </xf>
    <xf numFmtId="0" fontId="5" fillId="0" borderId="6" xfId="1" applyNumberFormat="1" applyFont="1" applyFill="1" applyBorder="1" applyAlignment="1" applyProtection="1">
      <alignment horizontal="center" vertical="center" wrapText="1"/>
    </xf>
    <xf numFmtId="0" fontId="20" fillId="0" borderId="0" xfId="1" applyNumberFormat="1" applyFont="1" applyFill="1" applyBorder="1" applyAlignment="1" applyProtection="1">
      <alignment horizontal="center" wrapText="1"/>
    </xf>
    <xf numFmtId="0" fontId="7" fillId="0" borderId="0" xfId="1" applyNumberFormat="1" applyFont="1" applyFill="1" applyBorder="1" applyAlignment="1" applyProtection="1">
      <alignment horizontal="center" wrapText="1"/>
    </xf>
    <xf numFmtId="0" fontId="7" fillId="0" borderId="1" xfId="1" applyNumberFormat="1" applyFont="1" applyFill="1" applyBorder="1" applyAlignment="1" applyProtection="1">
      <alignment horizontal="left" wrapText="1"/>
    </xf>
    <xf numFmtId="0" fontId="8" fillId="0" borderId="3" xfId="1" applyNumberFormat="1" applyFont="1" applyFill="1" applyBorder="1" applyAlignment="1" applyProtection="1">
      <alignment horizontal="center"/>
    </xf>
    <xf numFmtId="0" fontId="7" fillId="0" borderId="0" xfId="1" applyNumberFormat="1" applyFont="1" applyFill="1" applyBorder="1" applyAlignment="1" applyProtection="1">
      <alignment horizontal="center"/>
    </xf>
    <xf numFmtId="0" fontId="13" fillId="0" borderId="0" xfId="1" applyNumberFormat="1" applyFont="1" applyFill="1" applyBorder="1" applyAlignment="1" applyProtection="1">
      <alignment horizontal="center"/>
    </xf>
    <xf numFmtId="0" fontId="14" fillId="0" borderId="0" xfId="1" applyNumberFormat="1" applyFont="1" applyFill="1" applyBorder="1" applyAlignment="1" applyProtection="1">
      <alignment horizontal="center"/>
    </xf>
    <xf numFmtId="49" fontId="28" fillId="15" borderId="32" xfId="2" applyNumberFormat="1" applyFont="1" applyFill="1" applyBorder="1" applyAlignment="1">
      <alignment horizontal="center" vertical="center" wrapText="1"/>
    </xf>
    <xf numFmtId="49" fontId="28" fillId="15" borderId="33" xfId="2" applyNumberFormat="1" applyFont="1" applyFill="1" applyBorder="1" applyAlignment="1">
      <alignment horizontal="center" vertical="center" wrapText="1"/>
    </xf>
    <xf numFmtId="0" fontId="26" fillId="0" borderId="0" xfId="3" applyFont="1" applyAlignment="1">
      <alignment horizontal="center" vertical="center"/>
    </xf>
    <xf numFmtId="0" fontId="27" fillId="0" borderId="13" xfId="2" applyFont="1" applyBorder="1" applyAlignment="1">
      <alignment horizontal="center" vertical="center"/>
    </xf>
    <xf numFmtId="0" fontId="27" fillId="0" borderId="16" xfId="2" applyFont="1" applyBorder="1" applyAlignment="1">
      <alignment horizontal="center" vertical="center"/>
    </xf>
    <xf numFmtId="0" fontId="27" fillId="0" borderId="14" xfId="2" applyFont="1" applyBorder="1" applyAlignment="1">
      <alignment horizontal="center" vertical="center"/>
    </xf>
    <xf numFmtId="0" fontId="27" fillId="0" borderId="4" xfId="2" applyFont="1" applyBorder="1" applyAlignment="1">
      <alignment horizontal="center" vertical="center"/>
    </xf>
    <xf numFmtId="0" fontId="27" fillId="0" borderId="14" xfId="2" applyFont="1" applyBorder="1" applyAlignment="1">
      <alignment horizontal="center" vertical="center" wrapText="1"/>
    </xf>
    <xf numFmtId="0" fontId="27" fillId="0" borderId="4" xfId="2" applyFont="1" applyBorder="1" applyAlignment="1">
      <alignment horizontal="center" vertical="center" wrapText="1"/>
    </xf>
    <xf numFmtId="49" fontId="28" fillId="15" borderId="5" xfId="2" applyNumberFormat="1" applyFont="1" applyFill="1" applyBorder="1" applyAlignment="1">
      <alignment horizontal="center" vertical="center" wrapText="1"/>
    </xf>
    <xf numFmtId="49" fontId="28" fillId="15" borderId="31" xfId="2" applyNumberFormat="1" applyFont="1" applyFill="1" applyBorder="1" applyAlignment="1">
      <alignment horizontal="center" vertical="center" wrapText="1"/>
    </xf>
    <xf numFmtId="49" fontId="73" fillId="6" borderId="35" xfId="2" applyNumberFormat="1" applyFont="1" applyFill="1" applyBorder="1" applyAlignment="1">
      <alignment horizontal="center" vertical="center" wrapText="1"/>
    </xf>
    <xf numFmtId="49" fontId="73" fillId="6" borderId="2" xfId="2" applyNumberFormat="1" applyFont="1" applyFill="1" applyBorder="1" applyAlignment="1">
      <alignment horizontal="center" vertical="center" wrapText="1"/>
    </xf>
    <xf numFmtId="49" fontId="73" fillId="6" borderId="31" xfId="2" applyNumberFormat="1" applyFont="1" applyFill="1" applyBorder="1" applyAlignment="1">
      <alignment horizontal="center" vertical="center" wrapText="1"/>
    </xf>
    <xf numFmtId="0" fontId="79" fillId="0" borderId="39" xfId="2" applyFont="1" applyBorder="1" applyAlignment="1">
      <alignment horizontal="left" vertical="center"/>
    </xf>
    <xf numFmtId="0" fontId="71" fillId="0" borderId="39" xfId="2" applyFont="1" applyBorder="1" applyAlignment="1">
      <alignment horizontal="center"/>
    </xf>
    <xf numFmtId="0" fontId="79" fillId="0" borderId="39" xfId="13" applyFont="1" applyBorder="1" applyAlignment="1">
      <alignment horizontal="left" vertical="center"/>
    </xf>
    <xf numFmtId="0" fontId="27" fillId="0" borderId="13" xfId="13" applyFont="1" applyBorder="1" applyAlignment="1">
      <alignment horizontal="center" vertical="center"/>
    </xf>
    <xf numFmtId="0" fontId="27" fillId="0" borderId="16" xfId="13" applyFont="1" applyBorder="1" applyAlignment="1">
      <alignment horizontal="center" vertical="center"/>
    </xf>
    <xf numFmtId="0" fontId="27" fillId="0" borderId="14" xfId="13" applyFont="1" applyBorder="1" applyAlignment="1">
      <alignment horizontal="center" vertical="center"/>
    </xf>
    <xf numFmtId="0" fontId="27" fillId="0" borderId="4" xfId="13" applyFont="1" applyBorder="1" applyAlignment="1">
      <alignment horizontal="center" vertical="center"/>
    </xf>
    <xf numFmtId="0" fontId="27" fillId="0" borderId="14" xfId="13" applyFont="1" applyBorder="1" applyAlignment="1">
      <alignment horizontal="center" vertical="center" wrapText="1"/>
    </xf>
    <xf numFmtId="0" fontId="27" fillId="0" borderId="4" xfId="13" applyFont="1" applyBorder="1" applyAlignment="1">
      <alignment horizontal="center" vertical="center" wrapText="1"/>
    </xf>
    <xf numFmtId="49" fontId="28" fillId="15" borderId="5" xfId="13" applyNumberFormat="1" applyFont="1" applyFill="1" applyBorder="1" applyAlignment="1">
      <alignment horizontal="center" vertical="center" wrapText="1"/>
    </xf>
    <xf numFmtId="49" fontId="28" fillId="15" borderId="31" xfId="13" applyNumberFormat="1" applyFont="1" applyFill="1" applyBorder="1" applyAlignment="1">
      <alignment horizontal="center" vertical="center" wrapText="1"/>
    </xf>
    <xf numFmtId="0" fontId="71" fillId="0" borderId="39" xfId="13" applyFont="1" applyBorder="1" applyAlignment="1">
      <alignment horizontal="center"/>
    </xf>
    <xf numFmtId="49" fontId="28" fillId="15" borderId="32" xfId="13" applyNumberFormat="1" applyFont="1" applyFill="1" applyBorder="1" applyAlignment="1">
      <alignment horizontal="center" vertical="center" wrapText="1"/>
    </xf>
    <xf numFmtId="49" fontId="28" fillId="15" borderId="33" xfId="13" applyNumberFormat="1" applyFont="1" applyFill="1" applyBorder="1" applyAlignment="1">
      <alignment horizontal="center" vertical="center" wrapText="1"/>
    </xf>
    <xf numFmtId="3" fontId="31" fillId="0" borderId="4" xfId="0" applyNumberFormat="1" applyFont="1" applyBorder="1" applyAlignment="1">
      <alignment horizontal="left" vertical="center" wrapText="1"/>
    </xf>
    <xf numFmtId="0" fontId="50" fillId="0" borderId="4" xfId="0" applyFont="1" applyBorder="1" applyAlignment="1">
      <alignment horizontal="left" vertical="center" wrapText="1"/>
    </xf>
    <xf numFmtId="0" fontId="27" fillId="0" borderId="4" xfId="7" applyFont="1" applyBorder="1" applyAlignment="1">
      <alignment horizontal="center" vertical="center"/>
    </xf>
    <xf numFmtId="0" fontId="27" fillId="0" borderId="4" xfId="7" applyFont="1" applyBorder="1" applyAlignment="1">
      <alignment horizontal="center" vertical="center" wrapText="1"/>
    </xf>
  </cellXfs>
  <cellStyles count="1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2 4" xfId="12" xr:uid="{19C24B2D-59BF-4634-8568-B24D8B524F33}"/>
    <cellStyle name="Обычный 3" xfId="2" xr:uid="{00000000-0005-0000-0000-000003000000}"/>
    <cellStyle name="Обычный 3 2" xfId="4" xr:uid="{00000000-0005-0000-0000-000004000000}"/>
    <cellStyle name="Обычный 3 3" xfId="7" xr:uid="{3EEE6BD4-C8E5-4DBB-BF9B-6BDDEFA088F0}"/>
    <cellStyle name="Обычный 3 3 2" xfId="9" xr:uid="{C01CF720-E3A7-4E4B-A54E-30B07A92F7EF}"/>
    <cellStyle name="Обычный 3 4" xfId="13" xr:uid="{5391EFC2-A3A3-4BAB-9895-B67127B29AF8}"/>
    <cellStyle name="Обычный 6" xfId="6" xr:uid="{00000000-0005-0000-0000-000005000000}"/>
    <cellStyle name="Финансовый 2" xfId="5" xr:uid="{00000000-0005-0000-0000-000006000000}"/>
    <cellStyle name="Финансовый 2 2" xfId="8" xr:uid="{22B2EA2B-6B6F-43A9-B306-381841053108}"/>
    <cellStyle name="Финансовый 2 2 2" xfId="11" xr:uid="{38DA2262-30B6-41DC-9FA0-6D98F2DF79EF}"/>
    <cellStyle name="Финансовый 3" xfId="10" xr:uid="{5A752C9C-13B3-46E1-9255-2A33E79C20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29" Type="http://schemas.openxmlformats.org/officeDocument/2006/relationships/externalLink" Target="externalLinks/externalLink1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39</xdr:row>
      <xdr:rowOff>359834</xdr:rowOff>
    </xdr:from>
    <xdr:to>
      <xdr:col>33</xdr:col>
      <xdr:colOff>264584</xdr:colOff>
      <xdr:row>48</xdr:row>
      <xdr:rowOff>391583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32CDABA-2EB8-4905-86F2-74718BFB2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73600" y="17381009"/>
          <a:ext cx="6265334" cy="43084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37</xdr:row>
      <xdr:rowOff>0</xdr:rowOff>
    </xdr:from>
    <xdr:to>
      <xdr:col>32</xdr:col>
      <xdr:colOff>201084</xdr:colOff>
      <xdr:row>46</xdr:row>
      <xdr:rowOff>35050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742E13D-CB2A-45D1-A3C9-4D452FB3B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73600" y="17381009"/>
          <a:ext cx="6265334" cy="43084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39</xdr:row>
      <xdr:rowOff>359834</xdr:rowOff>
    </xdr:from>
    <xdr:to>
      <xdr:col>33</xdr:col>
      <xdr:colOff>264584</xdr:colOff>
      <xdr:row>48</xdr:row>
      <xdr:rowOff>391583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069328C-53CC-45B9-8F6E-3254B7149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68750" y="16764001"/>
          <a:ext cx="6297084" cy="42862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89;&#1086;&#1075;&#1083;&#1072;&#1089;&#1086;&#1074;&#1072;&#1085;&#1086;_417(121)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3_&#1076;&#1077;&#1082;&#1072;&#1073;&#1088;&#1100;-2_23&#1075;/12.23(2)_&#1082;&#1089;-3,2_01-01-03,&#1053;&#1042;&#1050;5(&#1082;&#1086;&#1088;&#1088;),&#1040;&#1057;2,&#1043;&#1055;2,&#1055;&#1046;_29.12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89;&#1086;&#1075;&#1083;&#1072;&#1089;&#1086;&#1074;&#1072;&#1085;&#1086;_417(121)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4_&#1103;&#1085;&#1074;&#1072;&#1088;&#1100;%2024&#1075;/01.24_&#1082;&#1089;-3,2_&#1040;&#1057;3_28.0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89;&#1086;&#1075;&#1083;&#1072;&#1089;&#1086;&#1074;&#1072;&#1085;&#1086;_417(121)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5_&#1084;&#1072;&#1088;&#1090;%2024&#1075;/02(03).24_&#1082;&#1089;-3,2_&#1053;&#1042;&#1050;1,&#1053;&#1042;&#1050;4,&#1043;&#1055;2&#1082;&#1086;&#1088;&#1088;,&#1058;&#1057;1&#1082;&#1086;&#1088;&#1088;,%20+&#1040;&#1057;4&#1082;&#1086;&#1088;&#1088;.__20.03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89;&#1086;&#1075;&#1083;&#1072;&#1089;&#1086;&#1074;&#1072;&#1085;&#1086;_417(121)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8;&#1077;&#1077;&#1089;&#1090;&#1088;-&#1085;&#1072;&#1082;&#1086;&#1087;&#1080;&#1090;%20&#1082;&#1089;-2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76;&#1077;&#1082;&#1072;&#1073;&#1088;&#1100;%2023&#1075;/12.23_&#1082;&#1089;-3,2_&#1055;&#1046;,&#1043;&#1055;1,&#1044;&#1077;&#1084;&#1086;&#1085;&#1090;.%20&#1074;&#1077;&#1089;,&#1040;&#1057;1_13.12_&#1080;&#1089;&#1082;&#1083;.&#1072;&#1089;&#1092;&#1072;&#1083;&#1100;&#1090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417(121)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76;&#1077;&#1082;&#1072;&#1073;&#1088;&#1100;_23&#1075;/12.23_&#1082;&#1089;-3,2_&#1055;&#1046;,&#1043;&#1055;1,&#1044;&#1077;&#1084;&#1086;&#1085;&#1090;.%20&#1074;&#1077;&#1089;,&#1040;&#1057;1_13.12_&#1080;&#1089;&#1082;&#1083;.&#1072;&#1089;&#1092;&#1072;&#1083;&#1100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реестр"/>
      <sheetName val="01-01-03 "/>
      <sheetName val="02-03-02 АС2"/>
      <sheetName val="06-02-02  НВК5 корр "/>
      <sheetName val="07-01-02 ГП2"/>
      <sheetName val="02-01-01 ПЖ 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реестр"/>
      <sheetName val="02-02-01 АС3"/>
    </sheetNames>
    <sheetDataSet>
      <sheetData sheetId="0"/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реестр"/>
      <sheetName val="06-02-03 НВК1"/>
      <sheetName val="06-02-01 НВК4"/>
      <sheetName val="07-01-02 ГП2 корр"/>
      <sheetName val="06-03-01 ТС1 "/>
      <sheetName val="06-03-02 АС4 корр"/>
      <sheetName val="первич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СР"/>
      <sheetName val="реестр (2)"/>
      <sheetName val="реестр"/>
      <sheetName val="реестр корр "/>
      <sheetName val="01-01-01"/>
      <sheetName val="01-01-02 "/>
      <sheetName val="01-01-03"/>
      <sheetName val="02-01-01"/>
      <sheetName val="02-02-01"/>
      <sheetName val="02-03-01"/>
      <sheetName val="02-03-02"/>
      <sheetName val="04-01-01"/>
      <sheetName val="04-01-02"/>
      <sheetName val="06-01-01"/>
      <sheetName val="06-01-02"/>
      <sheetName val="06-02-01"/>
      <sheetName val="06-02-02 "/>
      <sheetName val="06-02-03 "/>
      <sheetName val="06-03-01"/>
      <sheetName val="06-03-02"/>
      <sheetName val="06-03-03 "/>
      <sheetName val="06-03-04"/>
      <sheetName val="06-04-01"/>
      <sheetName val="07-01-01"/>
      <sheetName val="07-01-02"/>
    </sheetNames>
    <sheetDataSet>
      <sheetData sheetId="0">
        <row r="24">
          <cell r="C24" t="str">
            <v>Выполнение работ по ликвидации объектов по трассе ж.д. путей, подготовке трассы ж.д. путей.</v>
          </cell>
        </row>
        <row r="25">
          <cell r="C25" t="str">
            <v>Выполнение работ по ликвидации объекта капитального строительства</v>
          </cell>
        </row>
        <row r="26">
          <cell r="C26" t="str">
            <v>Демонтаж сетей и систем  инженерного обоспечения.</v>
          </cell>
        </row>
        <row r="29">
          <cell r="C29" t="str">
            <v>Верхнее строение пути</v>
          </cell>
        </row>
        <row r="30">
          <cell r="C30" t="str">
            <v>Восстановительные работы цеха №121/18. АС 3.</v>
          </cell>
        </row>
        <row r="31">
          <cell r="C31" t="str">
            <v>Архитектурно-строительные решения. Часть 1.АС1</v>
          </cell>
        </row>
        <row r="32">
          <cell r="C32" t="str">
            <v>Трансбордер. Архитектурно-строительные решения. Часть 2. АС2 .</v>
          </cell>
        </row>
        <row r="35">
          <cell r="C35" t="str">
            <v>Электроснабжение. ЭС 1.</v>
          </cell>
        </row>
        <row r="36">
          <cell r="C36" t="str">
            <v>Переустройство кабельных линий.ЭС2</v>
          </cell>
        </row>
        <row r="40">
          <cell r="C40" t="str">
            <v>Переустройство хозпитьевого водопровода.НВК2</v>
          </cell>
        </row>
        <row r="41">
          <cell r="C41" t="str">
            <v>Переустройство хозпитьевого водопровода.НВК3</v>
          </cell>
        </row>
        <row r="43">
          <cell r="C43" t="str">
            <v>Переустройство хозяйственно-бытовой канализации.НВК4</v>
          </cell>
        </row>
        <row r="44">
          <cell r="C44" t="str">
            <v>Переустройство ливневой канализации.НВК5.</v>
          </cell>
        </row>
        <row r="45">
          <cell r="C45" t="str">
            <v>Трубопровод ливневых сточных вод от трансбордера. НВК1</v>
          </cell>
        </row>
        <row r="47">
          <cell r="C47" t="str">
            <v>Теплоснабжение. Переустройство трубопровода.ТС1</v>
          </cell>
        </row>
        <row r="48">
          <cell r="C48" t="str">
            <v>Архитектурно-строительные решения. Эстакада для ТС1. АС 4</v>
          </cell>
        </row>
        <row r="49">
          <cell r="C49" t="str">
            <v>Теплоснабжение. Переустройство трубопровода.ТС2</v>
          </cell>
        </row>
        <row r="50">
          <cell r="C50" t="str">
            <v>Теплоснабжение. Переустройство трубопровода.ТС3</v>
          </cell>
        </row>
        <row r="52">
          <cell r="C52" t="str">
            <v>Наружные газопроводы. Вынос газопровода среднего давления.</v>
          </cell>
        </row>
        <row r="55">
          <cell r="C55" t="str">
            <v>Генеральный план. Трансбордер. ГП1</v>
          </cell>
        </row>
        <row r="56">
          <cell r="C56" t="str">
            <v>Генеральный план. ГП2</v>
          </cell>
        </row>
        <row r="58">
          <cell r="H58">
            <v>392033.92</v>
          </cell>
        </row>
        <row r="76">
          <cell r="H76">
            <v>434361.04</v>
          </cell>
        </row>
        <row r="78">
          <cell r="H78">
            <v>456670</v>
          </cell>
        </row>
        <row r="82">
          <cell r="H82">
            <v>548004</v>
          </cell>
        </row>
      </sheetData>
      <sheetData sheetId="1"/>
      <sheetData sheetId="2" refreshError="1"/>
      <sheetData sheetId="3">
        <row r="26">
          <cell r="P26">
            <v>363125762.23000002</v>
          </cell>
        </row>
      </sheetData>
      <sheetData sheetId="4">
        <row r="448">
          <cell r="N448">
            <v>48841208.740000002</v>
          </cell>
        </row>
        <row r="449">
          <cell r="N449">
            <v>4004979.12</v>
          </cell>
        </row>
        <row r="451">
          <cell r="N451">
            <v>1268308.51</v>
          </cell>
        </row>
        <row r="453">
          <cell r="N453">
            <v>56893839.630000003</v>
          </cell>
        </row>
      </sheetData>
      <sheetData sheetId="5">
        <row r="722">
          <cell r="N722">
            <v>40054718.460000001</v>
          </cell>
        </row>
        <row r="723">
          <cell r="N723">
            <v>3284486.91</v>
          </cell>
        </row>
        <row r="725">
          <cell r="N725">
            <v>1040140.93</v>
          </cell>
        </row>
        <row r="727">
          <cell r="N727">
            <v>46658688.170000002</v>
          </cell>
        </row>
      </sheetData>
      <sheetData sheetId="6">
        <row r="266">
          <cell r="N266">
            <v>1177977.71</v>
          </cell>
        </row>
        <row r="267">
          <cell r="N267">
            <v>96594.17</v>
          </cell>
        </row>
        <row r="269">
          <cell r="N269">
            <v>30589.73</v>
          </cell>
        </row>
        <row r="271">
          <cell r="N271">
            <v>1372195.26</v>
          </cell>
        </row>
      </sheetData>
      <sheetData sheetId="7">
        <row r="1115">
          <cell r="N1115">
            <v>161452921.99000001</v>
          </cell>
        </row>
        <row r="1116">
          <cell r="N1116">
            <v>13239139.6</v>
          </cell>
        </row>
        <row r="1118">
          <cell r="N1118">
            <v>4192609.48</v>
          </cell>
        </row>
        <row r="1120">
          <cell r="N1120">
            <v>188072263.84999999</v>
          </cell>
        </row>
      </sheetData>
      <sheetData sheetId="8">
        <row r="1999">
          <cell r="N1999">
            <v>4505948.67</v>
          </cell>
        </row>
        <row r="2000">
          <cell r="N2000">
            <v>369487.79</v>
          </cell>
        </row>
        <row r="2002">
          <cell r="N2002">
            <v>117010.48</v>
          </cell>
        </row>
        <row r="2004">
          <cell r="N2004">
            <v>5248861.1100000003</v>
          </cell>
        </row>
      </sheetData>
      <sheetData sheetId="9">
        <row r="1237">
          <cell r="N1237">
            <v>10526911.91</v>
          </cell>
        </row>
        <row r="1238">
          <cell r="N1238">
            <v>863206.78</v>
          </cell>
        </row>
        <row r="1240">
          <cell r="N1240">
            <v>273362.84999999998</v>
          </cell>
        </row>
        <row r="1243">
          <cell r="N1243">
            <v>12262522.85</v>
          </cell>
        </row>
      </sheetData>
      <sheetData sheetId="10">
        <row r="392">
          <cell r="N392">
            <v>1615223.87</v>
          </cell>
        </row>
        <row r="393">
          <cell r="N393">
            <v>132448.35999999999</v>
          </cell>
        </row>
        <row r="395">
          <cell r="N395">
            <v>41944.13</v>
          </cell>
        </row>
        <row r="398">
          <cell r="N398">
            <v>1881531.81</v>
          </cell>
        </row>
      </sheetData>
      <sheetData sheetId="11">
        <row r="165">
          <cell r="N165">
            <v>475031.03999999998</v>
          </cell>
        </row>
        <row r="166">
          <cell r="N166">
            <v>38952.550000000003</v>
          </cell>
        </row>
        <row r="168">
          <cell r="N168">
            <v>12335.61</v>
          </cell>
        </row>
        <row r="171">
          <cell r="N171">
            <v>553351.18000000005</v>
          </cell>
        </row>
      </sheetData>
      <sheetData sheetId="12">
        <row r="840">
          <cell r="N840">
            <v>2276671.21</v>
          </cell>
        </row>
        <row r="841">
          <cell r="N841">
            <v>186687.04</v>
          </cell>
        </row>
        <row r="843">
          <cell r="N843">
            <v>59120.6</v>
          </cell>
        </row>
        <row r="846">
          <cell r="N846">
            <v>2652034.42</v>
          </cell>
        </row>
      </sheetData>
      <sheetData sheetId="13">
        <row r="702">
          <cell r="N702">
            <v>760016.55</v>
          </cell>
        </row>
        <row r="703">
          <cell r="N703">
            <v>62321.36</v>
          </cell>
        </row>
        <row r="705">
          <cell r="N705">
            <v>19736.11</v>
          </cell>
        </row>
        <row r="708">
          <cell r="N708">
            <v>885323.3</v>
          </cell>
        </row>
      </sheetData>
      <sheetData sheetId="14">
        <row r="1348">
          <cell r="N1348">
            <v>10454161.890000001</v>
          </cell>
        </row>
        <row r="1349">
          <cell r="N1349">
            <v>857241.27</v>
          </cell>
        </row>
        <row r="1351">
          <cell r="N1351">
            <v>271473.68</v>
          </cell>
        </row>
        <row r="1354">
          <cell r="N1354">
            <v>12177778.26</v>
          </cell>
        </row>
      </sheetData>
      <sheetData sheetId="15">
        <row r="1692">
          <cell r="N1692">
            <v>9143309.8300000001</v>
          </cell>
        </row>
        <row r="1693">
          <cell r="N1693">
            <v>749751.41</v>
          </cell>
        </row>
        <row r="1695">
          <cell r="N1695">
            <v>237433.47</v>
          </cell>
        </row>
        <row r="1698">
          <cell r="N1698">
            <v>10650801.17</v>
          </cell>
        </row>
      </sheetData>
      <sheetData sheetId="16">
        <row r="1847">
          <cell r="N1847">
            <v>21996729.18</v>
          </cell>
        </row>
        <row r="1848">
          <cell r="N1848">
            <v>1803731.79</v>
          </cell>
        </row>
        <row r="1850">
          <cell r="N1850">
            <v>571211.06000000006</v>
          </cell>
        </row>
        <row r="1853">
          <cell r="N1853">
            <v>25623411.34</v>
          </cell>
        </row>
      </sheetData>
      <sheetData sheetId="17">
        <row r="573">
          <cell r="N573">
            <v>1758763.66</v>
          </cell>
        </row>
        <row r="574">
          <cell r="N574">
            <v>144218.62</v>
          </cell>
        </row>
        <row r="576">
          <cell r="N576">
            <v>45671.57</v>
          </cell>
        </row>
        <row r="579">
          <cell r="N579">
            <v>2048737.53</v>
          </cell>
        </row>
      </sheetData>
      <sheetData sheetId="18">
        <row r="1753">
          <cell r="N1753">
            <v>4044845.15</v>
          </cell>
        </row>
        <row r="1754">
          <cell r="N1754">
            <v>331677.3</v>
          </cell>
        </row>
        <row r="1756">
          <cell r="N1756">
            <v>105036.54</v>
          </cell>
        </row>
        <row r="1759">
          <cell r="N1759">
            <v>4711733.74</v>
          </cell>
        </row>
      </sheetData>
      <sheetData sheetId="19">
        <row r="897">
          <cell r="N897">
            <v>4859580.66</v>
          </cell>
        </row>
        <row r="898">
          <cell r="N898">
            <v>398485.61</v>
          </cell>
        </row>
        <row r="900">
          <cell r="N900">
            <v>126193.59</v>
          </cell>
        </row>
        <row r="903">
          <cell r="N903">
            <v>5660797.71</v>
          </cell>
        </row>
      </sheetData>
      <sheetData sheetId="20">
        <row r="1536">
          <cell r="N1536">
            <v>1890203.39</v>
          </cell>
        </row>
        <row r="1537">
          <cell r="N1537">
            <v>154996.68</v>
          </cell>
        </row>
        <row r="1539">
          <cell r="N1539">
            <v>49084.800000000003</v>
          </cell>
        </row>
        <row r="1542">
          <cell r="N1542">
            <v>2201848.2200000002</v>
          </cell>
        </row>
      </sheetData>
      <sheetData sheetId="21">
        <row r="955">
          <cell r="N955">
            <v>4003449.34</v>
          </cell>
        </row>
        <row r="956">
          <cell r="N956">
            <v>328282.84999999998</v>
          </cell>
        </row>
        <row r="958">
          <cell r="N958">
            <v>103961.57</v>
          </cell>
        </row>
        <row r="961">
          <cell r="N961">
            <v>4663512.8499999996</v>
          </cell>
        </row>
      </sheetData>
      <sheetData sheetId="22">
        <row r="736">
          <cell r="N736">
            <v>8291915.46</v>
          </cell>
        </row>
        <row r="737">
          <cell r="N737">
            <v>679937.07</v>
          </cell>
        </row>
        <row r="739">
          <cell r="N739">
            <v>215324.46</v>
          </cell>
        </row>
        <row r="742">
          <cell r="N742">
            <v>9659034.2599999998</v>
          </cell>
        </row>
      </sheetData>
      <sheetData sheetId="23">
        <row r="413">
          <cell r="N413">
            <v>5005903.75</v>
          </cell>
        </row>
        <row r="414">
          <cell r="N414">
            <v>410484.11</v>
          </cell>
        </row>
        <row r="416">
          <cell r="N416">
            <v>129993.31</v>
          </cell>
        </row>
        <row r="419">
          <cell r="N419">
            <v>5831245.6399999997</v>
          </cell>
        </row>
      </sheetData>
      <sheetData sheetId="24">
        <row r="961">
          <cell r="N961">
            <v>48898423.600000001</v>
          </cell>
        </row>
        <row r="962">
          <cell r="N962">
            <v>4009670.74</v>
          </cell>
        </row>
        <row r="964">
          <cell r="N964">
            <v>1269794.26</v>
          </cell>
        </row>
        <row r="967">
          <cell r="N967">
            <v>56960487.710000001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  <row r="11">
          <cell r="J11">
            <v>65507253.219999999</v>
          </cell>
        </row>
        <row r="12">
          <cell r="J12">
            <v>54911594.170000002</v>
          </cell>
        </row>
        <row r="13">
          <cell r="J13">
            <v>89998722.969999999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реестр"/>
      <sheetName val="ПЖ"/>
      <sheetName val="ГП1"/>
      <sheetName val="01-01-01"/>
      <sheetName val="АС1 корр"/>
    </sheetNames>
    <sheetDataSet>
      <sheetData sheetId="0" refreshError="1"/>
      <sheetData sheetId="1" refreshError="1">
        <row r="11">
          <cell r="J11">
            <v>66544414.909999996</v>
          </cell>
        </row>
        <row r="13">
          <cell r="J13">
            <v>360012.73</v>
          </cell>
        </row>
        <row r="14">
          <cell r="J14">
            <v>10775049.08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реестр"/>
      <sheetName val="ПЖ"/>
      <sheetName val="ГП1"/>
      <sheetName val="01-01-01"/>
      <sheetName val="АС1 корр"/>
    </sheetNames>
    <sheetDataSet>
      <sheetData sheetId="0" refreshError="1"/>
      <sheetData sheetId="1" refreshError="1">
        <row r="12">
          <cell r="J12">
            <v>2298854.48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8">
    <tabColor rgb="FFFF0000"/>
    <pageSetUpPr fitToPage="1"/>
  </sheetPr>
  <dimension ref="A1:K92"/>
  <sheetViews>
    <sheetView view="pageBreakPreview" topLeftCell="A30" zoomScaleNormal="110" zoomScaleSheetLayoutView="100" workbookViewId="0">
      <selection activeCell="H44" sqref="H44"/>
    </sheetView>
  </sheetViews>
  <sheetFormatPr defaultColWidth="9.140625" defaultRowHeight="11.25" customHeight="1" x14ac:dyDescent="0.2"/>
  <cols>
    <col min="1" max="1" width="6.7109375" style="20" customWidth="1"/>
    <col min="2" max="2" width="20.140625" style="20" customWidth="1"/>
    <col min="3" max="3" width="32.7109375" style="20" customWidth="1"/>
    <col min="4" max="4" width="16" style="20" customWidth="1"/>
    <col min="5" max="5" width="13.42578125" style="20" customWidth="1"/>
    <col min="6" max="6" width="14.7109375" style="20" customWidth="1"/>
    <col min="7" max="8" width="13.42578125" style="20" customWidth="1"/>
    <col min="9" max="9" width="12.5703125" style="20" customWidth="1"/>
    <col min="10" max="10" width="14.5703125" style="30" customWidth="1"/>
    <col min="11" max="11" width="10.85546875" style="32" customWidth="1"/>
    <col min="12" max="16384" width="9.140625" style="20"/>
  </cols>
  <sheetData>
    <row r="1" spans="1:11" s="1" customFormat="1" ht="15" x14ac:dyDescent="0.25">
      <c r="H1" s="2" t="s">
        <v>13</v>
      </c>
      <c r="J1" s="26"/>
      <c r="K1" s="27"/>
    </row>
    <row r="2" spans="1:11" s="1" customFormat="1" ht="15" x14ac:dyDescent="0.25">
      <c r="A2" s="3"/>
      <c r="B2" s="3"/>
      <c r="C2" s="3"/>
      <c r="D2" s="3"/>
      <c r="E2" s="3"/>
      <c r="F2" s="3"/>
      <c r="G2" s="3"/>
      <c r="H2" s="2" t="s">
        <v>14</v>
      </c>
      <c r="J2" s="26"/>
      <c r="K2" s="27"/>
    </row>
    <row r="3" spans="1:11" s="1" customFormat="1" ht="15" x14ac:dyDescent="0.25">
      <c r="A3" s="3"/>
      <c r="B3" s="3"/>
      <c r="C3" s="3"/>
      <c r="D3" s="3"/>
      <c r="E3" s="3"/>
      <c r="F3" s="3"/>
      <c r="G3" s="3"/>
      <c r="H3" s="2"/>
      <c r="J3" s="26"/>
      <c r="K3" s="27"/>
    </row>
    <row r="4" spans="1:11" s="1" customFormat="1" ht="15" x14ac:dyDescent="0.25">
      <c r="A4" s="3"/>
      <c r="B4" s="3" t="s">
        <v>15</v>
      </c>
      <c r="C4" s="1118" t="s">
        <v>110</v>
      </c>
      <c r="D4" s="1118"/>
      <c r="E4" s="1118"/>
      <c r="F4" s="1118"/>
      <c r="G4" s="1118"/>
      <c r="H4" s="3"/>
      <c r="J4" s="26"/>
      <c r="K4" s="27"/>
    </row>
    <row r="5" spans="1:11" s="1" customFormat="1" ht="10.5" customHeight="1" x14ac:dyDescent="0.25">
      <c r="A5" s="3"/>
      <c r="B5" s="3"/>
      <c r="C5" s="1119" t="s">
        <v>16</v>
      </c>
      <c r="D5" s="1119"/>
      <c r="E5" s="1119"/>
      <c r="F5" s="1119"/>
      <c r="G5" s="1119"/>
      <c r="H5" s="3"/>
      <c r="J5" s="26"/>
      <c r="K5" s="27"/>
    </row>
    <row r="6" spans="1:11" s="1" customFormat="1" ht="21" customHeight="1" x14ac:dyDescent="0.25">
      <c r="A6" s="3"/>
      <c r="B6" s="3" t="s">
        <v>17</v>
      </c>
      <c r="C6" s="5"/>
      <c r="D6" s="5"/>
      <c r="E6" s="5"/>
      <c r="F6" s="5"/>
      <c r="G6" s="5"/>
      <c r="H6" s="3"/>
      <c r="J6" s="26"/>
      <c r="K6" s="27"/>
    </row>
    <row r="7" spans="1:11" s="1" customFormat="1" ht="17.25" customHeight="1" x14ac:dyDescent="0.25">
      <c r="A7" s="3"/>
      <c r="B7" s="3"/>
      <c r="C7" s="5"/>
      <c r="D7" s="5"/>
      <c r="E7" s="5"/>
      <c r="F7" s="5"/>
      <c r="G7" s="5"/>
      <c r="H7" s="3"/>
      <c r="J7" s="26"/>
      <c r="K7" s="27"/>
    </row>
    <row r="8" spans="1:11" s="1" customFormat="1" ht="17.25" customHeight="1" x14ac:dyDescent="0.25">
      <c r="A8" s="3"/>
      <c r="B8" s="25" t="s">
        <v>107</v>
      </c>
      <c r="C8" s="34"/>
      <c r="D8" s="5"/>
      <c r="E8" s="5"/>
      <c r="F8" s="5"/>
      <c r="G8" s="5"/>
      <c r="H8" s="3"/>
      <c r="J8" s="26"/>
      <c r="K8" s="27"/>
    </row>
    <row r="9" spans="1:11" s="1" customFormat="1" ht="17.25" hidden="1" customHeight="1" x14ac:dyDescent="0.25">
      <c r="A9" s="3"/>
      <c r="B9" s="3"/>
      <c r="C9" s="1120"/>
      <c r="D9" s="1120"/>
      <c r="E9" s="1120"/>
      <c r="F9" s="1120"/>
      <c r="G9" s="1120"/>
      <c r="H9" s="3"/>
      <c r="J9" s="26"/>
      <c r="K9" s="27"/>
    </row>
    <row r="10" spans="1:11" s="1" customFormat="1" ht="11.25" hidden="1" customHeight="1" x14ac:dyDescent="0.25">
      <c r="A10" s="6"/>
      <c r="B10" s="6"/>
      <c r="C10" s="1119" t="s">
        <v>18</v>
      </c>
      <c r="D10" s="1119"/>
      <c r="E10" s="1119"/>
      <c r="F10" s="1119"/>
      <c r="G10" s="1119"/>
      <c r="H10" s="6"/>
      <c r="J10" s="26"/>
      <c r="K10" s="27"/>
    </row>
    <row r="11" spans="1:11" s="1" customFormat="1" ht="11.25" customHeight="1" x14ac:dyDescent="0.25">
      <c r="A11" s="6"/>
      <c r="B11" s="6"/>
      <c r="C11" s="5"/>
      <c r="D11" s="5"/>
      <c r="E11" s="5"/>
      <c r="F11" s="5"/>
      <c r="G11" s="5"/>
      <c r="H11" s="6"/>
      <c r="J11" s="26"/>
      <c r="K11" s="27"/>
    </row>
    <row r="12" spans="1:11" s="1" customFormat="1" ht="18" x14ac:dyDescent="0.25">
      <c r="A12" s="6"/>
      <c r="B12" s="1121" t="s">
        <v>19</v>
      </c>
      <c r="C12" s="1122"/>
      <c r="D12" s="1122"/>
      <c r="E12" s="1122"/>
      <c r="F12" s="1122"/>
      <c r="G12" s="1122"/>
      <c r="H12" s="6"/>
      <c r="J12" s="26"/>
      <c r="K12" s="27"/>
    </row>
    <row r="13" spans="1:11" s="1" customFormat="1" ht="11.25" customHeight="1" x14ac:dyDescent="0.25">
      <c r="A13" s="6"/>
      <c r="B13" s="6"/>
      <c r="C13" s="5"/>
      <c r="D13" s="5"/>
      <c r="E13" s="5"/>
      <c r="F13" s="5"/>
      <c r="G13" s="5"/>
      <c r="H13" s="6"/>
      <c r="J13" s="26"/>
      <c r="K13" s="27"/>
    </row>
    <row r="14" spans="1:11" s="1" customFormat="1" ht="23.25" customHeight="1" x14ac:dyDescent="0.25">
      <c r="A14" s="4"/>
      <c r="B14" s="1116" t="s">
        <v>20</v>
      </c>
      <c r="C14" s="1117"/>
      <c r="D14" s="1117"/>
      <c r="E14" s="1117"/>
      <c r="F14" s="1117"/>
      <c r="G14" s="1117"/>
      <c r="H14" s="4"/>
      <c r="J14" s="26"/>
      <c r="K14" s="27"/>
    </row>
    <row r="15" spans="1:11" s="1" customFormat="1" ht="13.5" customHeight="1" x14ac:dyDescent="0.25">
      <c r="A15" s="7"/>
      <c r="B15" s="1085" t="s">
        <v>0</v>
      </c>
      <c r="C15" s="1085"/>
      <c r="D15" s="1085"/>
      <c r="E15" s="1085"/>
      <c r="F15" s="1085"/>
      <c r="G15" s="1085"/>
      <c r="H15" s="7"/>
      <c r="J15" s="26"/>
      <c r="K15" s="27"/>
    </row>
    <row r="16" spans="1:11" s="1" customFormat="1" ht="9.75" customHeight="1" x14ac:dyDescent="0.25">
      <c r="A16" s="3"/>
      <c r="B16" s="3"/>
      <c r="C16" s="3"/>
      <c r="D16" s="8"/>
      <c r="E16" s="8"/>
      <c r="F16" s="8"/>
      <c r="G16" s="9"/>
      <c r="H16" s="9"/>
      <c r="J16" s="26"/>
      <c r="K16" s="27"/>
    </row>
    <row r="17" spans="1:11" s="1" customFormat="1" ht="15" x14ac:dyDescent="0.25">
      <c r="A17" s="10"/>
      <c r="B17" s="1110" t="s">
        <v>106</v>
      </c>
      <c r="C17" s="1111"/>
      <c r="D17" s="1111"/>
      <c r="E17" s="1111"/>
      <c r="F17" s="1111"/>
      <c r="G17" s="1111"/>
      <c r="H17" s="1111"/>
      <c r="J17" s="26"/>
      <c r="K17" s="27"/>
    </row>
    <row r="18" spans="1:11" s="1" customFormat="1" ht="9.75" customHeight="1" x14ac:dyDescent="0.25">
      <c r="A18" s="3"/>
      <c r="B18" s="3"/>
      <c r="C18" s="3"/>
      <c r="D18" s="5"/>
      <c r="E18" s="5"/>
      <c r="F18" s="5"/>
      <c r="G18" s="5"/>
      <c r="H18" s="5"/>
      <c r="J18" s="26"/>
      <c r="K18" s="27"/>
    </row>
    <row r="19" spans="1:11" s="1" customFormat="1" ht="16.5" customHeight="1" x14ac:dyDescent="0.25">
      <c r="A19" s="1108" t="s">
        <v>4</v>
      </c>
      <c r="B19" s="1108" t="s">
        <v>5</v>
      </c>
      <c r="C19" s="1108" t="s">
        <v>21</v>
      </c>
      <c r="D19" s="1113" t="s">
        <v>22</v>
      </c>
      <c r="E19" s="1114"/>
      <c r="F19" s="1114"/>
      <c r="G19" s="1114"/>
      <c r="H19" s="1115"/>
      <c r="J19" s="26"/>
      <c r="K19" s="27"/>
    </row>
    <row r="20" spans="1:11" s="1" customFormat="1" ht="45.75" customHeight="1" x14ac:dyDescent="0.25">
      <c r="A20" s="1112"/>
      <c r="B20" s="1112"/>
      <c r="C20" s="1112"/>
      <c r="D20" s="1108" t="s">
        <v>23</v>
      </c>
      <c r="E20" s="1108" t="s">
        <v>1</v>
      </c>
      <c r="F20" s="1108" t="s">
        <v>2</v>
      </c>
      <c r="G20" s="1108" t="s">
        <v>3</v>
      </c>
      <c r="H20" s="1108" t="s">
        <v>6</v>
      </c>
      <c r="J20" s="26"/>
      <c r="K20" s="27"/>
    </row>
    <row r="21" spans="1:11" s="1" customFormat="1" ht="24.75" customHeight="1" x14ac:dyDescent="0.25">
      <c r="A21" s="1109"/>
      <c r="B21" s="1109"/>
      <c r="C21" s="1109"/>
      <c r="D21" s="1109"/>
      <c r="E21" s="1109"/>
      <c r="F21" s="1109"/>
      <c r="G21" s="1109"/>
      <c r="H21" s="1109"/>
      <c r="J21" s="26"/>
      <c r="K21" s="27"/>
    </row>
    <row r="22" spans="1:11" s="1" customFormat="1" ht="15" x14ac:dyDescent="0.25">
      <c r="A22" s="11">
        <v>1</v>
      </c>
      <c r="B22" s="11">
        <v>2</v>
      </c>
      <c r="C22" s="11">
        <v>3</v>
      </c>
      <c r="D22" s="11">
        <v>4</v>
      </c>
      <c r="E22" s="11">
        <v>5</v>
      </c>
      <c r="F22" s="11">
        <v>6</v>
      </c>
      <c r="G22" s="11">
        <v>7</v>
      </c>
      <c r="H22" s="11">
        <v>8</v>
      </c>
      <c r="J22" s="26"/>
      <c r="K22" s="27"/>
    </row>
    <row r="23" spans="1:11" s="1" customFormat="1" ht="15" x14ac:dyDescent="0.25">
      <c r="A23" s="1091" t="s">
        <v>24</v>
      </c>
      <c r="B23" s="1092"/>
      <c r="C23" s="1092"/>
      <c r="D23" s="1092"/>
      <c r="E23" s="1092"/>
      <c r="F23" s="1092"/>
      <c r="G23" s="1092"/>
      <c r="H23" s="1093"/>
      <c r="J23" s="26"/>
      <c r="K23" s="27"/>
    </row>
    <row r="24" spans="1:11" s="1" customFormat="1" ht="33.75" x14ac:dyDescent="0.25">
      <c r="A24" s="12">
        <v>1</v>
      </c>
      <c r="B24" s="13" t="s">
        <v>25</v>
      </c>
      <c r="C24" s="13" t="s">
        <v>26</v>
      </c>
      <c r="D24" s="14">
        <v>48841.21</v>
      </c>
      <c r="E24" s="14"/>
      <c r="F24" s="14"/>
      <c r="G24" s="14"/>
      <c r="H24" s="14">
        <v>48841.21</v>
      </c>
      <c r="J24" s="28" t="e">
        <f>#REF!/1000</f>
        <v>#REF!</v>
      </c>
      <c r="K24" s="29" t="e">
        <f t="shared" ref="K24:K55" si="0">H24-J24</f>
        <v>#REF!</v>
      </c>
    </row>
    <row r="25" spans="1:11" s="1" customFormat="1" ht="22.5" x14ac:dyDescent="0.25">
      <c r="A25" s="12">
        <v>2</v>
      </c>
      <c r="B25" s="13" t="s">
        <v>27</v>
      </c>
      <c r="C25" s="24" t="s">
        <v>9</v>
      </c>
      <c r="D25" s="14">
        <v>40054.720000000001</v>
      </c>
      <c r="E25" s="14"/>
      <c r="F25" s="14"/>
      <c r="G25" s="14"/>
      <c r="H25" s="14">
        <v>40054.720000000001</v>
      </c>
      <c r="J25" s="28" t="e">
        <f>#REF!/1000</f>
        <v>#REF!</v>
      </c>
      <c r="K25" s="29" t="e">
        <f t="shared" si="0"/>
        <v>#REF!</v>
      </c>
    </row>
    <row r="26" spans="1:11" s="1" customFormat="1" ht="22.5" x14ac:dyDescent="0.25">
      <c r="A26" s="12">
        <v>3</v>
      </c>
      <c r="B26" s="13" t="s">
        <v>28</v>
      </c>
      <c r="C26" s="24" t="s">
        <v>10</v>
      </c>
      <c r="D26" s="14">
        <v>1173.58</v>
      </c>
      <c r="E26" s="14">
        <v>4.3899999999999997</v>
      </c>
      <c r="F26" s="14"/>
      <c r="G26" s="14"/>
      <c r="H26" s="14">
        <v>1177.97</v>
      </c>
      <c r="J26" s="28" t="e">
        <f>#REF!/1000</f>
        <v>#REF!</v>
      </c>
      <c r="K26" s="29" t="e">
        <f t="shared" si="0"/>
        <v>#REF!</v>
      </c>
    </row>
    <row r="27" spans="1:11" s="1" customFormat="1" ht="15" x14ac:dyDescent="0.25">
      <c r="A27" s="15"/>
      <c r="B27" s="1094" t="s">
        <v>29</v>
      </c>
      <c r="C27" s="1095"/>
      <c r="D27" s="16">
        <v>90069.51</v>
      </c>
      <c r="E27" s="16">
        <v>4.3899999999999997</v>
      </c>
      <c r="F27" s="17"/>
      <c r="G27" s="17"/>
      <c r="H27" s="17">
        <v>90073.9</v>
      </c>
      <c r="J27" s="28" t="e">
        <f>SUM(J24:J26)</f>
        <v>#REF!</v>
      </c>
      <c r="K27" s="29" t="e">
        <f t="shared" si="0"/>
        <v>#REF!</v>
      </c>
    </row>
    <row r="28" spans="1:11" s="1" customFormat="1" ht="15" x14ac:dyDescent="0.25">
      <c r="A28" s="1091" t="s">
        <v>30</v>
      </c>
      <c r="B28" s="1092"/>
      <c r="C28" s="1092"/>
      <c r="D28" s="1092"/>
      <c r="E28" s="1092"/>
      <c r="F28" s="1092"/>
      <c r="G28" s="1092"/>
      <c r="H28" s="1093"/>
      <c r="J28" s="28"/>
      <c r="K28" s="29">
        <f t="shared" si="0"/>
        <v>0</v>
      </c>
    </row>
    <row r="29" spans="1:11" s="1" customFormat="1" ht="15" x14ac:dyDescent="0.25">
      <c r="A29" s="12">
        <v>4</v>
      </c>
      <c r="B29" s="13" t="s">
        <v>31</v>
      </c>
      <c r="C29" s="24" t="s">
        <v>11</v>
      </c>
      <c r="D29" s="14">
        <v>161452.93</v>
      </c>
      <c r="E29" s="14"/>
      <c r="F29" s="14"/>
      <c r="G29" s="14"/>
      <c r="H29" s="14">
        <v>161452.93</v>
      </c>
      <c r="J29" s="28" t="e">
        <f>#REF!/1000</f>
        <v>#REF!</v>
      </c>
      <c r="K29" s="29" t="e">
        <f t="shared" si="0"/>
        <v>#REF!</v>
      </c>
    </row>
    <row r="30" spans="1:11" s="1" customFormat="1" ht="22.5" x14ac:dyDescent="0.25">
      <c r="A30" s="12">
        <v>5</v>
      </c>
      <c r="B30" s="13" t="s">
        <v>32</v>
      </c>
      <c r="C30" s="24" t="s">
        <v>12</v>
      </c>
      <c r="D30" s="14">
        <v>4505.95</v>
      </c>
      <c r="E30" s="14"/>
      <c r="F30" s="14"/>
      <c r="G30" s="14"/>
      <c r="H30" s="14">
        <v>4505.95</v>
      </c>
      <c r="J30" s="28" t="e">
        <f>#REF!/1000</f>
        <v>#REF!</v>
      </c>
      <c r="K30" s="29" t="e">
        <f t="shared" si="0"/>
        <v>#REF!</v>
      </c>
    </row>
    <row r="31" spans="1:11" s="1" customFormat="1" ht="22.5" x14ac:dyDescent="0.25">
      <c r="A31" s="12">
        <v>6</v>
      </c>
      <c r="B31" s="13" t="s">
        <v>33</v>
      </c>
      <c r="C31" s="13" t="s">
        <v>34</v>
      </c>
      <c r="D31" s="14">
        <v>10526.92</v>
      </c>
      <c r="E31" s="14"/>
      <c r="F31" s="14"/>
      <c r="G31" s="14"/>
      <c r="H31" s="14">
        <v>10526.92</v>
      </c>
      <c r="J31" s="28" t="e">
        <f>#REF!/1000</f>
        <v>#REF!</v>
      </c>
      <c r="K31" s="29" t="e">
        <f t="shared" si="0"/>
        <v>#REF!</v>
      </c>
    </row>
    <row r="32" spans="1:11" s="1" customFormat="1" ht="22.5" x14ac:dyDescent="0.25">
      <c r="A32" s="12">
        <v>7</v>
      </c>
      <c r="B32" s="13" t="s">
        <v>35</v>
      </c>
      <c r="C32" s="13" t="s">
        <v>36</v>
      </c>
      <c r="D32" s="14">
        <v>1615.22</v>
      </c>
      <c r="E32" s="14"/>
      <c r="F32" s="14"/>
      <c r="G32" s="14"/>
      <c r="H32" s="14">
        <v>1615.22</v>
      </c>
      <c r="J32" s="28" t="e">
        <f>#REF!/1000</f>
        <v>#REF!</v>
      </c>
      <c r="K32" s="29" t="e">
        <f t="shared" si="0"/>
        <v>#REF!</v>
      </c>
    </row>
    <row r="33" spans="1:11" s="1" customFormat="1" ht="15" x14ac:dyDescent="0.25">
      <c r="A33" s="15"/>
      <c r="B33" s="1094" t="s">
        <v>37</v>
      </c>
      <c r="C33" s="1095"/>
      <c r="D33" s="16">
        <v>178101.02</v>
      </c>
      <c r="E33" s="16"/>
      <c r="F33" s="17"/>
      <c r="G33" s="17"/>
      <c r="H33" s="17">
        <v>178101.02</v>
      </c>
      <c r="J33" s="28" t="e">
        <f>SUM(J29:J32)</f>
        <v>#REF!</v>
      </c>
      <c r="K33" s="29" t="e">
        <f t="shared" si="0"/>
        <v>#REF!</v>
      </c>
    </row>
    <row r="34" spans="1:11" s="1" customFormat="1" ht="15" x14ac:dyDescent="0.25">
      <c r="A34" s="1091" t="s">
        <v>38</v>
      </c>
      <c r="B34" s="1092"/>
      <c r="C34" s="1092"/>
      <c r="D34" s="1092"/>
      <c r="E34" s="1092"/>
      <c r="F34" s="1092"/>
      <c r="G34" s="1092"/>
      <c r="H34" s="1093"/>
      <c r="J34" s="28"/>
      <c r="K34" s="29">
        <f t="shared" si="0"/>
        <v>0</v>
      </c>
    </row>
    <row r="35" spans="1:11" s="1" customFormat="1" ht="15" x14ac:dyDescent="0.25">
      <c r="A35" s="12">
        <v>8</v>
      </c>
      <c r="B35" s="13" t="s">
        <v>39</v>
      </c>
      <c r="C35" s="13" t="s">
        <v>40</v>
      </c>
      <c r="D35" s="14">
        <v>0.46</v>
      </c>
      <c r="E35" s="14">
        <v>474.57</v>
      </c>
      <c r="F35" s="14"/>
      <c r="G35" s="14"/>
      <c r="H35" s="14">
        <v>475.03</v>
      </c>
      <c r="J35" s="28" t="e">
        <f>#REF!/1000</f>
        <v>#REF!</v>
      </c>
      <c r="K35" s="29" t="e">
        <f t="shared" si="0"/>
        <v>#REF!</v>
      </c>
    </row>
    <row r="36" spans="1:11" s="1" customFormat="1" ht="15" x14ac:dyDescent="0.25">
      <c r="A36" s="12">
        <v>9</v>
      </c>
      <c r="B36" s="13" t="s">
        <v>41</v>
      </c>
      <c r="C36" s="13" t="s">
        <v>42</v>
      </c>
      <c r="D36" s="14">
        <v>595.21</v>
      </c>
      <c r="E36" s="14">
        <v>1681.46</v>
      </c>
      <c r="F36" s="14"/>
      <c r="G36" s="14"/>
      <c r="H36" s="14">
        <v>2276.67</v>
      </c>
      <c r="J36" s="28" t="e">
        <f>#REF!/1000</f>
        <v>#REF!</v>
      </c>
      <c r="K36" s="29" t="e">
        <f t="shared" si="0"/>
        <v>#REF!</v>
      </c>
    </row>
    <row r="37" spans="1:11" s="1" customFormat="1" ht="15" x14ac:dyDescent="0.25">
      <c r="A37" s="15"/>
      <c r="B37" s="1094" t="s">
        <v>43</v>
      </c>
      <c r="C37" s="1095"/>
      <c r="D37" s="16">
        <v>595.66999999999996</v>
      </c>
      <c r="E37" s="16">
        <v>2156.0300000000002</v>
      </c>
      <c r="F37" s="17"/>
      <c r="G37" s="17"/>
      <c r="H37" s="17">
        <v>2751.7</v>
      </c>
      <c r="J37" s="28" t="e">
        <f>SUM(J35:J36)</f>
        <v>#REF!</v>
      </c>
      <c r="K37" s="29" t="e">
        <f t="shared" si="0"/>
        <v>#REF!</v>
      </c>
    </row>
    <row r="38" spans="1:11" s="1" customFormat="1" ht="15" x14ac:dyDescent="0.25">
      <c r="A38" s="1091" t="s">
        <v>44</v>
      </c>
      <c r="B38" s="1092"/>
      <c r="C38" s="1092"/>
      <c r="D38" s="1092"/>
      <c r="E38" s="1092"/>
      <c r="F38" s="1092"/>
      <c r="G38" s="1092"/>
      <c r="H38" s="1093"/>
      <c r="J38" s="28"/>
      <c r="K38" s="29">
        <f t="shared" si="0"/>
        <v>0</v>
      </c>
    </row>
    <row r="39" spans="1:11" s="1" customFormat="1" ht="15" x14ac:dyDescent="0.25">
      <c r="A39" s="1105" t="s">
        <v>45</v>
      </c>
      <c r="B39" s="1106"/>
      <c r="C39" s="1106"/>
      <c r="D39" s="1106"/>
      <c r="E39" s="1106"/>
      <c r="F39" s="1106"/>
      <c r="G39" s="1106"/>
      <c r="H39" s="1107"/>
      <c r="J39" s="28"/>
      <c r="K39" s="29">
        <f t="shared" si="0"/>
        <v>0</v>
      </c>
    </row>
    <row r="40" spans="1:11" s="1" customFormat="1" ht="22.5" x14ac:dyDescent="0.25">
      <c r="A40" s="12">
        <v>10</v>
      </c>
      <c r="B40" s="13" t="s">
        <v>46</v>
      </c>
      <c r="C40" s="13" t="s">
        <v>47</v>
      </c>
      <c r="D40" s="14">
        <v>760.02</v>
      </c>
      <c r="E40" s="14"/>
      <c r="F40" s="14"/>
      <c r="G40" s="14"/>
      <c r="H40" s="14">
        <v>760.02</v>
      </c>
      <c r="J40" s="28" t="e">
        <f>#REF!/1000</f>
        <v>#REF!</v>
      </c>
      <c r="K40" s="29" t="e">
        <f t="shared" si="0"/>
        <v>#REF!</v>
      </c>
    </row>
    <row r="41" spans="1:11" s="1" customFormat="1" ht="22.5" x14ac:dyDescent="0.25">
      <c r="A41" s="12">
        <v>11</v>
      </c>
      <c r="B41" s="13" t="s">
        <v>48</v>
      </c>
      <c r="C41" s="24" t="s">
        <v>49</v>
      </c>
      <c r="D41" s="14">
        <v>10454.17</v>
      </c>
      <c r="E41" s="14"/>
      <c r="F41" s="14"/>
      <c r="G41" s="14"/>
      <c r="H41" s="14">
        <v>10454.17</v>
      </c>
      <c r="J41" s="28" t="e">
        <f>#REF!/1000</f>
        <v>#REF!</v>
      </c>
      <c r="K41" s="29" t="e">
        <f t="shared" si="0"/>
        <v>#REF!</v>
      </c>
    </row>
    <row r="42" spans="1:11" s="1" customFormat="1" ht="15" x14ac:dyDescent="0.25">
      <c r="A42" s="1105" t="s">
        <v>50</v>
      </c>
      <c r="B42" s="1106"/>
      <c r="C42" s="1106"/>
      <c r="D42" s="1106"/>
      <c r="E42" s="1106"/>
      <c r="F42" s="1106"/>
      <c r="G42" s="1106"/>
      <c r="H42" s="1107"/>
      <c r="J42" s="28"/>
      <c r="K42" s="29">
        <f t="shared" si="0"/>
        <v>0</v>
      </c>
    </row>
    <row r="43" spans="1:11" s="1" customFormat="1" ht="22.5" x14ac:dyDescent="0.25">
      <c r="A43" s="12">
        <v>12</v>
      </c>
      <c r="B43" s="13" t="s">
        <v>51</v>
      </c>
      <c r="C43" s="13" t="s">
        <v>52</v>
      </c>
      <c r="D43" s="14">
        <v>9143.31</v>
      </c>
      <c r="E43" s="14"/>
      <c r="F43" s="14"/>
      <c r="G43" s="14"/>
      <c r="H43" s="14">
        <v>9143.31</v>
      </c>
      <c r="J43" s="28" t="e">
        <f>#REF!/1000</f>
        <v>#REF!</v>
      </c>
      <c r="K43" s="29" t="e">
        <f t="shared" si="0"/>
        <v>#REF!</v>
      </c>
    </row>
    <row r="44" spans="1:11" s="1" customFormat="1" ht="22.5" x14ac:dyDescent="0.25">
      <c r="A44" s="12">
        <v>13</v>
      </c>
      <c r="B44" s="13" t="s">
        <v>53</v>
      </c>
      <c r="C44" s="13" t="s">
        <v>54</v>
      </c>
      <c r="D44" s="14">
        <v>21996.73</v>
      </c>
      <c r="E44" s="14"/>
      <c r="F44" s="14"/>
      <c r="G44" s="14"/>
      <c r="H44" s="14">
        <v>21996.73</v>
      </c>
      <c r="J44" s="28" t="e">
        <f>#REF!/1000</f>
        <v>#REF!</v>
      </c>
      <c r="K44" s="29" t="e">
        <f t="shared" si="0"/>
        <v>#REF!</v>
      </c>
    </row>
    <row r="45" spans="1:11" s="1" customFormat="1" ht="22.5" x14ac:dyDescent="0.25">
      <c r="A45" s="12">
        <v>14</v>
      </c>
      <c r="B45" s="13" t="s">
        <v>55</v>
      </c>
      <c r="C45" s="13" t="s">
        <v>56</v>
      </c>
      <c r="D45" s="14">
        <v>1758.76</v>
      </c>
      <c r="E45" s="14"/>
      <c r="F45" s="14"/>
      <c r="G45" s="14"/>
      <c r="H45" s="14">
        <v>1758.76</v>
      </c>
      <c r="J45" s="28" t="e">
        <f>#REF!/1000</f>
        <v>#REF!</v>
      </c>
      <c r="K45" s="29" t="e">
        <f t="shared" si="0"/>
        <v>#REF!</v>
      </c>
    </row>
    <row r="46" spans="1:11" s="1" customFormat="1" ht="15" x14ac:dyDescent="0.25">
      <c r="A46" s="1105" t="s">
        <v>57</v>
      </c>
      <c r="B46" s="1106"/>
      <c r="C46" s="1106"/>
      <c r="D46" s="1106"/>
      <c r="E46" s="1106"/>
      <c r="F46" s="1106"/>
      <c r="G46" s="1106"/>
      <c r="H46" s="1107"/>
      <c r="J46" s="28"/>
      <c r="K46" s="29">
        <f t="shared" si="0"/>
        <v>0</v>
      </c>
    </row>
    <row r="47" spans="1:11" s="1" customFormat="1" ht="22.5" x14ac:dyDescent="0.25">
      <c r="A47" s="12">
        <v>15</v>
      </c>
      <c r="B47" s="13" t="s">
        <v>58</v>
      </c>
      <c r="C47" s="24" t="s">
        <v>108</v>
      </c>
      <c r="D47" s="14">
        <v>4038.24</v>
      </c>
      <c r="E47" s="14">
        <v>6.6</v>
      </c>
      <c r="F47" s="14"/>
      <c r="G47" s="14"/>
      <c r="H47" s="14">
        <v>4044.84</v>
      </c>
      <c r="J47" s="28" t="e">
        <f>#REF!/1000</f>
        <v>#REF!</v>
      </c>
      <c r="K47" s="29" t="e">
        <f t="shared" si="0"/>
        <v>#REF!</v>
      </c>
    </row>
    <row r="48" spans="1:11" s="1" customFormat="1" ht="22.5" x14ac:dyDescent="0.25">
      <c r="A48" s="12">
        <v>16</v>
      </c>
      <c r="B48" s="13" t="s">
        <v>59</v>
      </c>
      <c r="C48" s="13" t="s">
        <v>60</v>
      </c>
      <c r="D48" s="14">
        <v>4800.6099999999997</v>
      </c>
      <c r="E48" s="14">
        <v>58.97</v>
      </c>
      <c r="F48" s="14"/>
      <c r="G48" s="14"/>
      <c r="H48" s="14">
        <v>4859.58</v>
      </c>
      <c r="J48" s="28" t="e">
        <f>#REF!/1000</f>
        <v>#REF!</v>
      </c>
      <c r="K48" s="29" t="e">
        <f t="shared" si="0"/>
        <v>#REF!</v>
      </c>
    </row>
    <row r="49" spans="1:11" s="1" customFormat="1" ht="22.5" x14ac:dyDescent="0.25">
      <c r="A49" s="12">
        <v>17</v>
      </c>
      <c r="B49" s="13" t="s">
        <v>61</v>
      </c>
      <c r="C49" s="13" t="s">
        <v>62</v>
      </c>
      <c r="D49" s="14">
        <v>1804.17</v>
      </c>
      <c r="E49" s="14">
        <v>86.03</v>
      </c>
      <c r="F49" s="14"/>
      <c r="G49" s="14"/>
      <c r="H49" s="14">
        <v>1890.2</v>
      </c>
      <c r="J49" s="28" t="e">
        <f>#REF!/1000</f>
        <v>#REF!</v>
      </c>
      <c r="K49" s="29" t="e">
        <f t="shared" si="0"/>
        <v>#REF!</v>
      </c>
    </row>
    <row r="50" spans="1:11" s="1" customFormat="1" ht="22.5" x14ac:dyDescent="0.25">
      <c r="A50" s="12">
        <v>18</v>
      </c>
      <c r="B50" s="13" t="s">
        <v>63</v>
      </c>
      <c r="C50" s="13" t="s">
        <v>64</v>
      </c>
      <c r="D50" s="14">
        <v>3937.99</v>
      </c>
      <c r="E50" s="14">
        <v>65.459999999999994</v>
      </c>
      <c r="F50" s="14"/>
      <c r="G50" s="14"/>
      <c r="H50" s="14">
        <v>4003.45</v>
      </c>
      <c r="J50" s="28" t="e">
        <f>#REF!/1000</f>
        <v>#REF!</v>
      </c>
      <c r="K50" s="29" t="e">
        <f t="shared" si="0"/>
        <v>#REF!</v>
      </c>
    </row>
    <row r="51" spans="1:11" s="1" customFormat="1" ht="15" x14ac:dyDescent="0.25">
      <c r="A51" s="1105" t="s">
        <v>65</v>
      </c>
      <c r="B51" s="1106"/>
      <c r="C51" s="1106"/>
      <c r="D51" s="1106"/>
      <c r="E51" s="1106"/>
      <c r="F51" s="1106"/>
      <c r="G51" s="1106"/>
      <c r="H51" s="1107"/>
      <c r="J51" s="28"/>
      <c r="K51" s="29">
        <f t="shared" si="0"/>
        <v>0</v>
      </c>
    </row>
    <row r="52" spans="1:11" s="1" customFormat="1" ht="22.5" x14ac:dyDescent="0.25">
      <c r="A52" s="12">
        <v>19</v>
      </c>
      <c r="B52" s="13" t="s">
        <v>66</v>
      </c>
      <c r="C52" s="13" t="s">
        <v>67</v>
      </c>
      <c r="D52" s="14">
        <v>8264.99</v>
      </c>
      <c r="E52" s="14">
        <v>26.93</v>
      </c>
      <c r="F52" s="14"/>
      <c r="G52" s="14"/>
      <c r="H52" s="14">
        <v>8291.92</v>
      </c>
      <c r="J52" s="28" t="e">
        <f>#REF!/1000</f>
        <v>#REF!</v>
      </c>
      <c r="K52" s="29" t="e">
        <f t="shared" si="0"/>
        <v>#REF!</v>
      </c>
    </row>
    <row r="53" spans="1:11" s="1" customFormat="1" ht="15" x14ac:dyDescent="0.25">
      <c r="A53" s="15"/>
      <c r="B53" s="1094" t="s">
        <v>68</v>
      </c>
      <c r="C53" s="1095"/>
      <c r="D53" s="16">
        <v>66958.990000000005</v>
      </c>
      <c r="E53" s="16">
        <v>243.99</v>
      </c>
      <c r="F53" s="17"/>
      <c r="G53" s="17"/>
      <c r="H53" s="17">
        <v>67202.98</v>
      </c>
      <c r="J53" s="28" t="e">
        <f>SUM(J40:J52)</f>
        <v>#REF!</v>
      </c>
      <c r="K53" s="29" t="e">
        <f t="shared" si="0"/>
        <v>#REF!</v>
      </c>
    </row>
    <row r="54" spans="1:11" s="1" customFormat="1" ht="15" x14ac:dyDescent="0.25">
      <c r="A54" s="1091" t="s">
        <v>69</v>
      </c>
      <c r="B54" s="1092"/>
      <c r="C54" s="1092"/>
      <c r="D54" s="1092"/>
      <c r="E54" s="1092"/>
      <c r="F54" s="1092"/>
      <c r="G54" s="1092"/>
      <c r="H54" s="1093"/>
      <c r="J54" s="28"/>
      <c r="K54" s="29">
        <f t="shared" si="0"/>
        <v>0</v>
      </c>
    </row>
    <row r="55" spans="1:11" s="1" customFormat="1" ht="15" x14ac:dyDescent="0.25">
      <c r="A55" s="12">
        <v>20</v>
      </c>
      <c r="B55" s="13" t="s">
        <v>70</v>
      </c>
      <c r="C55" s="13" t="s">
        <v>8</v>
      </c>
      <c r="D55" s="14">
        <v>5005.8999999999996</v>
      </c>
      <c r="E55" s="14"/>
      <c r="F55" s="14"/>
      <c r="G55" s="14"/>
      <c r="H55" s="14">
        <v>5005.8999999999996</v>
      </c>
      <c r="J55" s="28" t="e">
        <f>#REF!/1000</f>
        <v>#REF!</v>
      </c>
      <c r="K55" s="29" t="e">
        <f t="shared" si="0"/>
        <v>#REF!</v>
      </c>
    </row>
    <row r="56" spans="1:11" s="1" customFormat="1" ht="15" x14ac:dyDescent="0.25">
      <c r="A56" s="12">
        <v>21</v>
      </c>
      <c r="B56" s="13" t="s">
        <v>71</v>
      </c>
      <c r="C56" s="24" t="s">
        <v>109</v>
      </c>
      <c r="D56" s="14">
        <v>48898.42</v>
      </c>
      <c r="E56" s="14"/>
      <c r="F56" s="14"/>
      <c r="G56" s="14"/>
      <c r="H56" s="14">
        <v>48898.42</v>
      </c>
      <c r="J56" s="28" t="e">
        <f>#REF!/1000</f>
        <v>#REF!</v>
      </c>
      <c r="K56" s="29" t="e">
        <f t="shared" ref="K56:K78" si="1">H56-J56</f>
        <v>#REF!</v>
      </c>
    </row>
    <row r="57" spans="1:11" s="1" customFormat="1" ht="15" x14ac:dyDescent="0.25">
      <c r="A57" s="15"/>
      <c r="B57" s="1094" t="s">
        <v>72</v>
      </c>
      <c r="C57" s="1095"/>
      <c r="D57" s="16">
        <v>53904.32</v>
      </c>
      <c r="E57" s="16"/>
      <c r="F57" s="17"/>
      <c r="G57" s="17"/>
      <c r="H57" s="17">
        <v>53904.32</v>
      </c>
      <c r="J57" s="28" t="e">
        <f>SUM(J55:J56)</f>
        <v>#REF!</v>
      </c>
      <c r="K57" s="29" t="e">
        <f t="shared" si="1"/>
        <v>#REF!</v>
      </c>
    </row>
    <row r="58" spans="1:11" s="1" customFormat="1" ht="15" x14ac:dyDescent="0.25">
      <c r="A58" s="15"/>
      <c r="B58" s="1089" t="s">
        <v>73</v>
      </c>
      <c r="C58" s="1090"/>
      <c r="D58" s="16">
        <v>389629.51</v>
      </c>
      <c r="E58" s="16">
        <v>2404.41</v>
      </c>
      <c r="F58" s="17"/>
      <c r="G58" s="17"/>
      <c r="H58" s="17">
        <v>392033.92</v>
      </c>
      <c r="J58" s="28"/>
      <c r="K58" s="29">
        <f t="shared" si="1"/>
        <v>392033.92</v>
      </c>
    </row>
    <row r="59" spans="1:11" s="1" customFormat="1" ht="15" x14ac:dyDescent="0.25">
      <c r="A59" s="1091" t="s">
        <v>74</v>
      </c>
      <c r="B59" s="1092"/>
      <c r="C59" s="1092"/>
      <c r="D59" s="1092"/>
      <c r="E59" s="1092"/>
      <c r="F59" s="1092"/>
      <c r="G59" s="1092"/>
      <c r="H59" s="1093"/>
      <c r="J59" s="28"/>
      <c r="K59" s="29">
        <f t="shared" si="1"/>
        <v>0</v>
      </c>
    </row>
    <row r="60" spans="1:11" s="1" customFormat="1" ht="33.75" x14ac:dyDescent="0.25">
      <c r="A60" s="12">
        <v>22</v>
      </c>
      <c r="B60" s="13" t="s">
        <v>75</v>
      </c>
      <c r="C60" s="13" t="s">
        <v>76</v>
      </c>
      <c r="D60" s="14">
        <v>31949.62</v>
      </c>
      <c r="E60" s="14">
        <v>197.16</v>
      </c>
      <c r="F60" s="14"/>
      <c r="G60" s="14"/>
      <c r="H60" s="14">
        <v>32146.78</v>
      </c>
      <c r="J60" s="28"/>
      <c r="K60" s="29">
        <f t="shared" si="1"/>
        <v>32146.78</v>
      </c>
    </row>
    <row r="61" spans="1:11" s="1" customFormat="1" ht="15" x14ac:dyDescent="0.25">
      <c r="A61" s="15"/>
      <c r="B61" s="1094" t="s">
        <v>77</v>
      </c>
      <c r="C61" s="1095"/>
      <c r="D61" s="16">
        <v>31949.62</v>
      </c>
      <c r="E61" s="16">
        <v>197.16</v>
      </c>
      <c r="F61" s="17"/>
      <c r="G61" s="17"/>
      <c r="H61" s="17">
        <v>32146.78</v>
      </c>
      <c r="J61" s="28"/>
      <c r="K61" s="29">
        <f t="shared" si="1"/>
        <v>32146.78</v>
      </c>
    </row>
    <row r="62" spans="1:11" s="1" customFormat="1" ht="15" x14ac:dyDescent="0.25">
      <c r="A62" s="15"/>
      <c r="B62" s="1089" t="s">
        <v>78</v>
      </c>
      <c r="C62" s="1090"/>
      <c r="D62" s="16">
        <v>421579.13</v>
      </c>
      <c r="E62" s="16">
        <v>2601.5700000000002</v>
      </c>
      <c r="F62" s="17"/>
      <c r="G62" s="17"/>
      <c r="H62" s="17">
        <v>424180.7</v>
      </c>
      <c r="J62" s="28"/>
      <c r="K62" s="29">
        <f t="shared" si="1"/>
        <v>424180.7</v>
      </c>
    </row>
    <row r="63" spans="1:11" s="1" customFormat="1" ht="15" x14ac:dyDescent="0.25">
      <c r="A63" s="1091" t="s">
        <v>79</v>
      </c>
      <c r="B63" s="1092"/>
      <c r="C63" s="1092"/>
      <c r="D63" s="1092"/>
      <c r="E63" s="1092"/>
      <c r="F63" s="1092"/>
      <c r="G63" s="1092"/>
      <c r="H63" s="1093"/>
      <c r="J63" s="28"/>
      <c r="K63" s="29">
        <f t="shared" si="1"/>
        <v>0</v>
      </c>
    </row>
    <row r="64" spans="1:11" s="1" customFormat="1" ht="22.5" x14ac:dyDescent="0.25">
      <c r="A64" s="12">
        <v>23</v>
      </c>
      <c r="B64" s="13" t="s">
        <v>80</v>
      </c>
      <c r="C64" s="13" t="s">
        <v>81</v>
      </c>
      <c r="D64" s="14">
        <v>10117.9</v>
      </c>
      <c r="E64" s="14">
        <v>62.44</v>
      </c>
      <c r="F64" s="14"/>
      <c r="G64" s="14"/>
      <c r="H64" s="14">
        <v>10180.34</v>
      </c>
      <c r="J64" s="28"/>
      <c r="K64" s="29">
        <f t="shared" si="1"/>
        <v>10180.34</v>
      </c>
    </row>
    <row r="65" spans="1:11" s="1" customFormat="1" ht="15" x14ac:dyDescent="0.25">
      <c r="A65" s="15"/>
      <c r="B65" s="1094" t="s">
        <v>82</v>
      </c>
      <c r="C65" s="1095"/>
      <c r="D65" s="16">
        <v>10117.9</v>
      </c>
      <c r="E65" s="16">
        <v>62.44</v>
      </c>
      <c r="F65" s="17"/>
      <c r="G65" s="17"/>
      <c r="H65" s="17">
        <v>10180.34</v>
      </c>
      <c r="J65" s="28"/>
      <c r="K65" s="29">
        <f t="shared" si="1"/>
        <v>10180.34</v>
      </c>
    </row>
    <row r="66" spans="1:11" s="1" customFormat="1" ht="15" x14ac:dyDescent="0.25">
      <c r="A66" s="15"/>
      <c r="B66" s="1089" t="s">
        <v>83</v>
      </c>
      <c r="C66" s="1090"/>
      <c r="D66" s="16">
        <v>431697.03</v>
      </c>
      <c r="E66" s="16">
        <v>2664.01</v>
      </c>
      <c r="F66" s="17"/>
      <c r="G66" s="17"/>
      <c r="H66" s="17">
        <v>434361.04</v>
      </c>
      <c r="J66" s="28"/>
      <c r="K66" s="29">
        <f t="shared" si="1"/>
        <v>434361.04</v>
      </c>
    </row>
    <row r="67" spans="1:11" s="1" customFormat="1" ht="48.75" customHeight="1" x14ac:dyDescent="0.25">
      <c r="A67" s="1102" t="s">
        <v>84</v>
      </c>
      <c r="B67" s="1103"/>
      <c r="C67" s="1103"/>
      <c r="D67" s="1103"/>
      <c r="E67" s="1103"/>
      <c r="F67" s="1103"/>
      <c r="G67" s="1103"/>
      <c r="H67" s="1104"/>
      <c r="J67" s="28"/>
      <c r="K67" s="29">
        <f t="shared" si="1"/>
        <v>0</v>
      </c>
    </row>
    <row r="68" spans="1:11" s="1" customFormat="1" ht="15" x14ac:dyDescent="0.25">
      <c r="A68" s="15"/>
      <c r="B68" s="1089" t="s">
        <v>85</v>
      </c>
      <c r="C68" s="1090"/>
      <c r="D68" s="16">
        <v>431697.03</v>
      </c>
      <c r="E68" s="16">
        <v>2664.01</v>
      </c>
      <c r="F68" s="17"/>
      <c r="G68" s="17"/>
      <c r="H68" s="17">
        <v>434361.04</v>
      </c>
      <c r="J68" s="28"/>
      <c r="K68" s="29">
        <f t="shared" si="1"/>
        <v>434361.04</v>
      </c>
    </row>
    <row r="69" spans="1:11" s="1" customFormat="1" ht="15" x14ac:dyDescent="0.25">
      <c r="A69" s="1091" t="s">
        <v>86</v>
      </c>
      <c r="B69" s="1092"/>
      <c r="C69" s="1092"/>
      <c r="D69" s="1092"/>
      <c r="E69" s="1092"/>
      <c r="F69" s="1092"/>
      <c r="G69" s="1092"/>
      <c r="H69" s="1093"/>
      <c r="J69" s="28"/>
      <c r="K69" s="29">
        <f t="shared" si="1"/>
        <v>0</v>
      </c>
    </row>
    <row r="70" spans="1:11" s="1" customFormat="1" ht="15" x14ac:dyDescent="0.25">
      <c r="A70" s="15"/>
      <c r="B70" s="1094" t="s">
        <v>87</v>
      </c>
      <c r="C70" s="1095"/>
      <c r="D70" s="16"/>
      <c r="E70" s="16"/>
      <c r="F70" s="17"/>
      <c r="G70" s="17"/>
      <c r="H70" s="17"/>
      <c r="J70" s="28"/>
      <c r="K70" s="29">
        <f t="shared" si="1"/>
        <v>0</v>
      </c>
    </row>
    <row r="71" spans="1:11" s="1" customFormat="1" ht="15" x14ac:dyDescent="0.25">
      <c r="A71" s="15"/>
      <c r="B71" s="1089" t="s">
        <v>88</v>
      </c>
      <c r="C71" s="1090"/>
      <c r="D71" s="16">
        <v>431697.03</v>
      </c>
      <c r="E71" s="16">
        <v>2664.01</v>
      </c>
      <c r="F71" s="17"/>
      <c r="G71" s="17"/>
      <c r="H71" s="17">
        <v>434361.04</v>
      </c>
      <c r="J71" s="28"/>
      <c r="K71" s="29">
        <f t="shared" si="1"/>
        <v>434361.04</v>
      </c>
    </row>
    <row r="72" spans="1:11" s="1" customFormat="1" ht="15" x14ac:dyDescent="0.25">
      <c r="A72" s="1091" t="s">
        <v>89</v>
      </c>
      <c r="B72" s="1092"/>
      <c r="C72" s="1092"/>
      <c r="D72" s="1092"/>
      <c r="E72" s="1092"/>
      <c r="F72" s="1092"/>
      <c r="G72" s="1092"/>
      <c r="H72" s="1093"/>
      <c r="J72" s="28"/>
      <c r="K72" s="29">
        <f t="shared" si="1"/>
        <v>0</v>
      </c>
    </row>
    <row r="73" spans="1:11" s="1" customFormat="1" ht="15" x14ac:dyDescent="0.25">
      <c r="A73" s="15"/>
      <c r="B73" s="1094" t="s">
        <v>90</v>
      </c>
      <c r="C73" s="1095"/>
      <c r="D73" s="16"/>
      <c r="E73" s="16"/>
      <c r="F73" s="17"/>
      <c r="G73" s="17"/>
      <c r="H73" s="17"/>
      <c r="J73" s="28"/>
      <c r="K73" s="29">
        <f t="shared" si="1"/>
        <v>0</v>
      </c>
    </row>
    <row r="74" spans="1:11" s="1" customFormat="1" ht="15" x14ac:dyDescent="0.25">
      <c r="A74" s="15"/>
      <c r="B74" s="1096" t="s">
        <v>91</v>
      </c>
      <c r="C74" s="1097"/>
      <c r="D74" s="14">
        <v>431697.03</v>
      </c>
      <c r="E74" s="14">
        <v>2664.01</v>
      </c>
      <c r="F74" s="18"/>
      <c r="G74" s="18"/>
      <c r="H74" s="18">
        <v>434361.04</v>
      </c>
      <c r="J74" s="28"/>
      <c r="K74" s="29">
        <f t="shared" si="1"/>
        <v>434361.04</v>
      </c>
    </row>
    <row r="75" spans="1:11" s="1" customFormat="1" ht="15" x14ac:dyDescent="0.25">
      <c r="A75" s="15"/>
      <c r="B75" s="13"/>
      <c r="C75" s="19"/>
      <c r="D75" s="14"/>
      <c r="E75" s="14"/>
      <c r="F75" s="14"/>
      <c r="G75" s="14"/>
      <c r="H75" s="14"/>
      <c r="J75" s="28"/>
      <c r="K75" s="29">
        <f t="shared" si="1"/>
        <v>0</v>
      </c>
    </row>
    <row r="76" spans="1:11" s="1" customFormat="1" ht="15" x14ac:dyDescent="0.25">
      <c r="A76" s="15"/>
      <c r="B76" s="1098" t="s">
        <v>92</v>
      </c>
      <c r="C76" s="1099"/>
      <c r="D76" s="16">
        <v>431697.03</v>
      </c>
      <c r="E76" s="16">
        <v>2664.01</v>
      </c>
      <c r="F76" s="16"/>
      <c r="G76" s="16"/>
      <c r="H76" s="16">
        <v>434361.04</v>
      </c>
      <c r="I76" s="33"/>
      <c r="J76" s="28"/>
      <c r="K76" s="29">
        <f t="shared" si="1"/>
        <v>434361.04</v>
      </c>
    </row>
    <row r="77" spans="1:11" s="1" customFormat="1" ht="15" x14ac:dyDescent="0.25">
      <c r="A77" s="1100" t="s">
        <v>93</v>
      </c>
      <c r="B77" s="1092"/>
      <c r="C77" s="1092"/>
      <c r="D77" s="1092"/>
      <c r="E77" s="1092"/>
      <c r="F77" s="1092"/>
      <c r="G77" s="1092"/>
      <c r="H77" s="1093"/>
      <c r="J77" s="28"/>
      <c r="K77" s="29">
        <f t="shared" si="1"/>
        <v>0</v>
      </c>
    </row>
    <row r="78" spans="1:11" s="1" customFormat="1" ht="15" x14ac:dyDescent="0.25">
      <c r="A78" s="15"/>
      <c r="B78" s="1101" t="s">
        <v>94</v>
      </c>
      <c r="C78" s="1095"/>
      <c r="D78" s="16">
        <v>453869.17</v>
      </c>
      <c r="E78" s="16">
        <v>2800.83</v>
      </c>
      <c r="F78" s="17"/>
      <c r="G78" s="17"/>
      <c r="H78" s="17">
        <v>456670</v>
      </c>
      <c r="J78" s="28"/>
      <c r="K78" s="29">
        <f t="shared" si="1"/>
        <v>456670</v>
      </c>
    </row>
    <row r="79" spans="1:11" s="1" customFormat="1" ht="15" x14ac:dyDescent="0.25">
      <c r="A79" s="1091" t="s">
        <v>95</v>
      </c>
      <c r="B79" s="1092"/>
      <c r="C79" s="1092"/>
      <c r="D79" s="1092"/>
      <c r="E79" s="1092"/>
      <c r="F79" s="1092"/>
      <c r="G79" s="1092"/>
      <c r="H79" s="1093"/>
      <c r="J79" s="26"/>
      <c r="K79" s="27"/>
    </row>
    <row r="80" spans="1:11" s="1" customFormat="1" ht="15" x14ac:dyDescent="0.25">
      <c r="A80" s="12">
        <v>26</v>
      </c>
      <c r="B80" s="13" t="s">
        <v>96</v>
      </c>
      <c r="C80" s="13" t="s">
        <v>97</v>
      </c>
      <c r="D80" s="14">
        <f>D78*0.2</f>
        <v>90773.83</v>
      </c>
      <c r="E80" s="14">
        <f>E78*0.2</f>
        <v>560.16999999999996</v>
      </c>
      <c r="F80" s="14"/>
      <c r="G80" s="14"/>
      <c r="H80" s="14">
        <f>H78*0.2</f>
        <v>91334</v>
      </c>
      <c r="J80" s="30"/>
      <c r="K80" s="27"/>
    </row>
    <row r="81" spans="1:11" s="1" customFormat="1" ht="21.75" customHeight="1" x14ac:dyDescent="0.25">
      <c r="A81" s="15"/>
      <c r="B81" s="1094" t="s">
        <v>98</v>
      </c>
      <c r="C81" s="1095"/>
      <c r="D81" s="16">
        <f>D80</f>
        <v>90773.83</v>
      </c>
      <c r="E81" s="16">
        <f>E80</f>
        <v>560.16999999999996</v>
      </c>
      <c r="F81" s="17"/>
      <c r="G81" s="17"/>
      <c r="H81" s="17">
        <f>H80</f>
        <v>91334</v>
      </c>
      <c r="J81" s="21" t="s">
        <v>99</v>
      </c>
      <c r="K81" s="27"/>
    </row>
    <row r="82" spans="1:11" s="1" customFormat="1" ht="15" x14ac:dyDescent="0.25">
      <c r="A82" s="15"/>
      <c r="B82" s="1089" t="s">
        <v>100</v>
      </c>
      <c r="C82" s="1090"/>
      <c r="D82" s="16">
        <f>D78+D81</f>
        <v>544643</v>
      </c>
      <c r="E82" s="16">
        <f>E78+E81</f>
        <v>3361</v>
      </c>
      <c r="F82" s="17"/>
      <c r="G82" s="17"/>
      <c r="H82" s="17">
        <f>H78+H81</f>
        <v>548004</v>
      </c>
      <c r="J82" s="31">
        <v>548004000</v>
      </c>
      <c r="K82" s="27"/>
    </row>
    <row r="85" spans="1:11" s="1" customFormat="1" ht="15" x14ac:dyDescent="0.25">
      <c r="A85" s="22" t="s">
        <v>101</v>
      </c>
      <c r="B85" s="3"/>
      <c r="D85" s="23"/>
      <c r="E85" s="1087" t="s">
        <v>102</v>
      </c>
      <c r="F85" s="1087"/>
      <c r="G85" s="1087"/>
      <c r="H85" s="1087"/>
      <c r="J85" s="26"/>
      <c r="K85" s="27"/>
    </row>
    <row r="86" spans="1:11" s="1" customFormat="1" ht="15" customHeight="1" x14ac:dyDescent="0.25">
      <c r="A86" s="3"/>
      <c r="B86" s="3"/>
      <c r="C86" s="1085" t="s">
        <v>103</v>
      </c>
      <c r="D86" s="1085"/>
      <c r="E86" s="1085"/>
      <c r="F86" s="1085"/>
      <c r="G86" s="1085"/>
      <c r="H86" s="1085"/>
      <c r="J86" s="26"/>
      <c r="K86" s="27"/>
    </row>
    <row r="87" spans="1:11" s="1" customFormat="1" ht="15" x14ac:dyDescent="0.25">
      <c r="A87" s="22" t="s">
        <v>104</v>
      </c>
      <c r="B87" s="3"/>
      <c r="D87" s="23"/>
      <c r="E87" s="1087" t="s">
        <v>102</v>
      </c>
      <c r="F87" s="1087"/>
      <c r="G87" s="1087"/>
      <c r="H87" s="1087"/>
      <c r="J87" s="26"/>
      <c r="K87" s="27"/>
    </row>
    <row r="88" spans="1:11" s="1" customFormat="1" ht="15" customHeight="1" x14ac:dyDescent="0.25">
      <c r="A88" s="3"/>
      <c r="B88" s="3"/>
      <c r="C88" s="1085" t="s">
        <v>103</v>
      </c>
      <c r="D88" s="1085"/>
      <c r="E88" s="1085"/>
      <c r="F88" s="1085"/>
      <c r="G88" s="1085"/>
      <c r="H88" s="1085"/>
      <c r="J88" s="26"/>
      <c r="K88" s="27"/>
    </row>
    <row r="89" spans="1:11" s="1" customFormat="1" ht="15" x14ac:dyDescent="0.25">
      <c r="A89" s="1088" t="s">
        <v>105</v>
      </c>
      <c r="B89" s="1088"/>
      <c r="C89" s="1088"/>
      <c r="D89" s="1088"/>
      <c r="E89" s="1087" t="s">
        <v>102</v>
      </c>
      <c r="F89" s="1087"/>
      <c r="G89" s="1087"/>
      <c r="H89" s="1087"/>
      <c r="J89" s="26"/>
      <c r="K89" s="27"/>
    </row>
    <row r="90" spans="1:11" s="1" customFormat="1" ht="15" customHeight="1" x14ac:dyDescent="0.25">
      <c r="A90" s="3"/>
      <c r="B90" s="3"/>
      <c r="C90" s="1085" t="s">
        <v>103</v>
      </c>
      <c r="D90" s="1085"/>
      <c r="E90" s="1085"/>
      <c r="F90" s="1085"/>
      <c r="G90" s="1085"/>
      <c r="H90" s="1085"/>
      <c r="J90" s="26"/>
      <c r="K90" s="27"/>
    </row>
    <row r="91" spans="1:11" s="1" customFormat="1" ht="15" x14ac:dyDescent="0.25">
      <c r="A91" s="22" t="s">
        <v>15</v>
      </c>
      <c r="B91" s="3"/>
      <c r="C91" s="1086"/>
      <c r="D91" s="1086"/>
      <c r="E91" s="1087" t="s">
        <v>102</v>
      </c>
      <c r="F91" s="1087"/>
      <c r="G91" s="1087"/>
      <c r="H91" s="1087"/>
      <c r="J91" s="26"/>
      <c r="K91" s="27"/>
    </row>
    <row r="92" spans="1:11" s="1" customFormat="1" ht="15" x14ac:dyDescent="0.25">
      <c r="A92" s="3"/>
      <c r="B92" s="3"/>
      <c r="C92" s="1085" t="s">
        <v>7</v>
      </c>
      <c r="D92" s="1085"/>
      <c r="E92" s="1085"/>
      <c r="F92" s="1085"/>
      <c r="G92" s="1085"/>
      <c r="H92" s="1085"/>
      <c r="J92" s="26"/>
      <c r="K92" s="27"/>
    </row>
  </sheetData>
  <mergeCells count="62">
    <mergeCell ref="B14:G14"/>
    <mergeCell ref="C4:G4"/>
    <mergeCell ref="C5:G5"/>
    <mergeCell ref="C9:G9"/>
    <mergeCell ref="C10:G10"/>
    <mergeCell ref="B12:G12"/>
    <mergeCell ref="B15:G15"/>
    <mergeCell ref="B17:H17"/>
    <mergeCell ref="A19:A21"/>
    <mergeCell ref="B19:B21"/>
    <mergeCell ref="C19:C21"/>
    <mergeCell ref="D19:H19"/>
    <mergeCell ref="D20:D21"/>
    <mergeCell ref="E20:E21"/>
    <mergeCell ref="F20:F21"/>
    <mergeCell ref="G20:G21"/>
    <mergeCell ref="A51:H51"/>
    <mergeCell ref="H20:H21"/>
    <mergeCell ref="A23:H23"/>
    <mergeCell ref="B27:C27"/>
    <mergeCell ref="A28:H28"/>
    <mergeCell ref="B33:C33"/>
    <mergeCell ref="A34:H34"/>
    <mergeCell ref="B37:C37"/>
    <mergeCell ref="A38:H38"/>
    <mergeCell ref="A39:H39"/>
    <mergeCell ref="A42:H42"/>
    <mergeCell ref="A46:H46"/>
    <mergeCell ref="B68:C68"/>
    <mergeCell ref="B53:C53"/>
    <mergeCell ref="A54:H54"/>
    <mergeCell ref="B57:C57"/>
    <mergeCell ref="B58:C58"/>
    <mergeCell ref="A59:H59"/>
    <mergeCell ref="B61:C61"/>
    <mergeCell ref="B62:C62"/>
    <mergeCell ref="A63:H63"/>
    <mergeCell ref="B65:C65"/>
    <mergeCell ref="B66:C66"/>
    <mergeCell ref="A67:H67"/>
    <mergeCell ref="B82:C82"/>
    <mergeCell ref="A69:H69"/>
    <mergeCell ref="B70:C70"/>
    <mergeCell ref="B71:C71"/>
    <mergeCell ref="A72:H72"/>
    <mergeCell ref="B73:C73"/>
    <mergeCell ref="B74:C74"/>
    <mergeCell ref="B76:C76"/>
    <mergeCell ref="A77:H77"/>
    <mergeCell ref="B78:C78"/>
    <mergeCell ref="A79:H79"/>
    <mergeCell ref="B81:C81"/>
    <mergeCell ref="C90:H90"/>
    <mergeCell ref="C91:D91"/>
    <mergeCell ref="E91:H91"/>
    <mergeCell ref="C92:H92"/>
    <mergeCell ref="E85:H85"/>
    <mergeCell ref="C86:H86"/>
    <mergeCell ref="E87:H87"/>
    <mergeCell ref="C88:H88"/>
    <mergeCell ref="A89:D89"/>
    <mergeCell ref="E89:H89"/>
  </mergeCells>
  <printOptions horizontalCentered="1"/>
  <pageMargins left="0.69999998807907104" right="0.69999998807907104" top="0.75" bottom="0.75" header="0.30000001192092901" footer="0.30000001192092901"/>
  <pageSetup paperSize="9" scale="67" fitToHeight="0" orientation="portrait" r:id="rId1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83D54-98B0-4F83-BAE9-BA5B9D8C2337}">
  <sheetPr>
    <tabColor rgb="FFFFC000"/>
    <pageSetUpPr fitToPage="1"/>
  </sheetPr>
  <dimension ref="A1:AB93"/>
  <sheetViews>
    <sheetView zoomScale="90" zoomScaleNormal="90" zoomScaleSheetLayoutView="80" workbookViewId="0">
      <pane ySplit="3" topLeftCell="A49" activePane="bottomLeft" state="frozen"/>
      <selection pane="bottomLeft" activeCell="U14" sqref="U14"/>
    </sheetView>
  </sheetViews>
  <sheetFormatPr defaultColWidth="9.140625" defaultRowHeight="15.75" outlineLevelCol="1" x14ac:dyDescent="0.25"/>
  <cols>
    <col min="1" max="1" width="7.42578125" style="36" customWidth="1"/>
    <col min="2" max="2" width="16.140625" style="36" customWidth="1"/>
    <col min="3" max="3" width="35.85546875" style="36" customWidth="1"/>
    <col min="4" max="4" width="20.5703125" style="36" hidden="1" customWidth="1" outlineLevel="1"/>
    <col min="5" max="5" width="18.85546875" style="36" hidden="1" customWidth="1" outlineLevel="1"/>
    <col min="6" max="6" width="17.5703125" style="36" hidden="1" customWidth="1" outlineLevel="1"/>
    <col min="7" max="7" width="20.7109375" style="36" hidden="1" customWidth="1" outlineLevel="1"/>
    <col min="8" max="8" width="19.5703125" style="36" hidden="1" customWidth="1" outlineLevel="1"/>
    <col min="9" max="9" width="8.5703125" style="36" hidden="1" customWidth="1" outlineLevel="1"/>
    <col min="10" max="10" width="22.28515625" style="36" customWidth="1" collapsed="1"/>
    <col min="11" max="11" width="20.42578125" style="39" hidden="1" customWidth="1" outlineLevel="1"/>
    <col min="12" max="12" width="16.85546875" style="39" hidden="1" customWidth="1" outlineLevel="1"/>
    <col min="13" max="13" width="18.140625" style="35" hidden="1" customWidth="1" outlineLevel="1"/>
    <col min="14" max="14" width="16.85546875" style="39" hidden="1" customWidth="1" outlineLevel="1"/>
    <col min="15" max="15" width="18.140625" style="35" hidden="1" customWidth="1" outlineLevel="1"/>
    <col min="16" max="16" width="18.42578125" style="36" customWidth="1" collapsed="1"/>
    <col min="17" max="17" width="15.42578125" style="36" bestFit="1" customWidth="1"/>
    <col min="18" max="18" width="30.28515625" style="36" customWidth="1"/>
    <col min="19" max="19" width="30.42578125" style="36" customWidth="1"/>
    <col min="20" max="20" width="26.140625" style="36" customWidth="1"/>
    <col min="21" max="21" width="26.7109375" style="36" bestFit="1" customWidth="1"/>
    <col min="22" max="22" width="31.42578125" style="36" customWidth="1"/>
    <col min="23" max="23" width="3.28515625" style="176" hidden="1" customWidth="1"/>
    <col min="24" max="24" width="27.5703125" style="36" hidden="1" customWidth="1"/>
    <col min="25" max="26" width="19" style="36" hidden="1" customWidth="1"/>
    <col min="27" max="27" width="29.28515625" style="406" bestFit="1" customWidth="1"/>
    <col min="28" max="28" width="15" style="36" customWidth="1"/>
    <col min="29" max="16384" width="9.140625" style="36"/>
  </cols>
  <sheetData>
    <row r="1" spans="1:28" ht="8.25" customHeight="1" x14ac:dyDescent="0.25">
      <c r="A1" s="1125"/>
      <c r="B1" s="1125"/>
      <c r="C1" s="1125"/>
      <c r="D1" s="1125"/>
      <c r="E1" s="1125"/>
      <c r="F1" s="1125"/>
      <c r="G1" s="1125"/>
      <c r="H1" s="1125"/>
      <c r="I1" s="1125"/>
      <c r="J1" s="1125"/>
      <c r="K1" s="358"/>
      <c r="L1" s="358"/>
      <c r="N1" s="358"/>
    </row>
    <row r="2" spans="1:28" ht="5.25" customHeight="1" thickBot="1" x14ac:dyDescent="0.3">
      <c r="A2" s="37"/>
      <c r="B2" s="37"/>
      <c r="C2" s="37"/>
      <c r="D2" s="37"/>
      <c r="E2" s="37"/>
      <c r="F2" s="37"/>
      <c r="G2" s="37"/>
      <c r="H2" s="37"/>
      <c r="I2" s="38"/>
      <c r="J2" s="37"/>
    </row>
    <row r="3" spans="1:28" ht="47.25" customHeight="1" x14ac:dyDescent="0.25">
      <c r="A3" s="1126" t="s">
        <v>111</v>
      </c>
      <c r="B3" s="1128" t="s">
        <v>112</v>
      </c>
      <c r="C3" s="1128" t="s">
        <v>113</v>
      </c>
      <c r="D3" s="359" t="s">
        <v>114</v>
      </c>
      <c r="E3" s="359" t="s">
        <v>115</v>
      </c>
      <c r="F3" s="359" t="s">
        <v>116</v>
      </c>
      <c r="G3" s="1128" t="s">
        <v>117</v>
      </c>
      <c r="H3" s="1130" t="s">
        <v>125</v>
      </c>
      <c r="I3" s="1128" t="s">
        <v>118</v>
      </c>
      <c r="J3" s="1130" t="s">
        <v>244</v>
      </c>
      <c r="K3" s="74" t="s">
        <v>126</v>
      </c>
      <c r="L3" s="74" t="s">
        <v>127</v>
      </c>
      <c r="M3" s="75" t="s">
        <v>128</v>
      </c>
      <c r="N3" s="76" t="s">
        <v>134</v>
      </c>
      <c r="O3" s="77" t="s">
        <v>135</v>
      </c>
      <c r="P3" s="78" t="s">
        <v>136</v>
      </c>
      <c r="Q3" s="78" t="s">
        <v>121</v>
      </c>
      <c r="R3" s="79" t="s">
        <v>137</v>
      </c>
      <c r="S3" s="79" t="s">
        <v>138</v>
      </c>
      <c r="T3" s="80" t="s">
        <v>249</v>
      </c>
      <c r="U3" s="80" t="s">
        <v>276</v>
      </c>
      <c r="V3" s="80" t="s">
        <v>242</v>
      </c>
      <c r="X3" s="79" t="s">
        <v>193</v>
      </c>
      <c r="Y3" s="80" t="s">
        <v>157</v>
      </c>
      <c r="Z3" s="80" t="s">
        <v>137</v>
      </c>
    </row>
    <row r="4" spans="1:28" ht="14.25" customHeight="1" x14ac:dyDescent="0.25">
      <c r="A4" s="1127"/>
      <c r="B4" s="1129"/>
      <c r="C4" s="1129"/>
      <c r="D4" s="360"/>
      <c r="E4" s="360"/>
      <c r="F4" s="360"/>
      <c r="G4" s="1129"/>
      <c r="H4" s="1131"/>
      <c r="I4" s="1129"/>
      <c r="J4" s="1131"/>
      <c r="K4" s="54" t="s">
        <v>122</v>
      </c>
      <c r="L4" s="54" t="s">
        <v>123</v>
      </c>
      <c r="M4" s="54" t="s">
        <v>124</v>
      </c>
      <c r="N4" s="54" t="s">
        <v>132</v>
      </c>
      <c r="O4" s="54" t="s">
        <v>133</v>
      </c>
      <c r="P4" s="40"/>
      <c r="Q4" s="40"/>
      <c r="R4" s="65"/>
      <c r="S4" s="65"/>
      <c r="T4" s="81"/>
      <c r="U4" s="81"/>
      <c r="V4" s="81"/>
      <c r="X4" s="65"/>
      <c r="Y4" s="81"/>
      <c r="Z4" s="81"/>
    </row>
    <row r="5" spans="1:28" x14ac:dyDescent="0.25">
      <c r="A5" s="380"/>
      <c r="B5" s="381"/>
      <c r="C5" s="381"/>
      <c r="D5" s="381"/>
      <c r="E5" s="381"/>
      <c r="F5" s="381"/>
      <c r="G5" s="381"/>
      <c r="H5" s="382"/>
      <c r="I5" s="381"/>
      <c r="J5" s="382"/>
      <c r="K5" s="383"/>
      <c r="L5" s="383"/>
      <c r="M5" s="383"/>
      <c r="N5" s="383"/>
      <c r="O5" s="383"/>
      <c r="P5" s="383"/>
      <c r="Q5" s="383"/>
      <c r="R5" s="383"/>
      <c r="S5" s="383"/>
      <c r="T5" s="1132" t="s">
        <v>283</v>
      </c>
      <c r="U5" s="1133"/>
      <c r="V5" s="384"/>
      <c r="X5" s="65"/>
      <c r="Y5" s="81"/>
      <c r="Z5" s="81"/>
    </row>
    <row r="6" spans="1:28" ht="54" customHeight="1" x14ac:dyDescent="0.25">
      <c r="A6" s="273">
        <v>1</v>
      </c>
      <c r="B6" s="361" t="s">
        <v>159</v>
      </c>
      <c r="C6" s="275" t="str">
        <f>ССР!C24</f>
        <v>Выполнение работ по ликвидации объектов по трассе ж.д. путей, подготовке трассы ж.д. путей.</v>
      </c>
      <c r="D6" s="385">
        <v>48841208.740000002</v>
      </c>
      <c r="E6" s="385">
        <v>4004979.12</v>
      </c>
      <c r="F6" s="385">
        <v>1268308.51</v>
      </c>
      <c r="G6" s="385">
        <v>54114496.369999997</v>
      </c>
      <c r="H6" s="385">
        <v>56893839.630000003</v>
      </c>
      <c r="I6" s="277">
        <v>1.2</v>
      </c>
      <c r="J6" s="278">
        <f>ROUND(H6*I6,2)</f>
        <v>68272607.560000002</v>
      </c>
      <c r="K6" s="365">
        <v>65507253.219999999</v>
      </c>
      <c r="L6" s="365">
        <v>360012.73</v>
      </c>
      <c r="M6" s="365"/>
      <c r="N6" s="365"/>
      <c r="O6" s="365"/>
      <c r="P6" s="365">
        <f>K6+L6+M6+N6+O6</f>
        <v>65867265.950000003</v>
      </c>
      <c r="Q6" s="365">
        <f>J6-K6-L6-M6-N6-O6</f>
        <v>2405341.61</v>
      </c>
      <c r="R6" s="365" t="s">
        <v>139</v>
      </c>
      <c r="S6" s="362" t="s">
        <v>158</v>
      </c>
      <c r="T6" s="363">
        <f>P6</f>
        <v>65867265.950000003</v>
      </c>
      <c r="U6" s="363">
        <v>0</v>
      </c>
      <c r="V6" s="364">
        <f t="shared" ref="V6:V11" si="0">T6+U6</f>
        <v>65867265.950000003</v>
      </c>
      <c r="W6" s="177"/>
      <c r="X6" s="111"/>
      <c r="Y6" s="84"/>
      <c r="Z6" s="208"/>
    </row>
    <row r="7" spans="1:28" ht="42.75" customHeight="1" x14ac:dyDescent="0.25">
      <c r="A7" s="273">
        <v>2</v>
      </c>
      <c r="B7" s="361" t="s">
        <v>160</v>
      </c>
      <c r="C7" s="275" t="str">
        <f>ССР!C25</f>
        <v>Выполнение работ по ликвидации объекта капитального строительства</v>
      </c>
      <c r="D7" s="385">
        <v>40054718.460000001</v>
      </c>
      <c r="E7" s="385">
        <v>3284486.91</v>
      </c>
      <c r="F7" s="385">
        <v>1040140.93</v>
      </c>
      <c r="G7" s="385">
        <v>44379346.299999997</v>
      </c>
      <c r="H7" s="385">
        <v>46658688.170000002</v>
      </c>
      <c r="I7" s="277">
        <v>1.2</v>
      </c>
      <c r="J7" s="278">
        <f t="shared" ref="J7:J29" si="1">ROUND(H7*I7,2)</f>
        <v>55990425.799999997</v>
      </c>
      <c r="K7" s="365">
        <v>54911594.170000002</v>
      </c>
      <c r="L7" s="365"/>
      <c r="M7" s="365"/>
      <c r="N7" s="365"/>
      <c r="O7" s="365"/>
      <c r="P7" s="365">
        <f t="shared" ref="P7:P29" si="2">K7+L7+M7+N7+O7</f>
        <v>54911594.170000002</v>
      </c>
      <c r="Q7" s="365">
        <f t="shared" ref="Q7:Q29" si="3">J7-K7-L7-M7-N7-O7</f>
        <v>1078831.6299999999</v>
      </c>
      <c r="R7" s="365" t="s">
        <v>139</v>
      </c>
      <c r="S7" s="362" t="s">
        <v>158</v>
      </c>
      <c r="T7" s="363">
        <f t="shared" ref="T7:T29" si="4">P7</f>
        <v>54911594.170000002</v>
      </c>
      <c r="U7" s="363">
        <v>0</v>
      </c>
      <c r="V7" s="364">
        <f t="shared" si="0"/>
        <v>54911594.170000002</v>
      </c>
      <c r="X7" s="111"/>
      <c r="Y7" s="84"/>
      <c r="Z7" s="208"/>
    </row>
    <row r="8" spans="1:28" ht="35.1" customHeight="1" x14ac:dyDescent="0.25">
      <c r="A8" s="273">
        <v>3</v>
      </c>
      <c r="B8" s="361" t="s">
        <v>176</v>
      </c>
      <c r="C8" s="275" t="str">
        <f>ССР!C26</f>
        <v>Демонтаж сетей и систем  инженерного обоспечения.</v>
      </c>
      <c r="D8" s="385">
        <v>1177977.71</v>
      </c>
      <c r="E8" s="385">
        <v>96594.17</v>
      </c>
      <c r="F8" s="385">
        <v>30589.73</v>
      </c>
      <c r="G8" s="385">
        <v>1305161.6100000001</v>
      </c>
      <c r="H8" s="385">
        <v>1372195.26</v>
      </c>
      <c r="I8" s="277">
        <f>I6</f>
        <v>1.2</v>
      </c>
      <c r="J8" s="278">
        <f>ROUND(H8*I8,2)</f>
        <v>1646634.31</v>
      </c>
      <c r="K8" s="365"/>
      <c r="L8" s="365"/>
      <c r="M8" s="365">
        <v>1646696.3</v>
      </c>
      <c r="N8" s="365"/>
      <c r="O8" s="365"/>
      <c r="P8" s="365">
        <f t="shared" si="2"/>
        <v>1646696.3</v>
      </c>
      <c r="Q8" s="365">
        <v>0</v>
      </c>
      <c r="R8" s="365" t="s">
        <v>139</v>
      </c>
      <c r="S8" s="362" t="s">
        <v>158</v>
      </c>
      <c r="T8" s="363">
        <f t="shared" si="4"/>
        <v>1646696.3</v>
      </c>
      <c r="U8" s="363">
        <v>0</v>
      </c>
      <c r="V8" s="364">
        <f t="shared" si="0"/>
        <v>1646696.3</v>
      </c>
      <c r="X8" s="111"/>
      <c r="Y8" s="84"/>
      <c r="Z8" s="208"/>
    </row>
    <row r="9" spans="1:28" s="525" customFormat="1" ht="44.25" customHeight="1" x14ac:dyDescent="0.25">
      <c r="A9" s="217">
        <v>4</v>
      </c>
      <c r="B9" s="245" t="s">
        <v>177</v>
      </c>
      <c r="C9" s="219" t="str">
        <f>ССР!C32</f>
        <v>Трансбордер. Архитектурно-строительные решения. Часть 2. АС2 .</v>
      </c>
      <c r="D9" s="220">
        <v>1615223.87</v>
      </c>
      <c r="E9" s="220">
        <v>132448.35999999999</v>
      </c>
      <c r="F9" s="220">
        <v>41944.13</v>
      </c>
      <c r="G9" s="220">
        <v>1789616.36</v>
      </c>
      <c r="H9" s="220">
        <v>1881531.81</v>
      </c>
      <c r="I9" s="221">
        <f>I22</f>
        <v>1.2</v>
      </c>
      <c r="J9" s="222">
        <f t="shared" si="1"/>
        <v>2257838.17</v>
      </c>
      <c r="K9" s="246"/>
      <c r="L9" s="246"/>
      <c r="M9" s="246">
        <v>1627347.05</v>
      </c>
      <c r="N9" s="246"/>
      <c r="O9" s="246"/>
      <c r="P9" s="246">
        <f>K9+L9+M9+N9+O9</f>
        <v>1627347.05</v>
      </c>
      <c r="Q9" s="246">
        <f t="shared" si="3"/>
        <v>630491.12</v>
      </c>
      <c r="R9" s="539" t="s">
        <v>139</v>
      </c>
      <c r="S9" s="461" t="s">
        <v>274</v>
      </c>
      <c r="T9" s="247">
        <f t="shared" si="4"/>
        <v>1627347.05</v>
      </c>
      <c r="U9" s="590">
        <v>400933.67</v>
      </c>
      <c r="V9" s="248">
        <f t="shared" si="0"/>
        <v>2028280.72</v>
      </c>
      <c r="W9" s="231"/>
      <c r="X9" s="229" t="s">
        <v>139</v>
      </c>
      <c r="Y9" s="523">
        <f>1447989.61*1.082*1.024*1.0514*1.2</f>
        <v>2024146.22</v>
      </c>
      <c r="Z9" s="524" t="s">
        <v>186</v>
      </c>
      <c r="AA9" s="406" t="s">
        <v>263</v>
      </c>
      <c r="AB9" s="526">
        <f>V9-J9</f>
        <v>-229557.45</v>
      </c>
    </row>
    <row r="10" spans="1:28" ht="42.75" customHeight="1" x14ac:dyDescent="0.25">
      <c r="A10" s="217">
        <v>5</v>
      </c>
      <c r="B10" s="245" t="s">
        <v>195</v>
      </c>
      <c r="C10" s="219" t="str">
        <f>ССР!C35</f>
        <v>Электроснабжение. ЭС 1.</v>
      </c>
      <c r="D10" s="220">
        <v>475031.03999999998</v>
      </c>
      <c r="E10" s="220">
        <v>38952.550000000003</v>
      </c>
      <c r="F10" s="220">
        <v>12335.61</v>
      </c>
      <c r="G10" s="220">
        <v>526319.19999999995</v>
      </c>
      <c r="H10" s="220">
        <v>553351.18000000005</v>
      </c>
      <c r="I10" s="221">
        <f>I23</f>
        <v>1.2</v>
      </c>
      <c r="J10" s="222">
        <f t="shared" si="1"/>
        <v>664021.42000000004</v>
      </c>
      <c r="K10" s="246"/>
      <c r="L10" s="246"/>
      <c r="M10" s="246"/>
      <c r="N10" s="246"/>
      <c r="O10" s="246"/>
      <c r="P10" s="246">
        <f t="shared" si="2"/>
        <v>0</v>
      </c>
      <c r="Q10" s="246">
        <f t="shared" si="3"/>
        <v>664021.42000000004</v>
      </c>
      <c r="R10" s="539" t="s">
        <v>139</v>
      </c>
      <c r="S10" s="461" t="str">
        <f>S9</f>
        <v xml:space="preserve"> ждем 1,1, затем ВОР подписываем и отправляем сметы на проверку</v>
      </c>
      <c r="T10" s="247">
        <f t="shared" si="4"/>
        <v>0</v>
      </c>
      <c r="U10" s="247">
        <f>388699.4+79299.42</f>
        <v>467998.82</v>
      </c>
      <c r="V10" s="248">
        <f t="shared" si="0"/>
        <v>467998.82</v>
      </c>
      <c r="W10" s="236"/>
      <c r="X10" s="228" t="s">
        <v>139</v>
      </c>
      <c r="Y10" s="232">
        <f>(235378.05+47139.18)*1.082*1.024*1.0514*1.2</f>
        <v>394931.14</v>
      </c>
      <c r="Z10" s="233" t="s">
        <v>186</v>
      </c>
      <c r="AA10" s="406" t="s">
        <v>263</v>
      </c>
      <c r="AB10" s="526">
        <f t="shared" ref="AB10:AB13" si="5">V10-J10</f>
        <v>-196022.6</v>
      </c>
    </row>
    <row r="11" spans="1:28" ht="51" customHeight="1" x14ac:dyDescent="0.25">
      <c r="A11" s="217">
        <v>6</v>
      </c>
      <c r="B11" s="245" t="s">
        <v>178</v>
      </c>
      <c r="C11" s="219" t="str">
        <f>ССР!C36</f>
        <v>Переустройство кабельных линий.ЭС2</v>
      </c>
      <c r="D11" s="220">
        <v>2276671.21</v>
      </c>
      <c r="E11" s="220">
        <v>186687.04</v>
      </c>
      <c r="F11" s="220">
        <v>59120.6</v>
      </c>
      <c r="G11" s="220">
        <v>2522478.85</v>
      </c>
      <c r="H11" s="220">
        <v>2652034.42</v>
      </c>
      <c r="I11" s="221">
        <f>I23</f>
        <v>1.2</v>
      </c>
      <c r="J11" s="222">
        <f t="shared" si="1"/>
        <v>3182441.3</v>
      </c>
      <c r="K11" s="246"/>
      <c r="L11" s="246"/>
      <c r="M11" s="246"/>
      <c r="N11" s="246"/>
      <c r="O11" s="246"/>
      <c r="P11" s="246">
        <f t="shared" si="2"/>
        <v>0</v>
      </c>
      <c r="Q11" s="246">
        <f t="shared" si="3"/>
        <v>3182441.3</v>
      </c>
      <c r="R11" s="539" t="s">
        <v>139</v>
      </c>
      <c r="S11" s="461" t="str">
        <f>S9</f>
        <v xml:space="preserve"> ждем 1,1, затем ВОР подписываем и отправляем сметы на проверку</v>
      </c>
      <c r="T11" s="247">
        <f t="shared" si="4"/>
        <v>0</v>
      </c>
      <c r="U11" s="247">
        <f>4830233+244506.56</f>
        <v>5074739.5599999996</v>
      </c>
      <c r="V11" s="248">
        <f t="shared" si="0"/>
        <v>5074739.5599999996</v>
      </c>
      <c r="W11" s="178"/>
      <c r="X11" s="111" t="s">
        <v>139</v>
      </c>
      <c r="Y11" s="84">
        <f>(3206824.35+130942.19)*1.082*1.024*1.0514*1.2</f>
        <v>4665867.41</v>
      </c>
      <c r="Z11" s="233" t="s">
        <v>186</v>
      </c>
      <c r="AA11" s="406" t="s">
        <v>263</v>
      </c>
      <c r="AB11" s="526">
        <f t="shared" si="5"/>
        <v>1892298.26</v>
      </c>
    </row>
    <row r="12" spans="1:28" ht="39.75" customHeight="1" x14ac:dyDescent="0.25">
      <c r="A12" s="217">
        <v>7</v>
      </c>
      <c r="B12" s="245" t="s">
        <v>179</v>
      </c>
      <c r="C12" s="219" t="str">
        <f>ССР!C40</f>
        <v>Переустройство хозпитьевого водопровода.НВК2</v>
      </c>
      <c r="D12" s="220">
        <v>760016.55</v>
      </c>
      <c r="E12" s="220">
        <v>62321.36</v>
      </c>
      <c r="F12" s="220">
        <v>19736.11</v>
      </c>
      <c r="G12" s="220">
        <v>842074.02</v>
      </c>
      <c r="H12" s="220">
        <v>885323.3</v>
      </c>
      <c r="I12" s="221">
        <f>I24</f>
        <v>1.2</v>
      </c>
      <c r="J12" s="222">
        <f t="shared" si="1"/>
        <v>1062387.96</v>
      </c>
      <c r="K12" s="246"/>
      <c r="L12" s="246"/>
      <c r="M12" s="246"/>
      <c r="N12" s="246"/>
      <c r="O12" s="246"/>
      <c r="P12" s="246">
        <f t="shared" si="2"/>
        <v>0</v>
      </c>
      <c r="Q12" s="246">
        <f t="shared" si="3"/>
        <v>1062387.96</v>
      </c>
      <c r="R12" s="246" t="s">
        <v>139</v>
      </c>
      <c r="S12" s="461" t="str">
        <f>S9</f>
        <v xml:space="preserve"> ждем 1,1, затем ВОР подписываем и отправляем сметы на проверку</v>
      </c>
      <c r="T12" s="247">
        <f t="shared" si="4"/>
        <v>0</v>
      </c>
      <c r="U12" s="590">
        <v>1565587.54</v>
      </c>
      <c r="V12" s="248">
        <f t="shared" ref="V12:V13" si="6">T12+U12</f>
        <v>1565587.54</v>
      </c>
      <c r="W12" s="231"/>
      <c r="X12" s="228" t="s">
        <v>139</v>
      </c>
      <c r="Y12" s="232">
        <f>1047143.73*1.082*1.024*1.0514*1.2</f>
        <v>1463803.34</v>
      </c>
      <c r="Z12" s="233" t="s">
        <v>186</v>
      </c>
      <c r="AA12" s="406" t="s">
        <v>263</v>
      </c>
      <c r="AB12" s="526">
        <f t="shared" si="5"/>
        <v>503199.58</v>
      </c>
    </row>
    <row r="13" spans="1:28" ht="43.5" customHeight="1" x14ac:dyDescent="0.25">
      <c r="A13" s="217">
        <v>8</v>
      </c>
      <c r="B13" s="245" t="s">
        <v>180</v>
      </c>
      <c r="C13" s="219" t="str">
        <f>ССР!C41</f>
        <v>Переустройство хозпитьевого водопровода.НВК3</v>
      </c>
      <c r="D13" s="220">
        <v>10454161.890000001</v>
      </c>
      <c r="E13" s="220">
        <v>857241.27</v>
      </c>
      <c r="F13" s="220">
        <v>271473.68</v>
      </c>
      <c r="G13" s="220">
        <v>11582876.84</v>
      </c>
      <c r="H13" s="220">
        <v>12177778.26</v>
      </c>
      <c r="I13" s="221">
        <f t="shared" ref="I13:I18" si="7">I6</f>
        <v>1.2</v>
      </c>
      <c r="J13" s="222">
        <f t="shared" si="1"/>
        <v>14613333.91</v>
      </c>
      <c r="K13" s="246"/>
      <c r="L13" s="246"/>
      <c r="M13" s="246"/>
      <c r="N13" s="246"/>
      <c r="O13" s="246"/>
      <c r="P13" s="246">
        <f t="shared" si="2"/>
        <v>0</v>
      </c>
      <c r="Q13" s="246">
        <f t="shared" si="3"/>
        <v>14613333.91</v>
      </c>
      <c r="R13" s="246" t="s">
        <v>139</v>
      </c>
      <c r="S13" s="461" t="str">
        <f>S9</f>
        <v xml:space="preserve"> ждем 1,1, затем ВОР подписываем и отправляем сметы на проверку</v>
      </c>
      <c r="T13" s="247">
        <f t="shared" si="4"/>
        <v>0</v>
      </c>
      <c r="U13" s="590">
        <v>19890772.960000001</v>
      </c>
      <c r="V13" s="248">
        <f t="shared" si="6"/>
        <v>19890772.960000001</v>
      </c>
      <c r="W13" s="231"/>
      <c r="X13" s="228" t="s">
        <v>139</v>
      </c>
      <c r="Y13" s="232">
        <f>13422525.94*1.082*1.024*1.0514*1.2</f>
        <v>18763363.32</v>
      </c>
      <c r="Z13" s="233" t="s">
        <v>186</v>
      </c>
      <c r="AA13" s="406" t="s">
        <v>263</v>
      </c>
      <c r="AB13" s="526">
        <f t="shared" si="5"/>
        <v>5277439.05</v>
      </c>
    </row>
    <row r="14" spans="1:28" s="525" customFormat="1" ht="47.25" customHeight="1" x14ac:dyDescent="0.25">
      <c r="A14" s="217">
        <v>9</v>
      </c>
      <c r="B14" s="245" t="s">
        <v>181</v>
      </c>
      <c r="C14" s="219" t="str">
        <f>ССР!C43</f>
        <v>Переустройство хозяйственно-бытовой канализации.НВК4</v>
      </c>
      <c r="D14" s="220">
        <v>9143309.8300000001</v>
      </c>
      <c r="E14" s="220">
        <v>749751.41</v>
      </c>
      <c r="F14" s="220">
        <v>237433.47</v>
      </c>
      <c r="G14" s="220">
        <v>10130494.710000001</v>
      </c>
      <c r="H14" s="220">
        <v>10650801.17</v>
      </c>
      <c r="I14" s="221">
        <f t="shared" si="7"/>
        <v>1.2</v>
      </c>
      <c r="J14" s="222">
        <f t="shared" si="1"/>
        <v>12780961.4</v>
      </c>
      <c r="K14" s="246"/>
      <c r="L14" s="246"/>
      <c r="M14" s="246"/>
      <c r="N14" s="246"/>
      <c r="O14" s="246">
        <v>337909.86</v>
      </c>
      <c r="P14" s="246">
        <f t="shared" si="2"/>
        <v>337909.86</v>
      </c>
      <c r="Q14" s="246">
        <f t="shared" si="3"/>
        <v>12443051.539999999</v>
      </c>
      <c r="R14" s="246" t="s">
        <v>139</v>
      </c>
      <c r="S14" s="461" t="str">
        <f>S9</f>
        <v xml:space="preserve"> ждем 1,1, затем ВОР подписываем и отправляем сметы на проверку</v>
      </c>
      <c r="T14" s="247">
        <f t="shared" si="4"/>
        <v>337909.86</v>
      </c>
      <c r="U14" s="590">
        <v>2229020.44</v>
      </c>
      <c r="V14" s="248">
        <f>T14+U14</f>
        <v>2566930.2999999998</v>
      </c>
      <c r="W14" s="178"/>
      <c r="X14" s="175" t="s">
        <v>139</v>
      </c>
      <c r="Y14" s="174">
        <f>1724717.19*1.082*1.024*1.0514*1.2</f>
        <v>2410984</v>
      </c>
      <c r="Z14" s="524" t="s">
        <v>186</v>
      </c>
      <c r="AA14" s="406" t="s">
        <v>263</v>
      </c>
      <c r="AB14" s="526">
        <f t="shared" ref="AB14:AB18" si="8">V14-J14</f>
        <v>-10214031.1</v>
      </c>
    </row>
    <row r="15" spans="1:28" s="525" customFormat="1" ht="44.25" customHeight="1" x14ac:dyDescent="0.25">
      <c r="A15" s="217">
        <v>10</v>
      </c>
      <c r="B15" s="245" t="s">
        <v>182</v>
      </c>
      <c r="C15" s="219" t="str">
        <f>ССР!C44</f>
        <v>Переустройство ливневой канализации.НВК5.</v>
      </c>
      <c r="D15" s="220">
        <v>21996729.18</v>
      </c>
      <c r="E15" s="220">
        <v>1803731.79</v>
      </c>
      <c r="F15" s="220">
        <v>571211.06000000006</v>
      </c>
      <c r="G15" s="220">
        <v>24371672.030000001</v>
      </c>
      <c r="H15" s="220">
        <v>25623411.34</v>
      </c>
      <c r="I15" s="221">
        <f t="shared" si="7"/>
        <v>1.2</v>
      </c>
      <c r="J15" s="222">
        <f t="shared" si="1"/>
        <v>30748093.609999999</v>
      </c>
      <c r="K15" s="246"/>
      <c r="L15" s="246"/>
      <c r="M15" s="246">
        <v>1211400.79</v>
      </c>
      <c r="N15" s="246"/>
      <c r="O15" s="246"/>
      <c r="P15" s="246">
        <f t="shared" si="2"/>
        <v>1211400.79</v>
      </c>
      <c r="Q15" s="246">
        <f t="shared" si="3"/>
        <v>29536692.82</v>
      </c>
      <c r="R15" s="539" t="s">
        <v>139</v>
      </c>
      <c r="S15" s="461" t="str">
        <f>S9</f>
        <v xml:space="preserve"> ждем 1,1, затем ВОР подписываем и отправляем сметы на проверку</v>
      </c>
      <c r="T15" s="247">
        <f t="shared" si="4"/>
        <v>1211400.79</v>
      </c>
      <c r="U15" s="247">
        <v>3328756.46</v>
      </c>
      <c r="V15" s="248">
        <f>T15+U15</f>
        <v>4540157.25</v>
      </c>
      <c r="W15" s="178"/>
      <c r="X15" s="175" t="s">
        <v>139</v>
      </c>
      <c r="Y15" s="174">
        <f>2827828.36*1.082*1.024*1.0514*1.2</f>
        <v>3953024.28</v>
      </c>
      <c r="Z15" s="524" t="s">
        <v>186</v>
      </c>
      <c r="AA15" s="406" t="s">
        <v>263</v>
      </c>
      <c r="AB15" s="526">
        <f t="shared" si="8"/>
        <v>-26207936.359999999</v>
      </c>
    </row>
    <row r="16" spans="1:28" ht="40.5" customHeight="1" x14ac:dyDescent="0.25">
      <c r="A16" s="217">
        <v>11</v>
      </c>
      <c r="B16" s="245" t="s">
        <v>183</v>
      </c>
      <c r="C16" s="219" t="str">
        <f>ССР!C49</f>
        <v>Теплоснабжение. Переустройство трубопровода.ТС2</v>
      </c>
      <c r="D16" s="220">
        <v>1890203.39</v>
      </c>
      <c r="E16" s="220">
        <v>154996.68</v>
      </c>
      <c r="F16" s="220">
        <v>49084.800000000003</v>
      </c>
      <c r="G16" s="220">
        <v>2094284.87</v>
      </c>
      <c r="H16" s="220">
        <v>2201848.2200000002</v>
      </c>
      <c r="I16" s="221">
        <f t="shared" si="7"/>
        <v>1.2</v>
      </c>
      <c r="J16" s="222">
        <f>ROUND(H16*I16,2)</f>
        <v>2642217.86</v>
      </c>
      <c r="K16" s="246"/>
      <c r="L16" s="246"/>
      <c r="M16" s="246"/>
      <c r="N16" s="246"/>
      <c r="O16" s="246"/>
      <c r="P16" s="246">
        <f>K16+L16+M16+N16+O16</f>
        <v>0</v>
      </c>
      <c r="Q16" s="246">
        <f>J16-K16-L16-M16-N16-O16</f>
        <v>2642217.86</v>
      </c>
      <c r="R16" s="246" t="s">
        <v>139</v>
      </c>
      <c r="S16" s="461" t="str">
        <f>S9</f>
        <v xml:space="preserve"> ждем 1,1, затем ВОР подписываем и отправляем сметы на проверку</v>
      </c>
      <c r="T16" s="247">
        <f>P16</f>
        <v>0</v>
      </c>
      <c r="U16" s="247">
        <v>2515253.7999999998</v>
      </c>
      <c r="V16" s="248">
        <f>T16+U16</f>
        <v>2515253.7999999998</v>
      </c>
      <c r="W16" s="178"/>
      <c r="X16" s="111" t="s">
        <v>139</v>
      </c>
      <c r="Y16" s="84">
        <f>1675854.44*1.082*1.024*1.0514*1.2</f>
        <v>2342678.71</v>
      </c>
      <c r="Z16" s="233" t="s">
        <v>186</v>
      </c>
      <c r="AA16" s="406" t="s">
        <v>263</v>
      </c>
      <c r="AB16" s="526">
        <f t="shared" si="8"/>
        <v>-126964.06</v>
      </c>
    </row>
    <row r="17" spans="1:28" ht="42" customHeight="1" x14ac:dyDescent="0.25">
      <c r="A17" s="217">
        <v>12</v>
      </c>
      <c r="B17" s="245" t="s">
        <v>184</v>
      </c>
      <c r="C17" s="219" t="str">
        <f>ССР!C50</f>
        <v>Теплоснабжение. Переустройство трубопровода.ТС3</v>
      </c>
      <c r="D17" s="220">
        <v>4003449.34</v>
      </c>
      <c r="E17" s="220">
        <v>328282.84999999998</v>
      </c>
      <c r="F17" s="220">
        <v>103961.57</v>
      </c>
      <c r="G17" s="220">
        <v>4435693.76</v>
      </c>
      <c r="H17" s="220">
        <v>4663512.8499999996</v>
      </c>
      <c r="I17" s="221">
        <f t="shared" si="7"/>
        <v>1.2</v>
      </c>
      <c r="J17" s="222">
        <f>ROUND(H17*I17,2)</f>
        <v>5596215.4199999999</v>
      </c>
      <c r="K17" s="246"/>
      <c r="L17" s="246"/>
      <c r="M17" s="246"/>
      <c r="N17" s="246"/>
      <c r="O17" s="246"/>
      <c r="P17" s="246">
        <f>K17+L17+M17+N17+O17</f>
        <v>0</v>
      </c>
      <c r="Q17" s="246">
        <f>J17-K17-L17-M17-N17-O17</f>
        <v>5596215.4199999999</v>
      </c>
      <c r="R17" s="246" t="s">
        <v>139</v>
      </c>
      <c r="S17" s="461" t="str">
        <f>S9</f>
        <v xml:space="preserve"> ждем 1,1, затем ВОР подписываем и отправляем сметы на проверку</v>
      </c>
      <c r="T17" s="247">
        <f>P17</f>
        <v>0</v>
      </c>
      <c r="U17" s="247">
        <v>4789058</v>
      </c>
      <c r="V17" s="248">
        <f>T17+U17</f>
        <v>4789058</v>
      </c>
      <c r="W17" s="178"/>
      <c r="X17" s="111" t="s">
        <v>139</v>
      </c>
      <c r="Y17" s="84">
        <f>2820165.03*1.082*1.024*1.0514*1.2</f>
        <v>3942311.7</v>
      </c>
      <c r="Z17" s="233" t="s">
        <v>186</v>
      </c>
      <c r="AA17" s="406" t="s">
        <v>257</v>
      </c>
      <c r="AB17" s="526">
        <f t="shared" si="8"/>
        <v>-807157.42</v>
      </c>
    </row>
    <row r="18" spans="1:28" ht="39.75" customHeight="1" x14ac:dyDescent="0.25">
      <c r="A18" s="217">
        <v>13</v>
      </c>
      <c r="B18" s="245" t="s">
        <v>66</v>
      </c>
      <c r="C18" s="219" t="str">
        <f>ССР!C52</f>
        <v>Наружные газопроводы. Вынос газопровода среднего давления.</v>
      </c>
      <c r="D18" s="220">
        <v>8291915.46</v>
      </c>
      <c r="E18" s="220">
        <v>679937.07</v>
      </c>
      <c r="F18" s="220">
        <v>215324.46</v>
      </c>
      <c r="G18" s="220">
        <v>9187176.9900000002</v>
      </c>
      <c r="H18" s="220">
        <v>9659034.2599999998</v>
      </c>
      <c r="I18" s="221">
        <f t="shared" si="7"/>
        <v>1.2</v>
      </c>
      <c r="J18" s="222">
        <f>ROUND(H18*I18,2)</f>
        <v>11590841.109999999</v>
      </c>
      <c r="K18" s="459"/>
      <c r="L18" s="459"/>
      <c r="M18" s="459"/>
      <c r="N18" s="459"/>
      <c r="O18" s="459"/>
      <c r="P18" s="246">
        <f>K18+L18+M18+N18+O18</f>
        <v>0</v>
      </c>
      <c r="Q18" s="246">
        <f>J18-K18-L18-M18-N18-O18</f>
        <v>11590841.109999999</v>
      </c>
      <c r="R18" s="540" t="s">
        <v>139</v>
      </c>
      <c r="S18" s="461" t="str">
        <f>S9</f>
        <v xml:space="preserve"> ждем 1,1, затем ВОР подписываем и отправляем сметы на проверку</v>
      </c>
      <c r="T18" s="247">
        <f>P18</f>
        <v>0</v>
      </c>
      <c r="U18" s="590">
        <v>6408229.1799999997</v>
      </c>
      <c r="V18" s="248">
        <f>T18+U18</f>
        <v>6408229.1799999997</v>
      </c>
      <c r="W18" s="188"/>
      <c r="X18" s="111"/>
      <c r="Y18" s="84"/>
      <c r="Z18" s="208"/>
      <c r="AA18" s="406" t="s">
        <v>263</v>
      </c>
      <c r="AB18" s="526">
        <f t="shared" si="8"/>
        <v>-5182611.93</v>
      </c>
    </row>
    <row r="19" spans="1:28" ht="4.5" customHeight="1" x14ac:dyDescent="0.25">
      <c r="A19" s="409"/>
      <c r="B19" s="410"/>
      <c r="C19" s="411"/>
      <c r="D19" s="412"/>
      <c r="E19" s="412"/>
      <c r="F19" s="412"/>
      <c r="G19" s="412"/>
      <c r="H19" s="412"/>
      <c r="I19" s="413"/>
      <c r="J19" s="414"/>
      <c r="K19" s="415"/>
      <c r="L19" s="415"/>
      <c r="M19" s="415"/>
      <c r="N19" s="415"/>
      <c r="O19" s="415"/>
      <c r="P19" s="415"/>
      <c r="Q19" s="415"/>
      <c r="R19" s="415"/>
      <c r="S19" s="190"/>
      <c r="T19" s="416"/>
      <c r="U19" s="417"/>
      <c r="V19" s="418"/>
      <c r="W19" s="178"/>
      <c r="X19" s="111"/>
      <c r="Y19" s="84"/>
      <c r="Z19" s="233"/>
    </row>
    <row r="20" spans="1:28" ht="32.25" hidden="1" customHeight="1" x14ac:dyDescent="0.25">
      <c r="A20" s="380"/>
      <c r="B20" s="381"/>
      <c r="C20" s="381"/>
      <c r="D20" s="381"/>
      <c r="E20" s="381"/>
      <c r="F20" s="381"/>
      <c r="G20" s="381"/>
      <c r="H20" s="382"/>
      <c r="I20" s="381"/>
      <c r="J20" s="382"/>
      <c r="K20" s="383"/>
      <c r="L20" s="383"/>
      <c r="M20" s="383"/>
      <c r="N20" s="383"/>
      <c r="O20" s="383"/>
      <c r="P20" s="383"/>
      <c r="Q20" s="383"/>
      <c r="R20" s="383"/>
      <c r="S20" s="383"/>
      <c r="T20" s="1132" t="s">
        <v>254</v>
      </c>
      <c r="U20" s="1133"/>
      <c r="V20" s="384"/>
      <c r="X20" s="65"/>
      <c r="Y20" s="81"/>
      <c r="Z20" s="81"/>
    </row>
    <row r="21" spans="1:28" ht="32.25" customHeight="1" x14ac:dyDescent="0.25">
      <c r="A21" s="380"/>
      <c r="B21" s="381"/>
      <c r="C21" s="381"/>
      <c r="D21" s="381"/>
      <c r="E21" s="381"/>
      <c r="F21" s="381"/>
      <c r="G21" s="381"/>
      <c r="H21" s="382"/>
      <c r="I21" s="381"/>
      <c r="J21" s="382"/>
      <c r="K21" s="383"/>
      <c r="L21" s="383"/>
      <c r="M21" s="383"/>
      <c r="N21" s="383"/>
      <c r="O21" s="383"/>
      <c r="P21" s="383"/>
      <c r="Q21" s="383"/>
      <c r="R21" s="383"/>
      <c r="S21" s="383"/>
      <c r="T21" s="1132" t="s">
        <v>272</v>
      </c>
      <c r="U21" s="1133"/>
      <c r="V21" s="384"/>
      <c r="X21" s="65"/>
      <c r="Y21" s="81"/>
      <c r="Z21" s="81"/>
    </row>
    <row r="22" spans="1:28" ht="45" customHeight="1" x14ac:dyDescent="0.25">
      <c r="A22" s="217">
        <v>14</v>
      </c>
      <c r="B22" s="372" t="s">
        <v>31</v>
      </c>
      <c r="C22" s="219" t="str">
        <f>ССР!C29</f>
        <v>Верхнее строение пути</v>
      </c>
      <c r="D22" s="220">
        <v>161452921.99000001</v>
      </c>
      <c r="E22" s="220">
        <v>13239139.6</v>
      </c>
      <c r="F22" s="220">
        <v>4192609.48</v>
      </c>
      <c r="G22" s="220">
        <v>178884671.06999999</v>
      </c>
      <c r="H22" s="220">
        <v>188072263.84999999</v>
      </c>
      <c r="I22" s="221">
        <f>I6</f>
        <v>1.2</v>
      </c>
      <c r="J22" s="222">
        <f>ROUND(H22*I22,2)</f>
        <v>225686716.62</v>
      </c>
      <c r="K22" s="373">
        <v>89998722.969999999</v>
      </c>
      <c r="L22" s="373">
        <v>66544414.909999996</v>
      </c>
      <c r="M22" s="373">
        <v>42672742.899999999</v>
      </c>
      <c r="N22" s="373"/>
      <c r="O22" s="373"/>
      <c r="P22" s="371">
        <f>K22+L22+M22+N22+O22</f>
        <v>199215880.78</v>
      </c>
      <c r="Q22" s="371">
        <f>J22-K22-L22-M22-N22-O22</f>
        <v>26470835.84</v>
      </c>
      <c r="R22" s="396" t="s">
        <v>284</v>
      </c>
      <c r="S22" s="403" t="s">
        <v>287</v>
      </c>
      <c r="T22" s="83">
        <f>P22</f>
        <v>199215880.78</v>
      </c>
      <c r="U22" s="366">
        <v>37774590</v>
      </c>
      <c r="V22" s="83">
        <f>T22+U22</f>
        <v>236990470.78</v>
      </c>
      <c r="X22" s="111"/>
      <c r="Y22" s="84"/>
      <c r="Z22" s="208"/>
      <c r="AA22" s="419"/>
    </row>
    <row r="23" spans="1:28" s="449" customFormat="1" ht="32.25" customHeight="1" x14ac:dyDescent="0.25">
      <c r="A23" s="434">
        <v>15</v>
      </c>
      <c r="B23" s="435" t="s">
        <v>32</v>
      </c>
      <c r="C23" s="436" t="str">
        <f>ССР!C30</f>
        <v>Восстановительные работы цеха №121/18. АС 3.</v>
      </c>
      <c r="D23" s="437">
        <v>4505948.67</v>
      </c>
      <c r="E23" s="437">
        <v>369487.79</v>
      </c>
      <c r="F23" s="437">
        <v>117010.48</v>
      </c>
      <c r="G23" s="437">
        <v>4992446.9400000004</v>
      </c>
      <c r="H23" s="437">
        <v>5248861.1100000003</v>
      </c>
      <c r="I23" s="438">
        <f>I7</f>
        <v>1.2</v>
      </c>
      <c r="J23" s="439">
        <f>ROUND(H23*I23,2)</f>
        <v>6298633.3300000001</v>
      </c>
      <c r="K23" s="440"/>
      <c r="L23" s="440"/>
      <c r="M23" s="440"/>
      <c r="N23" s="440">
        <v>5245250.92</v>
      </c>
      <c r="O23" s="440"/>
      <c r="P23" s="441">
        <f>K23+L23+M23+N23+O23</f>
        <v>5245250.92</v>
      </c>
      <c r="Q23" s="441">
        <f>J23-K23-L23-M23-N23-O23</f>
        <v>1053382.4099999999</v>
      </c>
      <c r="R23" s="578" t="s">
        <v>168</v>
      </c>
      <c r="S23" s="442" t="s">
        <v>189</v>
      </c>
      <c r="T23" s="443">
        <f>P23</f>
        <v>5245250.92</v>
      </c>
      <c r="U23" s="444">
        <v>0</v>
      </c>
      <c r="V23" s="443">
        <f>T23+U23</f>
        <v>5245250.92</v>
      </c>
      <c r="W23" s="445" t="s">
        <v>172</v>
      </c>
      <c r="X23" s="446"/>
      <c r="Y23" s="443"/>
      <c r="Z23" s="447"/>
      <c r="AA23" s="448"/>
    </row>
    <row r="24" spans="1:28" s="585" customFormat="1" ht="31.5" x14ac:dyDescent="0.25">
      <c r="A24" s="217">
        <v>16</v>
      </c>
      <c r="B24" s="245" t="s">
        <v>33</v>
      </c>
      <c r="C24" s="219" t="str">
        <f>ССР!C31</f>
        <v>Архитектурно-строительные решения. Часть 1.АС1</v>
      </c>
      <c r="D24" s="220">
        <v>10526911.91</v>
      </c>
      <c r="E24" s="220">
        <v>863206.78</v>
      </c>
      <c r="F24" s="220">
        <v>273362.84999999998</v>
      </c>
      <c r="G24" s="220">
        <v>11663481.539999999</v>
      </c>
      <c r="H24" s="220">
        <v>12262522.85</v>
      </c>
      <c r="I24" s="221">
        <f>I8</f>
        <v>1.2</v>
      </c>
      <c r="J24" s="222">
        <f>ROUND(H24*I24,2)</f>
        <v>14715027.42</v>
      </c>
      <c r="K24" s="373"/>
      <c r="L24" s="373">
        <v>10775049.08</v>
      </c>
      <c r="M24" s="373"/>
      <c r="N24" s="373"/>
      <c r="O24" s="373"/>
      <c r="P24" s="371">
        <f>K24+L24+M24+N24+O24</f>
        <v>10775049.08</v>
      </c>
      <c r="Q24" s="371">
        <f>J24-K24-L24-M24-N24-O24</f>
        <v>3939978.34</v>
      </c>
      <c r="R24" s="395" t="str">
        <f>R26</f>
        <v>ждем ВОР</v>
      </c>
      <c r="S24" s="403" t="s">
        <v>275</v>
      </c>
      <c r="T24" s="83">
        <f>P24</f>
        <v>10775049.08</v>
      </c>
      <c r="U24" s="586">
        <f>Q24</f>
        <v>3939978.34</v>
      </c>
      <c r="V24" s="83">
        <f>T24+U24</f>
        <v>14715027.42</v>
      </c>
      <c r="W24" s="582"/>
      <c r="X24" s="111"/>
      <c r="Y24" s="83"/>
      <c r="Z24" s="583"/>
      <c r="AA24" s="584"/>
    </row>
    <row r="25" spans="1:28" s="449" customFormat="1" ht="31.5" x14ac:dyDescent="0.25">
      <c r="A25" s="434">
        <v>17</v>
      </c>
      <c r="B25" s="435" t="s">
        <v>55</v>
      </c>
      <c r="C25" s="436" t="str">
        <f>ССР!C45</f>
        <v>Трубопровод ливневых сточных вод от трансбордера. НВК1</v>
      </c>
      <c r="D25" s="437">
        <v>1758763.66</v>
      </c>
      <c r="E25" s="437">
        <v>144218.62</v>
      </c>
      <c r="F25" s="437">
        <v>45671.57</v>
      </c>
      <c r="G25" s="437">
        <v>1948653.85</v>
      </c>
      <c r="H25" s="437">
        <v>2048737.53</v>
      </c>
      <c r="I25" s="438">
        <f>I22</f>
        <v>1.2</v>
      </c>
      <c r="J25" s="439">
        <f t="shared" si="1"/>
        <v>2458485.04</v>
      </c>
      <c r="K25" s="452"/>
      <c r="L25" s="452"/>
      <c r="M25" s="452"/>
      <c r="N25" s="452"/>
      <c r="O25" s="452">
        <v>505496.99</v>
      </c>
      <c r="P25" s="441">
        <f t="shared" si="2"/>
        <v>505496.99</v>
      </c>
      <c r="Q25" s="441">
        <f t="shared" si="3"/>
        <v>1952988.05</v>
      </c>
      <c r="R25" s="578" t="str">
        <f>R23</f>
        <v>ВОРа на доп. не будет</v>
      </c>
      <c r="S25" s="453" t="s">
        <v>251</v>
      </c>
      <c r="T25" s="443">
        <f t="shared" si="4"/>
        <v>505496.99</v>
      </c>
      <c r="U25" s="454">
        <v>0</v>
      </c>
      <c r="V25" s="455">
        <f>T25+U25</f>
        <v>505496.99</v>
      </c>
      <c r="W25" s="451"/>
      <c r="X25" s="446"/>
      <c r="Y25" s="443"/>
      <c r="Z25" s="447"/>
      <c r="AA25" s="448"/>
    </row>
    <row r="26" spans="1:28" s="585" customFormat="1" ht="31.5" x14ac:dyDescent="0.25">
      <c r="A26" s="217">
        <v>18</v>
      </c>
      <c r="B26" s="245" t="s">
        <v>58</v>
      </c>
      <c r="C26" s="219" t="str">
        <f>ССР!C47</f>
        <v>Теплоснабжение. Переустройство трубопровода.ТС1</v>
      </c>
      <c r="D26" s="220">
        <v>4044845.15</v>
      </c>
      <c r="E26" s="220">
        <v>331677.3</v>
      </c>
      <c r="F26" s="220">
        <v>105036.54</v>
      </c>
      <c r="G26" s="220">
        <v>4481558.99</v>
      </c>
      <c r="H26" s="220">
        <v>4711733.74</v>
      </c>
      <c r="I26" s="221">
        <f>I13</f>
        <v>1.2</v>
      </c>
      <c r="J26" s="222">
        <f t="shared" si="1"/>
        <v>5654080.4900000002</v>
      </c>
      <c r="K26" s="579"/>
      <c r="L26" s="579"/>
      <c r="M26" s="579"/>
      <c r="N26" s="579"/>
      <c r="O26" s="579">
        <v>3594854.48</v>
      </c>
      <c r="P26" s="371">
        <f t="shared" si="2"/>
        <v>3594854.48</v>
      </c>
      <c r="Q26" s="371">
        <f t="shared" si="3"/>
        <v>2059226.01</v>
      </c>
      <c r="R26" s="579" t="s">
        <v>169</v>
      </c>
      <c r="S26" s="580" t="s">
        <v>247</v>
      </c>
      <c r="T26" s="83">
        <f t="shared" si="4"/>
        <v>3594854.48</v>
      </c>
      <c r="U26" s="581">
        <v>0</v>
      </c>
      <c r="V26" s="368">
        <f t="shared" ref="V26:V29" si="9">T26+U26</f>
        <v>3594854.48</v>
      </c>
      <c r="W26" s="582"/>
      <c r="X26" s="111"/>
      <c r="Y26" s="83"/>
      <c r="Z26" s="583"/>
      <c r="AA26" s="584"/>
    </row>
    <row r="27" spans="1:28" s="449" customFormat="1" ht="78.75" x14ac:dyDescent="0.25">
      <c r="A27" s="434">
        <v>19</v>
      </c>
      <c r="B27" s="435" t="s">
        <v>59</v>
      </c>
      <c r="C27" s="436" t="str">
        <f>ССР!C48</f>
        <v>Архитектурно-строительные решения. Эстакада для ТС1. АС 4</v>
      </c>
      <c r="D27" s="437">
        <v>4859580.66</v>
      </c>
      <c r="E27" s="437">
        <v>398485.61</v>
      </c>
      <c r="F27" s="437">
        <v>126193.59</v>
      </c>
      <c r="G27" s="437">
        <v>5384259.8600000003</v>
      </c>
      <c r="H27" s="437">
        <v>5660797.71</v>
      </c>
      <c r="I27" s="438">
        <f>I14</f>
        <v>1.2</v>
      </c>
      <c r="J27" s="439">
        <f t="shared" si="1"/>
        <v>6792957.25</v>
      </c>
      <c r="K27" s="452"/>
      <c r="L27" s="452"/>
      <c r="M27" s="452"/>
      <c r="N27" s="452"/>
      <c r="O27" s="452">
        <v>562345.21</v>
      </c>
      <c r="P27" s="441">
        <f t="shared" si="2"/>
        <v>562345.21</v>
      </c>
      <c r="Q27" s="441">
        <f t="shared" si="3"/>
        <v>6230612.04</v>
      </c>
      <c r="R27" s="456" t="s">
        <v>286</v>
      </c>
      <c r="S27" s="453" t="s">
        <v>251</v>
      </c>
      <c r="T27" s="443">
        <f t="shared" si="4"/>
        <v>562345.21</v>
      </c>
      <c r="U27" s="454">
        <v>0</v>
      </c>
      <c r="V27" s="455">
        <f t="shared" si="9"/>
        <v>562345.21</v>
      </c>
      <c r="W27" s="451"/>
      <c r="X27" s="446"/>
      <c r="Y27" s="443"/>
      <c r="Z27" s="447"/>
      <c r="AA27" s="448"/>
    </row>
    <row r="28" spans="1:28" ht="31.5" x14ac:dyDescent="0.25">
      <c r="A28" s="217">
        <v>20</v>
      </c>
      <c r="B28" s="245" t="s">
        <v>70</v>
      </c>
      <c r="C28" s="219" t="str">
        <f>ССР!C55</f>
        <v>Генеральный план. Трансбордер. ГП1</v>
      </c>
      <c r="D28" s="220">
        <v>5005903.75</v>
      </c>
      <c r="E28" s="220">
        <v>410484.11</v>
      </c>
      <c r="F28" s="220">
        <v>129993.31</v>
      </c>
      <c r="G28" s="220">
        <v>5546381.1699999999</v>
      </c>
      <c r="H28" s="220">
        <v>5831245.6399999997</v>
      </c>
      <c r="I28" s="221">
        <f>I12</f>
        <v>1.2</v>
      </c>
      <c r="J28" s="222">
        <f t="shared" si="1"/>
        <v>6997494.7699999996</v>
      </c>
      <c r="K28" s="373"/>
      <c r="L28" s="373">
        <v>2298854.48</v>
      </c>
      <c r="M28" s="373"/>
      <c r="N28" s="373"/>
      <c r="O28" s="373"/>
      <c r="P28" s="371">
        <f t="shared" si="2"/>
        <v>2298854.48</v>
      </c>
      <c r="Q28" s="371">
        <f t="shared" si="3"/>
        <v>4698640.29</v>
      </c>
      <c r="R28" s="395" t="str">
        <f>R26</f>
        <v>ждем ВОР</v>
      </c>
      <c r="S28" s="403" t="s">
        <v>247</v>
      </c>
      <c r="T28" s="83">
        <f t="shared" si="4"/>
        <v>2298854.48</v>
      </c>
      <c r="U28" s="367">
        <f>Q28</f>
        <v>4698640.29</v>
      </c>
      <c r="V28" s="368">
        <f t="shared" si="9"/>
        <v>6997494.7699999996</v>
      </c>
      <c r="W28" s="206"/>
      <c r="X28" s="111"/>
      <c r="Y28" s="84"/>
      <c r="Z28" s="208"/>
      <c r="AA28" s="419"/>
    </row>
    <row r="29" spans="1:28" ht="24.75" thickBot="1" x14ac:dyDescent="0.3">
      <c r="A29" s="421">
        <v>21</v>
      </c>
      <c r="B29" s="374" t="s">
        <v>71</v>
      </c>
      <c r="C29" s="375" t="str">
        <f>ССР!C56</f>
        <v>Генеральный план. ГП2</v>
      </c>
      <c r="D29" s="397">
        <v>48898423.600000001</v>
      </c>
      <c r="E29" s="397">
        <v>4009670.74</v>
      </c>
      <c r="F29" s="397">
        <v>1269794.26</v>
      </c>
      <c r="G29" s="397">
        <v>54177888.600000001</v>
      </c>
      <c r="H29" s="397">
        <v>56960487.710000001</v>
      </c>
      <c r="I29" s="376">
        <f>I16</f>
        <v>1.2</v>
      </c>
      <c r="J29" s="377">
        <f t="shared" si="1"/>
        <v>68352585.25</v>
      </c>
      <c r="K29" s="378"/>
      <c r="L29" s="378"/>
      <c r="M29" s="378">
        <v>11709977.720000001</v>
      </c>
      <c r="N29" s="378"/>
      <c r="O29" s="378">
        <v>3615838.44</v>
      </c>
      <c r="P29" s="379">
        <f t="shared" si="2"/>
        <v>15325816.16</v>
      </c>
      <c r="Q29" s="379">
        <f t="shared" si="3"/>
        <v>53026769.090000004</v>
      </c>
      <c r="R29" s="422" t="str">
        <f>R26</f>
        <v>ждем ВОР</v>
      </c>
      <c r="S29" s="423" t="s">
        <v>247</v>
      </c>
      <c r="T29" s="370">
        <f t="shared" si="4"/>
        <v>15325816.16</v>
      </c>
      <c r="U29" s="424">
        <f>Q29</f>
        <v>53026769.090000004</v>
      </c>
      <c r="V29" s="369">
        <f t="shared" si="9"/>
        <v>68352585.25</v>
      </c>
      <c r="W29" s="206"/>
      <c r="X29" s="111"/>
      <c r="Y29" s="85"/>
      <c r="Z29" s="209"/>
      <c r="AA29" s="419"/>
    </row>
    <row r="30" spans="1:28" ht="35.1" customHeight="1" thickTop="1" x14ac:dyDescent="0.25">
      <c r="A30" s="387">
        <v>22</v>
      </c>
      <c r="B30" s="388">
        <v>1</v>
      </c>
      <c r="C30" s="389" t="s">
        <v>175</v>
      </c>
      <c r="D30" s="390"/>
      <c r="E30" s="390"/>
      <c r="F30" s="390"/>
      <c r="G30" s="390"/>
      <c r="H30" s="390"/>
      <c r="I30" s="391"/>
      <c r="J30" s="392"/>
      <c r="K30" s="393"/>
      <c r="L30" s="393"/>
      <c r="M30" s="393"/>
      <c r="N30" s="393"/>
      <c r="O30" s="393"/>
      <c r="P30" s="393">
        <f>T30</f>
        <v>4216719.66</v>
      </c>
      <c r="Q30" s="393"/>
      <c r="R30" s="477" t="s">
        <v>139</v>
      </c>
      <c r="S30" s="394" t="s">
        <v>255</v>
      </c>
      <c r="T30" s="420">
        <v>4216719.66</v>
      </c>
      <c r="U30" s="420">
        <v>0</v>
      </c>
      <c r="V30" s="420">
        <f>T30+U30</f>
        <v>4216719.66</v>
      </c>
      <c r="X30" s="119"/>
      <c r="Y30" s="179"/>
      <c r="Z30" s="179"/>
    </row>
    <row r="31" spans="1:28" ht="35.1" customHeight="1" thickBot="1" x14ac:dyDescent="0.3">
      <c r="A31" s="513">
        <v>23</v>
      </c>
      <c r="B31" s="479">
        <v>1</v>
      </c>
      <c r="C31" s="480" t="s">
        <v>174</v>
      </c>
      <c r="D31" s="481"/>
      <c r="E31" s="481"/>
      <c r="F31" s="481"/>
      <c r="G31" s="481"/>
      <c r="H31" s="481"/>
      <c r="I31" s="482"/>
      <c r="J31" s="483"/>
      <c r="K31" s="484"/>
      <c r="L31" s="484"/>
      <c r="M31" s="484"/>
      <c r="N31" s="484"/>
      <c r="O31" s="484"/>
      <c r="P31" s="484">
        <f>T31</f>
        <v>2160473.5</v>
      </c>
      <c r="Q31" s="484"/>
      <c r="R31" s="514" t="s">
        <v>139</v>
      </c>
      <c r="S31" s="515" t="s">
        <v>255</v>
      </c>
      <c r="T31" s="485">
        <v>2160473.5</v>
      </c>
      <c r="U31" s="485">
        <v>0</v>
      </c>
      <c r="V31" s="486">
        <f t="shared" ref="V31" si="10">T31+U31</f>
        <v>2160473.5</v>
      </c>
      <c r="X31" s="117"/>
      <c r="Y31" s="105"/>
      <c r="Z31" s="211"/>
    </row>
    <row r="32" spans="1:28" ht="31.5" customHeight="1" thickTop="1" thickBot="1" x14ac:dyDescent="0.3">
      <c r="A32" s="516"/>
      <c r="B32" s="517" t="s">
        <v>120</v>
      </c>
      <c r="C32" s="518"/>
      <c r="D32" s="519">
        <f>SUM(D6:D29)</f>
        <v>392033916.06</v>
      </c>
      <c r="E32" s="518"/>
      <c r="F32" s="520"/>
      <c r="G32" s="519">
        <f>SUM(G6:G29)</f>
        <v>434361033.93000001</v>
      </c>
      <c r="H32" s="519">
        <f>SUM(H6:H29)</f>
        <v>456670000.00999999</v>
      </c>
      <c r="I32" s="519"/>
      <c r="J32" s="519">
        <f>SUM(J6:J29)</f>
        <v>548004000</v>
      </c>
      <c r="K32" s="521">
        <f>SUM(K6:K29)</f>
        <v>210417570.36000001</v>
      </c>
      <c r="L32" s="521">
        <f>SUM(L6:L29)+0.01</f>
        <v>79978331.209999993</v>
      </c>
      <c r="M32" s="521">
        <f>SUM(M6:M29)</f>
        <v>58868164.759999998</v>
      </c>
      <c r="N32" s="521">
        <f>SUM(N6:N29)</f>
        <v>5245250.92</v>
      </c>
      <c r="O32" s="521">
        <f>SUM(O6:O29)</f>
        <v>8616444.9800000004</v>
      </c>
      <c r="P32" s="521">
        <f>SUM(P6:P31)+0.01</f>
        <v>369502955.38999999</v>
      </c>
      <c r="Q32" s="521">
        <f>J32-P32</f>
        <v>178501044.61000001</v>
      </c>
      <c r="R32" s="521"/>
      <c r="S32" s="521"/>
      <c r="T32" s="522">
        <f>SUM(T6:T31)</f>
        <v>369502955.38</v>
      </c>
      <c r="U32" s="522">
        <f>SUM(U6:U31)</f>
        <v>146110328.15000001</v>
      </c>
      <c r="V32" s="522">
        <f>SUM(V6:V31)</f>
        <v>515613283.52999997</v>
      </c>
      <c r="W32" s="177"/>
      <c r="X32" s="115"/>
      <c r="Y32" s="101">
        <f>SUM(Y6:Y29)</f>
        <v>39961110.119999997</v>
      </c>
      <c r="Z32" s="210">
        <f>SUM(Z6:Z29)</f>
        <v>0</v>
      </c>
    </row>
    <row r="33" spans="1:27" ht="32.25" customHeight="1" x14ac:dyDescent="0.25">
      <c r="A33" s="498"/>
      <c r="B33" s="499"/>
      <c r="C33" s="499"/>
      <c r="D33" s="499"/>
      <c r="E33" s="499"/>
      <c r="F33" s="499"/>
      <c r="G33" s="499"/>
      <c r="H33" s="500"/>
      <c r="I33" s="499"/>
      <c r="J33" s="500"/>
      <c r="K33" s="501"/>
      <c r="L33" s="501"/>
      <c r="M33" s="501"/>
      <c r="N33" s="501"/>
      <c r="O33" s="501"/>
      <c r="P33" s="501"/>
      <c r="Q33" s="501"/>
      <c r="R33" s="501"/>
      <c r="S33" s="501"/>
      <c r="T33" s="1123" t="s">
        <v>245</v>
      </c>
      <c r="U33" s="1124"/>
      <c r="V33" s="503"/>
      <c r="X33" s="65"/>
      <c r="Y33" s="81"/>
      <c r="Z33" s="81"/>
    </row>
    <row r="34" spans="1:27" ht="35.1" customHeight="1" x14ac:dyDescent="0.25">
      <c r="A34" s="217">
        <v>24</v>
      </c>
      <c r="B34" s="542">
        <v>2</v>
      </c>
      <c r="C34" s="219" t="s">
        <v>141</v>
      </c>
      <c r="D34" s="220"/>
      <c r="E34" s="220"/>
      <c r="F34" s="220"/>
      <c r="G34" s="220"/>
      <c r="H34" s="220"/>
      <c r="I34" s="221"/>
      <c r="J34" s="222"/>
      <c r="K34" s="459"/>
      <c r="L34" s="459"/>
      <c r="M34" s="459"/>
      <c r="N34" s="459"/>
      <c r="O34" s="459"/>
      <c r="P34" s="459"/>
      <c r="Q34" s="459"/>
      <c r="R34" s="460" t="s">
        <v>139</v>
      </c>
      <c r="S34" s="461" t="s">
        <v>282</v>
      </c>
      <c r="T34" s="462">
        <v>0</v>
      </c>
      <c r="U34" s="462">
        <v>705505</v>
      </c>
      <c r="V34" s="462">
        <f t="shared" ref="V34" si="11">T34+U34</f>
        <v>705505</v>
      </c>
      <c r="X34" s="119"/>
      <c r="Y34" s="179"/>
      <c r="Z34" s="179"/>
      <c r="AA34" s="406" t="s">
        <v>280</v>
      </c>
    </row>
    <row r="35" spans="1:27" ht="35.1" customHeight="1" x14ac:dyDescent="0.25">
      <c r="A35" s="458">
        <v>25</v>
      </c>
      <c r="B35" s="542">
        <v>3</v>
      </c>
      <c r="C35" s="219" t="s">
        <v>142</v>
      </c>
      <c r="D35" s="220"/>
      <c r="E35" s="220"/>
      <c r="F35" s="220"/>
      <c r="G35" s="220"/>
      <c r="H35" s="220"/>
      <c r="I35" s="221"/>
      <c r="J35" s="222"/>
      <c r="K35" s="459"/>
      <c r="L35" s="459"/>
      <c r="M35" s="459"/>
      <c r="N35" s="459"/>
      <c r="O35" s="459"/>
      <c r="P35" s="459"/>
      <c r="Q35" s="459"/>
      <c r="R35" s="460" t="s">
        <v>139</v>
      </c>
      <c r="S35" s="461" t="str">
        <f>S34</f>
        <v>отправлено, 14.06</v>
      </c>
      <c r="T35" s="462">
        <v>0</v>
      </c>
      <c r="U35" s="462">
        <v>85851.36</v>
      </c>
      <c r="V35" s="462">
        <f t="shared" ref="V35:V37" si="12">T35+U35</f>
        <v>85851.36</v>
      </c>
      <c r="X35" s="119"/>
      <c r="Y35" s="180"/>
      <c r="Z35" s="180"/>
    </row>
    <row r="36" spans="1:27" ht="35.1" customHeight="1" x14ac:dyDescent="0.25">
      <c r="A36" s="217">
        <v>26</v>
      </c>
      <c r="B36" s="542">
        <v>4</v>
      </c>
      <c r="C36" s="219" t="s">
        <v>143</v>
      </c>
      <c r="D36" s="220"/>
      <c r="E36" s="220"/>
      <c r="F36" s="220"/>
      <c r="G36" s="220"/>
      <c r="H36" s="220"/>
      <c r="I36" s="221"/>
      <c r="J36" s="222"/>
      <c r="K36" s="459"/>
      <c r="L36" s="459"/>
      <c r="M36" s="459"/>
      <c r="N36" s="459"/>
      <c r="O36" s="459"/>
      <c r="P36" s="459"/>
      <c r="Q36" s="459"/>
      <c r="R36" s="460" t="s">
        <v>139</v>
      </c>
      <c r="S36" s="461" t="str">
        <f>S34</f>
        <v>отправлено, 14.06</v>
      </c>
      <c r="T36" s="462">
        <v>0</v>
      </c>
      <c r="U36" s="462">
        <v>26314.48</v>
      </c>
      <c r="V36" s="462">
        <f t="shared" si="12"/>
        <v>26314.48</v>
      </c>
      <c r="X36" s="119"/>
      <c r="Y36" s="180"/>
      <c r="Z36" s="180"/>
    </row>
    <row r="37" spans="1:27" ht="35.1" customHeight="1" x14ac:dyDescent="0.25">
      <c r="A37" s="458">
        <v>27</v>
      </c>
      <c r="B37" s="542">
        <v>5</v>
      </c>
      <c r="C37" s="219" t="s">
        <v>146</v>
      </c>
      <c r="D37" s="220"/>
      <c r="E37" s="220"/>
      <c r="F37" s="220"/>
      <c r="G37" s="220"/>
      <c r="H37" s="220"/>
      <c r="I37" s="221"/>
      <c r="J37" s="222"/>
      <c r="K37" s="459"/>
      <c r="L37" s="459"/>
      <c r="M37" s="459"/>
      <c r="N37" s="459"/>
      <c r="O37" s="459"/>
      <c r="P37" s="459"/>
      <c r="Q37" s="459"/>
      <c r="R37" s="460" t="s">
        <v>139</v>
      </c>
      <c r="S37" s="461" t="str">
        <f>S34</f>
        <v>отправлено, 14.06</v>
      </c>
      <c r="T37" s="462">
        <v>0</v>
      </c>
      <c r="U37" s="462">
        <v>208912.6</v>
      </c>
      <c r="V37" s="462">
        <f t="shared" si="12"/>
        <v>208912.6</v>
      </c>
      <c r="X37" s="119"/>
      <c r="Y37" s="180"/>
      <c r="Z37" s="180"/>
    </row>
    <row r="38" spans="1:27" ht="35.1" customHeight="1" x14ac:dyDescent="0.25">
      <c r="A38" s="217">
        <v>29</v>
      </c>
      <c r="B38" s="543">
        <v>6</v>
      </c>
      <c r="C38" s="464" t="s">
        <v>140</v>
      </c>
      <c r="D38" s="465"/>
      <c r="E38" s="465"/>
      <c r="F38" s="465"/>
      <c r="G38" s="465"/>
      <c r="H38" s="465"/>
      <c r="I38" s="466"/>
      <c r="J38" s="467"/>
      <c r="K38" s="468"/>
      <c r="L38" s="468"/>
      <c r="M38" s="468"/>
      <c r="N38" s="468"/>
      <c r="O38" s="468"/>
      <c r="P38" s="468"/>
      <c r="Q38" s="468"/>
      <c r="R38" s="469" t="s">
        <v>139</v>
      </c>
      <c r="S38" s="528" t="str">
        <f>S34</f>
        <v>отправлено, 14.06</v>
      </c>
      <c r="T38" s="470">
        <v>0</v>
      </c>
      <c r="U38" s="470">
        <v>570651.94999999995</v>
      </c>
      <c r="V38" s="462">
        <f t="shared" ref="V38:V43" si="13">T38+U38</f>
        <v>570651.94999999995</v>
      </c>
      <c r="X38" s="117"/>
      <c r="Y38" s="105"/>
      <c r="Z38" s="211"/>
    </row>
    <row r="39" spans="1:27" ht="35.1" customHeight="1" x14ac:dyDescent="0.25">
      <c r="A39" s="217">
        <v>28</v>
      </c>
      <c r="B39" s="542">
        <v>7</v>
      </c>
      <c r="C39" s="42" t="s">
        <v>148</v>
      </c>
      <c r="D39" s="43"/>
      <c r="E39" s="43"/>
      <c r="F39" s="43"/>
      <c r="G39" s="43"/>
      <c r="H39" s="43"/>
      <c r="I39" s="44"/>
      <c r="J39" s="55"/>
      <c r="K39" s="56"/>
      <c r="L39" s="56"/>
      <c r="M39" s="56"/>
      <c r="N39" s="56"/>
      <c r="O39" s="56"/>
      <c r="P39" s="459"/>
      <c r="Q39" s="459"/>
      <c r="R39" s="529" t="s">
        <v>139</v>
      </c>
      <c r="S39" s="461" t="str">
        <f>S34</f>
        <v>отправлено, 14.06</v>
      </c>
      <c r="T39" s="530">
        <v>0</v>
      </c>
      <c r="U39" s="530">
        <v>231084.76</v>
      </c>
      <c r="V39" s="462">
        <f t="shared" si="13"/>
        <v>231084.76</v>
      </c>
      <c r="X39" s="119"/>
      <c r="Y39" s="107"/>
      <c r="Z39" s="213"/>
    </row>
    <row r="40" spans="1:27" ht="35.1" customHeight="1" thickBot="1" x14ac:dyDescent="0.3">
      <c r="A40" s="421">
        <v>31</v>
      </c>
      <c r="B40" s="544">
        <v>8</v>
      </c>
      <c r="C40" s="375" t="s">
        <v>250</v>
      </c>
      <c r="D40" s="471"/>
      <c r="E40" s="471"/>
      <c r="F40" s="471"/>
      <c r="G40" s="471"/>
      <c r="H40" s="471"/>
      <c r="I40" s="472"/>
      <c r="J40" s="473"/>
      <c r="K40" s="474"/>
      <c r="L40" s="474"/>
      <c r="M40" s="474"/>
      <c r="N40" s="474"/>
      <c r="O40" s="474"/>
      <c r="P40" s="531"/>
      <c r="Q40" s="531"/>
      <c r="R40" s="532" t="s">
        <v>139</v>
      </c>
      <c r="S40" s="527" t="str">
        <f>S34</f>
        <v>отправлено, 14.06</v>
      </c>
      <c r="T40" s="533">
        <v>0</v>
      </c>
      <c r="U40" s="533">
        <v>107940.55</v>
      </c>
      <c r="V40" s="534">
        <f t="shared" si="13"/>
        <v>107940.55</v>
      </c>
      <c r="X40" s="119"/>
      <c r="Y40" s="107"/>
      <c r="Z40" s="213"/>
    </row>
    <row r="41" spans="1:27" ht="35.1" customHeight="1" thickTop="1" x14ac:dyDescent="0.25">
      <c r="A41" s="545">
        <v>32</v>
      </c>
      <c r="B41" s="568">
        <v>9</v>
      </c>
      <c r="C41" s="569" t="s">
        <v>145</v>
      </c>
      <c r="D41" s="570"/>
      <c r="E41" s="570"/>
      <c r="F41" s="570"/>
      <c r="G41" s="570"/>
      <c r="H41" s="570"/>
      <c r="I41" s="571"/>
      <c r="J41" s="572"/>
      <c r="K41" s="573"/>
      <c r="L41" s="573"/>
      <c r="M41" s="573"/>
      <c r="N41" s="573"/>
      <c r="O41" s="573"/>
      <c r="P41" s="574"/>
      <c r="Q41" s="574"/>
      <c r="R41" s="575" t="s">
        <v>139</v>
      </c>
      <c r="S41" s="576" t="s">
        <v>285</v>
      </c>
      <c r="T41" s="577">
        <v>0</v>
      </c>
      <c r="U41" s="577">
        <v>2348452.58</v>
      </c>
      <c r="V41" s="577">
        <f t="shared" si="13"/>
        <v>2348452.58</v>
      </c>
      <c r="X41" s="119"/>
      <c r="Y41" s="180"/>
      <c r="Z41" s="180"/>
    </row>
    <row r="42" spans="1:27" ht="46.5" customHeight="1" x14ac:dyDescent="0.25">
      <c r="A42" s="475">
        <v>33</v>
      </c>
      <c r="B42" s="558">
        <v>10</v>
      </c>
      <c r="C42" s="559" t="s">
        <v>144</v>
      </c>
      <c r="D42" s="560"/>
      <c r="E42" s="560"/>
      <c r="F42" s="560"/>
      <c r="G42" s="560"/>
      <c r="H42" s="560"/>
      <c r="I42" s="561"/>
      <c r="J42" s="562"/>
      <c r="K42" s="563"/>
      <c r="L42" s="563"/>
      <c r="M42" s="563"/>
      <c r="N42" s="563"/>
      <c r="O42" s="563"/>
      <c r="P42" s="293"/>
      <c r="Q42" s="293"/>
      <c r="R42" s="564" t="s">
        <v>139</v>
      </c>
      <c r="S42" s="565" t="s">
        <v>288</v>
      </c>
      <c r="T42" s="566">
        <v>0</v>
      </c>
      <c r="U42" s="566">
        <v>389490.94</v>
      </c>
      <c r="V42" s="567">
        <f t="shared" si="13"/>
        <v>389490.94</v>
      </c>
      <c r="W42" s="189"/>
      <c r="X42" s="182"/>
      <c r="Y42" s="183"/>
      <c r="Z42" s="212"/>
    </row>
    <row r="43" spans="1:27" ht="50.25" customHeight="1" thickBot="1" x14ac:dyDescent="0.3">
      <c r="A43" s="546">
        <v>30</v>
      </c>
      <c r="B43" s="547"/>
      <c r="C43" s="548" t="s">
        <v>279</v>
      </c>
      <c r="D43" s="549"/>
      <c r="E43" s="549"/>
      <c r="F43" s="549"/>
      <c r="G43" s="549"/>
      <c r="H43" s="549"/>
      <c r="I43" s="550"/>
      <c r="J43" s="551"/>
      <c r="K43" s="552"/>
      <c r="L43" s="552"/>
      <c r="M43" s="552"/>
      <c r="N43" s="552"/>
      <c r="O43" s="552"/>
      <c r="P43" s="552"/>
      <c r="Q43" s="552"/>
      <c r="R43" s="553" t="s">
        <v>255</v>
      </c>
      <c r="S43" s="554" t="s">
        <v>281</v>
      </c>
      <c r="T43" s="555">
        <v>0</v>
      </c>
      <c r="U43" s="555">
        <v>9690548.2599999998</v>
      </c>
      <c r="V43" s="556">
        <f t="shared" si="13"/>
        <v>9690548.2599999998</v>
      </c>
      <c r="X43" s="117"/>
      <c r="Y43" s="105"/>
      <c r="Z43" s="211"/>
    </row>
    <row r="44" spans="1:27" ht="35.1" customHeight="1" thickTop="1" thickBot="1" x14ac:dyDescent="0.3">
      <c r="A44" s="82">
        <v>34</v>
      </c>
      <c r="B44" s="321"/>
      <c r="C44" s="171" t="s">
        <v>149</v>
      </c>
      <c r="D44" s="322"/>
      <c r="E44" s="322"/>
      <c r="F44" s="322"/>
      <c r="G44" s="322"/>
      <c r="H44" s="322"/>
      <c r="I44" s="323"/>
      <c r="J44" s="172"/>
      <c r="K44" s="324"/>
      <c r="L44" s="324"/>
      <c r="M44" s="324"/>
      <c r="N44" s="324"/>
      <c r="O44" s="324"/>
      <c r="P44" s="173"/>
      <c r="Q44" s="173"/>
      <c r="R44" s="401" t="s">
        <v>139</v>
      </c>
      <c r="S44" s="401" t="s">
        <v>170</v>
      </c>
      <c r="T44" s="326"/>
      <c r="U44" s="326">
        <v>4746000</v>
      </c>
      <c r="V44" s="399">
        <f t="shared" ref="V44" si="14">T44+U44</f>
        <v>4746000</v>
      </c>
      <c r="X44" s="119"/>
      <c r="Y44" s="107"/>
      <c r="Z44" s="213"/>
    </row>
    <row r="45" spans="1:27" ht="35.1" customHeight="1" thickBot="1" x14ac:dyDescent="0.3">
      <c r="A45" s="504"/>
      <c r="B45" s="103"/>
      <c r="C45" s="505"/>
      <c r="D45" s="506"/>
      <c r="E45" s="506"/>
      <c r="F45" s="506"/>
      <c r="G45" s="506"/>
      <c r="H45" s="506"/>
      <c r="I45" s="507"/>
      <c r="J45" s="508"/>
      <c r="K45" s="509"/>
      <c r="L45" s="509"/>
      <c r="M45" s="509"/>
      <c r="N45" s="509"/>
      <c r="O45" s="509"/>
      <c r="P45" s="509"/>
      <c r="Q45" s="509"/>
      <c r="R45" s="510"/>
      <c r="S45" s="511"/>
      <c r="T45" s="512"/>
      <c r="U45" s="73">
        <f>SUM(U34:U44)</f>
        <v>19110752.48</v>
      </c>
      <c r="V45" s="73">
        <f>SUM(V34:V44)</f>
        <v>19110752.48</v>
      </c>
      <c r="X45" s="117"/>
      <c r="Y45" s="105"/>
      <c r="Z45" s="211"/>
    </row>
    <row r="46" spans="1:27" ht="33" customHeight="1" x14ac:dyDescent="0.25">
      <c r="A46" s="498"/>
      <c r="B46" s="499"/>
      <c r="C46" s="499"/>
      <c r="D46" s="499"/>
      <c r="E46" s="499"/>
      <c r="F46" s="499"/>
      <c r="G46" s="499"/>
      <c r="H46" s="500"/>
      <c r="I46" s="499"/>
      <c r="J46" s="500"/>
      <c r="K46" s="501"/>
      <c r="L46" s="501"/>
      <c r="M46" s="501"/>
      <c r="N46" s="501"/>
      <c r="O46" s="501"/>
      <c r="P46" s="501"/>
      <c r="Q46" s="501"/>
      <c r="R46" s="501"/>
      <c r="S46" s="502"/>
      <c r="T46" s="1123" t="s">
        <v>253</v>
      </c>
      <c r="U46" s="1124"/>
      <c r="V46" s="503"/>
      <c r="X46" s="65"/>
      <c r="Y46" s="81"/>
      <c r="Z46" s="81"/>
    </row>
    <row r="47" spans="1:27" ht="35.1" customHeight="1" x14ac:dyDescent="0.25">
      <c r="A47" s="82">
        <v>36</v>
      </c>
      <c r="B47" s="321"/>
      <c r="C47" s="171" t="s">
        <v>151</v>
      </c>
      <c r="D47" s="322"/>
      <c r="E47" s="322"/>
      <c r="F47" s="322"/>
      <c r="G47" s="322"/>
      <c r="H47" s="322"/>
      <c r="I47" s="323"/>
      <c r="J47" s="172"/>
      <c r="K47" s="324"/>
      <c r="L47" s="324"/>
      <c r="M47" s="324"/>
      <c r="N47" s="324"/>
      <c r="O47" s="324"/>
      <c r="P47" s="173"/>
      <c r="Q47" s="173"/>
      <c r="R47" s="404" t="s">
        <v>243</v>
      </c>
      <c r="S47" s="325"/>
      <c r="T47" s="326"/>
      <c r="U47" s="326"/>
      <c r="V47" s="399">
        <f>T47+U47</f>
        <v>0</v>
      </c>
      <c r="X47" s="119"/>
      <c r="Y47" s="107"/>
      <c r="Z47" s="213"/>
    </row>
    <row r="48" spans="1:27" ht="35.1" customHeight="1" thickBot="1" x14ac:dyDescent="0.3">
      <c r="A48" s="87">
        <v>37</v>
      </c>
      <c r="B48" s="327"/>
      <c r="C48" s="328" t="s">
        <v>152</v>
      </c>
      <c r="D48" s="329"/>
      <c r="E48" s="329"/>
      <c r="F48" s="329"/>
      <c r="G48" s="329"/>
      <c r="H48" s="329"/>
      <c r="I48" s="330"/>
      <c r="J48" s="331"/>
      <c r="K48" s="332"/>
      <c r="L48" s="332"/>
      <c r="M48" s="332"/>
      <c r="N48" s="332"/>
      <c r="O48" s="332"/>
      <c r="P48" s="333"/>
      <c r="Q48" s="333"/>
      <c r="R48" s="405" t="s">
        <v>243</v>
      </c>
      <c r="S48" s="334"/>
      <c r="T48" s="335"/>
      <c r="U48" s="335"/>
      <c r="V48" s="408">
        <f t="shared" ref="V48" si="15">T48+U48</f>
        <v>0</v>
      </c>
      <c r="X48" s="125"/>
      <c r="Y48" s="109"/>
      <c r="Z48" s="214"/>
    </row>
    <row r="49" spans="1:27" ht="31.5" customHeight="1" thickTop="1" thickBot="1" x14ac:dyDescent="0.3">
      <c r="A49" s="102"/>
      <c r="B49" s="66" t="s">
        <v>120</v>
      </c>
      <c r="C49" s="67"/>
      <c r="D49" s="68">
        <f t="shared" ref="D49:J49" si="16">SUM(D34:D48)</f>
        <v>0</v>
      </c>
      <c r="E49" s="68">
        <f t="shared" si="16"/>
        <v>0</v>
      </c>
      <c r="F49" s="68">
        <f t="shared" si="16"/>
        <v>0</v>
      </c>
      <c r="G49" s="68">
        <f t="shared" si="16"/>
        <v>0</v>
      </c>
      <c r="H49" s="68">
        <f t="shared" si="16"/>
        <v>0</v>
      </c>
      <c r="I49" s="68">
        <f t="shared" si="16"/>
        <v>0</v>
      </c>
      <c r="J49" s="68">
        <f t="shared" si="16"/>
        <v>0</v>
      </c>
      <c r="K49" s="69"/>
      <c r="L49" s="69"/>
      <c r="M49" s="69"/>
      <c r="N49" s="69"/>
      <c r="O49" s="69"/>
      <c r="P49" s="69"/>
      <c r="Q49" s="69"/>
      <c r="R49" s="69"/>
      <c r="S49" s="386"/>
      <c r="T49" s="86">
        <f>SUM(T34:T48)</f>
        <v>0</v>
      </c>
      <c r="U49" s="86">
        <f>SUM(U34:U48)-U45</f>
        <v>19110752.48</v>
      </c>
      <c r="V49" s="86">
        <f>SUM(V34:V48)-V45</f>
        <v>19110752.48</v>
      </c>
      <c r="W49" s="177"/>
      <c r="X49" s="69"/>
      <c r="Y49" s="86">
        <f>SUM(Y34:Y48)</f>
        <v>0</v>
      </c>
      <c r="Z49" s="215">
        <f>SUM(Z34:Z48)</f>
        <v>0</v>
      </c>
    </row>
    <row r="50" spans="1:27" ht="31.5" customHeight="1" thickBot="1" x14ac:dyDescent="0.3">
      <c r="A50" s="104"/>
      <c r="B50" s="103" t="s">
        <v>153</v>
      </c>
      <c r="C50" s="70"/>
      <c r="D50" s="71">
        <f>D32+D49</f>
        <v>392033916.06</v>
      </c>
      <c r="E50" s="70"/>
      <c r="F50" s="72"/>
      <c r="G50" s="71">
        <f>SUM(G27:G49)</f>
        <v>499469563.56</v>
      </c>
      <c r="H50" s="71">
        <f>SUM(H27:H49)</f>
        <v>525122531.06999999</v>
      </c>
      <c r="I50" s="71"/>
      <c r="J50" s="71">
        <f t="shared" ref="J50:Q50" si="17">J32+J49</f>
        <v>548004000</v>
      </c>
      <c r="K50" s="71">
        <f t="shared" si="17"/>
        <v>210417570.36000001</v>
      </c>
      <c r="L50" s="71">
        <f t="shared" si="17"/>
        <v>79978331.209999993</v>
      </c>
      <c r="M50" s="71">
        <f t="shared" si="17"/>
        <v>58868164.759999998</v>
      </c>
      <c r="N50" s="71">
        <f t="shared" si="17"/>
        <v>5245250.92</v>
      </c>
      <c r="O50" s="71">
        <f t="shared" si="17"/>
        <v>8616444.9800000004</v>
      </c>
      <c r="P50" s="71">
        <f t="shared" si="17"/>
        <v>369502955.38999999</v>
      </c>
      <c r="Q50" s="71">
        <f t="shared" si="17"/>
        <v>178501044.61000001</v>
      </c>
      <c r="R50" s="71"/>
      <c r="S50" s="402"/>
      <c r="T50" s="73">
        <f>T32+T49</f>
        <v>369502955.38</v>
      </c>
      <c r="U50" s="73">
        <f>U32+U49</f>
        <v>165221080.63</v>
      </c>
      <c r="V50" s="73">
        <f>V32+V49</f>
        <v>534724036.00999999</v>
      </c>
      <c r="W50" s="177"/>
      <c r="X50" s="71"/>
      <c r="Y50" s="73">
        <f>Y32+Y49</f>
        <v>39961110.119999997</v>
      </c>
      <c r="Z50" s="216">
        <f>Z32+Z49</f>
        <v>0</v>
      </c>
      <c r="AA50" s="406">
        <f>V50/1.0514</f>
        <v>508582876.17462403</v>
      </c>
    </row>
    <row r="51" spans="1:27" x14ac:dyDescent="0.25">
      <c r="AA51" s="557">
        <f>J50/AA50</f>
        <v>1.0774999999999999</v>
      </c>
    </row>
    <row r="52" spans="1:27" ht="45" customHeight="1" x14ac:dyDescent="0.25">
      <c r="A52" s="82">
        <v>35</v>
      </c>
      <c r="B52" s="41">
        <v>11</v>
      </c>
      <c r="C52" s="42" t="s">
        <v>277</v>
      </c>
      <c r="D52" s="43"/>
      <c r="E52" s="43"/>
      <c r="F52" s="43"/>
      <c r="G52" s="43"/>
      <c r="H52" s="43"/>
      <c r="I52" s="44"/>
      <c r="J52" s="55"/>
      <c r="K52" s="56"/>
      <c r="L52" s="56"/>
      <c r="M52" s="56"/>
      <c r="N52" s="56"/>
      <c r="O52" s="56"/>
      <c r="P52" s="53"/>
      <c r="Q52" s="53"/>
      <c r="R52" s="400" t="s">
        <v>139</v>
      </c>
      <c r="S52" s="190" t="s">
        <v>278</v>
      </c>
      <c r="T52" s="107">
        <v>0</v>
      </c>
      <c r="U52" s="107">
        <v>22184864.98</v>
      </c>
      <c r="V52" s="399">
        <f>T52+U52</f>
        <v>22184864.98</v>
      </c>
      <c r="X52" s="119"/>
      <c r="Y52" s="107"/>
      <c r="Z52" s="213"/>
    </row>
    <row r="53" spans="1:27" ht="16.5" thickBot="1" x14ac:dyDescent="0.3"/>
    <row r="54" spans="1:27" ht="31.5" customHeight="1" thickBot="1" x14ac:dyDescent="0.3">
      <c r="A54" s="104"/>
      <c r="B54" s="103" t="s">
        <v>153</v>
      </c>
      <c r="C54" s="70"/>
      <c r="D54" s="71">
        <f>D36+D53</f>
        <v>0</v>
      </c>
      <c r="E54" s="70"/>
      <c r="F54" s="72"/>
      <c r="G54" s="71">
        <f>SUM(G31:G53)</f>
        <v>933830597.49000001</v>
      </c>
      <c r="H54" s="71">
        <f>SUM(H31:H53)</f>
        <v>981792531.08000004</v>
      </c>
      <c r="I54" s="71"/>
      <c r="J54" s="71">
        <f t="shared" ref="J54:Q54" si="18">J36+J53</f>
        <v>0</v>
      </c>
      <c r="K54" s="71">
        <f t="shared" si="18"/>
        <v>0</v>
      </c>
      <c r="L54" s="71">
        <f t="shared" si="18"/>
        <v>0</v>
      </c>
      <c r="M54" s="71">
        <f t="shared" si="18"/>
        <v>0</v>
      </c>
      <c r="N54" s="71">
        <f t="shared" si="18"/>
        <v>0</v>
      </c>
      <c r="O54" s="71">
        <f t="shared" si="18"/>
        <v>0</v>
      </c>
      <c r="P54" s="71">
        <f t="shared" si="18"/>
        <v>0</v>
      </c>
      <c r="Q54" s="71">
        <f t="shared" si="18"/>
        <v>0</v>
      </c>
      <c r="R54" s="71"/>
      <c r="S54" s="402"/>
      <c r="T54" s="73">
        <f>T36+T53</f>
        <v>0</v>
      </c>
      <c r="U54" s="73">
        <f>U50+U52</f>
        <v>187405945.61000001</v>
      </c>
      <c r="V54" s="73">
        <f>V50+V52</f>
        <v>556908900.99000001</v>
      </c>
      <c r="W54" s="177"/>
      <c r="X54" s="71"/>
      <c r="Y54" s="73">
        <f>Y36+Y53</f>
        <v>0</v>
      </c>
      <c r="Z54" s="216">
        <f>Z36+Z53</f>
        <v>0</v>
      </c>
    </row>
    <row r="57" spans="1:27" x14ac:dyDescent="0.25">
      <c r="T57" s="45"/>
    </row>
    <row r="58" spans="1:27" x14ac:dyDescent="0.25">
      <c r="T58" s="45"/>
    </row>
    <row r="59" spans="1:27" x14ac:dyDescent="0.25">
      <c r="T59" s="45"/>
    </row>
    <row r="70" spans="1:27" s="39" customFormat="1" ht="54.95" customHeight="1" x14ac:dyDescent="0.25">
      <c r="A70" s="46"/>
      <c r="B70" s="47"/>
      <c r="C70" s="46"/>
      <c r="D70" s="48"/>
      <c r="E70" s="46"/>
      <c r="F70" s="49"/>
      <c r="G70" s="48"/>
      <c r="H70" s="48"/>
      <c r="I70" s="48"/>
      <c r="J70" s="48"/>
      <c r="K70" s="50"/>
      <c r="M70" s="35"/>
      <c r="O70" s="35"/>
      <c r="P70" s="36"/>
      <c r="Q70" s="36"/>
      <c r="R70" s="36"/>
      <c r="S70" s="36"/>
      <c r="T70" s="36"/>
      <c r="U70" s="36"/>
      <c r="V70" s="36"/>
      <c r="W70" s="176"/>
      <c r="X70" s="36"/>
      <c r="Y70" s="36"/>
      <c r="Z70" s="36"/>
      <c r="AA70" s="407"/>
    </row>
    <row r="71" spans="1:27" s="39" customFormat="1" x14ac:dyDescent="0.25">
      <c r="A71" s="36"/>
      <c r="B71" s="36"/>
      <c r="C71" s="36"/>
      <c r="D71" s="45">
        <f>ССР!H58</f>
        <v>392033.92</v>
      </c>
      <c r="E71" s="36"/>
      <c r="F71" s="45"/>
      <c r="G71" s="45">
        <f>ССР!H76</f>
        <v>434361.04</v>
      </c>
      <c r="H71" s="45">
        <f>ССР!H78</f>
        <v>456670</v>
      </c>
      <c r="I71" s="36"/>
      <c r="J71" s="45"/>
      <c r="K71" s="35"/>
      <c r="M71" s="35"/>
      <c r="O71" s="35"/>
      <c r="P71" s="36"/>
      <c r="Q71" s="36"/>
      <c r="R71" s="36"/>
      <c r="S71" s="36"/>
      <c r="T71" s="36"/>
      <c r="U71" s="36"/>
      <c r="V71" s="36"/>
      <c r="W71" s="176"/>
      <c r="X71" s="36"/>
      <c r="Y71" s="36"/>
      <c r="Z71" s="36"/>
      <c r="AA71" s="407"/>
    </row>
    <row r="72" spans="1:27" s="39" customFormat="1" x14ac:dyDescent="0.25">
      <c r="A72" s="36"/>
      <c r="B72" s="36"/>
      <c r="C72" s="36"/>
      <c r="D72" s="45">
        <f>D32/1000</f>
        <v>392033.92</v>
      </c>
      <c r="E72" s="36"/>
      <c r="F72" s="51"/>
      <c r="G72" s="52">
        <f>G32/1000</f>
        <v>434361.03</v>
      </c>
      <c r="H72" s="52">
        <f>H32/1000</f>
        <v>456670</v>
      </c>
      <c r="I72" s="36"/>
      <c r="J72" s="45"/>
      <c r="K72" s="50"/>
      <c r="M72" s="35"/>
      <c r="O72" s="35"/>
      <c r="P72" s="36"/>
      <c r="Q72" s="36"/>
      <c r="R72" s="36"/>
      <c r="S72" s="36"/>
      <c r="T72" s="36"/>
      <c r="U72" s="36"/>
      <c r="V72" s="36"/>
      <c r="W72" s="176"/>
      <c r="X72" s="36"/>
      <c r="Y72" s="36"/>
      <c r="Z72" s="36"/>
      <c r="AA72" s="407"/>
    </row>
    <row r="73" spans="1:27" s="39" customFormat="1" x14ac:dyDescent="0.25">
      <c r="A73" s="36"/>
      <c r="B73" s="36"/>
      <c r="C73" s="36"/>
      <c r="D73" s="45"/>
      <c r="E73" s="45"/>
      <c r="F73" s="51"/>
      <c r="G73" s="36"/>
      <c r="H73" s="36"/>
      <c r="I73" s="36"/>
      <c r="J73" s="36"/>
      <c r="M73" s="35"/>
      <c r="O73" s="35"/>
      <c r="P73" s="36"/>
      <c r="Q73" s="36"/>
      <c r="R73" s="36"/>
      <c r="S73" s="36"/>
      <c r="T73" s="36"/>
      <c r="U73" s="36"/>
      <c r="V73" s="36"/>
      <c r="W73" s="176"/>
      <c r="X73" s="36"/>
      <c r="Y73" s="36"/>
      <c r="Z73" s="36"/>
      <c r="AA73" s="407"/>
    </row>
    <row r="93" spans="1:1" x14ac:dyDescent="0.25">
      <c r="A93" s="36">
        <v>7</v>
      </c>
    </row>
  </sheetData>
  <autoFilter ref="A3:W50" xr:uid="{00000000-0001-0000-0100-000000000000}"/>
  <mergeCells count="13">
    <mergeCell ref="T5:U5"/>
    <mergeCell ref="T20:U20"/>
    <mergeCell ref="T46:U46"/>
    <mergeCell ref="T33:U33"/>
    <mergeCell ref="A1:J1"/>
    <mergeCell ref="A3:A4"/>
    <mergeCell ref="B3:B4"/>
    <mergeCell ref="C3:C4"/>
    <mergeCell ref="G3:G4"/>
    <mergeCell ref="H3:H4"/>
    <mergeCell ref="I3:I4"/>
    <mergeCell ref="J3:J4"/>
    <mergeCell ref="T21:U21"/>
  </mergeCells>
  <phoneticPr fontId="47" type="noConversion"/>
  <pageMargins left="0.23622047244094491" right="0.23622047244094491" top="0.74803149606299213" bottom="0.74803149606299213" header="0.31496062992125984" footer="0.31496062992125984"/>
  <pageSetup paperSize="9" scale="58" fitToHeight="100" orientation="landscape" r:id="rId1"/>
  <rowBreaks count="2" manualBreakCount="2">
    <brk id="52" max="17" man="1"/>
    <brk id="59" max="9" man="1"/>
  </rowBreaks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C12E9-97B4-4954-B72A-330398EF9369}">
  <sheetPr>
    <pageSetUpPr fitToPage="1"/>
  </sheetPr>
  <dimension ref="A1:X99"/>
  <sheetViews>
    <sheetView topLeftCell="C1" zoomScale="85" zoomScaleNormal="85" zoomScaleSheetLayoutView="80" workbookViewId="0">
      <pane ySplit="3" topLeftCell="A9" activePane="bottomLeft" state="frozen"/>
      <selection pane="bottomLeft" activeCell="N9" sqref="N9"/>
    </sheetView>
  </sheetViews>
  <sheetFormatPr defaultColWidth="9.140625" defaultRowHeight="15.75" outlineLevelCol="1" x14ac:dyDescent="0.25"/>
  <cols>
    <col min="1" max="1" width="7.42578125" style="36" customWidth="1"/>
    <col min="2" max="2" width="16.140625" style="36" customWidth="1"/>
    <col min="3" max="3" width="37.5703125" style="36" customWidth="1"/>
    <col min="4" max="4" width="20.5703125" style="36" customWidth="1" outlineLevel="1"/>
    <col min="5" max="5" width="18.85546875" style="36" customWidth="1" outlineLevel="1"/>
    <col min="6" max="6" width="17.5703125" style="36" customWidth="1" outlineLevel="1"/>
    <col min="7" max="7" width="20.7109375" style="36" customWidth="1" outlineLevel="1"/>
    <col min="8" max="8" width="19.5703125" style="36" customWidth="1" outlineLevel="1"/>
    <col min="9" max="9" width="8.5703125" style="36" customWidth="1" outlineLevel="1"/>
    <col min="10" max="10" width="21" style="36" customWidth="1"/>
    <col min="11" max="11" width="20.42578125" style="39" hidden="1" customWidth="1" outlineLevel="1"/>
    <col min="12" max="12" width="16.85546875" style="39" hidden="1" customWidth="1" outlineLevel="1"/>
    <col min="13" max="13" width="18.140625" style="35" hidden="1" customWidth="1" outlineLevel="1"/>
    <col min="14" max="14" width="16.85546875" style="39" hidden="1" customWidth="1" outlineLevel="1"/>
    <col min="15" max="15" width="18.140625" style="35" hidden="1" customWidth="1" outlineLevel="1"/>
    <col min="16" max="16" width="18.42578125" style="36" customWidth="1" collapsed="1"/>
    <col min="17" max="17" width="17.140625" style="36" customWidth="1"/>
    <col min="18" max="18" width="19.7109375" style="36" customWidth="1"/>
    <col min="19" max="19" width="33.85546875" style="36" customWidth="1"/>
    <col min="20" max="20" width="19" style="36" customWidth="1"/>
    <col min="21" max="21" width="3.28515625" style="176" customWidth="1"/>
    <col min="22" max="22" width="27.5703125" style="36" customWidth="1"/>
    <col min="23" max="24" width="19" style="36" customWidth="1"/>
    <col min="25" max="16384" width="9.140625" style="36"/>
  </cols>
  <sheetData>
    <row r="1" spans="1:24" ht="8.25" customHeight="1" x14ac:dyDescent="0.25">
      <c r="A1" s="1125"/>
      <c r="B1" s="1125"/>
      <c r="C1" s="1125"/>
      <c r="D1" s="1125"/>
      <c r="E1" s="1125"/>
      <c r="F1" s="1125"/>
      <c r="G1" s="1125"/>
      <c r="H1" s="1125"/>
      <c r="I1" s="1125"/>
      <c r="J1" s="1125"/>
      <c r="K1" s="268"/>
      <c r="L1" s="268"/>
      <c r="N1" s="268"/>
    </row>
    <row r="2" spans="1:24" ht="5.25" customHeight="1" thickBot="1" x14ac:dyDescent="0.3">
      <c r="A2" s="37"/>
      <c r="B2" s="37"/>
      <c r="C2" s="37"/>
      <c r="D2" s="37"/>
      <c r="E2" s="37"/>
      <c r="F2" s="37"/>
      <c r="G2" s="37"/>
      <c r="H2" s="37"/>
      <c r="I2" s="38"/>
      <c r="J2" s="37"/>
    </row>
    <row r="3" spans="1:24" ht="47.25" customHeight="1" x14ac:dyDescent="0.25">
      <c r="A3" s="1126" t="s">
        <v>111</v>
      </c>
      <c r="B3" s="1128" t="s">
        <v>112</v>
      </c>
      <c r="C3" s="1128" t="s">
        <v>113</v>
      </c>
      <c r="D3" s="270" t="s">
        <v>114</v>
      </c>
      <c r="E3" s="270" t="s">
        <v>115</v>
      </c>
      <c r="F3" s="270" t="s">
        <v>116</v>
      </c>
      <c r="G3" s="1128" t="s">
        <v>117</v>
      </c>
      <c r="H3" s="1130" t="s">
        <v>225</v>
      </c>
      <c r="I3" s="1128" t="s">
        <v>118</v>
      </c>
      <c r="J3" s="1130" t="s">
        <v>119</v>
      </c>
      <c r="K3" s="74" t="s">
        <v>126</v>
      </c>
      <c r="L3" s="74" t="s">
        <v>127</v>
      </c>
      <c r="M3" s="75" t="s">
        <v>128</v>
      </c>
      <c r="N3" s="76" t="s">
        <v>134</v>
      </c>
      <c r="O3" s="77" t="s">
        <v>135</v>
      </c>
      <c r="P3" s="78" t="s">
        <v>136</v>
      </c>
      <c r="Q3" s="78" t="s">
        <v>121</v>
      </c>
      <c r="R3" s="79" t="s">
        <v>137</v>
      </c>
      <c r="S3" s="79" t="s">
        <v>138</v>
      </c>
      <c r="T3" s="80" t="s">
        <v>157</v>
      </c>
      <c r="V3" s="79" t="s">
        <v>193</v>
      </c>
      <c r="W3" s="80" t="s">
        <v>157</v>
      </c>
      <c r="X3" s="80" t="s">
        <v>137</v>
      </c>
    </row>
    <row r="4" spans="1:24" ht="23.25" customHeight="1" x14ac:dyDescent="0.25">
      <c r="A4" s="1127"/>
      <c r="B4" s="1129"/>
      <c r="C4" s="1129"/>
      <c r="D4" s="271"/>
      <c r="E4" s="271"/>
      <c r="F4" s="271"/>
      <c r="G4" s="1129"/>
      <c r="H4" s="1131"/>
      <c r="I4" s="1129"/>
      <c r="J4" s="1131"/>
      <c r="K4" s="54" t="s">
        <v>122</v>
      </c>
      <c r="L4" s="54" t="s">
        <v>123</v>
      </c>
      <c r="M4" s="54" t="s">
        <v>124</v>
      </c>
      <c r="N4" s="54" t="s">
        <v>132</v>
      </c>
      <c r="O4" s="54" t="s">
        <v>133</v>
      </c>
      <c r="P4" s="40"/>
      <c r="Q4" s="40"/>
      <c r="R4" s="65"/>
      <c r="S4" s="65"/>
      <c r="T4" s="81"/>
      <c r="V4" s="65"/>
      <c r="W4" s="81"/>
      <c r="X4" s="81"/>
    </row>
    <row r="5" spans="1:24" ht="23.25" customHeight="1" x14ac:dyDescent="0.25">
      <c r="A5" s="269"/>
      <c r="B5" s="271"/>
      <c r="C5" s="271" t="s">
        <v>221</v>
      </c>
      <c r="D5" s="271"/>
      <c r="E5" s="271"/>
      <c r="F5" s="271"/>
      <c r="G5" s="271"/>
      <c r="H5" s="272"/>
      <c r="I5" s="271"/>
      <c r="J5" s="272">
        <f>J6/1.2</f>
        <v>56893839.633333303</v>
      </c>
      <c r="K5" s="54"/>
      <c r="L5" s="54"/>
      <c r="M5" s="54"/>
      <c r="N5" s="54"/>
      <c r="O5" s="54"/>
      <c r="P5" s="318">
        <f>P6/1.082/1.024/1.0514/1.2</f>
        <v>47118689.259999998</v>
      </c>
      <c r="Q5" s="40"/>
      <c r="R5" s="65"/>
      <c r="S5" s="65"/>
      <c r="T5" s="81"/>
      <c r="V5" s="65"/>
      <c r="W5" s="81"/>
      <c r="X5" s="81"/>
    </row>
    <row r="6" spans="1:24" ht="59.25" customHeight="1" x14ac:dyDescent="0.25">
      <c r="A6" s="301">
        <v>1</v>
      </c>
      <c r="B6" s="319" t="s">
        <v>223</v>
      </c>
      <c r="C6" s="302" t="str">
        <f>ССР!C24</f>
        <v>Выполнение работ по ликвидации объектов по трассе ж.д. путей, подготовке трассы ж.д. путей.</v>
      </c>
      <c r="D6" s="303">
        <v>47118689.259999998</v>
      </c>
      <c r="E6" s="303">
        <v>4004979.12</v>
      </c>
      <c r="F6" s="303">
        <v>1268308.51</v>
      </c>
      <c r="G6" s="303">
        <v>54114496.369999997</v>
      </c>
      <c r="H6" s="303">
        <v>56893839.630000003</v>
      </c>
      <c r="I6" s="304">
        <v>1.2</v>
      </c>
      <c r="J6" s="305">
        <f>ROUND(H6*I6,2)</f>
        <v>68272607.560000002</v>
      </c>
      <c r="K6" s="299">
        <v>65507253.219999999</v>
      </c>
      <c r="L6" s="299">
        <v>360012.73</v>
      </c>
      <c r="M6" s="299"/>
      <c r="N6" s="299"/>
      <c r="O6" s="299"/>
      <c r="P6" s="53">
        <f>K6+L6+M6+N6+O6</f>
        <v>65867265.950000003</v>
      </c>
      <c r="Q6" s="53">
        <f>J6-K6-L6-M6-N6-O6</f>
        <v>2405341.61</v>
      </c>
      <c r="R6" s="112" t="s">
        <v>139</v>
      </c>
      <c r="S6" s="111" t="s">
        <v>158</v>
      </c>
      <c r="T6" s="83">
        <f>47118689.25*1.082*1.024*1.0514*1.2</f>
        <v>65867265.939999998</v>
      </c>
      <c r="U6" s="177"/>
      <c r="V6" s="111"/>
      <c r="W6" s="84"/>
      <c r="X6" s="208"/>
    </row>
    <row r="7" spans="1:24" ht="35.1" customHeight="1" x14ac:dyDescent="0.25">
      <c r="A7" s="301">
        <v>2</v>
      </c>
      <c r="B7" s="319" t="s">
        <v>27</v>
      </c>
      <c r="C7" s="302" t="str">
        <f>ССР!C25</f>
        <v>Выполнение работ по ликвидации объекта капитального строительства</v>
      </c>
      <c r="D7" s="303">
        <v>40054718.460000001</v>
      </c>
      <c r="E7" s="303">
        <v>3284486.91</v>
      </c>
      <c r="F7" s="303">
        <v>1040140.93</v>
      </c>
      <c r="G7" s="303">
        <v>44379346.299999997</v>
      </c>
      <c r="H7" s="303">
        <v>46658688.170000002</v>
      </c>
      <c r="I7" s="304">
        <v>1.2</v>
      </c>
      <c r="J7" s="305">
        <f t="shared" ref="J7:J39" si="0">ROUND(H7*I7,2)</f>
        <v>55990425.799999997</v>
      </c>
      <c r="K7" s="299">
        <v>54911594.170000002</v>
      </c>
      <c r="L7" s="299"/>
      <c r="M7" s="299"/>
      <c r="N7" s="299"/>
      <c r="O7" s="299"/>
      <c r="P7" s="53">
        <f t="shared" ref="P7:P39" si="1">K7+L7+M7+N7+O7</f>
        <v>54911594.170000002</v>
      </c>
      <c r="Q7" s="53">
        <f t="shared" ref="Q7:Q39" si="2">J7-K7-L7-M7-N7-O7</f>
        <v>1078831.6299999999</v>
      </c>
      <c r="R7" s="112" t="s">
        <v>139</v>
      </c>
      <c r="S7" s="111" t="s">
        <v>158</v>
      </c>
      <c r="T7" s="83">
        <f>39281459.54*1.082*1.024*1.0514*1.2</f>
        <v>54911594.170000002</v>
      </c>
      <c r="V7" s="111"/>
      <c r="W7" s="84"/>
      <c r="X7" s="208"/>
    </row>
    <row r="8" spans="1:24" ht="35.1" customHeight="1" x14ac:dyDescent="0.25">
      <c r="A8" s="301">
        <v>3</v>
      </c>
      <c r="B8" s="319" t="s">
        <v>28</v>
      </c>
      <c r="C8" s="302" t="str">
        <f>ССР!C26</f>
        <v>Демонтаж сетей и систем  инженерного обоспечения.</v>
      </c>
      <c r="D8" s="303">
        <v>1177977.71</v>
      </c>
      <c r="E8" s="303">
        <v>96594.17</v>
      </c>
      <c r="F8" s="303">
        <v>30589.73</v>
      </c>
      <c r="G8" s="303">
        <v>1305161.6100000001</v>
      </c>
      <c r="H8" s="303">
        <v>1372195.26</v>
      </c>
      <c r="I8" s="304">
        <f>I6</f>
        <v>1.2</v>
      </c>
      <c r="J8" s="305">
        <f>ROUND(H8*I8,2)</f>
        <v>1646634.31</v>
      </c>
      <c r="K8" s="299"/>
      <c r="L8" s="299"/>
      <c r="M8" s="299">
        <v>1646696.3</v>
      </c>
      <c r="N8" s="299"/>
      <c r="O8" s="299"/>
      <c r="P8" s="53">
        <f t="shared" si="1"/>
        <v>1646696.3</v>
      </c>
      <c r="Q8" s="53">
        <v>0</v>
      </c>
      <c r="R8" s="112" t="s">
        <v>139</v>
      </c>
      <c r="S8" s="111" t="s">
        <v>158</v>
      </c>
      <c r="T8" s="84">
        <f>1177977.71*1.082*1.024*1.0514*1.2</f>
        <v>1646696.3</v>
      </c>
      <c r="V8" s="111"/>
      <c r="W8" s="84"/>
      <c r="X8" s="208"/>
    </row>
    <row r="9" spans="1:24" ht="34.5" customHeight="1" x14ac:dyDescent="0.25">
      <c r="A9" s="310">
        <v>4</v>
      </c>
      <c r="B9" s="311" t="s">
        <v>31</v>
      </c>
      <c r="C9" s="312" t="s">
        <v>11</v>
      </c>
      <c r="D9" s="313">
        <v>161452921.99000001</v>
      </c>
      <c r="E9" s="313">
        <v>13239139.6</v>
      </c>
      <c r="F9" s="313">
        <v>4192609.48</v>
      </c>
      <c r="G9" s="313">
        <v>178884671.06999999</v>
      </c>
      <c r="H9" s="313">
        <v>188072263.84999999</v>
      </c>
      <c r="I9" s="314">
        <v>1.2</v>
      </c>
      <c r="J9" s="315">
        <v>225686716.62</v>
      </c>
      <c r="K9" s="316">
        <v>89998722.969999999</v>
      </c>
      <c r="L9" s="316">
        <v>66544414.909999996</v>
      </c>
      <c r="M9" s="316">
        <v>42672742.899999999</v>
      </c>
      <c r="N9" s="316"/>
      <c r="O9" s="316"/>
      <c r="P9" s="53">
        <f t="shared" si="1"/>
        <v>199215880.78</v>
      </c>
      <c r="Q9" s="53">
        <f t="shared" si="2"/>
        <v>26470835.84</v>
      </c>
      <c r="R9" s="112" t="s">
        <v>169</v>
      </c>
      <c r="S9" s="111" t="s">
        <v>189</v>
      </c>
      <c r="T9" s="224"/>
      <c r="V9" s="111"/>
      <c r="W9" s="84"/>
      <c r="X9" s="208"/>
    </row>
    <row r="10" spans="1:24" ht="35.1" customHeight="1" x14ac:dyDescent="0.25">
      <c r="A10" s="301">
        <v>5</v>
      </c>
      <c r="B10" s="319" t="s">
        <v>32</v>
      </c>
      <c r="C10" s="302" t="s">
        <v>12</v>
      </c>
      <c r="D10" s="303">
        <v>4505948.67</v>
      </c>
      <c r="E10" s="303">
        <v>369487.79</v>
      </c>
      <c r="F10" s="303">
        <v>117010.48</v>
      </c>
      <c r="G10" s="303">
        <v>4992446.9400000004</v>
      </c>
      <c r="H10" s="303">
        <v>5248861.1100000003</v>
      </c>
      <c r="I10" s="304">
        <v>1.2</v>
      </c>
      <c r="J10" s="305">
        <v>6298633.3300000001</v>
      </c>
      <c r="K10" s="299"/>
      <c r="L10" s="299"/>
      <c r="M10" s="299"/>
      <c r="N10" s="299">
        <v>5245250.92</v>
      </c>
      <c r="O10" s="299"/>
      <c r="P10" s="53">
        <f t="shared" si="1"/>
        <v>5245250.92</v>
      </c>
      <c r="Q10" s="53">
        <f t="shared" si="2"/>
        <v>1053382.4099999999</v>
      </c>
      <c r="R10" s="112" t="s">
        <v>168</v>
      </c>
      <c r="S10" s="111" t="s">
        <v>189</v>
      </c>
      <c r="T10" s="84">
        <f>P10</f>
        <v>5245250.92</v>
      </c>
      <c r="U10" s="207" t="s">
        <v>172</v>
      </c>
      <c r="V10" s="111"/>
      <c r="W10" s="84"/>
      <c r="X10" s="208"/>
    </row>
    <row r="11" spans="1:24" ht="30" customHeight="1" x14ac:dyDescent="0.25">
      <c r="A11" s="301">
        <v>6</v>
      </c>
      <c r="B11" s="319" t="s">
        <v>33</v>
      </c>
      <c r="C11" s="302" t="s">
        <v>34</v>
      </c>
      <c r="D11" s="303">
        <v>10526911.91</v>
      </c>
      <c r="E11" s="303">
        <v>863206.78</v>
      </c>
      <c r="F11" s="303">
        <v>273362.84999999998</v>
      </c>
      <c r="G11" s="303">
        <v>11663481.539999999</v>
      </c>
      <c r="H11" s="303">
        <v>12262522.85</v>
      </c>
      <c r="I11" s="304">
        <v>1.2</v>
      </c>
      <c r="J11" s="305">
        <v>14715027.42</v>
      </c>
      <c r="K11" s="299"/>
      <c r="L11" s="299">
        <v>10775049.08</v>
      </c>
      <c r="M11" s="299"/>
      <c r="N11" s="299"/>
      <c r="O11" s="299"/>
      <c r="P11" s="53">
        <f t="shared" si="1"/>
        <v>10775049.08</v>
      </c>
      <c r="Q11" s="53">
        <f t="shared" si="2"/>
        <v>3939978.34</v>
      </c>
      <c r="R11" s="190"/>
      <c r="S11" s="111" t="s">
        <v>189</v>
      </c>
      <c r="T11" s="224"/>
      <c r="V11" s="111"/>
      <c r="W11" s="84"/>
      <c r="X11" s="208"/>
    </row>
    <row r="12" spans="1:24" ht="44.25" customHeight="1" x14ac:dyDescent="0.25">
      <c r="A12" s="301">
        <v>7</v>
      </c>
      <c r="B12" s="319" t="s">
        <v>35</v>
      </c>
      <c r="C12" s="302" t="s">
        <v>36</v>
      </c>
      <c r="D12" s="303">
        <v>1615223.87</v>
      </c>
      <c r="E12" s="303">
        <v>132448.35999999999</v>
      </c>
      <c r="F12" s="303">
        <v>41944.13</v>
      </c>
      <c r="G12" s="303">
        <v>1789616.36</v>
      </c>
      <c r="H12" s="303">
        <v>1881531.81</v>
      </c>
      <c r="I12" s="304">
        <v>1.2</v>
      </c>
      <c r="J12" s="305">
        <v>2257838.17</v>
      </c>
      <c r="K12" s="299"/>
      <c r="L12" s="299"/>
      <c r="M12" s="299">
        <v>1627347.05</v>
      </c>
      <c r="N12" s="299"/>
      <c r="O12" s="299"/>
      <c r="P12" s="227">
        <f>K12+L12+M12+N12+O12</f>
        <v>1627347.05</v>
      </c>
      <c r="Q12" s="227">
        <f t="shared" si="2"/>
        <v>630491.12</v>
      </c>
      <c r="R12" s="228" t="s">
        <v>139</v>
      </c>
      <c r="S12" s="229" t="s">
        <v>171</v>
      </c>
      <c r="T12" s="230">
        <f>1434541.77*1.082*1.024*1.0514*1.2</f>
        <v>2005347.47</v>
      </c>
      <c r="U12" s="231"/>
      <c r="V12" s="228" t="s">
        <v>139</v>
      </c>
      <c r="W12" s="232">
        <f>1447989.61*1.082*1.024*1.0514*1.2</f>
        <v>2024146.22</v>
      </c>
      <c r="X12" s="233" t="s">
        <v>186</v>
      </c>
    </row>
    <row r="13" spans="1:24" ht="35.1" customHeight="1" x14ac:dyDescent="0.25">
      <c r="A13" s="301">
        <v>8</v>
      </c>
      <c r="B13" s="319" t="s">
        <v>51</v>
      </c>
      <c r="C13" s="302" t="s">
        <v>52</v>
      </c>
      <c r="D13" s="303">
        <v>9143309.8300000001</v>
      </c>
      <c r="E13" s="303">
        <v>749751.41</v>
      </c>
      <c r="F13" s="303">
        <v>237433.47</v>
      </c>
      <c r="G13" s="303">
        <v>10130494.710000001</v>
      </c>
      <c r="H13" s="303">
        <v>10650801.17</v>
      </c>
      <c r="I13" s="304">
        <v>1.2</v>
      </c>
      <c r="J13" s="305">
        <v>12780961.4</v>
      </c>
      <c r="K13" s="299"/>
      <c r="L13" s="299"/>
      <c r="M13" s="299"/>
      <c r="N13" s="299"/>
      <c r="O13" s="299">
        <v>337909.86</v>
      </c>
      <c r="P13" s="198">
        <f t="shared" si="1"/>
        <v>337909.86</v>
      </c>
      <c r="Q13" s="198">
        <f t="shared" si="2"/>
        <v>12443051.539999999</v>
      </c>
      <c r="R13" s="203" t="s">
        <v>139</v>
      </c>
      <c r="S13" s="205" t="s">
        <v>171</v>
      </c>
      <c r="T13" s="204">
        <f>2121713.88*1.082*1.024*1.0514*1.2</f>
        <v>2965946.1</v>
      </c>
      <c r="U13" s="178"/>
      <c r="V13" s="111" t="s">
        <v>139</v>
      </c>
      <c r="W13" s="84">
        <f>1724717.19*1.082*1.024*1.0514*1.2</f>
        <v>2410984</v>
      </c>
      <c r="X13" s="233" t="s">
        <v>186</v>
      </c>
    </row>
    <row r="14" spans="1:24" ht="35.1" customHeight="1" x14ac:dyDescent="0.25">
      <c r="A14" s="301">
        <v>9</v>
      </c>
      <c r="B14" s="319" t="s">
        <v>224</v>
      </c>
      <c r="C14" s="302" t="s">
        <v>54</v>
      </c>
      <c r="D14" s="303">
        <v>21996729.18</v>
      </c>
      <c r="E14" s="303">
        <v>1803731.79</v>
      </c>
      <c r="F14" s="303">
        <v>571211.06000000006</v>
      </c>
      <c r="G14" s="303">
        <v>24371672.030000001</v>
      </c>
      <c r="H14" s="303">
        <v>25623411.34</v>
      </c>
      <c r="I14" s="304">
        <v>1.2</v>
      </c>
      <c r="J14" s="305">
        <v>30748093.609999999</v>
      </c>
      <c r="K14" s="299"/>
      <c r="L14" s="299"/>
      <c r="M14" s="299">
        <v>1211400.79</v>
      </c>
      <c r="N14" s="299"/>
      <c r="O14" s="299"/>
      <c r="P14" s="198">
        <f t="shared" si="1"/>
        <v>1211400.79</v>
      </c>
      <c r="Q14" s="198">
        <f t="shared" si="2"/>
        <v>29536692.82</v>
      </c>
      <c r="R14" s="205" t="s">
        <v>139</v>
      </c>
      <c r="S14" s="205" t="s">
        <v>171</v>
      </c>
      <c r="T14" s="204">
        <f>2987164.98*1.082*1.024*1.0514*1.2</f>
        <v>4175761.11</v>
      </c>
      <c r="U14" s="178"/>
      <c r="V14" s="111" t="s">
        <v>139</v>
      </c>
      <c r="W14" s="84">
        <f>2827828.36*1.082*1.024*1.0514*1.2</f>
        <v>3953024.28</v>
      </c>
      <c r="X14" s="233" t="s">
        <v>186</v>
      </c>
    </row>
    <row r="15" spans="1:24" ht="35.1" customHeight="1" x14ac:dyDescent="0.25">
      <c r="A15" s="301">
        <v>10</v>
      </c>
      <c r="B15" s="319" t="s">
        <v>55</v>
      </c>
      <c r="C15" s="302" t="s">
        <v>56</v>
      </c>
      <c r="D15" s="303">
        <v>1758763.66</v>
      </c>
      <c r="E15" s="303">
        <v>144218.62</v>
      </c>
      <c r="F15" s="303">
        <v>45671.57</v>
      </c>
      <c r="G15" s="303">
        <v>1948653.85</v>
      </c>
      <c r="H15" s="303">
        <v>2048737.53</v>
      </c>
      <c r="I15" s="304">
        <v>1.2</v>
      </c>
      <c r="J15" s="305">
        <v>2458485.04</v>
      </c>
      <c r="K15" s="299"/>
      <c r="L15" s="299"/>
      <c r="M15" s="299"/>
      <c r="N15" s="299"/>
      <c r="O15" s="299">
        <v>505496.99</v>
      </c>
      <c r="P15" s="53">
        <f t="shared" si="1"/>
        <v>505496.99</v>
      </c>
      <c r="Q15" s="53">
        <f t="shared" si="2"/>
        <v>1952988.05</v>
      </c>
      <c r="R15" s="191"/>
      <c r="S15" s="111" t="s">
        <v>189</v>
      </c>
      <c r="T15" s="224"/>
      <c r="V15" s="111"/>
      <c r="W15" s="84"/>
      <c r="X15" s="208"/>
    </row>
    <row r="16" spans="1:24" ht="35.1" customHeight="1" x14ac:dyDescent="0.25">
      <c r="A16" s="301">
        <v>11</v>
      </c>
      <c r="B16" s="319" t="s">
        <v>58</v>
      </c>
      <c r="C16" s="302" t="s">
        <v>108</v>
      </c>
      <c r="D16" s="303">
        <v>4044845.15</v>
      </c>
      <c r="E16" s="303">
        <v>331677.3</v>
      </c>
      <c r="F16" s="303">
        <v>105036.54</v>
      </c>
      <c r="G16" s="303">
        <v>4481558.99</v>
      </c>
      <c r="H16" s="303">
        <v>4711733.74</v>
      </c>
      <c r="I16" s="304">
        <v>1.2</v>
      </c>
      <c r="J16" s="305">
        <v>5654080.4900000002</v>
      </c>
      <c r="K16" s="299"/>
      <c r="L16" s="299"/>
      <c r="M16" s="299"/>
      <c r="N16" s="299"/>
      <c r="O16" s="299">
        <v>3594854.48</v>
      </c>
      <c r="P16" s="53">
        <f t="shared" si="1"/>
        <v>3594854.48</v>
      </c>
      <c r="Q16" s="53">
        <f t="shared" si="2"/>
        <v>2059226.01</v>
      </c>
      <c r="R16" s="191"/>
      <c r="S16" s="111" t="s">
        <v>189</v>
      </c>
      <c r="T16" s="224"/>
      <c r="V16" s="111"/>
      <c r="W16" s="84"/>
      <c r="X16" s="208"/>
    </row>
    <row r="17" spans="1:24" ht="51.75" customHeight="1" x14ac:dyDescent="0.25">
      <c r="A17" s="301">
        <v>12</v>
      </c>
      <c r="B17" s="319" t="s">
        <v>59</v>
      </c>
      <c r="C17" s="302" t="s">
        <v>60</v>
      </c>
      <c r="D17" s="303">
        <v>4859580.66</v>
      </c>
      <c r="E17" s="303">
        <v>398485.61</v>
      </c>
      <c r="F17" s="303">
        <v>126193.59</v>
      </c>
      <c r="G17" s="303">
        <v>5384259.8600000003</v>
      </c>
      <c r="H17" s="303">
        <v>5660797.71</v>
      </c>
      <c r="I17" s="304">
        <v>1.2</v>
      </c>
      <c r="J17" s="305">
        <v>6792957.25</v>
      </c>
      <c r="K17" s="299"/>
      <c r="L17" s="299"/>
      <c r="M17" s="299"/>
      <c r="N17" s="299"/>
      <c r="O17" s="299">
        <v>562345.21</v>
      </c>
      <c r="P17" s="53">
        <f t="shared" si="1"/>
        <v>562345.21</v>
      </c>
      <c r="Q17" s="53">
        <f t="shared" si="2"/>
        <v>6230612.04</v>
      </c>
      <c r="R17" s="175" t="s">
        <v>185</v>
      </c>
      <c r="S17" s="111" t="s">
        <v>190</v>
      </c>
      <c r="T17" s="84">
        <f>2024770.16*1.082*1.024*1.0514*1.2</f>
        <v>2830428.37</v>
      </c>
      <c r="V17" s="111"/>
      <c r="W17" s="84"/>
      <c r="X17" s="208"/>
    </row>
    <row r="18" spans="1:24" ht="35.1" customHeight="1" x14ac:dyDescent="0.25">
      <c r="A18" s="301">
        <v>13</v>
      </c>
      <c r="B18" s="319" t="s">
        <v>70</v>
      </c>
      <c r="C18" s="302" t="s">
        <v>8</v>
      </c>
      <c r="D18" s="303">
        <v>5005903.75</v>
      </c>
      <c r="E18" s="303">
        <v>410484.11</v>
      </c>
      <c r="F18" s="303">
        <v>129993.31</v>
      </c>
      <c r="G18" s="303">
        <v>5546381.1699999999</v>
      </c>
      <c r="H18" s="303">
        <v>5831245.6399999997</v>
      </c>
      <c r="I18" s="304">
        <v>1.2</v>
      </c>
      <c r="J18" s="305">
        <v>6997494.7699999996</v>
      </c>
      <c r="K18" s="299"/>
      <c r="L18" s="299">
        <v>2298854.48</v>
      </c>
      <c r="M18" s="299"/>
      <c r="N18" s="299"/>
      <c r="O18" s="299"/>
      <c r="P18" s="53">
        <f>K18+L18+M18+N18+O18</f>
        <v>2298854.48</v>
      </c>
      <c r="Q18" s="53">
        <f>J18-K18-L18-M18-N18-O18</f>
        <v>4698640.29</v>
      </c>
      <c r="R18" s="175" t="s">
        <v>185</v>
      </c>
      <c r="S18" s="111" t="s">
        <v>191</v>
      </c>
      <c r="T18" s="84">
        <f>10751161.41*1.082*1.024*1.0514*1.2</f>
        <v>15029060</v>
      </c>
      <c r="U18" s="206"/>
      <c r="V18" s="111"/>
      <c r="W18" s="84"/>
      <c r="X18" s="208"/>
    </row>
    <row r="19" spans="1:24" ht="35.1" customHeight="1" thickBot="1" x14ac:dyDescent="0.3">
      <c r="A19" s="301">
        <v>14</v>
      </c>
      <c r="B19" s="320" t="s">
        <v>71</v>
      </c>
      <c r="C19" s="306" t="s">
        <v>109</v>
      </c>
      <c r="D19" s="307">
        <v>48898423.600000001</v>
      </c>
      <c r="E19" s="307">
        <v>4009670.74</v>
      </c>
      <c r="F19" s="307">
        <v>1269794.26</v>
      </c>
      <c r="G19" s="307">
        <v>54177888.600000001</v>
      </c>
      <c r="H19" s="307">
        <v>56960487.710000001</v>
      </c>
      <c r="I19" s="308">
        <v>1.2</v>
      </c>
      <c r="J19" s="309">
        <v>68352585.25</v>
      </c>
      <c r="K19" s="300"/>
      <c r="L19" s="300"/>
      <c r="M19" s="300">
        <v>11709977.720000001</v>
      </c>
      <c r="N19" s="300"/>
      <c r="O19" s="300">
        <v>3615838.44</v>
      </c>
      <c r="P19" s="64">
        <f>K19+L19+M19+N19+O19</f>
        <v>15325816.16</v>
      </c>
      <c r="Q19" s="64">
        <f>J19-K19-L19-M19-N19-O19</f>
        <v>53026769.090000004</v>
      </c>
      <c r="R19" s="297" t="s">
        <v>185</v>
      </c>
      <c r="S19" s="298" t="s">
        <v>192</v>
      </c>
      <c r="T19" s="85">
        <f>55253749.43*1.082*1.024*1.0514*1.2</f>
        <v>77239275.239999995</v>
      </c>
      <c r="U19" s="206"/>
      <c r="V19" s="111"/>
      <c r="W19" s="85"/>
      <c r="X19" s="209"/>
    </row>
    <row r="20" spans="1:24" ht="31.5" customHeight="1" thickTop="1" thickBot="1" x14ac:dyDescent="0.3">
      <c r="A20" s="95"/>
      <c r="B20" s="96" t="s">
        <v>120</v>
      </c>
      <c r="C20" s="97"/>
      <c r="D20" s="98" t="e">
        <f>SUM(#REF!)</f>
        <v>#REF!</v>
      </c>
      <c r="E20" s="97"/>
      <c r="F20" s="99"/>
      <c r="G20" s="98" t="e">
        <f>SUM(#REF!)</f>
        <v>#REF!</v>
      </c>
      <c r="H20" s="98" t="e">
        <f>SUM(#REF!)</f>
        <v>#REF!</v>
      </c>
      <c r="I20" s="98"/>
      <c r="J20" s="98">
        <f>SUM(J6:J19)</f>
        <v>508652541.01999998</v>
      </c>
      <c r="K20" s="98">
        <f t="shared" ref="K20:Q20" si="3">SUM(K6:K19)</f>
        <v>210417570.36000001</v>
      </c>
      <c r="L20" s="98">
        <f>SUM(L6:L19)+0.01</f>
        <v>79978331.209999993</v>
      </c>
      <c r="M20" s="98">
        <f t="shared" si="3"/>
        <v>58868164.759999998</v>
      </c>
      <c r="N20" s="98">
        <f t="shared" si="3"/>
        <v>5245250.92</v>
      </c>
      <c r="O20" s="98">
        <f t="shared" si="3"/>
        <v>8616444.9800000004</v>
      </c>
      <c r="P20" s="317">
        <f>SUM(P6:P19)+0.01</f>
        <v>363125762.23000002</v>
      </c>
      <c r="Q20" s="98">
        <f t="shared" si="3"/>
        <v>145526840.78999999</v>
      </c>
      <c r="R20" s="115">
        <v>363125762.23000002</v>
      </c>
      <c r="S20" s="115"/>
      <c r="T20" s="101" t="e">
        <f>SUM(#REF!)</f>
        <v>#REF!</v>
      </c>
      <c r="U20" s="177"/>
      <c r="V20" s="115"/>
      <c r="W20" s="101" t="e">
        <f>SUM(#REF!)</f>
        <v>#REF!</v>
      </c>
      <c r="X20" s="210" t="e">
        <f>SUM(#REF!)</f>
        <v>#REF!</v>
      </c>
    </row>
    <row r="21" spans="1:24" ht="35.1" customHeight="1" thickTop="1" x14ac:dyDescent="0.25">
      <c r="A21" s="283"/>
      <c r="B21" s="284"/>
      <c r="C21" s="285" t="s">
        <v>222</v>
      </c>
      <c r="D21" s="286"/>
      <c r="E21" s="286"/>
      <c r="F21" s="286"/>
      <c r="G21" s="286"/>
      <c r="H21" s="286"/>
      <c r="I21" s="287"/>
      <c r="J21" s="288"/>
      <c r="K21" s="289"/>
      <c r="L21" s="289"/>
      <c r="M21" s="289"/>
      <c r="N21" s="289"/>
      <c r="O21" s="289"/>
      <c r="P21" s="290"/>
      <c r="Q21" s="293"/>
      <c r="R21" s="294"/>
      <c r="S21" s="295"/>
      <c r="T21" s="296"/>
      <c r="U21" s="206"/>
      <c r="V21" s="111"/>
      <c r="W21" s="291"/>
      <c r="X21" s="292"/>
    </row>
    <row r="22" spans="1:24" ht="34.5" customHeight="1" x14ac:dyDescent="0.25">
      <c r="A22" s="82">
        <v>4</v>
      </c>
      <c r="B22" s="186" t="s">
        <v>31</v>
      </c>
      <c r="C22" s="42" t="s">
        <v>11</v>
      </c>
      <c r="D22" s="127">
        <v>161452921.99000001</v>
      </c>
      <c r="E22" s="127">
        <v>13239139.6</v>
      </c>
      <c r="F22" s="127">
        <v>4192609.48</v>
      </c>
      <c r="G22" s="127">
        <v>178884671.06999999</v>
      </c>
      <c r="H22" s="127">
        <v>188072263.84999999</v>
      </c>
      <c r="I22" s="44">
        <v>1.2</v>
      </c>
      <c r="J22" s="55">
        <v>225686716.62</v>
      </c>
      <c r="K22" s="56"/>
      <c r="L22" s="56"/>
      <c r="M22" s="56"/>
      <c r="N22" s="56"/>
      <c r="O22" s="56"/>
      <c r="P22" s="53">
        <f t="shared" ref="P22:P24" si="4">K22+L22+M22+N22+O22</f>
        <v>0</v>
      </c>
      <c r="Q22" s="53">
        <f t="shared" ref="Q22:Q30" si="5">J22-K22-L22-M22-N22-O22</f>
        <v>225686716.62</v>
      </c>
      <c r="R22" s="112" t="s">
        <v>169</v>
      </c>
      <c r="S22" s="111" t="s">
        <v>189</v>
      </c>
      <c r="T22" s="224"/>
      <c r="V22" s="111"/>
      <c r="W22" s="84"/>
      <c r="X22" s="208"/>
    </row>
    <row r="23" spans="1:24" ht="35.1" customHeight="1" x14ac:dyDescent="0.25">
      <c r="A23" s="82">
        <v>5</v>
      </c>
      <c r="B23" s="41" t="s">
        <v>32</v>
      </c>
      <c r="C23" s="42" t="s">
        <v>12</v>
      </c>
      <c r="D23" s="127">
        <v>4505948.67</v>
      </c>
      <c r="E23" s="127">
        <v>369487.79</v>
      </c>
      <c r="F23" s="127">
        <v>117010.48</v>
      </c>
      <c r="G23" s="127">
        <v>4992446.9400000004</v>
      </c>
      <c r="H23" s="127">
        <v>5248861.1100000003</v>
      </c>
      <c r="I23" s="44">
        <v>1.2</v>
      </c>
      <c r="J23" s="55">
        <v>6298633.3300000001</v>
      </c>
      <c r="K23" s="56"/>
      <c r="L23" s="56"/>
      <c r="M23" s="56"/>
      <c r="N23" s="56"/>
      <c r="O23" s="56"/>
      <c r="P23" s="53">
        <f t="shared" si="4"/>
        <v>0</v>
      </c>
      <c r="Q23" s="53">
        <f t="shared" si="5"/>
        <v>6298633.3300000001</v>
      </c>
      <c r="R23" s="112" t="s">
        <v>168</v>
      </c>
      <c r="S23" s="111" t="s">
        <v>189</v>
      </c>
      <c r="T23" s="84">
        <f>P23</f>
        <v>0</v>
      </c>
      <c r="U23" s="207" t="s">
        <v>172</v>
      </c>
      <c r="V23" s="111"/>
      <c r="W23" s="84"/>
      <c r="X23" s="208"/>
    </row>
    <row r="24" spans="1:24" ht="30" customHeight="1" x14ac:dyDescent="0.25">
      <c r="A24" s="82">
        <v>6</v>
      </c>
      <c r="B24" s="41" t="s">
        <v>33</v>
      </c>
      <c r="C24" s="42" t="s">
        <v>34</v>
      </c>
      <c r="D24" s="127">
        <v>10526911.91</v>
      </c>
      <c r="E24" s="127">
        <v>863206.78</v>
      </c>
      <c r="F24" s="127">
        <v>273362.84999999998</v>
      </c>
      <c r="G24" s="127">
        <v>11663481.539999999</v>
      </c>
      <c r="H24" s="127">
        <v>12262522.85</v>
      </c>
      <c r="I24" s="44">
        <v>1.2</v>
      </c>
      <c r="J24" s="55">
        <v>14715027.42</v>
      </c>
      <c r="K24" s="56"/>
      <c r="L24" s="56"/>
      <c r="M24" s="56"/>
      <c r="N24" s="56"/>
      <c r="O24" s="56"/>
      <c r="P24" s="53">
        <f t="shared" si="4"/>
        <v>0</v>
      </c>
      <c r="Q24" s="53">
        <f t="shared" si="5"/>
        <v>14715027.42</v>
      </c>
      <c r="R24" s="190"/>
      <c r="S24" s="111" t="s">
        <v>189</v>
      </c>
      <c r="T24" s="224"/>
      <c r="V24" s="111"/>
      <c r="W24" s="84"/>
      <c r="X24" s="208"/>
    </row>
    <row r="25" spans="1:24" ht="44.25" customHeight="1" x14ac:dyDescent="0.25">
      <c r="A25" s="273">
        <v>7</v>
      </c>
      <c r="B25" s="274" t="s">
        <v>177</v>
      </c>
      <c r="C25" s="275" t="s">
        <v>36</v>
      </c>
      <c r="D25" s="276">
        <v>1615223.87</v>
      </c>
      <c r="E25" s="276">
        <v>132448.35999999999</v>
      </c>
      <c r="F25" s="276">
        <v>41944.13</v>
      </c>
      <c r="G25" s="276">
        <v>1789616.36</v>
      </c>
      <c r="H25" s="276">
        <v>1881531.81</v>
      </c>
      <c r="I25" s="277">
        <v>1.2</v>
      </c>
      <c r="J25" s="278">
        <v>2257838.17</v>
      </c>
      <c r="K25" s="227"/>
      <c r="L25" s="227"/>
      <c r="M25" s="227"/>
      <c r="N25" s="227"/>
      <c r="O25" s="227"/>
      <c r="P25" s="227">
        <f>K25+L25+M25+N25+O25</f>
        <v>0</v>
      </c>
      <c r="Q25" s="227">
        <f t="shared" si="5"/>
        <v>2257838.17</v>
      </c>
      <c r="R25" s="228" t="s">
        <v>139</v>
      </c>
      <c r="S25" s="229" t="s">
        <v>171</v>
      </c>
      <c r="T25" s="230">
        <f>1434541.77*1.082*1.024*1.0514*1.2</f>
        <v>2005347.47</v>
      </c>
      <c r="U25" s="231"/>
      <c r="V25" s="228" t="s">
        <v>139</v>
      </c>
      <c r="W25" s="232">
        <f>1447989.61*1.082*1.024*1.0514*1.2</f>
        <v>2024146.22</v>
      </c>
      <c r="X25" s="233" t="s">
        <v>186</v>
      </c>
    </row>
    <row r="26" spans="1:24" ht="35.1" customHeight="1" x14ac:dyDescent="0.25">
      <c r="A26" s="273">
        <v>12</v>
      </c>
      <c r="B26" s="274" t="s">
        <v>181</v>
      </c>
      <c r="C26" s="275" t="s">
        <v>52</v>
      </c>
      <c r="D26" s="276">
        <v>9143309.8300000001</v>
      </c>
      <c r="E26" s="276">
        <v>749751.41</v>
      </c>
      <c r="F26" s="276">
        <v>237433.47</v>
      </c>
      <c r="G26" s="276">
        <v>10130494.710000001</v>
      </c>
      <c r="H26" s="276">
        <v>10650801.17</v>
      </c>
      <c r="I26" s="277">
        <v>1.2</v>
      </c>
      <c r="J26" s="278">
        <v>12780961.4</v>
      </c>
      <c r="K26" s="198"/>
      <c r="L26" s="198"/>
      <c r="M26" s="198"/>
      <c r="N26" s="198"/>
      <c r="O26" s="198"/>
      <c r="P26" s="198">
        <f t="shared" ref="P26:P30" si="6">K26+L26+M26+N26+O26</f>
        <v>0</v>
      </c>
      <c r="Q26" s="198">
        <f t="shared" si="5"/>
        <v>12780961.4</v>
      </c>
      <c r="R26" s="203" t="s">
        <v>139</v>
      </c>
      <c r="S26" s="205" t="s">
        <v>171</v>
      </c>
      <c r="T26" s="204">
        <f>2121713.88*1.082*1.024*1.0514*1.2</f>
        <v>2965946.1</v>
      </c>
      <c r="U26" s="178"/>
      <c r="V26" s="111" t="s">
        <v>139</v>
      </c>
      <c r="W26" s="84">
        <f>1724717.19*1.082*1.024*1.0514*1.2</f>
        <v>2410984</v>
      </c>
      <c r="X26" s="233" t="s">
        <v>186</v>
      </c>
    </row>
    <row r="27" spans="1:24" ht="35.1" customHeight="1" x14ac:dyDescent="0.25">
      <c r="A27" s="273">
        <v>13</v>
      </c>
      <c r="B27" s="274" t="s">
        <v>182</v>
      </c>
      <c r="C27" s="275" t="s">
        <v>54</v>
      </c>
      <c r="D27" s="276">
        <v>21996729.18</v>
      </c>
      <c r="E27" s="276">
        <v>1803731.79</v>
      </c>
      <c r="F27" s="276">
        <v>571211.06000000006</v>
      </c>
      <c r="G27" s="276">
        <v>24371672.030000001</v>
      </c>
      <c r="H27" s="276">
        <v>25623411.34</v>
      </c>
      <c r="I27" s="277">
        <v>1.2</v>
      </c>
      <c r="J27" s="278">
        <v>30748093.609999999</v>
      </c>
      <c r="K27" s="198"/>
      <c r="L27" s="198"/>
      <c r="M27" s="198"/>
      <c r="N27" s="198"/>
      <c r="O27" s="198"/>
      <c r="P27" s="198">
        <f t="shared" si="6"/>
        <v>0</v>
      </c>
      <c r="Q27" s="198">
        <f t="shared" si="5"/>
        <v>30748093.609999999</v>
      </c>
      <c r="R27" s="205" t="s">
        <v>139</v>
      </c>
      <c r="S27" s="205" t="s">
        <v>171</v>
      </c>
      <c r="T27" s="204">
        <f>2987164.98*1.082*1.024*1.0514*1.2</f>
        <v>4175761.11</v>
      </c>
      <c r="U27" s="178"/>
      <c r="V27" s="111" t="s">
        <v>139</v>
      </c>
      <c r="W27" s="84">
        <f>2827828.36*1.082*1.024*1.0514*1.2</f>
        <v>3953024.28</v>
      </c>
      <c r="X27" s="233" t="s">
        <v>186</v>
      </c>
    </row>
    <row r="28" spans="1:24" ht="35.1" customHeight="1" x14ac:dyDescent="0.25">
      <c r="A28" s="82">
        <v>14</v>
      </c>
      <c r="B28" s="41" t="s">
        <v>55</v>
      </c>
      <c r="C28" s="42" t="s">
        <v>56</v>
      </c>
      <c r="D28" s="127">
        <v>1758763.66</v>
      </c>
      <c r="E28" s="127">
        <v>144218.62</v>
      </c>
      <c r="F28" s="127">
        <v>45671.57</v>
      </c>
      <c r="G28" s="127">
        <v>1948653.85</v>
      </c>
      <c r="H28" s="127">
        <v>2048737.53</v>
      </c>
      <c r="I28" s="44">
        <v>1.2</v>
      </c>
      <c r="J28" s="55">
        <v>2458485.04</v>
      </c>
      <c r="K28" s="56"/>
      <c r="L28" s="56"/>
      <c r="M28" s="56"/>
      <c r="N28" s="56"/>
      <c r="O28" s="56"/>
      <c r="P28" s="53">
        <f t="shared" si="6"/>
        <v>0</v>
      </c>
      <c r="Q28" s="53">
        <f t="shared" si="5"/>
        <v>2458485.04</v>
      </c>
      <c r="R28" s="191"/>
      <c r="S28" s="111" t="s">
        <v>189</v>
      </c>
      <c r="T28" s="224"/>
      <c r="V28" s="111"/>
      <c r="W28" s="84"/>
      <c r="X28" s="208"/>
    </row>
    <row r="29" spans="1:24" ht="35.1" customHeight="1" x14ac:dyDescent="0.25">
      <c r="A29" s="82">
        <v>15</v>
      </c>
      <c r="B29" s="41" t="s">
        <v>58</v>
      </c>
      <c r="C29" s="42" t="s">
        <v>108</v>
      </c>
      <c r="D29" s="127">
        <v>4044845.15</v>
      </c>
      <c r="E29" s="127">
        <v>331677.3</v>
      </c>
      <c r="F29" s="127">
        <v>105036.54</v>
      </c>
      <c r="G29" s="127">
        <v>4481558.99</v>
      </c>
      <c r="H29" s="127">
        <v>4711733.74</v>
      </c>
      <c r="I29" s="44">
        <v>1.2</v>
      </c>
      <c r="J29" s="55">
        <v>5654080.4900000002</v>
      </c>
      <c r="K29" s="56"/>
      <c r="L29" s="56"/>
      <c r="M29" s="56"/>
      <c r="N29" s="56"/>
      <c r="O29" s="56"/>
      <c r="P29" s="53">
        <f t="shared" si="6"/>
        <v>0</v>
      </c>
      <c r="Q29" s="53">
        <f t="shared" si="5"/>
        <v>5654080.4900000002</v>
      </c>
      <c r="R29" s="191"/>
      <c r="S29" s="111" t="s">
        <v>189</v>
      </c>
      <c r="T29" s="224"/>
      <c r="V29" s="111"/>
      <c r="W29" s="84"/>
      <c r="X29" s="208"/>
    </row>
    <row r="30" spans="1:24" ht="51.75" customHeight="1" x14ac:dyDescent="0.25">
      <c r="A30" s="82">
        <v>16</v>
      </c>
      <c r="B30" s="41" t="s">
        <v>59</v>
      </c>
      <c r="C30" s="42" t="s">
        <v>60</v>
      </c>
      <c r="D30" s="127">
        <v>4859580.66</v>
      </c>
      <c r="E30" s="127">
        <v>398485.61</v>
      </c>
      <c r="F30" s="127">
        <v>126193.59</v>
      </c>
      <c r="G30" s="127">
        <v>5384259.8600000003</v>
      </c>
      <c r="H30" s="127">
        <v>5660797.71</v>
      </c>
      <c r="I30" s="44">
        <v>1.2</v>
      </c>
      <c r="J30" s="55">
        <v>6792957.25</v>
      </c>
      <c r="K30" s="56"/>
      <c r="L30" s="56"/>
      <c r="M30" s="56"/>
      <c r="N30" s="56"/>
      <c r="O30" s="56"/>
      <c r="P30" s="53">
        <f t="shared" si="6"/>
        <v>0</v>
      </c>
      <c r="Q30" s="53">
        <f t="shared" si="5"/>
        <v>6792957.25</v>
      </c>
      <c r="R30" s="175" t="s">
        <v>185</v>
      </c>
      <c r="S30" s="111" t="s">
        <v>190</v>
      </c>
      <c r="T30" s="84">
        <f>2024770.16*1.082*1.024*1.0514*1.2</f>
        <v>2830428.37</v>
      </c>
      <c r="V30" s="111"/>
      <c r="W30" s="84"/>
      <c r="X30" s="208"/>
    </row>
    <row r="31" spans="1:24" ht="35.1" customHeight="1" x14ac:dyDescent="0.25">
      <c r="A31" s="82">
        <v>20</v>
      </c>
      <c r="B31" s="185" t="s">
        <v>70</v>
      </c>
      <c r="C31" s="42" t="s">
        <v>8</v>
      </c>
      <c r="D31" s="127">
        <v>5005903.75</v>
      </c>
      <c r="E31" s="127">
        <v>410484.11</v>
      </c>
      <c r="F31" s="127">
        <v>129993.31</v>
      </c>
      <c r="G31" s="127">
        <v>5546381.1699999999</v>
      </c>
      <c r="H31" s="127">
        <v>5831245.6399999997</v>
      </c>
      <c r="I31" s="44">
        <v>1.2</v>
      </c>
      <c r="J31" s="55">
        <v>6997494.7699999996</v>
      </c>
      <c r="K31" s="56"/>
      <c r="L31" s="56"/>
      <c r="M31" s="56"/>
      <c r="N31" s="56"/>
      <c r="O31" s="56"/>
      <c r="P31" s="53">
        <f t="shared" ref="P31:P36" si="7">K31+L31+M31+N31+O31</f>
        <v>0</v>
      </c>
      <c r="Q31" s="53">
        <f t="shared" ref="Q31:Q36" si="8">J31-K31-L31-M31-N31-O31</f>
        <v>6997494.7699999996</v>
      </c>
      <c r="R31" s="175" t="s">
        <v>185</v>
      </c>
      <c r="S31" s="111" t="s">
        <v>191</v>
      </c>
      <c r="T31" s="84">
        <f>10751161.41*1.082*1.024*1.0514*1.2</f>
        <v>15029060</v>
      </c>
      <c r="U31" s="206"/>
      <c r="V31" s="111"/>
      <c r="W31" s="84"/>
      <c r="X31" s="208"/>
    </row>
    <row r="32" spans="1:24" ht="35.1" customHeight="1" thickBot="1" x14ac:dyDescent="0.3">
      <c r="A32" s="87">
        <v>21</v>
      </c>
      <c r="B32" s="187" t="s">
        <v>71</v>
      </c>
      <c r="C32" s="59" t="s">
        <v>109</v>
      </c>
      <c r="D32" s="128">
        <v>48898423.600000001</v>
      </c>
      <c r="E32" s="128">
        <v>4009670.74</v>
      </c>
      <c r="F32" s="128">
        <v>1269794.26</v>
      </c>
      <c r="G32" s="128">
        <v>54177888.600000001</v>
      </c>
      <c r="H32" s="128">
        <v>56960487.710000001</v>
      </c>
      <c r="I32" s="61">
        <v>1.2</v>
      </c>
      <c r="J32" s="62">
        <v>68352585.25</v>
      </c>
      <c r="K32" s="63"/>
      <c r="L32" s="63"/>
      <c r="M32" s="63"/>
      <c r="N32" s="63"/>
      <c r="O32" s="63"/>
      <c r="P32" s="64">
        <f t="shared" si="7"/>
        <v>0</v>
      </c>
      <c r="Q32" s="64">
        <f t="shared" si="8"/>
        <v>68352585.25</v>
      </c>
      <c r="R32" s="297" t="s">
        <v>185</v>
      </c>
      <c r="S32" s="298" t="s">
        <v>192</v>
      </c>
      <c r="T32" s="85">
        <f>55253749.43*1.082*1.024*1.0514*1.2</f>
        <v>77239275.239999995</v>
      </c>
      <c r="U32" s="206"/>
      <c r="V32" s="111"/>
      <c r="W32" s="85"/>
      <c r="X32" s="209"/>
    </row>
    <row r="33" spans="1:24" ht="35.1" customHeight="1" thickTop="1" x14ac:dyDescent="0.25">
      <c r="A33" s="279">
        <v>8</v>
      </c>
      <c r="B33" s="280" t="s">
        <v>195</v>
      </c>
      <c r="C33" s="281" t="str">
        <f>ССР!C35</f>
        <v>Электроснабжение. ЭС 1.</v>
      </c>
      <c r="D33" s="276">
        <v>475031.03999999998</v>
      </c>
      <c r="E33" s="276">
        <v>38952.550000000003</v>
      </c>
      <c r="F33" s="276">
        <v>12335.61</v>
      </c>
      <c r="G33" s="276">
        <v>526319.19999999995</v>
      </c>
      <c r="H33" s="276">
        <v>553351.18000000005</v>
      </c>
      <c r="I33" s="277">
        <f>I10</f>
        <v>1.2</v>
      </c>
      <c r="J33" s="282">
        <f>ROUND(H33*I33,2)</f>
        <v>664021.42000000004</v>
      </c>
      <c r="K33" s="227"/>
      <c r="L33" s="227"/>
      <c r="M33" s="227"/>
      <c r="N33" s="227"/>
      <c r="O33" s="227"/>
      <c r="P33" s="234">
        <f t="shared" si="7"/>
        <v>0</v>
      </c>
      <c r="Q33" s="234">
        <f t="shared" si="8"/>
        <v>664021.42000000004</v>
      </c>
      <c r="R33" s="229" t="s">
        <v>139</v>
      </c>
      <c r="S33" s="229" t="s">
        <v>194</v>
      </c>
      <c r="T33" s="235">
        <f>533086.36*1.082*1.024*1.0514*1.2</f>
        <v>745201.99</v>
      </c>
      <c r="U33" s="236"/>
      <c r="V33" s="228" t="s">
        <v>139</v>
      </c>
      <c r="W33" s="232">
        <f>(235378.05+47139.18)*1.082*1.024*1.0514*1.2</f>
        <v>394931.14</v>
      </c>
      <c r="X33" s="233" t="s">
        <v>186</v>
      </c>
    </row>
    <row r="34" spans="1:24" ht="35.1" customHeight="1" x14ac:dyDescent="0.25">
      <c r="A34" s="279">
        <v>9</v>
      </c>
      <c r="B34" s="280" t="s">
        <v>178</v>
      </c>
      <c r="C34" s="281" t="str">
        <f>ССР!C36</f>
        <v>Переустройство кабельных линий.ЭС2</v>
      </c>
      <c r="D34" s="276">
        <v>2276671.21</v>
      </c>
      <c r="E34" s="276">
        <v>186687.04</v>
      </c>
      <c r="F34" s="276">
        <v>59120.6</v>
      </c>
      <c r="G34" s="276">
        <v>2522478.85</v>
      </c>
      <c r="H34" s="276">
        <v>2652034.42</v>
      </c>
      <c r="I34" s="277">
        <f>I10</f>
        <v>1.2</v>
      </c>
      <c r="J34" s="282">
        <f>ROUND(H34*I34,2)</f>
        <v>3182441.3</v>
      </c>
      <c r="K34" s="198"/>
      <c r="L34" s="198"/>
      <c r="M34" s="198"/>
      <c r="N34" s="198"/>
      <c r="O34" s="198"/>
      <c r="P34" s="199">
        <f t="shared" si="7"/>
        <v>0</v>
      </c>
      <c r="Q34" s="199">
        <f t="shared" si="8"/>
        <v>3182441.3</v>
      </c>
      <c r="R34" s="200" t="s">
        <v>139</v>
      </c>
      <c r="S34" s="200" t="s">
        <v>167</v>
      </c>
      <c r="T34" s="201">
        <f>6471079.85*1.082*1.024*1.0514*1.2</f>
        <v>9045929.4199999999</v>
      </c>
      <c r="U34" s="178"/>
      <c r="V34" s="111" t="s">
        <v>139</v>
      </c>
      <c r="W34" s="84">
        <f>(3206824.35+130942.19)*1.082*1.024*1.0514*1.2</f>
        <v>4665867.41</v>
      </c>
      <c r="X34" s="233" t="s">
        <v>186</v>
      </c>
    </row>
    <row r="35" spans="1:24" ht="35.1" customHeight="1" x14ac:dyDescent="0.25">
      <c r="A35" s="279">
        <v>10</v>
      </c>
      <c r="B35" s="280" t="s">
        <v>179</v>
      </c>
      <c r="C35" s="281" t="str">
        <f>ССР!C40</f>
        <v>Переустройство хозпитьевого водопровода.НВК2</v>
      </c>
      <c r="D35" s="276">
        <v>760016.55</v>
      </c>
      <c r="E35" s="276">
        <v>62321.36</v>
      </c>
      <c r="F35" s="276">
        <v>19736.11</v>
      </c>
      <c r="G35" s="276">
        <v>842074.02</v>
      </c>
      <c r="H35" s="276">
        <v>885323.3</v>
      </c>
      <c r="I35" s="277">
        <f>I11</f>
        <v>1.2</v>
      </c>
      <c r="J35" s="282">
        <f>ROUND(H35*I35,2)</f>
        <v>1062387.96</v>
      </c>
      <c r="K35" s="227"/>
      <c r="L35" s="227"/>
      <c r="M35" s="227"/>
      <c r="N35" s="227"/>
      <c r="O35" s="227"/>
      <c r="P35" s="234">
        <f t="shared" si="7"/>
        <v>0</v>
      </c>
      <c r="Q35" s="234">
        <f t="shared" si="8"/>
        <v>1062387.96</v>
      </c>
      <c r="R35" s="237" t="s">
        <v>139</v>
      </c>
      <c r="S35" s="229" t="s">
        <v>167</v>
      </c>
      <c r="T35" s="235">
        <f>1575220.02*1.082*1.024*1.0514*1.2</f>
        <v>2202001.75</v>
      </c>
      <c r="U35" s="231"/>
      <c r="V35" s="228" t="s">
        <v>139</v>
      </c>
      <c r="W35" s="232">
        <f>1047143.73*1.082*1.024*1.0514*1.2</f>
        <v>1463803.34</v>
      </c>
      <c r="X35" s="233" t="s">
        <v>186</v>
      </c>
    </row>
    <row r="36" spans="1:24" ht="35.1" customHeight="1" x14ac:dyDescent="0.25">
      <c r="A36" s="279">
        <v>11</v>
      </c>
      <c r="B36" s="280" t="s">
        <v>180</v>
      </c>
      <c r="C36" s="281" t="str">
        <f>ССР!C41</f>
        <v>Переустройство хозпитьевого водопровода.НВК3</v>
      </c>
      <c r="D36" s="276">
        <v>10454161.890000001</v>
      </c>
      <c r="E36" s="276">
        <v>857241.27</v>
      </c>
      <c r="F36" s="276">
        <v>271473.68</v>
      </c>
      <c r="G36" s="276">
        <v>11582876.84</v>
      </c>
      <c r="H36" s="276">
        <v>12177778.26</v>
      </c>
      <c r="I36" s="277">
        <f>I6</f>
        <v>1.2</v>
      </c>
      <c r="J36" s="282">
        <f>ROUND(H36*I36,2)</f>
        <v>14613333.91</v>
      </c>
      <c r="K36" s="227"/>
      <c r="L36" s="227"/>
      <c r="M36" s="227"/>
      <c r="N36" s="227"/>
      <c r="O36" s="227"/>
      <c r="P36" s="234">
        <f t="shared" si="7"/>
        <v>0</v>
      </c>
      <c r="Q36" s="234">
        <f t="shared" si="8"/>
        <v>14613333.91</v>
      </c>
      <c r="R36" s="237" t="s">
        <v>139</v>
      </c>
      <c r="S36" s="229" t="s">
        <v>167</v>
      </c>
      <c r="T36" s="235">
        <f>15932592.16*1.082*1.024*1.0514*1.2</f>
        <v>22272187.57</v>
      </c>
      <c r="U36" s="231"/>
      <c r="V36" s="228" t="s">
        <v>139</v>
      </c>
      <c r="W36" s="232">
        <f>13422525.94*1.082*1.024*1.0514*1.2</f>
        <v>18763363.32</v>
      </c>
      <c r="X36" s="233" t="s">
        <v>186</v>
      </c>
    </row>
    <row r="37" spans="1:24" ht="35.1" customHeight="1" x14ac:dyDescent="0.25">
      <c r="A37" s="192">
        <v>17</v>
      </c>
      <c r="B37" s="193" t="s">
        <v>183</v>
      </c>
      <c r="C37" s="194" t="str">
        <f>ССР!C49</f>
        <v>Теплоснабжение. Переустройство трубопровода.ТС2</v>
      </c>
      <c r="D37" s="195">
        <v>1890203.39</v>
      </c>
      <c r="E37" s="195">
        <v>154996.68</v>
      </c>
      <c r="F37" s="195">
        <v>49084.800000000003</v>
      </c>
      <c r="G37" s="195">
        <v>2094284.87</v>
      </c>
      <c r="H37" s="195">
        <v>2201848.2200000002</v>
      </c>
      <c r="I37" s="196">
        <f>I12</f>
        <v>1.2</v>
      </c>
      <c r="J37" s="197">
        <f t="shared" si="0"/>
        <v>2642217.86</v>
      </c>
      <c r="K37" s="198"/>
      <c r="L37" s="198"/>
      <c r="M37" s="198"/>
      <c r="N37" s="198"/>
      <c r="O37" s="198"/>
      <c r="P37" s="199">
        <f t="shared" si="1"/>
        <v>0</v>
      </c>
      <c r="Q37" s="199">
        <f t="shared" si="2"/>
        <v>2642217.86</v>
      </c>
      <c r="R37" s="202" t="s">
        <v>139</v>
      </c>
      <c r="S37" s="200" t="s">
        <v>171</v>
      </c>
      <c r="T37" s="201">
        <f>1932402*1.082*1.024*1.0514*1.2</f>
        <v>2701306.82</v>
      </c>
      <c r="U37" s="178"/>
      <c r="V37" s="111" t="s">
        <v>139</v>
      </c>
      <c r="W37" s="84">
        <f>1675854.44*1.082*1.024*1.0514*1.2</f>
        <v>2342678.71</v>
      </c>
      <c r="X37" s="233" t="s">
        <v>186</v>
      </c>
    </row>
    <row r="38" spans="1:24" ht="35.1" customHeight="1" x14ac:dyDescent="0.25">
      <c r="A38" s="192">
        <v>18</v>
      </c>
      <c r="B38" s="193" t="s">
        <v>184</v>
      </c>
      <c r="C38" s="194" t="str">
        <f>ССР!C50</f>
        <v>Теплоснабжение. Переустройство трубопровода.ТС3</v>
      </c>
      <c r="D38" s="195">
        <v>4003449.34</v>
      </c>
      <c r="E38" s="195">
        <v>328282.84999999998</v>
      </c>
      <c r="F38" s="195">
        <v>103961.57</v>
      </c>
      <c r="G38" s="195">
        <v>4435693.76</v>
      </c>
      <c r="H38" s="195">
        <v>4663512.8499999996</v>
      </c>
      <c r="I38" s="196">
        <f>I33</f>
        <v>1.2</v>
      </c>
      <c r="J38" s="197">
        <f t="shared" si="0"/>
        <v>5596215.4199999999</v>
      </c>
      <c r="K38" s="198"/>
      <c r="L38" s="198"/>
      <c r="M38" s="198"/>
      <c r="N38" s="198"/>
      <c r="O38" s="198"/>
      <c r="P38" s="199">
        <f t="shared" si="1"/>
        <v>0</v>
      </c>
      <c r="Q38" s="199">
        <f t="shared" si="2"/>
        <v>5596215.4199999999</v>
      </c>
      <c r="R38" s="202" t="s">
        <v>139</v>
      </c>
      <c r="S38" s="200" t="s">
        <v>171</v>
      </c>
      <c r="T38" s="201">
        <f>3008860*1.082*1.024*1.0514*1.2</f>
        <v>4206088.5999999996</v>
      </c>
      <c r="U38" s="178"/>
      <c r="V38" s="111" t="s">
        <v>139</v>
      </c>
      <c r="W38" s="84">
        <f>2820165.03*1.082*1.024*1.0514*1.2</f>
        <v>3942311.7</v>
      </c>
      <c r="X38" s="233" t="s">
        <v>186</v>
      </c>
    </row>
    <row r="39" spans="1:24" ht="35.1" customHeight="1" thickBot="1" x14ac:dyDescent="0.3">
      <c r="A39" s="170">
        <v>19</v>
      </c>
      <c r="B39" s="184" t="s">
        <v>66</v>
      </c>
      <c r="C39" s="171" t="str">
        <f>ССР!C52</f>
        <v>Наружные газопроводы. Вынос газопровода среднего давления.</v>
      </c>
      <c r="D39" s="127">
        <v>8291915.46</v>
      </c>
      <c r="E39" s="127">
        <v>679937.07</v>
      </c>
      <c r="F39" s="127">
        <v>215324.46</v>
      </c>
      <c r="G39" s="127">
        <v>9187176.9900000002</v>
      </c>
      <c r="H39" s="127">
        <v>9659034.2599999998</v>
      </c>
      <c r="I39" s="44">
        <f>I34</f>
        <v>1.2</v>
      </c>
      <c r="J39" s="172">
        <f t="shared" si="0"/>
        <v>11590841.109999999</v>
      </c>
      <c r="K39" s="56"/>
      <c r="L39" s="56"/>
      <c r="M39" s="56"/>
      <c r="N39" s="56"/>
      <c r="O39" s="56"/>
      <c r="P39" s="173">
        <f t="shared" si="1"/>
        <v>0</v>
      </c>
      <c r="Q39" s="173">
        <f t="shared" si="2"/>
        <v>11590841.109999999</v>
      </c>
      <c r="R39" s="175" t="s">
        <v>185</v>
      </c>
      <c r="S39" s="175" t="s">
        <v>173</v>
      </c>
      <c r="T39" s="174">
        <f>4359587.89*1.082*1.024*1.0514*1.2</f>
        <v>6094272.5599999996</v>
      </c>
      <c r="U39" s="188"/>
      <c r="V39" s="111"/>
      <c r="W39" s="84"/>
      <c r="X39" s="208"/>
    </row>
    <row r="40" spans="1:24" ht="31.5" customHeight="1" thickTop="1" thickBot="1" x14ac:dyDescent="0.3">
      <c r="A40" s="95"/>
      <c r="B40" s="96" t="s">
        <v>120</v>
      </c>
      <c r="C40" s="97"/>
      <c r="D40" s="98" t="e">
        <f>SUM(#REF!)</f>
        <v>#REF!</v>
      </c>
      <c r="E40" s="97"/>
      <c r="F40" s="99"/>
      <c r="G40" s="98" t="e">
        <f>SUM(#REF!)</f>
        <v>#REF!</v>
      </c>
      <c r="H40" s="98" t="e">
        <f>SUM(#REF!)</f>
        <v>#REF!</v>
      </c>
      <c r="I40" s="98"/>
      <c r="J40" s="98">
        <f>SUM(J21:J39)</f>
        <v>422094332.32999998</v>
      </c>
      <c r="K40" s="98">
        <f t="shared" ref="K40:Q40" si="9">SUM(K21:K39)</f>
        <v>0</v>
      </c>
      <c r="L40" s="98">
        <f t="shared" si="9"/>
        <v>0</v>
      </c>
      <c r="M40" s="98">
        <f t="shared" si="9"/>
        <v>0</v>
      </c>
      <c r="N40" s="98">
        <f t="shared" si="9"/>
        <v>0</v>
      </c>
      <c r="O40" s="98">
        <f t="shared" si="9"/>
        <v>0</v>
      </c>
      <c r="P40" s="98">
        <f t="shared" si="9"/>
        <v>0</v>
      </c>
      <c r="Q40" s="98">
        <f t="shared" si="9"/>
        <v>422094332.32999998</v>
      </c>
      <c r="R40" s="115"/>
      <c r="S40" s="115"/>
      <c r="T40" s="101" t="e">
        <f>SUM(#REF!)</f>
        <v>#REF!</v>
      </c>
      <c r="U40" s="177"/>
      <c r="V40" s="115"/>
      <c r="W40" s="101" t="e">
        <f>SUM(#REF!)</f>
        <v>#REF!</v>
      </c>
      <c r="X40" s="210" t="e">
        <f>SUM(#REF!)</f>
        <v>#REF!</v>
      </c>
    </row>
    <row r="41" spans="1:24" ht="31.5" customHeight="1" thickTop="1" thickBot="1" x14ac:dyDescent="0.3">
      <c r="A41" s="95"/>
      <c r="B41" s="96" t="s">
        <v>153</v>
      </c>
      <c r="C41" s="97"/>
      <c r="D41" s="98" t="e">
        <f>SUM(D6:D39)</f>
        <v>#REF!</v>
      </c>
      <c r="E41" s="97"/>
      <c r="F41" s="99"/>
      <c r="G41" s="98" t="e">
        <f>SUM(G6:G39)</f>
        <v>#REF!</v>
      </c>
      <c r="H41" s="98" t="e">
        <f>SUM(H6:H39)</f>
        <v>#REF!</v>
      </c>
      <c r="I41" s="98"/>
      <c r="J41" s="98">
        <f>SUM(J6:J39)</f>
        <v>1439399414.3699999</v>
      </c>
      <c r="K41" s="100">
        <f>SUM(K6:K39)</f>
        <v>420835140.72000003</v>
      </c>
      <c r="L41" s="100">
        <f>SUM(L6:L39)+0.01</f>
        <v>159956662.41999999</v>
      </c>
      <c r="M41" s="100">
        <f>SUM(M6:M39)</f>
        <v>117736329.52</v>
      </c>
      <c r="N41" s="100">
        <f>SUM(N6:N39)</f>
        <v>10490501.84</v>
      </c>
      <c r="O41" s="100">
        <f>SUM(O6:O39)</f>
        <v>17232889.960000001</v>
      </c>
      <c r="P41" s="100">
        <f>SUM(P6:P39)+0.01</f>
        <v>726251524.46000004</v>
      </c>
      <c r="Q41" s="100">
        <f>SUM(Q6:Q39)</f>
        <v>713148013.90999997</v>
      </c>
      <c r="R41" s="115"/>
      <c r="S41" s="115"/>
      <c r="T41" s="101" t="e">
        <f>SUM(T6:T39)</f>
        <v>#REF!</v>
      </c>
      <c r="U41" s="177"/>
      <c r="V41" s="115"/>
      <c r="W41" s="101" t="e">
        <f>SUM(W6:W39)</f>
        <v>#REF!</v>
      </c>
      <c r="X41" s="210" t="e">
        <f>SUM(X6:X39)</f>
        <v>#REF!</v>
      </c>
    </row>
    <row r="42" spans="1:24" ht="35.1" customHeight="1" thickTop="1" x14ac:dyDescent="0.25">
      <c r="A42" s="82">
        <v>23</v>
      </c>
      <c r="B42" s="41">
        <v>1</v>
      </c>
      <c r="C42" s="42" t="s">
        <v>175</v>
      </c>
      <c r="D42" s="43"/>
      <c r="E42" s="43"/>
      <c r="F42" s="43"/>
      <c r="G42" s="43"/>
      <c r="H42" s="43"/>
      <c r="I42" s="44"/>
      <c r="J42" s="55"/>
      <c r="K42" s="56"/>
      <c r="L42" s="56"/>
      <c r="M42" s="56"/>
      <c r="N42" s="56"/>
      <c r="O42" s="56"/>
      <c r="P42" s="53"/>
      <c r="Q42" s="53"/>
      <c r="R42" s="223" t="s">
        <v>188</v>
      </c>
      <c r="S42" s="225" t="s">
        <v>189</v>
      </c>
      <c r="T42" s="179">
        <f>3513933.05*1.2</f>
        <v>4216719.66</v>
      </c>
      <c r="V42" s="119"/>
      <c r="W42" s="179"/>
      <c r="X42" s="179"/>
    </row>
    <row r="43" spans="1:24" ht="35.1" customHeight="1" x14ac:dyDescent="0.25">
      <c r="A43" s="88">
        <v>22</v>
      </c>
      <c r="B43" s="57">
        <v>1</v>
      </c>
      <c r="C43" s="89" t="s">
        <v>174</v>
      </c>
      <c r="D43" s="90"/>
      <c r="E43" s="90"/>
      <c r="F43" s="90"/>
      <c r="G43" s="90"/>
      <c r="H43" s="90"/>
      <c r="I43" s="91"/>
      <c r="J43" s="92"/>
      <c r="K43" s="93"/>
      <c r="L43" s="93"/>
      <c r="M43" s="93"/>
      <c r="N43" s="93"/>
      <c r="O43" s="93"/>
      <c r="P43" s="94"/>
      <c r="Q43" s="94"/>
      <c r="R43" s="223" t="s">
        <v>188</v>
      </c>
      <c r="S43" s="226" t="s">
        <v>189</v>
      </c>
      <c r="T43" s="105">
        <f>1800394.58*1.2</f>
        <v>2160473.5</v>
      </c>
      <c r="V43" s="117"/>
      <c r="W43" s="105"/>
      <c r="X43" s="211"/>
    </row>
    <row r="44" spans="1:24" ht="35.1" customHeight="1" x14ac:dyDescent="0.25">
      <c r="A44" s="88">
        <v>24</v>
      </c>
      <c r="B44" s="57"/>
      <c r="C44" s="89" t="s">
        <v>140</v>
      </c>
      <c r="D44" s="90"/>
      <c r="E44" s="90"/>
      <c r="F44" s="90"/>
      <c r="G44" s="90"/>
      <c r="H44" s="90"/>
      <c r="I44" s="91"/>
      <c r="J44" s="92"/>
      <c r="K44" s="93"/>
      <c r="L44" s="93"/>
      <c r="M44" s="93"/>
      <c r="N44" s="93"/>
      <c r="O44" s="93"/>
      <c r="P44" s="94"/>
      <c r="Q44" s="94"/>
      <c r="R44" s="116" t="s">
        <v>139</v>
      </c>
      <c r="S44" s="117" t="s">
        <v>156</v>
      </c>
      <c r="T44" s="105"/>
      <c r="V44" s="117"/>
      <c r="W44" s="105"/>
      <c r="X44" s="211"/>
    </row>
    <row r="45" spans="1:24" ht="35.1" customHeight="1" x14ac:dyDescent="0.25">
      <c r="A45" s="82">
        <v>25</v>
      </c>
      <c r="B45" s="41"/>
      <c r="C45" s="42" t="s">
        <v>141</v>
      </c>
      <c r="D45" s="43"/>
      <c r="E45" s="43"/>
      <c r="F45" s="43"/>
      <c r="G45" s="43"/>
      <c r="H45" s="43"/>
      <c r="I45" s="44"/>
      <c r="J45" s="55"/>
      <c r="K45" s="56"/>
      <c r="L45" s="56"/>
      <c r="M45" s="56"/>
      <c r="N45" s="56"/>
      <c r="O45" s="56"/>
      <c r="P45" s="53"/>
      <c r="Q45" s="53"/>
      <c r="R45" s="118" t="s">
        <v>139</v>
      </c>
      <c r="S45" s="119"/>
      <c r="T45" s="179">
        <v>751503.23</v>
      </c>
      <c r="V45" s="119"/>
      <c r="W45" s="179"/>
      <c r="X45" s="179"/>
    </row>
    <row r="46" spans="1:24" ht="35.1" customHeight="1" x14ac:dyDescent="0.25">
      <c r="A46" s="88">
        <v>26</v>
      </c>
      <c r="B46" s="41"/>
      <c r="C46" s="42" t="s">
        <v>142</v>
      </c>
      <c r="D46" s="43"/>
      <c r="E46" s="43"/>
      <c r="F46" s="43"/>
      <c r="G46" s="43"/>
      <c r="H46" s="43"/>
      <c r="I46" s="44"/>
      <c r="J46" s="55"/>
      <c r="K46" s="56"/>
      <c r="L46" s="56"/>
      <c r="M46" s="56"/>
      <c r="N46" s="56"/>
      <c r="O46" s="56"/>
      <c r="P46" s="53"/>
      <c r="Q46" s="53"/>
      <c r="R46" s="118" t="s">
        <v>139</v>
      </c>
      <c r="S46" s="119"/>
      <c r="T46" s="180">
        <v>88471.33</v>
      </c>
      <c r="V46" s="119"/>
      <c r="W46" s="180"/>
      <c r="X46" s="180"/>
    </row>
    <row r="47" spans="1:24" ht="35.1" customHeight="1" x14ac:dyDescent="0.25">
      <c r="A47" s="82">
        <v>27</v>
      </c>
      <c r="B47" s="41"/>
      <c r="C47" s="42" t="s">
        <v>143</v>
      </c>
      <c r="D47" s="43"/>
      <c r="E47" s="43"/>
      <c r="F47" s="43"/>
      <c r="G47" s="43"/>
      <c r="H47" s="43"/>
      <c r="I47" s="44"/>
      <c r="J47" s="55"/>
      <c r="K47" s="56"/>
      <c r="L47" s="56"/>
      <c r="M47" s="56"/>
      <c r="N47" s="56"/>
      <c r="O47" s="56"/>
      <c r="P47" s="53"/>
      <c r="Q47" s="53"/>
      <c r="R47" s="118" t="s">
        <v>139</v>
      </c>
      <c r="S47" s="119"/>
      <c r="T47" s="180">
        <v>27119.98</v>
      </c>
      <c r="V47" s="119"/>
      <c r="W47" s="180"/>
      <c r="X47" s="180"/>
    </row>
    <row r="48" spans="1:24" ht="41.25" customHeight="1" x14ac:dyDescent="0.25">
      <c r="A48" s="217">
        <v>28</v>
      </c>
      <c r="B48" s="218"/>
      <c r="C48" s="219" t="s">
        <v>144</v>
      </c>
      <c r="D48" s="220"/>
      <c r="E48" s="220"/>
      <c r="F48" s="220"/>
      <c r="G48" s="220"/>
      <c r="H48" s="220"/>
      <c r="I48" s="221"/>
      <c r="J48" s="222"/>
      <c r="K48" s="181"/>
      <c r="L48" s="181"/>
      <c r="M48" s="181"/>
      <c r="N48" s="181"/>
      <c r="O48" s="181"/>
      <c r="P48" s="53"/>
      <c r="Q48" s="53"/>
      <c r="R48" s="223" t="s">
        <v>185</v>
      </c>
      <c r="S48" s="119" t="s">
        <v>187</v>
      </c>
      <c r="T48" s="180">
        <f>227727.27*1.082*1.024*1.0514*1.2</f>
        <v>318340.19</v>
      </c>
      <c r="U48" s="189"/>
      <c r="V48" s="182"/>
      <c r="W48" s="183"/>
      <c r="X48" s="212"/>
    </row>
    <row r="49" spans="1:24" ht="35.1" customHeight="1" x14ac:dyDescent="0.25">
      <c r="A49" s="82">
        <v>29</v>
      </c>
      <c r="B49" s="41"/>
      <c r="C49" s="42" t="s">
        <v>145</v>
      </c>
      <c r="D49" s="43"/>
      <c r="E49" s="43"/>
      <c r="F49" s="43"/>
      <c r="G49" s="43"/>
      <c r="H49" s="43"/>
      <c r="I49" s="44"/>
      <c r="J49" s="55"/>
      <c r="K49" s="56"/>
      <c r="L49" s="56"/>
      <c r="M49" s="56"/>
      <c r="N49" s="56"/>
      <c r="O49" s="56"/>
      <c r="P49" s="53"/>
      <c r="Q49" s="53"/>
      <c r="R49" s="118" t="s">
        <v>139</v>
      </c>
      <c r="S49" s="119" t="s">
        <v>166</v>
      </c>
      <c r="T49" s="180">
        <v>1989811.12</v>
      </c>
      <c r="V49" s="119"/>
      <c r="W49" s="180"/>
      <c r="X49" s="180"/>
    </row>
    <row r="50" spans="1:24" ht="35.1" customHeight="1" x14ac:dyDescent="0.25">
      <c r="A50" s="82">
        <v>30</v>
      </c>
      <c r="B50" s="41"/>
      <c r="C50" s="42" t="s">
        <v>146</v>
      </c>
      <c r="D50" s="43"/>
      <c r="E50" s="43"/>
      <c r="F50" s="43"/>
      <c r="G50" s="43"/>
      <c r="H50" s="43"/>
      <c r="I50" s="44"/>
      <c r="J50" s="55"/>
      <c r="K50" s="56"/>
      <c r="L50" s="56"/>
      <c r="M50" s="56"/>
      <c r="N50" s="56"/>
      <c r="O50" s="56"/>
      <c r="P50" s="53"/>
      <c r="Q50" s="53"/>
      <c r="R50" s="118" t="s">
        <v>139</v>
      </c>
      <c r="S50" s="119"/>
      <c r="T50" s="180">
        <v>204781.66</v>
      </c>
      <c r="V50" s="119"/>
      <c r="W50" s="180"/>
      <c r="X50" s="180"/>
    </row>
    <row r="51" spans="1:24" ht="45" customHeight="1" x14ac:dyDescent="0.25">
      <c r="A51" s="82">
        <v>31</v>
      </c>
      <c r="B51" s="41"/>
      <c r="C51" s="42" t="s">
        <v>147</v>
      </c>
      <c r="D51" s="43"/>
      <c r="E51" s="43"/>
      <c r="F51" s="43"/>
      <c r="G51" s="43"/>
      <c r="H51" s="43"/>
      <c r="I51" s="44"/>
      <c r="J51" s="55"/>
      <c r="K51" s="56"/>
      <c r="L51" s="56"/>
      <c r="M51" s="56"/>
      <c r="N51" s="56"/>
      <c r="O51" s="56"/>
      <c r="P51" s="53"/>
      <c r="Q51" s="53"/>
      <c r="R51" s="120" t="s">
        <v>155</v>
      </c>
      <c r="S51" s="119"/>
      <c r="T51" s="107"/>
      <c r="V51" s="119"/>
      <c r="W51" s="107"/>
      <c r="X51" s="213"/>
    </row>
    <row r="52" spans="1:24" ht="35.1" customHeight="1" x14ac:dyDescent="0.25">
      <c r="A52" s="82">
        <v>32</v>
      </c>
      <c r="B52" s="41"/>
      <c r="C52" s="42" t="s">
        <v>148</v>
      </c>
      <c r="D52" s="43"/>
      <c r="E52" s="43"/>
      <c r="F52" s="43"/>
      <c r="G52" s="43"/>
      <c r="H52" s="43"/>
      <c r="I52" s="44"/>
      <c r="J52" s="55"/>
      <c r="K52" s="56"/>
      <c r="L52" s="56"/>
      <c r="M52" s="56"/>
      <c r="N52" s="56"/>
      <c r="O52" s="56"/>
      <c r="P52" s="53"/>
      <c r="Q52" s="53"/>
      <c r="R52" s="121" t="s">
        <v>139</v>
      </c>
      <c r="S52" s="119"/>
      <c r="T52" s="107">
        <v>263608.96999999997</v>
      </c>
      <c r="V52" s="119"/>
      <c r="W52" s="107"/>
      <c r="X52" s="213"/>
    </row>
    <row r="53" spans="1:24" ht="35.1" customHeight="1" x14ac:dyDescent="0.25">
      <c r="A53" s="82">
        <v>33</v>
      </c>
      <c r="B53" s="41"/>
      <c r="C53" s="42" t="s">
        <v>149</v>
      </c>
      <c r="D53" s="43"/>
      <c r="E53" s="43"/>
      <c r="F53" s="43"/>
      <c r="G53" s="43"/>
      <c r="H53" s="43"/>
      <c r="I53" s="44"/>
      <c r="J53" s="55"/>
      <c r="K53" s="56"/>
      <c r="L53" s="56"/>
      <c r="M53" s="56"/>
      <c r="N53" s="56"/>
      <c r="O53" s="56"/>
      <c r="P53" s="53"/>
      <c r="Q53" s="53"/>
      <c r="R53" s="122" t="s">
        <v>170</v>
      </c>
      <c r="S53" s="119"/>
      <c r="T53" s="107"/>
      <c r="V53" s="119"/>
      <c r="W53" s="107"/>
      <c r="X53" s="213"/>
    </row>
    <row r="54" spans="1:24" ht="35.1" customHeight="1" x14ac:dyDescent="0.25">
      <c r="A54" s="82">
        <v>34</v>
      </c>
      <c r="B54" s="41"/>
      <c r="C54" s="42" t="s">
        <v>150</v>
      </c>
      <c r="D54" s="43"/>
      <c r="E54" s="43"/>
      <c r="F54" s="43"/>
      <c r="G54" s="43"/>
      <c r="H54" s="43"/>
      <c r="I54" s="44"/>
      <c r="J54" s="55"/>
      <c r="K54" s="56"/>
      <c r="L54" s="56"/>
      <c r="M54" s="56"/>
      <c r="N54" s="56"/>
      <c r="O54" s="56"/>
      <c r="P54" s="53"/>
      <c r="Q54" s="53"/>
      <c r="R54" s="123"/>
      <c r="S54" s="119"/>
      <c r="T54" s="107"/>
      <c r="V54" s="119"/>
      <c r="W54" s="107"/>
      <c r="X54" s="213"/>
    </row>
    <row r="55" spans="1:24" ht="35.1" customHeight="1" x14ac:dyDescent="0.25">
      <c r="A55" s="82">
        <v>35</v>
      </c>
      <c r="B55" s="41"/>
      <c r="C55" s="42" t="s">
        <v>151</v>
      </c>
      <c r="D55" s="43"/>
      <c r="E55" s="43"/>
      <c r="F55" s="43"/>
      <c r="G55" s="43"/>
      <c r="H55" s="43"/>
      <c r="I55" s="44"/>
      <c r="J55" s="55"/>
      <c r="K55" s="56"/>
      <c r="L55" s="56"/>
      <c r="M55" s="56"/>
      <c r="N55" s="56"/>
      <c r="O55" s="56"/>
      <c r="P55" s="53"/>
      <c r="Q55" s="53"/>
      <c r="R55" s="123"/>
      <c r="S55" s="119"/>
      <c r="T55" s="107"/>
      <c r="V55" s="119"/>
      <c r="W55" s="107"/>
      <c r="X55" s="213"/>
    </row>
    <row r="56" spans="1:24" ht="35.1" customHeight="1" thickBot="1" x14ac:dyDescent="0.3">
      <c r="A56" s="87">
        <v>36</v>
      </c>
      <c r="B56" s="58"/>
      <c r="C56" s="59" t="s">
        <v>152</v>
      </c>
      <c r="D56" s="60"/>
      <c r="E56" s="60"/>
      <c r="F56" s="60"/>
      <c r="G56" s="60"/>
      <c r="H56" s="60"/>
      <c r="I56" s="61"/>
      <c r="J56" s="62"/>
      <c r="K56" s="63"/>
      <c r="L56" s="63"/>
      <c r="M56" s="63"/>
      <c r="N56" s="63"/>
      <c r="O56" s="63"/>
      <c r="P56" s="64"/>
      <c r="Q56" s="64"/>
      <c r="R56" s="124"/>
      <c r="S56" s="125"/>
      <c r="T56" s="109"/>
      <c r="V56" s="125"/>
      <c r="W56" s="109"/>
      <c r="X56" s="214"/>
    </row>
    <row r="57" spans="1:24" ht="31.5" customHeight="1" thickTop="1" thickBot="1" x14ac:dyDescent="0.3">
      <c r="A57" s="102"/>
      <c r="B57" s="66" t="s">
        <v>120</v>
      </c>
      <c r="C57" s="67"/>
      <c r="D57" s="68">
        <f>SUM(D44:D56)</f>
        <v>0</v>
      </c>
      <c r="E57" s="68">
        <f t="shared" ref="E57:J57" si="10">SUM(E44:E56)</f>
        <v>0</v>
      </c>
      <c r="F57" s="68">
        <f t="shared" si="10"/>
        <v>0</v>
      </c>
      <c r="G57" s="68">
        <f t="shared" si="10"/>
        <v>0</v>
      </c>
      <c r="H57" s="68">
        <f t="shared" si="10"/>
        <v>0</v>
      </c>
      <c r="I57" s="68">
        <f t="shared" si="10"/>
        <v>0</v>
      </c>
      <c r="J57" s="68">
        <f t="shared" si="10"/>
        <v>0</v>
      </c>
      <c r="K57" s="69"/>
      <c r="L57" s="69"/>
      <c r="M57" s="69"/>
      <c r="N57" s="69"/>
      <c r="O57" s="69"/>
      <c r="P57" s="69"/>
      <c r="Q57" s="69"/>
      <c r="R57" s="69"/>
      <c r="S57" s="69"/>
      <c r="T57" s="86">
        <f>SUM(T44:T56)</f>
        <v>3643636.48</v>
      </c>
      <c r="U57" s="177"/>
      <c r="V57" s="69"/>
      <c r="W57" s="86">
        <f>SUM(W44:W56)</f>
        <v>0</v>
      </c>
      <c r="X57" s="215">
        <f>SUM(X44:X56)</f>
        <v>0</v>
      </c>
    </row>
    <row r="58" spans="1:24" ht="31.5" customHeight="1" thickBot="1" x14ac:dyDescent="0.3">
      <c r="A58" s="104"/>
      <c r="B58" s="103" t="s">
        <v>153</v>
      </c>
      <c r="C58" s="70"/>
      <c r="D58" s="71" t="e">
        <f>D41+D57</f>
        <v>#REF!</v>
      </c>
      <c r="E58" s="70"/>
      <c r="F58" s="72"/>
      <c r="G58" s="71" t="e">
        <f>SUM(G17:G57)</f>
        <v>#REF!</v>
      </c>
      <c r="H58" s="71" t="e">
        <f>SUM(H17:H57)</f>
        <v>#REF!</v>
      </c>
      <c r="I58" s="71"/>
      <c r="J58" s="71">
        <f t="shared" ref="J58:Q58" si="11">J41+J57</f>
        <v>1439399414.3699999</v>
      </c>
      <c r="K58" s="71">
        <f t="shared" si="11"/>
        <v>420835140.72000003</v>
      </c>
      <c r="L58" s="71">
        <f t="shared" si="11"/>
        <v>159956662.41999999</v>
      </c>
      <c r="M58" s="71">
        <f t="shared" si="11"/>
        <v>117736329.52</v>
      </c>
      <c r="N58" s="71">
        <f t="shared" si="11"/>
        <v>10490501.84</v>
      </c>
      <c r="O58" s="71">
        <f t="shared" si="11"/>
        <v>17232889.960000001</v>
      </c>
      <c r="P58" s="71">
        <f t="shared" si="11"/>
        <v>726251524.46000004</v>
      </c>
      <c r="Q58" s="71">
        <f t="shared" si="11"/>
        <v>713148013.90999997</v>
      </c>
      <c r="R58" s="71"/>
      <c r="S58" s="71"/>
      <c r="T58" s="73" t="e">
        <f>T41+T57</f>
        <v>#REF!</v>
      </c>
      <c r="U58" s="177"/>
      <c r="V58" s="71"/>
      <c r="W58" s="73" t="e">
        <f>W41+W57</f>
        <v>#REF!</v>
      </c>
      <c r="X58" s="216" t="e">
        <f>X41+X57</f>
        <v>#REF!</v>
      </c>
    </row>
    <row r="61" spans="1:24" x14ac:dyDescent="0.25">
      <c r="C61" s="36" t="s">
        <v>164</v>
      </c>
    </row>
    <row r="62" spans="1:24" x14ac:dyDescent="0.25">
      <c r="C62" s="36" t="s">
        <v>165</v>
      </c>
    </row>
    <row r="76" spans="1:24" s="39" customFormat="1" ht="54.95" customHeight="1" x14ac:dyDescent="0.25">
      <c r="A76" s="46"/>
      <c r="B76" s="47"/>
      <c r="C76" s="46"/>
      <c r="D76" s="48"/>
      <c r="E76" s="46"/>
      <c r="F76" s="49"/>
      <c r="G76" s="48"/>
      <c r="H76" s="48"/>
      <c r="I76" s="48"/>
      <c r="J76" s="48"/>
      <c r="K76" s="50"/>
      <c r="M76" s="35"/>
      <c r="O76" s="35"/>
      <c r="P76" s="36"/>
      <c r="Q76" s="36"/>
      <c r="R76" s="36"/>
      <c r="S76" s="36"/>
      <c r="T76" s="36"/>
      <c r="U76" s="176"/>
      <c r="V76" s="36"/>
      <c r="W76" s="36"/>
      <c r="X76" s="36"/>
    </row>
    <row r="77" spans="1:24" s="39" customFormat="1" x14ac:dyDescent="0.25">
      <c r="A77" s="36"/>
      <c r="B77" s="36"/>
      <c r="C77" s="36"/>
      <c r="D77" s="45">
        <f>ССР!H58</f>
        <v>392033.92</v>
      </c>
      <c r="E77" s="36"/>
      <c r="F77" s="45"/>
      <c r="G77" s="45">
        <f>ССР!H76</f>
        <v>434361.04</v>
      </c>
      <c r="H77" s="45">
        <f>ССР!H78</f>
        <v>456670</v>
      </c>
      <c r="I77" s="36"/>
      <c r="J77" s="45"/>
      <c r="K77" s="35"/>
      <c r="M77" s="35"/>
      <c r="O77" s="35"/>
      <c r="P77" s="36"/>
      <c r="Q77" s="36"/>
      <c r="R77" s="36"/>
      <c r="S77" s="36"/>
      <c r="T77" s="36"/>
      <c r="U77" s="176"/>
      <c r="V77" s="36"/>
      <c r="W77" s="36"/>
      <c r="X77" s="36"/>
    </row>
    <row r="78" spans="1:24" s="39" customFormat="1" x14ac:dyDescent="0.25">
      <c r="A78" s="36"/>
      <c r="B78" s="36"/>
      <c r="C78" s="36"/>
      <c r="D78" s="45" t="e">
        <f>D41/1000</f>
        <v>#REF!</v>
      </c>
      <c r="E78" s="36"/>
      <c r="F78" s="51"/>
      <c r="G78" s="52" t="e">
        <f>G41/1000</f>
        <v>#REF!</v>
      </c>
      <c r="H78" s="52" t="e">
        <f>H41/1000</f>
        <v>#REF!</v>
      </c>
      <c r="I78" s="36"/>
      <c r="J78" s="45"/>
      <c r="K78" s="50"/>
      <c r="M78" s="35"/>
      <c r="O78" s="35"/>
      <c r="P78" s="36"/>
      <c r="Q78" s="36"/>
      <c r="R78" s="36"/>
      <c r="S78" s="36"/>
      <c r="T78" s="36"/>
      <c r="U78" s="176"/>
      <c r="V78" s="36"/>
      <c r="W78" s="36"/>
      <c r="X78" s="36"/>
    </row>
    <row r="79" spans="1:24" s="39" customFormat="1" x14ac:dyDescent="0.25">
      <c r="A79" s="36"/>
      <c r="B79" s="36"/>
      <c r="C79" s="36"/>
      <c r="D79" s="45"/>
      <c r="E79" s="45"/>
      <c r="F79" s="51"/>
      <c r="G79" s="36"/>
      <c r="H79" s="36"/>
      <c r="I79" s="36"/>
      <c r="J79" s="36"/>
      <c r="M79" s="35"/>
      <c r="O79" s="35"/>
      <c r="P79" s="36"/>
      <c r="Q79" s="36"/>
      <c r="R79" s="36"/>
      <c r="S79" s="36"/>
      <c r="T79" s="36"/>
      <c r="U79" s="176"/>
      <c r="V79" s="36"/>
      <c r="W79" s="36"/>
      <c r="X79" s="36"/>
    </row>
    <row r="99" spans="1:1" x14ac:dyDescent="0.25">
      <c r="A99" s="36">
        <v>7</v>
      </c>
    </row>
  </sheetData>
  <autoFilter ref="A3:U58" xr:uid="{00000000-0001-0000-0100-000000000000}"/>
  <mergeCells count="8">
    <mergeCell ref="A1:J1"/>
    <mergeCell ref="A3:A4"/>
    <mergeCell ref="B3:B4"/>
    <mergeCell ref="C3:C4"/>
    <mergeCell ref="G3:G4"/>
    <mergeCell ref="H3:H4"/>
    <mergeCell ref="I3:I4"/>
    <mergeCell ref="J3:J4"/>
  </mergeCells>
  <pageMargins left="0.23622047244094491" right="0.23622047244094491" top="0.74803149606299213" bottom="0.74803149606299213" header="0.31496062992125984" footer="0.31496062992125984"/>
  <pageSetup paperSize="9" scale="55" fitToHeight="100" orientation="landscape" r:id="rId1"/>
  <rowBreaks count="2" manualBreakCount="2">
    <brk id="59" max="17" man="1"/>
    <brk id="65" max="9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38408-3136-4FD0-8428-C8EE680F4A3F}">
  <sheetPr>
    <pageSetUpPr fitToPage="1"/>
  </sheetPr>
  <dimension ref="A1:W67"/>
  <sheetViews>
    <sheetView view="pageBreakPreview" zoomScale="80" zoomScaleNormal="80" zoomScaleSheetLayoutView="80" workbookViewId="0">
      <pane ySplit="3" topLeftCell="A17" activePane="bottomLeft" state="frozen"/>
      <selection pane="bottomLeft" activeCell="H21" sqref="H21"/>
    </sheetView>
  </sheetViews>
  <sheetFormatPr defaultColWidth="9.140625" defaultRowHeight="15.75" outlineLevelCol="1" x14ac:dyDescent="0.25"/>
  <cols>
    <col min="1" max="1" width="7.42578125" style="130" customWidth="1"/>
    <col min="2" max="2" width="14.7109375" style="130" customWidth="1"/>
    <col min="3" max="3" width="44.85546875" style="130" customWidth="1"/>
    <col min="4" max="4" width="20.5703125" style="130" customWidth="1" outlineLevel="1"/>
    <col min="5" max="5" width="18.85546875" style="130" customWidth="1" outlineLevel="1"/>
    <col min="6" max="6" width="17.5703125" style="130" customWidth="1" outlineLevel="1"/>
    <col min="7" max="7" width="17.85546875" style="130" customWidth="1" outlineLevel="1"/>
    <col min="8" max="8" width="19.5703125" style="130" customWidth="1" outlineLevel="1"/>
    <col min="9" max="9" width="8.5703125" style="130" customWidth="1" outlineLevel="1"/>
    <col min="10" max="10" width="25.140625" style="130" customWidth="1"/>
    <col min="11" max="11" width="20.42578125" style="131" customWidth="1"/>
    <col min="12" max="12" width="16.85546875" style="131" customWidth="1"/>
    <col min="13" max="13" width="18.140625" style="129" customWidth="1"/>
    <col min="14" max="14" width="16.85546875" style="131" customWidth="1"/>
    <col min="15" max="15" width="18.140625" style="129" customWidth="1"/>
    <col min="16" max="16" width="21" style="130" customWidth="1"/>
    <col min="17" max="20" width="19" style="130" customWidth="1"/>
    <col min="21" max="21" width="19.28515625" style="36" customWidth="1"/>
    <col min="22" max="22" width="24.28515625" style="36" customWidth="1"/>
    <col min="23" max="23" width="19" style="36" customWidth="1"/>
    <col min="24" max="16384" width="9.140625" style="130"/>
  </cols>
  <sheetData>
    <row r="1" spans="1:23" ht="26.25" customHeight="1" x14ac:dyDescent="0.25">
      <c r="A1" s="1125"/>
      <c r="B1" s="1125"/>
      <c r="C1" s="1125"/>
      <c r="D1" s="1125"/>
      <c r="E1" s="1125"/>
      <c r="F1" s="1125"/>
      <c r="G1" s="1125"/>
      <c r="H1" s="1125"/>
      <c r="I1" s="1125"/>
      <c r="J1" s="1125"/>
      <c r="K1" s="126"/>
      <c r="L1" s="126"/>
      <c r="N1" s="126"/>
    </row>
    <row r="2" spans="1:23" ht="5.25" customHeight="1" thickBot="1" x14ac:dyDescent="0.3">
      <c r="A2" s="37"/>
      <c r="B2" s="37"/>
      <c r="C2" s="37"/>
      <c r="D2" s="37"/>
      <c r="E2" s="37"/>
      <c r="F2" s="37"/>
      <c r="G2" s="37"/>
      <c r="H2" s="37"/>
      <c r="I2" s="38"/>
      <c r="J2" s="37"/>
    </row>
    <row r="3" spans="1:23" ht="84.75" customHeight="1" x14ac:dyDescent="0.25">
      <c r="A3" s="1153" t="s">
        <v>111</v>
      </c>
      <c r="B3" s="1153" t="s">
        <v>112</v>
      </c>
      <c r="C3" s="1153" t="s">
        <v>113</v>
      </c>
      <c r="D3" s="132" t="s">
        <v>114</v>
      </c>
      <c r="E3" s="132" t="s">
        <v>115</v>
      </c>
      <c r="F3" s="132" t="s">
        <v>116</v>
      </c>
      <c r="G3" s="1153" t="s">
        <v>117</v>
      </c>
      <c r="H3" s="1154" t="s">
        <v>125</v>
      </c>
      <c r="I3" s="1153" t="s">
        <v>118</v>
      </c>
      <c r="J3" s="1154" t="s">
        <v>119</v>
      </c>
      <c r="K3" s="133" t="s">
        <v>126</v>
      </c>
      <c r="L3" s="133" t="s">
        <v>127</v>
      </c>
      <c r="M3" s="134" t="s">
        <v>128</v>
      </c>
      <c r="N3" s="135" t="s">
        <v>134</v>
      </c>
      <c r="O3" s="136" t="s">
        <v>135</v>
      </c>
      <c r="P3" s="137" t="s">
        <v>136</v>
      </c>
      <c r="Q3" s="137" t="s">
        <v>121</v>
      </c>
      <c r="R3" s="137" t="s">
        <v>129</v>
      </c>
      <c r="S3" s="137" t="s">
        <v>131</v>
      </c>
      <c r="T3" s="137" t="s">
        <v>130</v>
      </c>
      <c r="U3" s="79" t="s">
        <v>137</v>
      </c>
      <c r="V3" s="79" t="s">
        <v>138</v>
      </c>
      <c r="W3" s="80" t="s">
        <v>157</v>
      </c>
    </row>
    <row r="4" spans="1:23" x14ac:dyDescent="0.25">
      <c r="A4" s="1153"/>
      <c r="B4" s="1153"/>
      <c r="C4" s="1153"/>
      <c r="D4" s="132"/>
      <c r="E4" s="132"/>
      <c r="F4" s="132"/>
      <c r="G4" s="1153"/>
      <c r="H4" s="1154"/>
      <c r="I4" s="1153"/>
      <c r="J4" s="1154"/>
      <c r="K4" s="138" t="s">
        <v>122</v>
      </c>
      <c r="L4" s="138" t="s">
        <v>123</v>
      </c>
      <c r="M4" s="138" t="s">
        <v>124</v>
      </c>
      <c r="N4" s="138" t="s">
        <v>132</v>
      </c>
      <c r="O4" s="138" t="s">
        <v>133</v>
      </c>
      <c r="P4" s="139"/>
      <c r="Q4" s="139"/>
      <c r="R4" s="139"/>
      <c r="S4" s="139"/>
      <c r="T4" s="139"/>
      <c r="U4" s="65"/>
      <c r="V4" s="65"/>
      <c r="W4" s="81"/>
    </row>
    <row r="5" spans="1:23" ht="59.25" customHeight="1" x14ac:dyDescent="0.25">
      <c r="A5" s="140">
        <v>1</v>
      </c>
      <c r="B5" s="141" t="s">
        <v>25</v>
      </c>
      <c r="C5" s="142" t="str">
        <f>[14]ССР!C24</f>
        <v>Выполнение работ по ликвидации объектов по трассе ж.д. путей, подготовке трассы ж.д. путей.</v>
      </c>
      <c r="D5" s="143">
        <f>'[14]01-01-01'!N448</f>
        <v>48841208.740000002</v>
      </c>
      <c r="E5" s="143">
        <f>'[14]01-01-01'!N449</f>
        <v>4004979.12</v>
      </c>
      <c r="F5" s="143">
        <f>'[14]01-01-01'!N451</f>
        <v>1268308.51</v>
      </c>
      <c r="G5" s="143">
        <f>D5+E5+F5</f>
        <v>54114496.369999997</v>
      </c>
      <c r="H5" s="143">
        <f>'[14]01-01-01'!N453</f>
        <v>56893839.630000003</v>
      </c>
      <c r="I5" s="144">
        <v>1.2</v>
      </c>
      <c r="J5" s="145">
        <f>ROUND(H5*I5,2)</f>
        <v>68272607.560000002</v>
      </c>
      <c r="K5" s="146">
        <f>[15]реестр!$J$11</f>
        <v>65507253.219999999</v>
      </c>
      <c r="L5" s="146">
        <f>[16]реестр!$J$13</f>
        <v>360012.73</v>
      </c>
      <c r="M5" s="146"/>
      <c r="N5" s="146"/>
      <c r="O5" s="146"/>
      <c r="P5" s="147">
        <f>K5+L5+M5+N5+O5</f>
        <v>65867265.950000003</v>
      </c>
      <c r="Q5" s="147">
        <f>J5-K5-L5-M5-N5-O5</f>
        <v>2405341.61</v>
      </c>
      <c r="R5" s="147">
        <f>Q5</f>
        <v>2405341.61</v>
      </c>
      <c r="S5" s="148">
        <v>0</v>
      </c>
      <c r="T5" s="148">
        <f>Q5-R5-S5</f>
        <v>0</v>
      </c>
      <c r="U5" s="112" t="s">
        <v>139</v>
      </c>
      <c r="V5" s="111" t="s">
        <v>158</v>
      </c>
      <c r="W5" s="83">
        <f>47118689.25*1.082*1.024*1.0514*1.2</f>
        <v>65867265.939999998</v>
      </c>
    </row>
    <row r="6" spans="1:23" ht="35.1" customHeight="1" x14ac:dyDescent="0.25">
      <c r="A6" s="140">
        <v>2</v>
      </c>
      <c r="B6" s="141" t="s">
        <v>27</v>
      </c>
      <c r="C6" s="142" t="str">
        <f>[14]ССР!C25</f>
        <v>Выполнение работ по ликвидации объекта капитального строительства</v>
      </c>
      <c r="D6" s="143">
        <f>'[14]01-01-02 '!N722</f>
        <v>40054718.460000001</v>
      </c>
      <c r="E6" s="143">
        <f>'[14]01-01-02 '!N723</f>
        <v>3284486.91</v>
      </c>
      <c r="F6" s="143">
        <f>'[14]01-01-02 '!N725</f>
        <v>1040140.93</v>
      </c>
      <c r="G6" s="143">
        <f>D6+E6+F6</f>
        <v>44379346.299999997</v>
      </c>
      <c r="H6" s="143">
        <f>'[14]01-01-02 '!N727</f>
        <v>46658688.170000002</v>
      </c>
      <c r="I6" s="144">
        <v>1.2</v>
      </c>
      <c r="J6" s="145">
        <f t="shared" ref="J6:J25" si="0">ROUND(H6*I6,2)</f>
        <v>55990425.799999997</v>
      </c>
      <c r="K6" s="146">
        <f>[15]реестр!$J$12</f>
        <v>54911594.170000002</v>
      </c>
      <c r="L6" s="146"/>
      <c r="M6" s="146"/>
      <c r="N6" s="146"/>
      <c r="O6" s="146"/>
      <c r="P6" s="147">
        <f t="shared" ref="P6:P25" si="1">K6+L6+M6+N6+O6</f>
        <v>54911594.170000002</v>
      </c>
      <c r="Q6" s="147">
        <f t="shared" ref="Q6:Q25" si="2">J6-K6-L6-M6-N6-O6</f>
        <v>1078831.6299999999</v>
      </c>
      <c r="R6" s="147">
        <f>Q6</f>
        <v>1078831.6299999999</v>
      </c>
      <c r="S6" s="148">
        <v>0</v>
      </c>
      <c r="T6" s="148">
        <f>Q6-R6-S6</f>
        <v>0</v>
      </c>
      <c r="U6" s="112" t="s">
        <v>139</v>
      </c>
      <c r="V6" s="111" t="s">
        <v>158</v>
      </c>
      <c r="W6" s="83">
        <f>39281459.54*1.082*1.024*1.0514*1.2</f>
        <v>54911594.170000002</v>
      </c>
    </row>
    <row r="7" spans="1:23" ht="35.1" customHeight="1" x14ac:dyDescent="0.25">
      <c r="A7" s="140">
        <v>3</v>
      </c>
      <c r="B7" s="141" t="s">
        <v>28</v>
      </c>
      <c r="C7" s="142" t="str">
        <f>[14]ССР!C26</f>
        <v>Демонтаж сетей и систем  инженерного обоспечения.</v>
      </c>
      <c r="D7" s="143">
        <f>'[14]01-01-03'!N266</f>
        <v>1177977.71</v>
      </c>
      <c r="E7" s="143">
        <f>'[14]01-01-03'!N267</f>
        <v>96594.17</v>
      </c>
      <c r="F7" s="143">
        <f>'[14]01-01-03'!N269</f>
        <v>30589.73</v>
      </c>
      <c r="G7" s="143">
        <f>D7+E7+F7</f>
        <v>1305161.6100000001</v>
      </c>
      <c r="H7" s="143">
        <f>'[14]01-01-03'!N271</f>
        <v>1372195.26</v>
      </c>
      <c r="I7" s="144">
        <f>I5</f>
        <v>1.2</v>
      </c>
      <c r="J7" s="145">
        <f>ROUND(H7*I7,2)</f>
        <v>1646634.31</v>
      </c>
      <c r="K7" s="146"/>
      <c r="L7" s="146"/>
      <c r="M7" s="146">
        <f>1646696.3</f>
        <v>1646696.3</v>
      </c>
      <c r="N7" s="146"/>
      <c r="O7" s="146"/>
      <c r="P7" s="147">
        <f t="shared" si="1"/>
        <v>1646696.3</v>
      </c>
      <c r="Q7" s="147">
        <f t="shared" si="2"/>
        <v>-61.99</v>
      </c>
      <c r="R7" s="147">
        <v>0</v>
      </c>
      <c r="S7" s="148">
        <v>0</v>
      </c>
      <c r="T7" s="147">
        <f>Q7-R7-S7</f>
        <v>-61.99</v>
      </c>
      <c r="U7" s="112" t="s">
        <v>139</v>
      </c>
      <c r="V7" s="111" t="s">
        <v>158</v>
      </c>
      <c r="W7" s="84">
        <f>1177977.71*1.082*1.024*1.0514*1.2</f>
        <v>1646696.3</v>
      </c>
    </row>
    <row r="8" spans="1:23" ht="117" customHeight="1" x14ac:dyDescent="0.25">
      <c r="A8" s="140">
        <v>4</v>
      </c>
      <c r="B8" s="149">
        <v>36893</v>
      </c>
      <c r="C8" s="142" t="str">
        <f>[14]ССР!C29</f>
        <v>Верхнее строение пути</v>
      </c>
      <c r="D8" s="143">
        <f>'[14]02-01-01'!N1115</f>
        <v>161452921.99000001</v>
      </c>
      <c r="E8" s="143">
        <f>'[14]02-01-01'!N1116</f>
        <v>13239139.6</v>
      </c>
      <c r="F8" s="143">
        <f>'[14]02-01-01'!N1118</f>
        <v>4192609.48</v>
      </c>
      <c r="G8" s="143">
        <f t="shared" ref="G8:G25" si="3">D8+E8+F8</f>
        <v>178884671.06999999</v>
      </c>
      <c r="H8" s="143">
        <f>'[14]02-01-01'!N1120</f>
        <v>188072263.84999999</v>
      </c>
      <c r="I8" s="144">
        <f>I5</f>
        <v>1.2</v>
      </c>
      <c r="J8" s="145">
        <f t="shared" si="0"/>
        <v>225686716.62</v>
      </c>
      <c r="K8" s="146">
        <f>[15]реестр!$J$13</f>
        <v>89998722.969999999</v>
      </c>
      <c r="L8" s="146">
        <f>[16]реестр!$J$11</f>
        <v>66544414.909999996</v>
      </c>
      <c r="M8" s="146">
        <v>42672742.899999999</v>
      </c>
      <c r="N8" s="146"/>
      <c r="O8" s="146"/>
      <c r="P8" s="147">
        <f t="shared" si="1"/>
        <v>199215880.78</v>
      </c>
      <c r="Q8" s="147">
        <f t="shared" si="2"/>
        <v>26470835.84</v>
      </c>
      <c r="R8" s="147">
        <f>2801779.13+6000000</f>
        <v>8801779.1300000008</v>
      </c>
      <c r="S8" s="148">
        <v>5320000</v>
      </c>
      <c r="T8" s="147">
        <f t="shared" ref="T8:T25" si="4">Q8-R8-S8</f>
        <v>12349056.710000001</v>
      </c>
      <c r="U8" s="112"/>
      <c r="V8" s="110"/>
      <c r="W8" s="84"/>
    </row>
    <row r="9" spans="1:23" ht="35.1" customHeight="1" x14ac:dyDescent="0.25">
      <c r="A9" s="140">
        <v>5</v>
      </c>
      <c r="B9" s="141" t="s">
        <v>32</v>
      </c>
      <c r="C9" s="142" t="str">
        <f>[14]ССР!C30</f>
        <v>Восстановительные работы цеха №121/18. АС 3.</v>
      </c>
      <c r="D9" s="143">
        <f>'[14]02-02-01'!N1999</f>
        <v>4505948.67</v>
      </c>
      <c r="E9" s="143">
        <f>'[14]02-02-01'!N2000</f>
        <v>369487.79</v>
      </c>
      <c r="F9" s="143">
        <f>'[14]02-02-01'!N2002</f>
        <v>117010.48</v>
      </c>
      <c r="G9" s="143">
        <f t="shared" si="3"/>
        <v>4992446.9400000004</v>
      </c>
      <c r="H9" s="143">
        <f>'[14]02-02-01'!N2004</f>
        <v>5248861.1100000003</v>
      </c>
      <c r="I9" s="144">
        <f>I6</f>
        <v>1.2</v>
      </c>
      <c r="J9" s="145">
        <f t="shared" si="0"/>
        <v>6298633.3300000001</v>
      </c>
      <c r="K9" s="146"/>
      <c r="L9" s="146"/>
      <c r="M9" s="146"/>
      <c r="N9" s="146">
        <v>5245250.92</v>
      </c>
      <c r="O9" s="146"/>
      <c r="P9" s="147">
        <f t="shared" si="1"/>
        <v>5245250.92</v>
      </c>
      <c r="Q9" s="147">
        <f t="shared" si="2"/>
        <v>1053382.4099999999</v>
      </c>
      <c r="R9" s="147">
        <v>0</v>
      </c>
      <c r="S9" s="148">
        <v>410418.9</v>
      </c>
      <c r="T9" s="147">
        <f t="shared" si="4"/>
        <v>642963.51</v>
      </c>
      <c r="U9" s="112"/>
      <c r="V9" s="110"/>
      <c r="W9" s="84"/>
    </row>
    <row r="10" spans="1:23" ht="35.1" customHeight="1" x14ac:dyDescent="0.25">
      <c r="A10" s="140">
        <v>6</v>
      </c>
      <c r="B10" s="141" t="s">
        <v>33</v>
      </c>
      <c r="C10" s="142" t="str">
        <f>[14]ССР!C31</f>
        <v>Архитектурно-строительные решения. Часть 1.АС1</v>
      </c>
      <c r="D10" s="143">
        <f>'[14]02-03-01'!N1237</f>
        <v>10526911.91</v>
      </c>
      <c r="E10" s="143">
        <f>'[14]02-03-01'!N1238</f>
        <v>863206.78</v>
      </c>
      <c r="F10" s="143">
        <f>'[14]02-03-01'!N1240</f>
        <v>273362.84999999998</v>
      </c>
      <c r="G10" s="143">
        <f t="shared" si="3"/>
        <v>11663481.539999999</v>
      </c>
      <c r="H10" s="143">
        <f>'[14]02-03-01'!N1243</f>
        <v>12262522.85</v>
      </c>
      <c r="I10" s="144">
        <f>I7</f>
        <v>1.2</v>
      </c>
      <c r="J10" s="145">
        <f t="shared" si="0"/>
        <v>14715027.42</v>
      </c>
      <c r="K10" s="146"/>
      <c r="L10" s="146">
        <f>[16]реестр!$J$14</f>
        <v>10775049.08</v>
      </c>
      <c r="M10" s="146"/>
      <c r="N10" s="146"/>
      <c r="O10" s="146"/>
      <c r="P10" s="147">
        <f t="shared" si="1"/>
        <v>10775049.08</v>
      </c>
      <c r="Q10" s="147">
        <f t="shared" si="2"/>
        <v>3939978.34</v>
      </c>
      <c r="R10" s="147">
        <v>0</v>
      </c>
      <c r="S10" s="148">
        <v>800000</v>
      </c>
      <c r="T10" s="147">
        <f>Q10-R10-S10</f>
        <v>3139978.34</v>
      </c>
      <c r="U10" s="112"/>
      <c r="V10" s="110"/>
      <c r="W10" s="84"/>
    </row>
    <row r="11" spans="1:23" ht="35.1" customHeight="1" x14ac:dyDescent="0.25">
      <c r="A11" s="140">
        <v>7</v>
      </c>
      <c r="B11" s="141" t="s">
        <v>35</v>
      </c>
      <c r="C11" s="142" t="str">
        <f>[14]ССР!C32</f>
        <v>Трансбордер. Архитектурно-строительные решения. Часть 2. АС2 .</v>
      </c>
      <c r="D11" s="143">
        <f>'[14]02-03-02'!N392</f>
        <v>1615223.87</v>
      </c>
      <c r="E11" s="143">
        <f>'[14]02-03-02'!N393</f>
        <v>132448.35999999999</v>
      </c>
      <c r="F11" s="143">
        <f>'[14]02-03-02'!N395</f>
        <v>41944.13</v>
      </c>
      <c r="G11" s="143">
        <f t="shared" si="3"/>
        <v>1789616.36</v>
      </c>
      <c r="H11" s="143">
        <f>'[14]02-03-02'!N398</f>
        <v>1881531.81</v>
      </c>
      <c r="I11" s="144">
        <f>I8</f>
        <v>1.2</v>
      </c>
      <c r="J11" s="145">
        <f t="shared" si="0"/>
        <v>2257838.17</v>
      </c>
      <c r="K11" s="146"/>
      <c r="L11" s="146"/>
      <c r="M11" s="146">
        <v>1627347.05</v>
      </c>
      <c r="N11" s="146"/>
      <c r="O11" s="146"/>
      <c r="P11" s="147">
        <f t="shared" si="1"/>
        <v>1627347.05</v>
      </c>
      <c r="Q11" s="147">
        <f t="shared" si="2"/>
        <v>630491.12</v>
      </c>
      <c r="R11" s="147">
        <f>Q11</f>
        <v>630491.12</v>
      </c>
      <c r="S11" s="148">
        <v>0</v>
      </c>
      <c r="T11" s="147">
        <f t="shared" si="4"/>
        <v>0</v>
      </c>
      <c r="U11" s="111" t="s">
        <v>161</v>
      </c>
      <c r="V11" s="110"/>
      <c r="W11" s="84">
        <f>113458.97*1.082*1.024*1.0514*1.2</f>
        <v>158604.42000000001</v>
      </c>
    </row>
    <row r="12" spans="1:23" ht="35.1" customHeight="1" x14ac:dyDescent="0.25">
      <c r="A12" s="140">
        <v>8</v>
      </c>
      <c r="B12" s="141" t="s">
        <v>39</v>
      </c>
      <c r="C12" s="142" t="str">
        <f>[14]ССР!C35</f>
        <v>Электроснабжение. ЭС 1.</v>
      </c>
      <c r="D12" s="143">
        <f>'[14]04-01-01'!N165</f>
        <v>475031.03999999998</v>
      </c>
      <c r="E12" s="143">
        <f>'[14]04-01-01'!N166</f>
        <v>38952.550000000003</v>
      </c>
      <c r="F12" s="143">
        <f>'[14]04-01-01'!N168</f>
        <v>12335.61</v>
      </c>
      <c r="G12" s="143">
        <f t="shared" si="3"/>
        <v>526319.19999999995</v>
      </c>
      <c r="H12" s="143">
        <f>'[14]04-01-01'!N171</f>
        <v>553351.18000000005</v>
      </c>
      <c r="I12" s="144">
        <f>I9</f>
        <v>1.2</v>
      </c>
      <c r="J12" s="145">
        <f t="shared" si="0"/>
        <v>664021.42000000004</v>
      </c>
      <c r="K12" s="146"/>
      <c r="L12" s="146"/>
      <c r="M12" s="146"/>
      <c r="N12" s="146"/>
      <c r="O12" s="146"/>
      <c r="P12" s="147">
        <f t="shared" si="1"/>
        <v>0</v>
      </c>
      <c r="Q12" s="147">
        <f t="shared" si="2"/>
        <v>664021.42000000004</v>
      </c>
      <c r="R12" s="147">
        <v>368180.82</v>
      </c>
      <c r="S12" s="148">
        <v>0</v>
      </c>
      <c r="T12" s="147">
        <f t="shared" si="4"/>
        <v>295840.59999999998</v>
      </c>
      <c r="U12" s="112"/>
      <c r="V12" s="110"/>
      <c r="W12" s="84"/>
    </row>
    <row r="13" spans="1:23" ht="35.1" customHeight="1" x14ac:dyDescent="0.25">
      <c r="A13" s="140">
        <v>9</v>
      </c>
      <c r="B13" s="141" t="s">
        <v>41</v>
      </c>
      <c r="C13" s="142" t="str">
        <f>[14]ССР!C36</f>
        <v>Переустройство кабельных линий.ЭС2</v>
      </c>
      <c r="D13" s="143">
        <f>'[14]04-01-02'!N840</f>
        <v>2276671.21</v>
      </c>
      <c r="E13" s="143">
        <f>'[14]04-01-02'!N841</f>
        <v>186687.04</v>
      </c>
      <c r="F13" s="143">
        <f>'[14]04-01-02'!N843</f>
        <v>59120.6</v>
      </c>
      <c r="G13" s="143">
        <f t="shared" si="3"/>
        <v>2522478.85</v>
      </c>
      <c r="H13" s="143">
        <f>'[14]04-01-02'!N846</f>
        <v>2652034.42</v>
      </c>
      <c r="I13" s="144">
        <f t="shared" ref="I13:I25" si="5">I9</f>
        <v>1.2</v>
      </c>
      <c r="J13" s="145">
        <f t="shared" si="0"/>
        <v>3182441.3</v>
      </c>
      <c r="K13" s="146"/>
      <c r="L13" s="146"/>
      <c r="M13" s="146"/>
      <c r="N13" s="146"/>
      <c r="O13" s="146"/>
      <c r="P13" s="147">
        <f t="shared" si="1"/>
        <v>0</v>
      </c>
      <c r="Q13" s="147">
        <f t="shared" si="2"/>
        <v>3182441.3</v>
      </c>
      <c r="R13" s="147">
        <v>1173466.43</v>
      </c>
      <c r="S13" s="148">
        <v>0</v>
      </c>
      <c r="T13" s="147">
        <f t="shared" si="4"/>
        <v>2008974.87</v>
      </c>
      <c r="U13" s="111" t="s">
        <v>139</v>
      </c>
      <c r="V13" s="111" t="s">
        <v>158</v>
      </c>
      <c r="W13" s="84">
        <f>6471079.85*1.082*1.024*1.0514*1.2</f>
        <v>9045929.4199999999</v>
      </c>
    </row>
    <row r="14" spans="1:23" ht="35.1" customHeight="1" x14ac:dyDescent="0.25">
      <c r="A14" s="140">
        <v>10</v>
      </c>
      <c r="B14" s="141" t="s">
        <v>46</v>
      </c>
      <c r="C14" s="142" t="str">
        <f>[14]ССР!C40</f>
        <v>Переустройство хозпитьевого водопровода.НВК2</v>
      </c>
      <c r="D14" s="143">
        <f>'[14]06-01-01'!N702</f>
        <v>760016.55</v>
      </c>
      <c r="E14" s="143">
        <f>'[14]06-01-01'!N703</f>
        <v>62321.36</v>
      </c>
      <c r="F14" s="143">
        <f>'[14]06-01-01'!N705</f>
        <v>19736.11</v>
      </c>
      <c r="G14" s="143">
        <f t="shared" si="3"/>
        <v>842074.02</v>
      </c>
      <c r="H14" s="143">
        <f>'[14]06-01-01'!N708</f>
        <v>885323.3</v>
      </c>
      <c r="I14" s="144">
        <f t="shared" si="5"/>
        <v>1.2</v>
      </c>
      <c r="J14" s="145">
        <f t="shared" si="0"/>
        <v>1062387.96</v>
      </c>
      <c r="K14" s="146"/>
      <c r="L14" s="146"/>
      <c r="M14" s="146"/>
      <c r="N14" s="146"/>
      <c r="O14" s="146"/>
      <c r="P14" s="147">
        <f t="shared" si="1"/>
        <v>0</v>
      </c>
      <c r="Q14" s="147">
        <f t="shared" si="2"/>
        <v>1062387.96</v>
      </c>
      <c r="R14" s="147">
        <v>0</v>
      </c>
      <c r="S14" s="148">
        <v>0</v>
      </c>
      <c r="T14" s="147">
        <f t="shared" si="4"/>
        <v>1062387.96</v>
      </c>
      <c r="U14" s="112" t="s">
        <v>162</v>
      </c>
      <c r="V14" s="111" t="s">
        <v>163</v>
      </c>
      <c r="W14" s="84">
        <f>1575220.02*1.082*1.024*1.0514*1.2</f>
        <v>2202001.75</v>
      </c>
    </row>
    <row r="15" spans="1:23" ht="35.1" customHeight="1" x14ac:dyDescent="0.25">
      <c r="A15" s="140">
        <v>11</v>
      </c>
      <c r="B15" s="141" t="s">
        <v>48</v>
      </c>
      <c r="C15" s="142" t="str">
        <f>[14]ССР!C41</f>
        <v>Переустройство хозпитьевого водопровода.НВК3</v>
      </c>
      <c r="D15" s="143">
        <f>'[14]06-01-02'!N1348</f>
        <v>10454161.890000001</v>
      </c>
      <c r="E15" s="143">
        <f>'[14]06-01-02'!N1349</f>
        <v>857241.27</v>
      </c>
      <c r="F15" s="143">
        <f>'[14]06-01-02'!N1351</f>
        <v>271473.68</v>
      </c>
      <c r="G15" s="143">
        <f t="shared" si="3"/>
        <v>11582876.84</v>
      </c>
      <c r="H15" s="143">
        <f>'[14]06-01-02'!N1354</f>
        <v>12177778.26</v>
      </c>
      <c r="I15" s="144">
        <f>I5</f>
        <v>1.2</v>
      </c>
      <c r="J15" s="145">
        <f t="shared" si="0"/>
        <v>14613333.91</v>
      </c>
      <c r="K15" s="146"/>
      <c r="L15" s="146"/>
      <c r="M15" s="146"/>
      <c r="N15" s="146"/>
      <c r="O15" s="146"/>
      <c r="P15" s="147">
        <f t="shared" si="1"/>
        <v>0</v>
      </c>
      <c r="Q15" s="147">
        <f t="shared" si="2"/>
        <v>14613333.91</v>
      </c>
      <c r="R15" s="147">
        <v>0</v>
      </c>
      <c r="S15" s="148">
        <v>0</v>
      </c>
      <c r="T15" s="147">
        <f t="shared" si="4"/>
        <v>14613333.91</v>
      </c>
      <c r="U15" s="112" t="s">
        <v>139</v>
      </c>
      <c r="V15" s="111" t="s">
        <v>158</v>
      </c>
      <c r="W15" s="84">
        <f>15932592.16*1.082*1.024*1.0514*1.2</f>
        <v>22272187.57</v>
      </c>
    </row>
    <row r="16" spans="1:23" ht="35.1" customHeight="1" x14ac:dyDescent="0.25">
      <c r="A16" s="140">
        <v>12</v>
      </c>
      <c r="B16" s="141" t="s">
        <v>51</v>
      </c>
      <c r="C16" s="142" t="str">
        <f>[14]ССР!C43</f>
        <v>Переустройство хозяйственно-бытовой канализации.НВК4</v>
      </c>
      <c r="D16" s="143">
        <f>'[14]06-02-01'!N1692</f>
        <v>9143309.8300000001</v>
      </c>
      <c r="E16" s="143">
        <f>'[14]06-02-01'!N1693</f>
        <v>749751.41</v>
      </c>
      <c r="F16" s="143">
        <f>'[14]06-02-01'!N1695</f>
        <v>237433.47</v>
      </c>
      <c r="G16" s="143">
        <f t="shared" si="3"/>
        <v>10130494.710000001</v>
      </c>
      <c r="H16" s="143">
        <f>'[14]06-02-01'!N1698</f>
        <v>10650801.17</v>
      </c>
      <c r="I16" s="144">
        <f>I6</f>
        <v>1.2</v>
      </c>
      <c r="J16" s="145">
        <f t="shared" si="0"/>
        <v>12780961.4</v>
      </c>
      <c r="K16" s="146"/>
      <c r="L16" s="146"/>
      <c r="M16" s="146"/>
      <c r="N16" s="146"/>
      <c r="O16" s="146">
        <v>337909.86</v>
      </c>
      <c r="P16" s="147">
        <f t="shared" si="1"/>
        <v>337909.86</v>
      </c>
      <c r="Q16" s="147">
        <f t="shared" si="2"/>
        <v>12443051.539999999</v>
      </c>
      <c r="R16" s="147">
        <v>7690625.7000000002</v>
      </c>
      <c r="S16" s="148">
        <v>0</v>
      </c>
      <c r="T16" s="147">
        <f t="shared" si="4"/>
        <v>4752425.84</v>
      </c>
      <c r="U16" s="111" t="s">
        <v>161</v>
      </c>
      <c r="V16" s="111" t="s">
        <v>163</v>
      </c>
      <c r="W16" s="84">
        <f>1587331.93*1.082*1.024*1.0514*1.2</f>
        <v>2218933</v>
      </c>
    </row>
    <row r="17" spans="1:23" ht="35.1" customHeight="1" x14ac:dyDescent="0.25">
      <c r="A17" s="140">
        <v>13</v>
      </c>
      <c r="B17" s="141" t="s">
        <v>53</v>
      </c>
      <c r="C17" s="142" t="str">
        <f>[14]ССР!C44</f>
        <v>Переустройство ливневой канализации.НВК5.</v>
      </c>
      <c r="D17" s="143">
        <f>'[14]06-02-02 '!N1847</f>
        <v>21996729.18</v>
      </c>
      <c r="E17" s="143">
        <f>'[14]06-02-02 '!N1848</f>
        <v>1803731.79</v>
      </c>
      <c r="F17" s="143">
        <f>'[14]06-02-02 '!N1850</f>
        <v>571211.06000000006</v>
      </c>
      <c r="G17" s="143">
        <f t="shared" si="3"/>
        <v>24371672.030000001</v>
      </c>
      <c r="H17" s="143">
        <f>'[14]06-02-02 '!N1853</f>
        <v>25623411.34</v>
      </c>
      <c r="I17" s="144">
        <f>I7</f>
        <v>1.2</v>
      </c>
      <c r="J17" s="145">
        <f t="shared" si="0"/>
        <v>30748093.609999999</v>
      </c>
      <c r="K17" s="146"/>
      <c r="L17" s="146"/>
      <c r="M17" s="146">
        <v>1211400.79</v>
      </c>
      <c r="N17" s="146"/>
      <c r="O17" s="146"/>
      <c r="P17" s="147">
        <f t="shared" si="1"/>
        <v>1211400.79</v>
      </c>
      <c r="Q17" s="147">
        <f t="shared" si="2"/>
        <v>29536692.82</v>
      </c>
      <c r="R17" s="147">
        <v>20038567.059999999</v>
      </c>
      <c r="S17" s="148">
        <v>0</v>
      </c>
      <c r="T17" s="147">
        <f t="shared" si="4"/>
        <v>9498125.7599999998</v>
      </c>
      <c r="U17" s="111" t="s">
        <v>161</v>
      </c>
      <c r="V17" s="111" t="s">
        <v>163</v>
      </c>
      <c r="W17" s="84">
        <f>2120579.48*1.082*1.024*1.0514*1.2</f>
        <v>2964360.32</v>
      </c>
    </row>
    <row r="18" spans="1:23" ht="35.1" customHeight="1" x14ac:dyDescent="0.25">
      <c r="A18" s="140">
        <v>14</v>
      </c>
      <c r="B18" s="141" t="s">
        <v>55</v>
      </c>
      <c r="C18" s="142" t="str">
        <f>[14]ССР!C45</f>
        <v>Трубопровод ливневых сточных вод от трансбордера. НВК1</v>
      </c>
      <c r="D18" s="143">
        <f>'[14]06-02-03 '!N573</f>
        <v>1758763.66</v>
      </c>
      <c r="E18" s="143">
        <f>'[14]06-02-03 '!N574</f>
        <v>144218.62</v>
      </c>
      <c r="F18" s="143">
        <f>'[14]06-02-03 '!N576</f>
        <v>45671.57</v>
      </c>
      <c r="G18" s="143">
        <f t="shared" si="3"/>
        <v>1948653.85</v>
      </c>
      <c r="H18" s="143">
        <f>'[14]06-02-03 '!N579</f>
        <v>2048737.53</v>
      </c>
      <c r="I18" s="144">
        <f>I8</f>
        <v>1.2</v>
      </c>
      <c r="J18" s="145">
        <f t="shared" si="0"/>
        <v>2458485.04</v>
      </c>
      <c r="K18" s="146"/>
      <c r="L18" s="146"/>
      <c r="M18" s="146"/>
      <c r="N18" s="146"/>
      <c r="O18" s="146">
        <v>505496.99</v>
      </c>
      <c r="P18" s="147">
        <f t="shared" si="1"/>
        <v>505496.99</v>
      </c>
      <c r="Q18" s="147">
        <f t="shared" si="2"/>
        <v>1952988.05</v>
      </c>
      <c r="R18" s="147">
        <v>1207154.99</v>
      </c>
      <c r="S18" s="148">
        <v>0</v>
      </c>
      <c r="T18" s="147">
        <f t="shared" si="4"/>
        <v>745833.06</v>
      </c>
      <c r="U18" s="112"/>
      <c r="V18" s="110"/>
      <c r="W18" s="84"/>
    </row>
    <row r="19" spans="1:23" ht="35.1" customHeight="1" x14ac:dyDescent="0.25">
      <c r="A19" s="140">
        <v>15</v>
      </c>
      <c r="B19" s="141" t="s">
        <v>58</v>
      </c>
      <c r="C19" s="142" t="str">
        <f>[14]ССР!C47</f>
        <v>Теплоснабжение. Переустройство трубопровода.ТС1</v>
      </c>
      <c r="D19" s="143">
        <f>'[14]06-03-01'!N1753</f>
        <v>4044845.15</v>
      </c>
      <c r="E19" s="143">
        <f>'[14]06-03-01'!N1754</f>
        <v>331677.3</v>
      </c>
      <c r="F19" s="143">
        <f>'[14]06-03-01'!N1756</f>
        <v>105036.54</v>
      </c>
      <c r="G19" s="143">
        <f t="shared" si="3"/>
        <v>4481558.99</v>
      </c>
      <c r="H19" s="143">
        <f>'[14]06-03-01'!N1759</f>
        <v>4711733.74</v>
      </c>
      <c r="I19" s="144">
        <f t="shared" si="5"/>
        <v>1.2</v>
      </c>
      <c r="J19" s="145">
        <f t="shared" si="0"/>
        <v>5654080.4900000002</v>
      </c>
      <c r="K19" s="146"/>
      <c r="L19" s="146"/>
      <c r="M19" s="146"/>
      <c r="N19" s="146"/>
      <c r="O19" s="146">
        <v>3594854.48</v>
      </c>
      <c r="P19" s="147">
        <f t="shared" si="1"/>
        <v>3594854.48</v>
      </c>
      <c r="Q19" s="147">
        <f t="shared" si="2"/>
        <v>2059226.01</v>
      </c>
      <c r="R19" s="147">
        <v>0</v>
      </c>
      <c r="S19" s="148">
        <v>0</v>
      </c>
      <c r="T19" s="147">
        <f t="shared" si="4"/>
        <v>2059226.01</v>
      </c>
      <c r="U19" s="112"/>
      <c r="V19" s="110"/>
      <c r="W19" s="84"/>
    </row>
    <row r="20" spans="1:23" ht="75.75" customHeight="1" x14ac:dyDescent="0.25">
      <c r="A20" s="140">
        <v>16</v>
      </c>
      <c r="B20" s="141" t="s">
        <v>59</v>
      </c>
      <c r="C20" s="142" t="str">
        <f>[14]ССР!C48</f>
        <v>Архитектурно-строительные решения. Эстакада для ТС1. АС 4</v>
      </c>
      <c r="D20" s="143">
        <f>'[14]06-03-02'!N897</f>
        <v>4859580.66</v>
      </c>
      <c r="E20" s="143">
        <f>'[14]06-03-02'!N898</f>
        <v>398485.61</v>
      </c>
      <c r="F20" s="143">
        <f>'[14]06-03-02'!N900</f>
        <v>126193.59</v>
      </c>
      <c r="G20" s="143">
        <f t="shared" si="3"/>
        <v>5384259.8600000003</v>
      </c>
      <c r="H20" s="143">
        <f>'[14]06-03-02'!N903</f>
        <v>5660797.71</v>
      </c>
      <c r="I20" s="144">
        <f t="shared" si="5"/>
        <v>1.2</v>
      </c>
      <c r="J20" s="145">
        <f t="shared" si="0"/>
        <v>6792957.25</v>
      </c>
      <c r="K20" s="146"/>
      <c r="L20" s="146"/>
      <c r="M20" s="146"/>
      <c r="N20" s="146"/>
      <c r="O20" s="146">
        <v>562345.21</v>
      </c>
      <c r="P20" s="147">
        <f t="shared" si="1"/>
        <v>562345.21</v>
      </c>
      <c r="Q20" s="147">
        <f t="shared" si="2"/>
        <v>6230612.04</v>
      </c>
      <c r="R20" s="147">
        <v>3103657.81</v>
      </c>
      <c r="S20" s="148">
        <v>279056.24</v>
      </c>
      <c r="T20" s="147">
        <f t="shared" si="4"/>
        <v>2847897.99</v>
      </c>
      <c r="U20" s="112"/>
      <c r="V20" s="110"/>
      <c r="W20" s="84"/>
    </row>
    <row r="21" spans="1:23" ht="35.1" customHeight="1" x14ac:dyDescent="0.25">
      <c r="A21" s="140">
        <v>17</v>
      </c>
      <c r="B21" s="141" t="s">
        <v>61</v>
      </c>
      <c r="C21" s="142" t="str">
        <f>[14]ССР!C49</f>
        <v>Теплоснабжение. Переустройство трубопровода.ТС2</v>
      </c>
      <c r="D21" s="143">
        <f>'[14]06-03-03 '!N1536</f>
        <v>1890203.39</v>
      </c>
      <c r="E21" s="143">
        <f>'[14]06-03-03 '!N1537</f>
        <v>154996.68</v>
      </c>
      <c r="F21" s="143">
        <f>'[14]06-03-03 '!N1539</f>
        <v>49084.800000000003</v>
      </c>
      <c r="G21" s="143">
        <f t="shared" si="3"/>
        <v>2094284.87</v>
      </c>
      <c r="H21" s="143">
        <f>'[14]06-03-03 '!N1542</f>
        <v>2201848.2200000002</v>
      </c>
      <c r="I21" s="144">
        <f>I11</f>
        <v>1.2</v>
      </c>
      <c r="J21" s="145">
        <f t="shared" si="0"/>
        <v>2642217.86</v>
      </c>
      <c r="K21" s="146"/>
      <c r="L21" s="146"/>
      <c r="M21" s="146"/>
      <c r="N21" s="146"/>
      <c r="O21" s="146"/>
      <c r="P21" s="147">
        <f t="shared" si="1"/>
        <v>0</v>
      </c>
      <c r="Q21" s="147">
        <f t="shared" si="2"/>
        <v>2642217.86</v>
      </c>
      <c r="R21" s="147">
        <v>0</v>
      </c>
      <c r="S21" s="148">
        <v>0</v>
      </c>
      <c r="T21" s="147">
        <f t="shared" si="4"/>
        <v>2642217.86</v>
      </c>
      <c r="U21" s="112"/>
      <c r="V21" s="110"/>
      <c r="W21" s="84"/>
    </row>
    <row r="22" spans="1:23" ht="35.1" customHeight="1" x14ac:dyDescent="0.25">
      <c r="A22" s="140">
        <v>18</v>
      </c>
      <c r="B22" s="141" t="s">
        <v>63</v>
      </c>
      <c r="C22" s="142" t="str">
        <f>[14]ССР!C50</f>
        <v>Теплоснабжение. Переустройство трубопровода.ТС3</v>
      </c>
      <c r="D22" s="143">
        <f>'[14]06-03-04'!N955</f>
        <v>4003449.34</v>
      </c>
      <c r="E22" s="143">
        <f>'[14]06-03-04'!N956</f>
        <v>328282.84999999998</v>
      </c>
      <c r="F22" s="143">
        <f>'[14]06-03-04'!N958</f>
        <v>103961.57</v>
      </c>
      <c r="G22" s="143">
        <f t="shared" si="3"/>
        <v>4435693.76</v>
      </c>
      <c r="H22" s="143">
        <f>'[14]06-03-04'!N961</f>
        <v>4663512.8499999996</v>
      </c>
      <c r="I22" s="144">
        <f>I12</f>
        <v>1.2</v>
      </c>
      <c r="J22" s="145">
        <f t="shared" si="0"/>
        <v>5596215.4199999999</v>
      </c>
      <c r="K22" s="146"/>
      <c r="L22" s="146"/>
      <c r="M22" s="146"/>
      <c r="N22" s="146"/>
      <c r="O22" s="146"/>
      <c r="P22" s="147">
        <f t="shared" si="1"/>
        <v>0</v>
      </c>
      <c r="Q22" s="147">
        <f t="shared" si="2"/>
        <v>5596215.4199999999</v>
      </c>
      <c r="R22" s="147">
        <v>0</v>
      </c>
      <c r="S22" s="148">
        <v>0</v>
      </c>
      <c r="T22" s="147">
        <f t="shared" si="4"/>
        <v>5596215.4199999999</v>
      </c>
      <c r="U22" s="112"/>
      <c r="V22" s="110"/>
      <c r="W22" s="84"/>
    </row>
    <row r="23" spans="1:23" ht="35.1" customHeight="1" x14ac:dyDescent="0.25">
      <c r="A23" s="140">
        <v>19</v>
      </c>
      <c r="B23" s="141" t="s">
        <v>66</v>
      </c>
      <c r="C23" s="142" t="str">
        <f>[14]ССР!C52</f>
        <v>Наружные газопроводы. Вынос газопровода среднего давления.</v>
      </c>
      <c r="D23" s="143">
        <f>'[14]06-04-01'!N736</f>
        <v>8291915.46</v>
      </c>
      <c r="E23" s="143">
        <f>'[14]06-04-01'!N737</f>
        <v>679937.07</v>
      </c>
      <c r="F23" s="143">
        <f>'[14]06-04-01'!N739</f>
        <v>215324.46</v>
      </c>
      <c r="G23" s="143">
        <f t="shared" si="3"/>
        <v>9187176.9900000002</v>
      </c>
      <c r="H23" s="143">
        <f>'[14]06-04-01'!N742</f>
        <v>9659034.2599999998</v>
      </c>
      <c r="I23" s="144">
        <f>I13</f>
        <v>1.2</v>
      </c>
      <c r="J23" s="145">
        <f t="shared" si="0"/>
        <v>11590841.109999999</v>
      </c>
      <c r="K23" s="146"/>
      <c r="L23" s="146"/>
      <c r="M23" s="146"/>
      <c r="N23" s="146"/>
      <c r="O23" s="146"/>
      <c r="P23" s="147">
        <f t="shared" si="1"/>
        <v>0</v>
      </c>
      <c r="Q23" s="147">
        <f t="shared" si="2"/>
        <v>11590841.109999999</v>
      </c>
      <c r="R23" s="147">
        <v>4721101.28</v>
      </c>
      <c r="S23" s="148">
        <v>0</v>
      </c>
      <c r="T23" s="147">
        <f t="shared" si="4"/>
        <v>6869739.8300000001</v>
      </c>
      <c r="U23" s="112"/>
      <c r="V23" s="110"/>
      <c r="W23" s="84"/>
    </row>
    <row r="24" spans="1:23" ht="35.1" customHeight="1" x14ac:dyDescent="0.25">
      <c r="A24" s="140">
        <v>20</v>
      </c>
      <c r="B24" s="141" t="s">
        <v>70</v>
      </c>
      <c r="C24" s="142" t="str">
        <f>[14]ССР!C55</f>
        <v>Генеральный план. Трансбордер. ГП1</v>
      </c>
      <c r="D24" s="143">
        <f>'[14]07-01-01'!N413</f>
        <v>5005903.75</v>
      </c>
      <c r="E24" s="143">
        <f>'[14]07-01-01'!N414</f>
        <v>410484.11</v>
      </c>
      <c r="F24" s="143">
        <f>'[14]07-01-01'!N416</f>
        <v>129993.31</v>
      </c>
      <c r="G24" s="143">
        <f t="shared" si="3"/>
        <v>5546381.1699999999</v>
      </c>
      <c r="H24" s="143">
        <f>'[14]07-01-01'!N419</f>
        <v>5831245.6399999997</v>
      </c>
      <c r="I24" s="144">
        <f>I14</f>
        <v>1.2</v>
      </c>
      <c r="J24" s="145">
        <f t="shared" si="0"/>
        <v>6997494.7699999996</v>
      </c>
      <c r="K24" s="146"/>
      <c r="L24" s="146">
        <f>[17]реестр!$J$12</f>
        <v>2298854.48</v>
      </c>
      <c r="M24" s="146"/>
      <c r="N24" s="146"/>
      <c r="O24" s="146"/>
      <c r="P24" s="147">
        <f t="shared" si="1"/>
        <v>2298854.48</v>
      </c>
      <c r="Q24" s="147">
        <f t="shared" si="2"/>
        <v>4698640.29</v>
      </c>
      <c r="R24" s="147">
        <v>0</v>
      </c>
      <c r="S24" s="148">
        <v>1031589.53</v>
      </c>
      <c r="T24" s="147">
        <f t="shared" si="4"/>
        <v>3667050.76</v>
      </c>
      <c r="U24" s="112"/>
      <c r="V24" s="110"/>
      <c r="W24" s="84"/>
    </row>
    <row r="25" spans="1:23" ht="35.1" customHeight="1" thickBot="1" x14ac:dyDescent="0.3">
      <c r="A25" s="140">
        <v>21</v>
      </c>
      <c r="B25" s="150" t="s">
        <v>71</v>
      </c>
      <c r="C25" s="151" t="str">
        <f>[14]ССР!C56</f>
        <v>Генеральный план. ГП2</v>
      </c>
      <c r="D25" s="152">
        <f>'[14]07-01-02'!N961</f>
        <v>48898423.600000001</v>
      </c>
      <c r="E25" s="152">
        <f>'[14]07-01-02'!N962</f>
        <v>4009670.74</v>
      </c>
      <c r="F25" s="152">
        <f>'[14]07-01-02'!N964</f>
        <v>1269794.26</v>
      </c>
      <c r="G25" s="152">
        <f t="shared" si="3"/>
        <v>54177888.600000001</v>
      </c>
      <c r="H25" s="152">
        <f>'[14]07-01-02'!N967</f>
        <v>56960487.710000001</v>
      </c>
      <c r="I25" s="153">
        <f t="shared" si="5"/>
        <v>1.2</v>
      </c>
      <c r="J25" s="154">
        <f t="shared" si="0"/>
        <v>68352585.25</v>
      </c>
      <c r="K25" s="155"/>
      <c r="L25" s="155"/>
      <c r="M25" s="155">
        <v>11709977.720000001</v>
      </c>
      <c r="N25" s="155"/>
      <c r="O25" s="155">
        <v>3615838.44</v>
      </c>
      <c r="P25" s="156">
        <f t="shared" si="1"/>
        <v>15325816.16</v>
      </c>
      <c r="Q25" s="156">
        <f t="shared" si="2"/>
        <v>53026769.090000004</v>
      </c>
      <c r="R25" s="156">
        <v>6335847.9699999997</v>
      </c>
      <c r="S25" s="157">
        <v>19404665.390000001</v>
      </c>
      <c r="T25" s="156">
        <f t="shared" si="4"/>
        <v>27286255.73</v>
      </c>
      <c r="U25" s="113"/>
      <c r="V25" s="114"/>
      <c r="W25" s="85"/>
    </row>
    <row r="26" spans="1:23" ht="31.5" customHeight="1" thickTop="1" thickBot="1" x14ac:dyDescent="0.3">
      <c r="A26" s="158"/>
      <c r="B26" s="159" t="s">
        <v>120</v>
      </c>
      <c r="C26" s="160"/>
      <c r="D26" s="161">
        <f>SUM(D5:D25)</f>
        <v>392033916.06</v>
      </c>
      <c r="E26" s="160"/>
      <c r="F26" s="162"/>
      <c r="G26" s="161">
        <f>SUM(G5:G25)</f>
        <v>434361033.93000001</v>
      </c>
      <c r="H26" s="161">
        <f>SUM(H5:H25)</f>
        <v>456670000.00999999</v>
      </c>
      <c r="I26" s="161"/>
      <c r="J26" s="161">
        <f>SUM(J5:J25)</f>
        <v>548004000</v>
      </c>
      <c r="K26" s="163">
        <f>SUM(K5:K25)</f>
        <v>210417570.36000001</v>
      </c>
      <c r="L26" s="163">
        <f>SUM(L5:L25)+0.01</f>
        <v>79978331.209999993</v>
      </c>
      <c r="M26" s="163">
        <f t="shared" ref="M26:S26" si="6">SUM(M5:M25)</f>
        <v>58868164.759999998</v>
      </c>
      <c r="N26" s="163">
        <f>SUM(N5:N25)</f>
        <v>5245250.92</v>
      </c>
      <c r="O26" s="163">
        <f t="shared" ref="O26" si="7">SUM(O5:O25)</f>
        <v>8616444.9800000004</v>
      </c>
      <c r="P26" s="163">
        <f>SUM(P5:P25)+0.01</f>
        <v>363125762.23000002</v>
      </c>
      <c r="Q26" s="163">
        <f t="shared" si="6"/>
        <v>184878237.78</v>
      </c>
      <c r="R26" s="163">
        <f t="shared" si="6"/>
        <v>57555045.549999997</v>
      </c>
      <c r="S26" s="163">
        <f t="shared" si="6"/>
        <v>27245730.059999999</v>
      </c>
      <c r="T26" s="163">
        <f>SUM(T5:T25)</f>
        <v>100077462.17</v>
      </c>
      <c r="U26" s="115"/>
      <c r="V26" s="115"/>
      <c r="W26" s="101">
        <f>SUM(W5:W25)</f>
        <v>161287572.88999999</v>
      </c>
    </row>
    <row r="27" spans="1:23" ht="16.5" thickTop="1" x14ac:dyDescent="0.25">
      <c r="U27" s="116" t="s">
        <v>139</v>
      </c>
      <c r="V27" s="117" t="s">
        <v>156</v>
      </c>
      <c r="W27" s="105"/>
    </row>
    <row r="28" spans="1:23" x14ac:dyDescent="0.25">
      <c r="U28" s="118" t="s">
        <v>139</v>
      </c>
      <c r="V28" s="119"/>
      <c r="W28" s="108">
        <v>751503.23</v>
      </c>
    </row>
    <row r="29" spans="1:23" x14ac:dyDescent="0.25">
      <c r="U29" s="118" t="s">
        <v>139</v>
      </c>
      <c r="V29" s="119"/>
      <c r="W29" s="106">
        <v>88471.33</v>
      </c>
    </row>
    <row r="30" spans="1:23" x14ac:dyDescent="0.25">
      <c r="U30" s="118" t="s">
        <v>139</v>
      </c>
      <c r="V30" s="119"/>
      <c r="W30" s="106">
        <v>27119.98</v>
      </c>
    </row>
    <row r="31" spans="1:23" ht="38.25" x14ac:dyDescent="0.25">
      <c r="U31" s="120" t="s">
        <v>154</v>
      </c>
      <c r="V31" s="119"/>
      <c r="W31" s="107"/>
    </row>
    <row r="32" spans="1:23" x14ac:dyDescent="0.25">
      <c r="U32" s="118" t="s">
        <v>139</v>
      </c>
      <c r="V32" s="119"/>
      <c r="W32" s="106">
        <v>1989811.12</v>
      </c>
    </row>
    <row r="33" spans="2:23" x14ac:dyDescent="0.25">
      <c r="U33" s="118" t="s">
        <v>139</v>
      </c>
      <c r="V33" s="119"/>
      <c r="W33" s="106">
        <v>204781.66</v>
      </c>
    </row>
    <row r="34" spans="2:23" ht="38.25" x14ac:dyDescent="0.25">
      <c r="U34" s="120" t="s">
        <v>155</v>
      </c>
      <c r="V34" s="119"/>
      <c r="W34" s="107"/>
    </row>
    <row r="35" spans="2:23" x14ac:dyDescent="0.25">
      <c r="U35" s="121" t="s">
        <v>139</v>
      </c>
      <c r="V35" s="119"/>
      <c r="W35" s="107">
        <v>263608.96999999997</v>
      </c>
    </row>
    <row r="36" spans="2:23" x14ac:dyDescent="0.25">
      <c r="U36" s="122"/>
      <c r="V36" s="119"/>
      <c r="W36" s="107"/>
    </row>
    <row r="37" spans="2:23" x14ac:dyDescent="0.25">
      <c r="U37" s="123"/>
      <c r="V37" s="119"/>
      <c r="W37" s="107"/>
    </row>
    <row r="38" spans="2:23" x14ac:dyDescent="0.25">
      <c r="U38" s="123"/>
      <c r="V38" s="119"/>
      <c r="W38" s="107"/>
    </row>
    <row r="39" spans="2:23" ht="16.5" thickBot="1" x14ac:dyDescent="0.3">
      <c r="U39" s="124"/>
      <c r="V39" s="125"/>
      <c r="W39" s="109"/>
    </row>
    <row r="40" spans="2:23" ht="17.25" thickTop="1" thickBot="1" x14ac:dyDescent="0.3">
      <c r="U40" s="69"/>
      <c r="V40" s="69"/>
      <c r="W40" s="86">
        <f>SUM(W27:W39)</f>
        <v>3325296.29</v>
      </c>
    </row>
    <row r="41" spans="2:23" ht="16.5" thickBot="1" x14ac:dyDescent="0.3">
      <c r="U41" s="71"/>
      <c r="V41" s="71"/>
      <c r="W41" s="73">
        <f>W26+W40</f>
        <v>164612869.18000001</v>
      </c>
    </row>
    <row r="44" spans="2:23" ht="54.95" customHeight="1" x14ac:dyDescent="0.25">
      <c r="B44" s="164"/>
      <c r="D44" s="165"/>
      <c r="F44" s="166"/>
      <c r="G44" s="165"/>
      <c r="H44" s="165"/>
      <c r="I44" s="165"/>
      <c r="J44" s="165"/>
      <c r="K44" s="165"/>
    </row>
    <row r="45" spans="2:23" x14ac:dyDescent="0.25">
      <c r="D45" s="167">
        <f>[14]ССР!H58</f>
        <v>392033.92</v>
      </c>
      <c r="F45" s="167"/>
      <c r="G45" s="167">
        <f>[14]ССР!H76</f>
        <v>434361.04</v>
      </c>
      <c r="H45" s="167">
        <f>[14]ССР!H78</f>
        <v>456670</v>
      </c>
      <c r="J45" s="167">
        <f>[14]ССР!H82</f>
        <v>548004</v>
      </c>
      <c r="K45" s="129"/>
    </row>
    <row r="46" spans="2:23" x14ac:dyDescent="0.25">
      <c r="D46" s="167">
        <f>D26/1000</f>
        <v>392033.92</v>
      </c>
      <c r="F46" s="168"/>
      <c r="G46" s="169">
        <f>G26/1000</f>
        <v>434361.03</v>
      </c>
      <c r="H46" s="169">
        <f>H26/1000</f>
        <v>456670</v>
      </c>
      <c r="J46" s="167">
        <f>J26/1000</f>
        <v>548004</v>
      </c>
      <c r="K46" s="165"/>
    </row>
    <row r="47" spans="2:23" x14ac:dyDescent="0.25">
      <c r="D47" s="167"/>
      <c r="E47" s="167"/>
      <c r="F47" s="168"/>
    </row>
    <row r="67" spans="1:1" x14ac:dyDescent="0.25">
      <c r="A67" s="130">
        <v>7</v>
      </c>
    </row>
  </sheetData>
  <autoFilter ref="A3:U26" xr:uid="{00000000-0001-0000-0100-000000000000}"/>
  <mergeCells count="8">
    <mergeCell ref="A1:J1"/>
    <mergeCell ref="A3:A4"/>
    <mergeCell ref="B3:B4"/>
    <mergeCell ref="C3:C4"/>
    <mergeCell ref="G3:G4"/>
    <mergeCell ref="H3:H4"/>
    <mergeCell ref="I3:I4"/>
    <mergeCell ref="J3:J4"/>
  </mergeCells>
  <pageMargins left="0.23622047244094491" right="0.23622047244094491" top="0.74803149606299213" bottom="0.74803149606299213" header="0.31496062992125984" footer="0.31496062992125984"/>
  <pageSetup paperSize="9" scale="32" fitToHeight="100" orientation="landscape" r:id="rId1"/>
  <rowBreaks count="2" manualBreakCount="2">
    <brk id="27" max="17" man="1"/>
    <brk id="33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E7DF4-FD3E-4E83-8F65-D296F4EE5E55}">
  <sheetPr>
    <tabColor rgb="FFFF0000"/>
    <pageSetUpPr fitToPage="1"/>
  </sheetPr>
  <dimension ref="A1:AB93"/>
  <sheetViews>
    <sheetView zoomScale="90" zoomScaleNormal="90" zoomScaleSheetLayoutView="80" workbookViewId="0">
      <pane ySplit="3" topLeftCell="A4" activePane="bottomLeft" state="frozen"/>
      <selection pane="bottomLeft" activeCell="C14" sqref="C14"/>
    </sheetView>
  </sheetViews>
  <sheetFormatPr defaultColWidth="9.140625" defaultRowHeight="15.75" outlineLevelCol="1" x14ac:dyDescent="0.25"/>
  <cols>
    <col min="1" max="1" width="7.42578125" style="36" customWidth="1"/>
    <col min="2" max="2" width="16.140625" style="36" customWidth="1"/>
    <col min="3" max="3" width="35" style="36" customWidth="1"/>
    <col min="4" max="4" width="20.5703125" style="36" hidden="1" customWidth="1" outlineLevel="1"/>
    <col min="5" max="5" width="18.85546875" style="36" hidden="1" customWidth="1" outlineLevel="1"/>
    <col min="6" max="6" width="17.5703125" style="36" hidden="1" customWidth="1" outlineLevel="1"/>
    <col min="7" max="7" width="20.7109375" style="36" hidden="1" customWidth="1" outlineLevel="1"/>
    <col min="8" max="8" width="19.5703125" style="36" hidden="1" customWidth="1" outlineLevel="1"/>
    <col min="9" max="9" width="8.5703125" style="36" hidden="1" customWidth="1" outlineLevel="1"/>
    <col min="10" max="10" width="22.28515625" style="36" customWidth="1" collapsed="1"/>
    <col min="11" max="11" width="20.42578125" style="39" hidden="1" customWidth="1" outlineLevel="1"/>
    <col min="12" max="12" width="16.85546875" style="39" hidden="1" customWidth="1" outlineLevel="1"/>
    <col min="13" max="13" width="18.140625" style="35" hidden="1" customWidth="1" outlineLevel="1"/>
    <col min="14" max="14" width="16.85546875" style="39" hidden="1" customWidth="1" outlineLevel="1"/>
    <col min="15" max="15" width="18.140625" style="35" hidden="1" customWidth="1" outlineLevel="1"/>
    <col min="16" max="16" width="18.42578125" style="36" customWidth="1" collapsed="1"/>
    <col min="17" max="17" width="15.42578125" style="36" bestFit="1" customWidth="1"/>
    <col min="18" max="18" width="19.7109375" style="36" customWidth="1"/>
    <col min="19" max="19" width="27.140625" style="36" customWidth="1"/>
    <col min="20" max="20" width="26.140625" style="36" customWidth="1"/>
    <col min="21" max="21" width="26.7109375" style="36" bestFit="1" customWidth="1"/>
    <col min="22" max="22" width="31.42578125" style="36" customWidth="1"/>
    <col min="23" max="23" width="3.28515625" style="176" hidden="1" customWidth="1"/>
    <col min="24" max="24" width="27.5703125" style="36" hidden="1" customWidth="1"/>
    <col min="25" max="26" width="19" style="36" hidden="1" customWidth="1"/>
    <col min="27" max="27" width="29.28515625" style="406" bestFit="1" customWidth="1"/>
    <col min="28" max="28" width="15" style="36" customWidth="1"/>
    <col min="29" max="16384" width="9.140625" style="36"/>
  </cols>
  <sheetData>
    <row r="1" spans="1:28" ht="8.25" customHeight="1" x14ac:dyDescent="0.25">
      <c r="A1" s="1125"/>
      <c r="B1" s="1125"/>
      <c r="C1" s="1125"/>
      <c r="D1" s="1125"/>
      <c r="E1" s="1125"/>
      <c r="F1" s="1125"/>
      <c r="G1" s="1125"/>
      <c r="H1" s="1125"/>
      <c r="I1" s="1125"/>
      <c r="J1" s="1125"/>
      <c r="K1" s="536"/>
      <c r="L1" s="536"/>
      <c r="N1" s="536"/>
    </row>
    <row r="2" spans="1:28" ht="5.25" customHeight="1" thickBot="1" x14ac:dyDescent="0.3">
      <c r="A2" s="37"/>
      <c r="B2" s="37"/>
      <c r="C2" s="37"/>
      <c r="D2" s="37"/>
      <c r="E2" s="37"/>
      <c r="F2" s="37"/>
      <c r="G2" s="37"/>
      <c r="H2" s="37"/>
      <c r="I2" s="38"/>
      <c r="J2" s="37"/>
    </row>
    <row r="3" spans="1:28" ht="47.25" customHeight="1" x14ac:dyDescent="0.25">
      <c r="A3" s="1126" t="s">
        <v>111</v>
      </c>
      <c r="B3" s="1128" t="s">
        <v>112</v>
      </c>
      <c r="C3" s="1128" t="s">
        <v>113</v>
      </c>
      <c r="D3" s="537" t="s">
        <v>114</v>
      </c>
      <c r="E3" s="537" t="s">
        <v>115</v>
      </c>
      <c r="F3" s="537" t="s">
        <v>116</v>
      </c>
      <c r="G3" s="1128" t="s">
        <v>117</v>
      </c>
      <c r="H3" s="1130" t="s">
        <v>125</v>
      </c>
      <c r="I3" s="1128" t="s">
        <v>118</v>
      </c>
      <c r="J3" s="1130" t="s">
        <v>244</v>
      </c>
      <c r="K3" s="74" t="s">
        <v>126</v>
      </c>
      <c r="L3" s="74" t="s">
        <v>127</v>
      </c>
      <c r="M3" s="75" t="s">
        <v>128</v>
      </c>
      <c r="N3" s="76" t="s">
        <v>134</v>
      </c>
      <c r="O3" s="77" t="s">
        <v>135</v>
      </c>
      <c r="P3" s="78" t="s">
        <v>136</v>
      </c>
      <c r="Q3" s="78" t="s">
        <v>121</v>
      </c>
      <c r="R3" s="79" t="s">
        <v>137</v>
      </c>
      <c r="S3" s="79" t="s">
        <v>138</v>
      </c>
      <c r="T3" s="80" t="s">
        <v>249</v>
      </c>
      <c r="U3" s="80" t="s">
        <v>256</v>
      </c>
      <c r="V3" s="80" t="s">
        <v>242</v>
      </c>
      <c r="X3" s="79" t="s">
        <v>193</v>
      </c>
      <c r="Y3" s="80" t="s">
        <v>157</v>
      </c>
      <c r="Z3" s="80" t="s">
        <v>137</v>
      </c>
    </row>
    <row r="4" spans="1:28" ht="14.25" customHeight="1" x14ac:dyDescent="0.25">
      <c r="A4" s="1127"/>
      <c r="B4" s="1129"/>
      <c r="C4" s="1129"/>
      <c r="D4" s="538"/>
      <c r="E4" s="538"/>
      <c r="F4" s="538"/>
      <c r="G4" s="1129"/>
      <c r="H4" s="1131"/>
      <c r="I4" s="1129"/>
      <c r="J4" s="1131"/>
      <c r="K4" s="54" t="s">
        <v>122</v>
      </c>
      <c r="L4" s="54" t="s">
        <v>123</v>
      </c>
      <c r="M4" s="54" t="s">
        <v>124</v>
      </c>
      <c r="N4" s="54" t="s">
        <v>132</v>
      </c>
      <c r="O4" s="54" t="s">
        <v>133</v>
      </c>
      <c r="P4" s="40"/>
      <c r="Q4" s="40"/>
      <c r="R4" s="65"/>
      <c r="S4" s="65"/>
      <c r="T4" s="81"/>
      <c r="U4" s="81"/>
      <c r="V4" s="81"/>
      <c r="X4" s="65"/>
      <c r="Y4" s="81"/>
      <c r="Z4" s="81"/>
    </row>
    <row r="5" spans="1:28" ht="51.75" customHeight="1" x14ac:dyDescent="0.25">
      <c r="A5" s="380"/>
      <c r="B5" s="381"/>
      <c r="C5" s="381"/>
      <c r="D5" s="381"/>
      <c r="E5" s="381"/>
      <c r="F5" s="381"/>
      <c r="G5" s="381"/>
      <c r="H5" s="382"/>
      <c r="I5" s="381"/>
      <c r="J5" s="382"/>
      <c r="K5" s="383"/>
      <c r="L5" s="383"/>
      <c r="M5" s="383"/>
      <c r="N5" s="383"/>
      <c r="O5" s="383"/>
      <c r="P5" s="383"/>
      <c r="Q5" s="383"/>
      <c r="R5" s="383"/>
      <c r="S5" s="383"/>
      <c r="T5" s="1132" t="s">
        <v>258</v>
      </c>
      <c r="U5" s="1133"/>
      <c r="V5" s="384"/>
      <c r="X5" s="65"/>
      <c r="Y5" s="81"/>
      <c r="Z5" s="81"/>
    </row>
    <row r="6" spans="1:28" ht="27.75" customHeight="1" x14ac:dyDescent="0.25">
      <c r="A6" s="1134" t="s">
        <v>259</v>
      </c>
      <c r="B6" s="1135"/>
      <c r="C6" s="1135"/>
      <c r="D6" s="1135"/>
      <c r="E6" s="1135"/>
      <c r="F6" s="1135"/>
      <c r="G6" s="1135"/>
      <c r="H6" s="1135"/>
      <c r="I6" s="1135"/>
      <c r="J6" s="1135"/>
      <c r="K6" s="1135"/>
      <c r="L6" s="1135"/>
      <c r="M6" s="1135"/>
      <c r="N6" s="1135"/>
      <c r="O6" s="1135"/>
      <c r="P6" s="1135"/>
      <c r="Q6" s="1135"/>
      <c r="R6" s="1135"/>
      <c r="S6" s="1135"/>
      <c r="T6" s="1135"/>
      <c r="U6" s="1135"/>
      <c r="V6" s="1136"/>
      <c r="X6" s="65"/>
      <c r="Y6" s="81"/>
      <c r="Z6" s="81"/>
      <c r="AA6" s="406" t="s">
        <v>260</v>
      </c>
    </row>
    <row r="7" spans="1:28" ht="54" customHeight="1" x14ac:dyDescent="0.25">
      <c r="A7" s="273">
        <v>1</v>
      </c>
      <c r="B7" s="361" t="s">
        <v>159</v>
      </c>
      <c r="C7" s="275" t="str">
        <f>ССР!C24</f>
        <v>Выполнение работ по ликвидации объектов по трассе ж.д. путей, подготовке трассы ж.д. путей.</v>
      </c>
      <c r="D7" s="385">
        <v>48841208.740000002</v>
      </c>
      <c r="E7" s="385">
        <v>4004979.12</v>
      </c>
      <c r="F7" s="385">
        <v>1268308.51</v>
      </c>
      <c r="G7" s="385">
        <v>54114496.369999997</v>
      </c>
      <c r="H7" s="385">
        <v>56893839.630000003</v>
      </c>
      <c r="I7" s="277">
        <v>1.2</v>
      </c>
      <c r="J7" s="278">
        <f>ROUND(H7*I7,2)</f>
        <v>68272607.560000002</v>
      </c>
      <c r="K7" s="365">
        <v>65507253.219999999</v>
      </c>
      <c r="L7" s="365">
        <v>360012.73</v>
      </c>
      <c r="M7" s="365"/>
      <c r="N7" s="365"/>
      <c r="O7" s="365"/>
      <c r="P7" s="365">
        <f>K7+L7+M7+N7+O7</f>
        <v>65867265.950000003</v>
      </c>
      <c r="Q7" s="365">
        <f>J7-K7-L7-M7-N7-O7</f>
        <v>2405341.61</v>
      </c>
      <c r="R7" s="365" t="s">
        <v>139</v>
      </c>
      <c r="S7" s="362" t="s">
        <v>158</v>
      </c>
      <c r="T7" s="363">
        <f>P7</f>
        <v>65867265.950000003</v>
      </c>
      <c r="U7" s="363">
        <v>0</v>
      </c>
      <c r="V7" s="364">
        <f t="shared" ref="V7:V14" si="0">T7+U7</f>
        <v>65867265.950000003</v>
      </c>
      <c r="W7" s="177"/>
      <c r="X7" s="111"/>
      <c r="Y7" s="84"/>
      <c r="Z7" s="208"/>
    </row>
    <row r="8" spans="1:28" ht="35.1" customHeight="1" x14ac:dyDescent="0.25">
      <c r="A8" s="273">
        <v>2</v>
      </c>
      <c r="B8" s="361" t="s">
        <v>160</v>
      </c>
      <c r="C8" s="275" t="str">
        <f>ССР!C25</f>
        <v>Выполнение работ по ликвидации объекта капитального строительства</v>
      </c>
      <c r="D8" s="385">
        <v>40054718.460000001</v>
      </c>
      <c r="E8" s="385">
        <v>3284486.91</v>
      </c>
      <c r="F8" s="385">
        <v>1040140.93</v>
      </c>
      <c r="G8" s="385">
        <v>44379346.299999997</v>
      </c>
      <c r="H8" s="385">
        <v>46658688.170000002</v>
      </c>
      <c r="I8" s="277">
        <v>1.2</v>
      </c>
      <c r="J8" s="278">
        <f t="shared" ref="J8:J30" si="1">ROUND(H8*I8,2)</f>
        <v>55990425.799999997</v>
      </c>
      <c r="K8" s="365">
        <v>54911594.170000002</v>
      </c>
      <c r="L8" s="365"/>
      <c r="M8" s="365"/>
      <c r="N8" s="365"/>
      <c r="O8" s="365"/>
      <c r="P8" s="365">
        <f t="shared" ref="P8:P30" si="2">K8+L8+M8+N8+O8</f>
        <v>54911594.170000002</v>
      </c>
      <c r="Q8" s="365">
        <f t="shared" ref="Q8:Q30" si="3">J8-K8-L8-M8-N8-O8</f>
        <v>1078831.6299999999</v>
      </c>
      <c r="R8" s="365" t="s">
        <v>139</v>
      </c>
      <c r="S8" s="362" t="s">
        <v>158</v>
      </c>
      <c r="T8" s="363">
        <f t="shared" ref="T8:T30" si="4">P8</f>
        <v>54911594.170000002</v>
      </c>
      <c r="U8" s="363">
        <v>0</v>
      </c>
      <c r="V8" s="364">
        <f t="shared" si="0"/>
        <v>54911594.170000002</v>
      </c>
      <c r="X8" s="111"/>
      <c r="Y8" s="84"/>
      <c r="Z8" s="208"/>
    </row>
    <row r="9" spans="1:28" ht="35.1" customHeight="1" x14ac:dyDescent="0.25">
      <c r="A9" s="273">
        <v>3</v>
      </c>
      <c r="B9" s="361" t="s">
        <v>176</v>
      </c>
      <c r="C9" s="275" t="str">
        <f>ССР!C26</f>
        <v>Демонтаж сетей и систем  инженерного обоспечения.</v>
      </c>
      <c r="D9" s="385">
        <v>1177977.71</v>
      </c>
      <c r="E9" s="385">
        <v>96594.17</v>
      </c>
      <c r="F9" s="385">
        <v>30589.73</v>
      </c>
      <c r="G9" s="385">
        <v>1305161.6100000001</v>
      </c>
      <c r="H9" s="385">
        <v>1372195.26</v>
      </c>
      <c r="I9" s="277">
        <f>I7</f>
        <v>1.2</v>
      </c>
      <c r="J9" s="278">
        <f>ROUND(H9*I9,2)</f>
        <v>1646634.31</v>
      </c>
      <c r="K9" s="365"/>
      <c r="L9" s="365"/>
      <c r="M9" s="365">
        <v>1646696.3</v>
      </c>
      <c r="N9" s="365"/>
      <c r="O9" s="365"/>
      <c r="P9" s="365">
        <f t="shared" si="2"/>
        <v>1646696.3</v>
      </c>
      <c r="Q9" s="365">
        <v>0</v>
      </c>
      <c r="R9" s="365" t="s">
        <v>139</v>
      </c>
      <c r="S9" s="362" t="s">
        <v>158</v>
      </c>
      <c r="T9" s="363">
        <f t="shared" si="4"/>
        <v>1646696.3</v>
      </c>
      <c r="U9" s="363">
        <v>0</v>
      </c>
      <c r="V9" s="364">
        <f t="shared" si="0"/>
        <v>1646696.3</v>
      </c>
      <c r="X9" s="111"/>
      <c r="Y9" s="84"/>
      <c r="Z9" s="208"/>
    </row>
    <row r="10" spans="1:28" s="525" customFormat="1" ht="44.25" customHeight="1" x14ac:dyDescent="0.25">
      <c r="A10" s="217">
        <v>7</v>
      </c>
      <c r="B10" s="245" t="s">
        <v>177</v>
      </c>
      <c r="C10" s="219" t="str">
        <f>ССР!C32</f>
        <v>Трансбордер. Архитектурно-строительные решения. Часть 2. АС2 .</v>
      </c>
      <c r="D10" s="220">
        <v>1615223.87</v>
      </c>
      <c r="E10" s="220">
        <v>132448.35999999999</v>
      </c>
      <c r="F10" s="220">
        <v>41944.13</v>
      </c>
      <c r="G10" s="220">
        <v>1789616.36</v>
      </c>
      <c r="H10" s="220">
        <v>1881531.81</v>
      </c>
      <c r="I10" s="221">
        <f>I23</f>
        <v>1.2</v>
      </c>
      <c r="J10" s="222">
        <f t="shared" si="1"/>
        <v>2257838.17</v>
      </c>
      <c r="K10" s="246"/>
      <c r="L10" s="246"/>
      <c r="M10" s="246">
        <v>1627347.05</v>
      </c>
      <c r="N10" s="246"/>
      <c r="O10" s="246"/>
      <c r="P10" s="246">
        <f>K10+L10+M10+N10+O10</f>
        <v>1627347.05</v>
      </c>
      <c r="Q10" s="246">
        <f t="shared" si="3"/>
        <v>630491.12</v>
      </c>
      <c r="R10" s="539" t="s">
        <v>139</v>
      </c>
      <c r="S10" s="461" t="s">
        <v>264</v>
      </c>
      <c r="T10" s="247">
        <f t="shared" si="4"/>
        <v>1627347.05</v>
      </c>
      <c r="U10" s="248">
        <v>400933.67</v>
      </c>
      <c r="V10" s="248">
        <f t="shared" si="0"/>
        <v>2028280.72</v>
      </c>
      <c r="W10" s="231"/>
      <c r="X10" s="229" t="s">
        <v>139</v>
      </c>
      <c r="Y10" s="523">
        <f>1447989.61*1.082*1.024*1.0514*1.2</f>
        <v>2024146.22</v>
      </c>
      <c r="Z10" s="524" t="s">
        <v>186</v>
      </c>
      <c r="AA10" s="406" t="s">
        <v>263</v>
      </c>
      <c r="AB10" s="526">
        <f>V10-J10</f>
        <v>-229557.45</v>
      </c>
    </row>
    <row r="11" spans="1:28" ht="42.75" customHeight="1" x14ac:dyDescent="0.25">
      <c r="A11" s="217">
        <v>8</v>
      </c>
      <c r="B11" s="245" t="s">
        <v>195</v>
      </c>
      <c r="C11" s="219" t="str">
        <f>ССР!C35</f>
        <v>Электроснабжение. ЭС 1.</v>
      </c>
      <c r="D11" s="220">
        <v>475031.03999999998</v>
      </c>
      <c r="E11" s="220">
        <v>38952.550000000003</v>
      </c>
      <c r="F11" s="220">
        <v>12335.61</v>
      </c>
      <c r="G11" s="220">
        <v>526319.19999999995</v>
      </c>
      <c r="H11" s="220">
        <v>553351.18000000005</v>
      </c>
      <c r="I11" s="221">
        <f>I24</f>
        <v>1.2</v>
      </c>
      <c r="J11" s="222">
        <f t="shared" si="1"/>
        <v>664021.42000000004</v>
      </c>
      <c r="K11" s="246"/>
      <c r="L11" s="246"/>
      <c r="M11" s="246"/>
      <c r="N11" s="246"/>
      <c r="O11" s="246"/>
      <c r="P11" s="246">
        <f t="shared" si="2"/>
        <v>0</v>
      </c>
      <c r="Q11" s="246">
        <f t="shared" si="3"/>
        <v>664021.42000000004</v>
      </c>
      <c r="R11" s="539" t="s">
        <v>139</v>
      </c>
      <c r="S11" s="461" t="s">
        <v>265</v>
      </c>
      <c r="T11" s="247">
        <f t="shared" si="4"/>
        <v>0</v>
      </c>
      <c r="U11" s="247">
        <f>388699.4+79299.42</f>
        <v>467998.82</v>
      </c>
      <c r="V11" s="248">
        <f t="shared" si="0"/>
        <v>467998.82</v>
      </c>
      <c r="W11" s="236"/>
      <c r="X11" s="228" t="s">
        <v>139</v>
      </c>
      <c r="Y11" s="232">
        <f>(235378.05+47139.18)*1.082*1.024*1.0514*1.2</f>
        <v>394931.14</v>
      </c>
      <c r="Z11" s="233" t="s">
        <v>186</v>
      </c>
      <c r="AA11" s="406" t="s">
        <v>263</v>
      </c>
      <c r="AB11" s="526">
        <f t="shared" ref="AB11:AB18" si="5">V11-J11</f>
        <v>-196022.6</v>
      </c>
    </row>
    <row r="12" spans="1:28" ht="51" customHeight="1" x14ac:dyDescent="0.25">
      <c r="A12" s="217">
        <v>9</v>
      </c>
      <c r="B12" s="245" t="s">
        <v>178</v>
      </c>
      <c r="C12" s="219" t="str">
        <f>ССР!C36</f>
        <v>Переустройство кабельных линий.ЭС2</v>
      </c>
      <c r="D12" s="220">
        <v>2276671.21</v>
      </c>
      <c r="E12" s="220">
        <v>186687.04</v>
      </c>
      <c r="F12" s="220">
        <v>59120.6</v>
      </c>
      <c r="G12" s="220">
        <v>2522478.85</v>
      </c>
      <c r="H12" s="220">
        <v>2652034.42</v>
      </c>
      <c r="I12" s="221">
        <f>I24</f>
        <v>1.2</v>
      </c>
      <c r="J12" s="222">
        <f t="shared" si="1"/>
        <v>3182441.3</v>
      </c>
      <c r="K12" s="246"/>
      <c r="L12" s="246"/>
      <c r="M12" s="246"/>
      <c r="N12" s="246"/>
      <c r="O12" s="246"/>
      <c r="P12" s="246">
        <f t="shared" si="2"/>
        <v>0</v>
      </c>
      <c r="Q12" s="246">
        <f t="shared" si="3"/>
        <v>3182441.3</v>
      </c>
      <c r="R12" s="539" t="s">
        <v>139</v>
      </c>
      <c r="S12" s="461" t="s">
        <v>266</v>
      </c>
      <c r="T12" s="247">
        <f t="shared" si="4"/>
        <v>0</v>
      </c>
      <c r="U12" s="247">
        <f>4830233+244506.56</f>
        <v>5074739.5599999996</v>
      </c>
      <c r="V12" s="248">
        <f t="shared" si="0"/>
        <v>5074739.5599999996</v>
      </c>
      <c r="W12" s="178"/>
      <c r="X12" s="111" t="s">
        <v>139</v>
      </c>
      <c r="Y12" s="84">
        <f>(3206824.35+130942.19)*1.082*1.024*1.0514*1.2</f>
        <v>4665867.41</v>
      </c>
      <c r="Z12" s="233" t="s">
        <v>186</v>
      </c>
      <c r="AA12" s="406" t="s">
        <v>263</v>
      </c>
      <c r="AB12" s="526">
        <f t="shared" si="5"/>
        <v>1892298.26</v>
      </c>
    </row>
    <row r="13" spans="1:28" ht="39.75" customHeight="1" x14ac:dyDescent="0.25">
      <c r="A13" s="217">
        <v>10</v>
      </c>
      <c r="B13" s="245" t="s">
        <v>179</v>
      </c>
      <c r="C13" s="219" t="str">
        <f>ССР!C40</f>
        <v>Переустройство хозпитьевого водопровода.НВК2</v>
      </c>
      <c r="D13" s="220">
        <v>760016.55</v>
      </c>
      <c r="E13" s="220">
        <v>62321.36</v>
      </c>
      <c r="F13" s="220">
        <v>19736.11</v>
      </c>
      <c r="G13" s="220">
        <v>842074.02</v>
      </c>
      <c r="H13" s="220">
        <v>885323.3</v>
      </c>
      <c r="I13" s="221">
        <f>I25</f>
        <v>1.2</v>
      </c>
      <c r="J13" s="222">
        <f t="shared" si="1"/>
        <v>1062387.96</v>
      </c>
      <c r="K13" s="246"/>
      <c r="L13" s="246"/>
      <c r="M13" s="246"/>
      <c r="N13" s="246"/>
      <c r="O13" s="246"/>
      <c r="P13" s="246">
        <f t="shared" si="2"/>
        <v>0</v>
      </c>
      <c r="Q13" s="246">
        <f t="shared" si="3"/>
        <v>1062387.96</v>
      </c>
      <c r="R13" s="246" t="s">
        <v>139</v>
      </c>
      <c r="S13" s="461" t="s">
        <v>266</v>
      </c>
      <c r="T13" s="247">
        <f t="shared" si="4"/>
        <v>0</v>
      </c>
      <c r="U13" s="247">
        <v>1565587.54</v>
      </c>
      <c r="V13" s="248">
        <f t="shared" si="0"/>
        <v>1565587.54</v>
      </c>
      <c r="W13" s="231"/>
      <c r="X13" s="228" t="s">
        <v>139</v>
      </c>
      <c r="Y13" s="232">
        <f>1047143.73*1.082*1.024*1.0514*1.2</f>
        <v>1463803.34</v>
      </c>
      <c r="Z13" s="233" t="s">
        <v>186</v>
      </c>
      <c r="AA13" s="406" t="s">
        <v>263</v>
      </c>
      <c r="AB13" s="526">
        <f t="shared" si="5"/>
        <v>503199.58</v>
      </c>
    </row>
    <row r="14" spans="1:28" ht="43.5" customHeight="1" x14ac:dyDescent="0.25">
      <c r="A14" s="217">
        <v>11</v>
      </c>
      <c r="B14" s="245" t="s">
        <v>180</v>
      </c>
      <c r="C14" s="219" t="str">
        <f>ССР!C41</f>
        <v>Переустройство хозпитьевого водопровода.НВК3</v>
      </c>
      <c r="D14" s="220">
        <v>10454161.890000001</v>
      </c>
      <c r="E14" s="220">
        <v>857241.27</v>
      </c>
      <c r="F14" s="220">
        <v>271473.68</v>
      </c>
      <c r="G14" s="220">
        <v>11582876.84</v>
      </c>
      <c r="H14" s="220">
        <v>12177778.26</v>
      </c>
      <c r="I14" s="221">
        <f t="shared" ref="I14:I19" si="6">I7</f>
        <v>1.2</v>
      </c>
      <c r="J14" s="222">
        <f t="shared" si="1"/>
        <v>14613333.91</v>
      </c>
      <c r="K14" s="246"/>
      <c r="L14" s="246"/>
      <c r="M14" s="246"/>
      <c r="N14" s="246"/>
      <c r="O14" s="246"/>
      <c r="P14" s="246">
        <f t="shared" si="2"/>
        <v>0</v>
      </c>
      <c r="Q14" s="246">
        <f t="shared" si="3"/>
        <v>14613333.91</v>
      </c>
      <c r="R14" s="246" t="s">
        <v>139</v>
      </c>
      <c r="S14" s="461" t="s">
        <v>266</v>
      </c>
      <c r="T14" s="247">
        <f t="shared" si="4"/>
        <v>0</v>
      </c>
      <c r="U14" s="247">
        <v>19890772.960000001</v>
      </c>
      <c r="V14" s="248">
        <f t="shared" si="0"/>
        <v>19890772.960000001</v>
      </c>
      <c r="W14" s="231"/>
      <c r="X14" s="228" t="s">
        <v>139</v>
      </c>
      <c r="Y14" s="232">
        <f>13422525.94*1.082*1.024*1.0514*1.2</f>
        <v>18763363.32</v>
      </c>
      <c r="Z14" s="233" t="s">
        <v>186</v>
      </c>
      <c r="AA14" s="406" t="s">
        <v>263</v>
      </c>
      <c r="AB14" s="526">
        <f t="shared" si="5"/>
        <v>5277439.05</v>
      </c>
    </row>
    <row r="15" spans="1:28" s="525" customFormat="1" ht="47.25" customHeight="1" x14ac:dyDescent="0.25">
      <c r="A15" s="217">
        <v>12</v>
      </c>
      <c r="B15" s="245" t="s">
        <v>181</v>
      </c>
      <c r="C15" s="219" t="str">
        <f>ССР!C43</f>
        <v>Переустройство хозяйственно-бытовой канализации.НВК4</v>
      </c>
      <c r="D15" s="220">
        <v>9143309.8300000001</v>
      </c>
      <c r="E15" s="220">
        <v>749751.41</v>
      </c>
      <c r="F15" s="220">
        <v>237433.47</v>
      </c>
      <c r="G15" s="220">
        <v>10130494.710000001</v>
      </c>
      <c r="H15" s="220">
        <v>10650801.17</v>
      </c>
      <c r="I15" s="221">
        <f t="shared" si="6"/>
        <v>1.2</v>
      </c>
      <c r="J15" s="222">
        <f t="shared" si="1"/>
        <v>12780961.4</v>
      </c>
      <c r="K15" s="246"/>
      <c r="L15" s="246"/>
      <c r="M15" s="246"/>
      <c r="N15" s="246"/>
      <c r="O15" s="246">
        <v>337909.86</v>
      </c>
      <c r="P15" s="246">
        <f t="shared" si="2"/>
        <v>337909.86</v>
      </c>
      <c r="Q15" s="246">
        <f t="shared" si="3"/>
        <v>12443051.539999999</v>
      </c>
      <c r="R15" s="246" t="s">
        <v>139</v>
      </c>
      <c r="S15" s="461" t="s">
        <v>267</v>
      </c>
      <c r="T15" s="247">
        <f t="shared" si="4"/>
        <v>337909.86</v>
      </c>
      <c r="U15" s="247">
        <v>2229020.44</v>
      </c>
      <c r="V15" s="248">
        <f>T15+U15</f>
        <v>2566930.2999999998</v>
      </c>
      <c r="W15" s="178"/>
      <c r="X15" s="175" t="s">
        <v>139</v>
      </c>
      <c r="Y15" s="174">
        <f>1724717.19*1.082*1.024*1.0514*1.2</f>
        <v>2410984</v>
      </c>
      <c r="Z15" s="524" t="s">
        <v>186</v>
      </c>
      <c r="AA15" s="406" t="s">
        <v>263</v>
      </c>
      <c r="AB15" s="526">
        <f t="shared" si="5"/>
        <v>-10214031.1</v>
      </c>
    </row>
    <row r="16" spans="1:28" s="525" customFormat="1" ht="44.25" customHeight="1" x14ac:dyDescent="0.25">
      <c r="A16" s="217">
        <v>13</v>
      </c>
      <c r="B16" s="245" t="s">
        <v>182</v>
      </c>
      <c r="C16" s="219" t="str">
        <f>ССР!C44</f>
        <v>Переустройство ливневой канализации.НВК5.</v>
      </c>
      <c r="D16" s="220">
        <v>21996729.18</v>
      </c>
      <c r="E16" s="220">
        <v>1803731.79</v>
      </c>
      <c r="F16" s="220">
        <v>571211.06000000006</v>
      </c>
      <c r="G16" s="220">
        <v>24371672.030000001</v>
      </c>
      <c r="H16" s="220">
        <v>25623411.34</v>
      </c>
      <c r="I16" s="221">
        <f t="shared" si="6"/>
        <v>1.2</v>
      </c>
      <c r="J16" s="222">
        <f t="shared" si="1"/>
        <v>30748093.609999999</v>
      </c>
      <c r="K16" s="246"/>
      <c r="L16" s="246"/>
      <c r="M16" s="246">
        <v>1211400.79</v>
      </c>
      <c r="N16" s="246"/>
      <c r="O16" s="246"/>
      <c r="P16" s="246">
        <f t="shared" si="2"/>
        <v>1211400.79</v>
      </c>
      <c r="Q16" s="246">
        <f t="shared" si="3"/>
        <v>29536692.82</v>
      </c>
      <c r="R16" s="539" t="s">
        <v>139</v>
      </c>
      <c r="S16" s="461" t="s">
        <v>268</v>
      </c>
      <c r="T16" s="247">
        <f t="shared" si="4"/>
        <v>1211400.79</v>
      </c>
      <c r="U16" s="247">
        <v>3328756.46</v>
      </c>
      <c r="V16" s="248">
        <f>T16+U16</f>
        <v>4540157.25</v>
      </c>
      <c r="W16" s="178"/>
      <c r="X16" s="175" t="s">
        <v>139</v>
      </c>
      <c r="Y16" s="174">
        <f>2827828.36*1.082*1.024*1.0514*1.2</f>
        <v>3953024.28</v>
      </c>
      <c r="Z16" s="524" t="s">
        <v>186</v>
      </c>
      <c r="AA16" s="406" t="s">
        <v>263</v>
      </c>
      <c r="AB16" s="526">
        <f t="shared" si="5"/>
        <v>-26207936.359999999</v>
      </c>
    </row>
    <row r="17" spans="1:28" ht="40.5" customHeight="1" x14ac:dyDescent="0.25">
      <c r="A17" s="217">
        <v>17</v>
      </c>
      <c r="B17" s="245" t="s">
        <v>183</v>
      </c>
      <c r="C17" s="219" t="str">
        <f>ССР!C49</f>
        <v>Теплоснабжение. Переустройство трубопровода.ТС2</v>
      </c>
      <c r="D17" s="220">
        <v>1890203.39</v>
      </c>
      <c r="E17" s="220">
        <v>154996.68</v>
      </c>
      <c r="F17" s="220">
        <v>49084.800000000003</v>
      </c>
      <c r="G17" s="220">
        <v>2094284.87</v>
      </c>
      <c r="H17" s="220">
        <v>2201848.2200000002</v>
      </c>
      <c r="I17" s="221">
        <f t="shared" si="6"/>
        <v>1.2</v>
      </c>
      <c r="J17" s="222">
        <f>ROUND(H17*I17,2)</f>
        <v>2642217.86</v>
      </c>
      <c r="K17" s="246"/>
      <c r="L17" s="246"/>
      <c r="M17" s="246"/>
      <c r="N17" s="246"/>
      <c r="O17" s="246"/>
      <c r="P17" s="246">
        <f>K17+L17+M17+N17+O17</f>
        <v>0</v>
      </c>
      <c r="Q17" s="246">
        <f>J17-K17-L17-M17-N17-O17</f>
        <v>2642217.86</v>
      </c>
      <c r="R17" s="246" t="s">
        <v>139</v>
      </c>
      <c r="S17" s="461" t="s">
        <v>269</v>
      </c>
      <c r="T17" s="247">
        <f>P17</f>
        <v>0</v>
      </c>
      <c r="U17" s="247">
        <v>2515253.7999999998</v>
      </c>
      <c r="V17" s="248">
        <f>T17+U17</f>
        <v>2515253.7999999998</v>
      </c>
      <c r="W17" s="178"/>
      <c r="X17" s="111" t="s">
        <v>139</v>
      </c>
      <c r="Y17" s="84">
        <f>1675854.44*1.082*1.024*1.0514*1.2</f>
        <v>2342678.71</v>
      </c>
      <c r="Z17" s="233" t="s">
        <v>186</v>
      </c>
      <c r="AA17" s="406" t="s">
        <v>263</v>
      </c>
      <c r="AB17" s="526">
        <f t="shared" si="5"/>
        <v>-126964.06</v>
      </c>
    </row>
    <row r="18" spans="1:28" ht="31.5" x14ac:dyDescent="0.25">
      <c r="A18" s="217">
        <v>18</v>
      </c>
      <c r="B18" s="245" t="s">
        <v>184</v>
      </c>
      <c r="C18" s="219" t="str">
        <f>ССР!C50</f>
        <v>Теплоснабжение. Переустройство трубопровода.ТС3</v>
      </c>
      <c r="D18" s="220">
        <v>4003449.34</v>
      </c>
      <c r="E18" s="220">
        <v>328282.84999999998</v>
      </c>
      <c r="F18" s="220">
        <v>103961.57</v>
      </c>
      <c r="G18" s="220">
        <v>4435693.76</v>
      </c>
      <c r="H18" s="220">
        <v>4663512.8499999996</v>
      </c>
      <c r="I18" s="221">
        <f t="shared" si="6"/>
        <v>1.2</v>
      </c>
      <c r="J18" s="222">
        <f>ROUND(H18*I18,2)</f>
        <v>5596215.4199999999</v>
      </c>
      <c r="K18" s="246"/>
      <c r="L18" s="246"/>
      <c r="M18" s="246"/>
      <c r="N18" s="246"/>
      <c r="O18" s="246"/>
      <c r="P18" s="246">
        <f>K18+L18+M18+N18+O18</f>
        <v>0</v>
      </c>
      <c r="Q18" s="246">
        <f>J18-K18-L18-M18-N18-O18</f>
        <v>5596215.4199999999</v>
      </c>
      <c r="R18" s="246" t="s">
        <v>139</v>
      </c>
      <c r="S18" s="461" t="s">
        <v>267</v>
      </c>
      <c r="T18" s="247">
        <f>P18</f>
        <v>0</v>
      </c>
      <c r="U18" s="247">
        <v>4789058</v>
      </c>
      <c r="V18" s="248">
        <f>T18+U18</f>
        <v>4789058</v>
      </c>
      <c r="W18" s="178"/>
      <c r="X18" s="111" t="s">
        <v>139</v>
      </c>
      <c r="Y18" s="84">
        <f>2820165.03*1.082*1.024*1.0514*1.2</f>
        <v>3942311.7</v>
      </c>
      <c r="Z18" s="233" t="s">
        <v>186</v>
      </c>
      <c r="AA18" s="406" t="s">
        <v>257</v>
      </c>
      <c r="AB18" s="526">
        <f t="shared" si="5"/>
        <v>-807157.42</v>
      </c>
    </row>
    <row r="19" spans="1:28" ht="31.5" x14ac:dyDescent="0.25">
      <c r="A19" s="217">
        <v>19</v>
      </c>
      <c r="B19" s="245" t="s">
        <v>66</v>
      </c>
      <c r="C19" s="219" t="str">
        <f>ССР!C52</f>
        <v>Наружные газопроводы. Вынос газопровода среднего давления.</v>
      </c>
      <c r="D19" s="220">
        <v>8291915.46</v>
      </c>
      <c r="E19" s="220">
        <v>679937.07</v>
      </c>
      <c r="F19" s="220">
        <v>215324.46</v>
      </c>
      <c r="G19" s="220">
        <v>9187176.9900000002</v>
      </c>
      <c r="H19" s="220">
        <v>9659034.2599999998</v>
      </c>
      <c r="I19" s="221">
        <f t="shared" si="6"/>
        <v>1.2</v>
      </c>
      <c r="J19" s="222">
        <f>ROUND(H19*I19,2)</f>
        <v>11590841.109999999</v>
      </c>
      <c r="K19" s="459"/>
      <c r="L19" s="459"/>
      <c r="M19" s="459"/>
      <c r="N19" s="459"/>
      <c r="O19" s="459"/>
      <c r="P19" s="246">
        <f>K19+L19+M19+N19+O19</f>
        <v>0</v>
      </c>
      <c r="Q19" s="246">
        <f>J19-K19-L19-M19-N19-O19</f>
        <v>11590841.109999999</v>
      </c>
      <c r="R19" s="540" t="s">
        <v>139</v>
      </c>
      <c r="S19" s="461" t="s">
        <v>270</v>
      </c>
      <c r="T19" s="247">
        <f>P19</f>
        <v>0</v>
      </c>
      <c r="U19" s="541">
        <v>6408229.1799999997</v>
      </c>
      <c r="V19" s="247">
        <f>T19+U19</f>
        <v>6408229.1799999997</v>
      </c>
      <c r="W19" s="188"/>
      <c r="X19" s="111"/>
      <c r="Y19" s="84"/>
      <c r="Z19" s="208"/>
      <c r="AA19" s="406" t="s">
        <v>263</v>
      </c>
    </row>
    <row r="20" spans="1:28" ht="4.5" customHeight="1" x14ac:dyDescent="0.25">
      <c r="A20" s="409"/>
      <c r="B20" s="410"/>
      <c r="C20" s="411"/>
      <c r="D20" s="412"/>
      <c r="E20" s="412"/>
      <c r="F20" s="412"/>
      <c r="G20" s="412"/>
      <c r="H20" s="412"/>
      <c r="I20" s="413"/>
      <c r="J20" s="414"/>
      <c r="K20" s="415"/>
      <c r="L20" s="415"/>
      <c r="M20" s="415"/>
      <c r="N20" s="415"/>
      <c r="O20" s="415"/>
      <c r="P20" s="415"/>
      <c r="Q20" s="415"/>
      <c r="R20" s="415"/>
      <c r="S20" s="190"/>
      <c r="T20" s="416"/>
      <c r="U20" s="417"/>
      <c r="V20" s="418"/>
      <c r="W20" s="178"/>
      <c r="X20" s="111"/>
      <c r="Y20" s="84"/>
      <c r="Z20" s="233"/>
    </row>
    <row r="21" spans="1:28" ht="32.25" hidden="1" customHeight="1" x14ac:dyDescent="0.25">
      <c r="A21" s="380"/>
      <c r="B21" s="381"/>
      <c r="C21" s="381"/>
      <c r="D21" s="381"/>
      <c r="E21" s="381"/>
      <c r="F21" s="381"/>
      <c r="G21" s="381"/>
      <c r="H21" s="382"/>
      <c r="I21" s="381"/>
      <c r="J21" s="382"/>
      <c r="K21" s="383"/>
      <c r="L21" s="383"/>
      <c r="M21" s="383"/>
      <c r="N21" s="383"/>
      <c r="O21" s="383"/>
      <c r="P21" s="383"/>
      <c r="Q21" s="383"/>
      <c r="R21" s="383"/>
      <c r="S21" s="383"/>
      <c r="T21" s="1132" t="s">
        <v>254</v>
      </c>
      <c r="U21" s="1133"/>
      <c r="V21" s="384"/>
      <c r="X21" s="65"/>
      <c r="Y21" s="81"/>
      <c r="Z21" s="81"/>
    </row>
    <row r="22" spans="1:28" ht="32.25" customHeight="1" x14ac:dyDescent="0.25">
      <c r="A22" s="380"/>
      <c r="B22" s="381"/>
      <c r="C22" s="381"/>
      <c r="D22" s="381"/>
      <c r="E22" s="381"/>
      <c r="F22" s="381"/>
      <c r="G22" s="381"/>
      <c r="H22" s="382"/>
      <c r="I22" s="381"/>
      <c r="J22" s="382"/>
      <c r="K22" s="383"/>
      <c r="L22" s="383"/>
      <c r="M22" s="383"/>
      <c r="N22" s="383"/>
      <c r="O22" s="383"/>
      <c r="P22" s="383"/>
      <c r="Q22" s="383"/>
      <c r="R22" s="383"/>
      <c r="S22" s="383"/>
      <c r="T22" s="1132" t="s">
        <v>272</v>
      </c>
      <c r="U22" s="1133"/>
      <c r="V22" s="384"/>
      <c r="X22" s="65"/>
      <c r="Y22" s="81"/>
      <c r="Z22" s="81"/>
    </row>
    <row r="23" spans="1:28" ht="45" customHeight="1" x14ac:dyDescent="0.25">
      <c r="A23" s="217">
        <v>20</v>
      </c>
      <c r="B23" s="372" t="s">
        <v>31</v>
      </c>
      <c r="C23" s="219" t="str">
        <f>ССР!C29</f>
        <v>Верхнее строение пути</v>
      </c>
      <c r="D23" s="220">
        <v>161452921.99000001</v>
      </c>
      <c r="E23" s="220">
        <v>13239139.6</v>
      </c>
      <c r="F23" s="220">
        <v>4192609.48</v>
      </c>
      <c r="G23" s="220">
        <v>178884671.06999999</v>
      </c>
      <c r="H23" s="220">
        <v>188072263.84999999</v>
      </c>
      <c r="I23" s="221">
        <f>I7</f>
        <v>1.2</v>
      </c>
      <c r="J23" s="222">
        <f>ROUND(H23*I23,2)</f>
        <v>225686716.62</v>
      </c>
      <c r="K23" s="373">
        <v>89998722.969999999</v>
      </c>
      <c r="L23" s="373">
        <v>66544414.909999996</v>
      </c>
      <c r="M23" s="373">
        <v>42672742.899999999</v>
      </c>
      <c r="N23" s="373"/>
      <c r="O23" s="373"/>
      <c r="P23" s="371">
        <f>K23+L23+M23+N23+O23</f>
        <v>199215880.78</v>
      </c>
      <c r="Q23" s="371">
        <f>J23-K23-L23-M23-N23-O23</f>
        <v>26470835.84</v>
      </c>
      <c r="R23" s="396" t="s">
        <v>243</v>
      </c>
      <c r="S23" s="403" t="s">
        <v>273</v>
      </c>
      <c r="T23" s="83">
        <f>P23</f>
        <v>199215880.78</v>
      </c>
      <c r="U23" s="366">
        <v>63289401</v>
      </c>
      <c r="V23" s="83">
        <f>T23+U23</f>
        <v>262505281.78</v>
      </c>
      <c r="X23" s="111"/>
      <c r="Y23" s="84"/>
      <c r="Z23" s="208"/>
      <c r="AA23" s="419"/>
    </row>
    <row r="24" spans="1:28" s="449" customFormat="1" ht="32.25" customHeight="1" x14ac:dyDescent="0.25">
      <c r="A24" s="434">
        <v>21</v>
      </c>
      <c r="B24" s="435" t="s">
        <v>32</v>
      </c>
      <c r="C24" s="436" t="str">
        <f>ССР!C30</f>
        <v>Восстановительные работы цеха №121/18. АС 3.</v>
      </c>
      <c r="D24" s="437">
        <v>4505948.67</v>
      </c>
      <c r="E24" s="437">
        <v>369487.79</v>
      </c>
      <c r="F24" s="437">
        <v>117010.48</v>
      </c>
      <c r="G24" s="437">
        <v>4992446.9400000004</v>
      </c>
      <c r="H24" s="437">
        <v>5248861.1100000003</v>
      </c>
      <c r="I24" s="438">
        <f>I8</f>
        <v>1.2</v>
      </c>
      <c r="J24" s="439">
        <f>ROUND(H24*I24,2)</f>
        <v>6298633.3300000001</v>
      </c>
      <c r="K24" s="440"/>
      <c r="L24" s="440"/>
      <c r="M24" s="440"/>
      <c r="N24" s="440">
        <v>5245250.92</v>
      </c>
      <c r="O24" s="440"/>
      <c r="P24" s="441">
        <f>K24+L24+M24+N24+O24</f>
        <v>5245250.92</v>
      </c>
      <c r="Q24" s="441">
        <f>J24-K24-L24-M24-N24-O24</f>
        <v>1053382.4099999999</v>
      </c>
      <c r="R24" s="442" t="s">
        <v>168</v>
      </c>
      <c r="S24" s="442" t="s">
        <v>189</v>
      </c>
      <c r="T24" s="443">
        <f>P24</f>
        <v>5245250.92</v>
      </c>
      <c r="U24" s="444">
        <v>0</v>
      </c>
      <c r="V24" s="443">
        <f>T24+U24</f>
        <v>5245250.92</v>
      </c>
      <c r="W24" s="445" t="s">
        <v>172</v>
      </c>
      <c r="X24" s="446"/>
      <c r="Y24" s="443"/>
      <c r="Z24" s="447"/>
      <c r="AA24" s="448"/>
    </row>
    <row r="25" spans="1:28" s="449" customFormat="1" ht="36" x14ac:dyDescent="0.25">
      <c r="A25" s="434">
        <v>22</v>
      </c>
      <c r="B25" s="435" t="s">
        <v>33</v>
      </c>
      <c r="C25" s="436" t="str">
        <f>ССР!C31</f>
        <v>Архитектурно-строительные решения. Часть 1.АС1</v>
      </c>
      <c r="D25" s="437">
        <v>10526911.91</v>
      </c>
      <c r="E25" s="437">
        <v>863206.78</v>
      </c>
      <c r="F25" s="437">
        <v>273362.84999999998</v>
      </c>
      <c r="G25" s="437">
        <v>11663481.539999999</v>
      </c>
      <c r="H25" s="437">
        <v>12262522.85</v>
      </c>
      <c r="I25" s="438">
        <f>I9</f>
        <v>1.2</v>
      </c>
      <c r="J25" s="439">
        <f>ROUND(H25*I25,2)</f>
        <v>14715027.42</v>
      </c>
      <c r="K25" s="440"/>
      <c r="L25" s="440">
        <v>10775049.08</v>
      </c>
      <c r="M25" s="440"/>
      <c r="N25" s="440"/>
      <c r="O25" s="440"/>
      <c r="P25" s="441">
        <f>K25+L25+M25+N25+O25</f>
        <v>10775049.08</v>
      </c>
      <c r="Q25" s="441">
        <f>J25-K25-L25-M25-N25-O25</f>
        <v>3939978.34</v>
      </c>
      <c r="R25" s="450" t="s">
        <v>139</v>
      </c>
      <c r="S25" s="442" t="s">
        <v>262</v>
      </c>
      <c r="T25" s="443">
        <f>P25</f>
        <v>10775049.08</v>
      </c>
      <c r="U25" s="444">
        <v>0</v>
      </c>
      <c r="V25" s="443">
        <f>T25+U25</f>
        <v>10775049.08</v>
      </c>
      <c r="W25" s="451"/>
      <c r="X25" s="446"/>
      <c r="Y25" s="443"/>
      <c r="Z25" s="447"/>
      <c r="AA25" s="448"/>
    </row>
    <row r="26" spans="1:28" s="449" customFormat="1" ht="36" x14ac:dyDescent="0.25">
      <c r="A26" s="434">
        <v>23</v>
      </c>
      <c r="B26" s="435" t="s">
        <v>55</v>
      </c>
      <c r="C26" s="436" t="str">
        <f>ССР!C45</f>
        <v>Трубопровод ливневых сточных вод от трансбордера. НВК1</v>
      </c>
      <c r="D26" s="437">
        <v>1758763.66</v>
      </c>
      <c r="E26" s="437">
        <v>144218.62</v>
      </c>
      <c r="F26" s="437">
        <v>45671.57</v>
      </c>
      <c r="G26" s="437">
        <v>1948653.85</v>
      </c>
      <c r="H26" s="437">
        <v>2048737.53</v>
      </c>
      <c r="I26" s="438">
        <f>I23</f>
        <v>1.2</v>
      </c>
      <c r="J26" s="439">
        <f t="shared" si="1"/>
        <v>2458485.04</v>
      </c>
      <c r="K26" s="452"/>
      <c r="L26" s="452"/>
      <c r="M26" s="452"/>
      <c r="N26" s="452"/>
      <c r="O26" s="452">
        <v>505496.99</v>
      </c>
      <c r="P26" s="441">
        <f t="shared" si="2"/>
        <v>505496.99</v>
      </c>
      <c r="Q26" s="441">
        <f t="shared" si="3"/>
        <v>1952988.05</v>
      </c>
      <c r="R26" s="452" t="s">
        <v>243</v>
      </c>
      <c r="S26" s="453" t="s">
        <v>251</v>
      </c>
      <c r="T26" s="443">
        <f t="shared" si="4"/>
        <v>505496.99</v>
      </c>
      <c r="U26" s="454">
        <v>0</v>
      </c>
      <c r="V26" s="455">
        <f>T26+U26</f>
        <v>505496.99</v>
      </c>
      <c r="W26" s="451"/>
      <c r="X26" s="446"/>
      <c r="Y26" s="443"/>
      <c r="Z26" s="447"/>
      <c r="AA26" s="448"/>
    </row>
    <row r="27" spans="1:28" s="449" customFormat="1" ht="47.25" x14ac:dyDescent="0.25">
      <c r="A27" s="434">
        <v>24</v>
      </c>
      <c r="B27" s="435" t="s">
        <v>58</v>
      </c>
      <c r="C27" s="436" t="str">
        <f>ССР!C47</f>
        <v>Теплоснабжение. Переустройство трубопровода.ТС1</v>
      </c>
      <c r="D27" s="437">
        <v>4044845.15</v>
      </c>
      <c r="E27" s="437">
        <v>331677.3</v>
      </c>
      <c r="F27" s="437">
        <v>105036.54</v>
      </c>
      <c r="G27" s="437">
        <v>4481558.99</v>
      </c>
      <c r="H27" s="437">
        <v>4711733.74</v>
      </c>
      <c r="I27" s="438">
        <f>I14</f>
        <v>1.2</v>
      </c>
      <c r="J27" s="439">
        <f t="shared" si="1"/>
        <v>5654080.4900000002</v>
      </c>
      <c r="K27" s="452"/>
      <c r="L27" s="452"/>
      <c r="M27" s="452"/>
      <c r="N27" s="452"/>
      <c r="O27" s="452">
        <v>3594854.48</v>
      </c>
      <c r="P27" s="441">
        <f t="shared" si="2"/>
        <v>3594854.48</v>
      </c>
      <c r="Q27" s="441">
        <f t="shared" si="3"/>
        <v>2059226.01</v>
      </c>
      <c r="R27" s="452" t="s">
        <v>243</v>
      </c>
      <c r="S27" s="453" t="s">
        <v>251</v>
      </c>
      <c r="T27" s="443">
        <f t="shared" si="4"/>
        <v>3594854.48</v>
      </c>
      <c r="U27" s="454">
        <v>0</v>
      </c>
      <c r="V27" s="455">
        <f t="shared" ref="V27:V30" si="7">T27+U27</f>
        <v>3594854.48</v>
      </c>
      <c r="W27" s="451"/>
      <c r="X27" s="446"/>
      <c r="Y27" s="443"/>
      <c r="Z27" s="447"/>
      <c r="AA27" s="448"/>
    </row>
    <row r="28" spans="1:28" s="449" customFormat="1" ht="36" x14ac:dyDescent="0.25">
      <c r="A28" s="434">
        <v>25</v>
      </c>
      <c r="B28" s="435" t="s">
        <v>59</v>
      </c>
      <c r="C28" s="436" t="str">
        <f>ССР!C48</f>
        <v>Архитектурно-строительные решения. Эстакада для ТС1. АС 4</v>
      </c>
      <c r="D28" s="437">
        <v>4859580.66</v>
      </c>
      <c r="E28" s="437">
        <v>398485.61</v>
      </c>
      <c r="F28" s="437">
        <v>126193.59</v>
      </c>
      <c r="G28" s="437">
        <v>5384259.8600000003</v>
      </c>
      <c r="H28" s="437">
        <v>5660797.71</v>
      </c>
      <c r="I28" s="438">
        <f>I15</f>
        <v>1.2</v>
      </c>
      <c r="J28" s="439">
        <f t="shared" si="1"/>
        <v>6792957.25</v>
      </c>
      <c r="K28" s="452"/>
      <c r="L28" s="452"/>
      <c r="M28" s="452"/>
      <c r="N28" s="452"/>
      <c r="O28" s="452">
        <v>562345.21</v>
      </c>
      <c r="P28" s="441">
        <f t="shared" si="2"/>
        <v>562345.21</v>
      </c>
      <c r="Q28" s="441">
        <f t="shared" si="3"/>
        <v>6230612.04</v>
      </c>
      <c r="R28" s="456" t="s">
        <v>243</v>
      </c>
      <c r="S28" s="453" t="s">
        <v>251</v>
      </c>
      <c r="T28" s="443">
        <f t="shared" si="4"/>
        <v>562345.21</v>
      </c>
      <c r="U28" s="454">
        <v>0</v>
      </c>
      <c r="V28" s="455">
        <f t="shared" si="7"/>
        <v>562345.21</v>
      </c>
      <c r="W28" s="451"/>
      <c r="X28" s="446"/>
      <c r="Y28" s="443"/>
      <c r="Z28" s="447"/>
      <c r="AA28" s="448"/>
    </row>
    <row r="29" spans="1:28" ht="36" x14ac:dyDescent="0.25">
      <c r="A29" s="217">
        <v>26</v>
      </c>
      <c r="B29" s="245" t="s">
        <v>70</v>
      </c>
      <c r="C29" s="219" t="str">
        <f>ССР!C55</f>
        <v>Генеральный план. Трансбордер. ГП1</v>
      </c>
      <c r="D29" s="220">
        <v>5005903.75</v>
      </c>
      <c r="E29" s="220">
        <v>410484.11</v>
      </c>
      <c r="F29" s="220">
        <v>129993.31</v>
      </c>
      <c r="G29" s="220">
        <v>5546381.1699999999</v>
      </c>
      <c r="H29" s="220">
        <v>5831245.6399999997</v>
      </c>
      <c r="I29" s="221">
        <f>I13</f>
        <v>1.2</v>
      </c>
      <c r="J29" s="222">
        <f t="shared" si="1"/>
        <v>6997494.7699999996</v>
      </c>
      <c r="K29" s="373"/>
      <c r="L29" s="373">
        <v>2298854.48</v>
      </c>
      <c r="M29" s="373"/>
      <c r="N29" s="373"/>
      <c r="O29" s="373"/>
      <c r="P29" s="371">
        <f t="shared" si="2"/>
        <v>2298854.48</v>
      </c>
      <c r="Q29" s="371">
        <f t="shared" si="3"/>
        <v>4698640.29</v>
      </c>
      <c r="R29" s="395" t="s">
        <v>243</v>
      </c>
      <c r="S29" s="403" t="s">
        <v>247</v>
      </c>
      <c r="T29" s="83">
        <f t="shared" si="4"/>
        <v>2298854.48</v>
      </c>
      <c r="U29" s="367">
        <v>0</v>
      </c>
      <c r="V29" s="368">
        <f t="shared" si="7"/>
        <v>2298854.48</v>
      </c>
      <c r="W29" s="206"/>
      <c r="X29" s="111"/>
      <c r="Y29" s="84"/>
      <c r="Z29" s="208"/>
      <c r="AA29" s="419"/>
    </row>
    <row r="30" spans="1:28" ht="36.75" thickBot="1" x14ac:dyDescent="0.3">
      <c r="A30" s="421">
        <v>27</v>
      </c>
      <c r="B30" s="374" t="s">
        <v>71</v>
      </c>
      <c r="C30" s="375" t="str">
        <f>ССР!C56</f>
        <v>Генеральный план. ГП2</v>
      </c>
      <c r="D30" s="397">
        <v>48898423.600000001</v>
      </c>
      <c r="E30" s="397">
        <v>4009670.74</v>
      </c>
      <c r="F30" s="397">
        <v>1269794.26</v>
      </c>
      <c r="G30" s="397">
        <v>54177888.600000001</v>
      </c>
      <c r="H30" s="397">
        <v>56960487.710000001</v>
      </c>
      <c r="I30" s="376">
        <f>I17</f>
        <v>1.2</v>
      </c>
      <c r="J30" s="377">
        <f t="shared" si="1"/>
        <v>68352585.25</v>
      </c>
      <c r="K30" s="378"/>
      <c r="L30" s="378"/>
      <c r="M30" s="378">
        <v>11709977.720000001</v>
      </c>
      <c r="N30" s="378"/>
      <c r="O30" s="378">
        <v>3615838.44</v>
      </c>
      <c r="P30" s="379">
        <f t="shared" si="2"/>
        <v>15325816.16</v>
      </c>
      <c r="Q30" s="379">
        <f t="shared" si="3"/>
        <v>53026769.090000004</v>
      </c>
      <c r="R30" s="422" t="s">
        <v>243</v>
      </c>
      <c r="S30" s="423" t="s">
        <v>247</v>
      </c>
      <c r="T30" s="370">
        <f t="shared" si="4"/>
        <v>15325816.16</v>
      </c>
      <c r="U30" s="424">
        <v>0</v>
      </c>
      <c r="V30" s="369">
        <f t="shared" si="7"/>
        <v>15325816.16</v>
      </c>
      <c r="W30" s="206"/>
      <c r="X30" s="111"/>
      <c r="Y30" s="85"/>
      <c r="Z30" s="209"/>
      <c r="AA30" s="419"/>
    </row>
    <row r="31" spans="1:28" ht="35.1" customHeight="1" thickTop="1" x14ac:dyDescent="0.25">
      <c r="A31" s="387">
        <v>28</v>
      </c>
      <c r="B31" s="388">
        <v>1</v>
      </c>
      <c r="C31" s="389" t="s">
        <v>175</v>
      </c>
      <c r="D31" s="390"/>
      <c r="E31" s="390"/>
      <c r="F31" s="390"/>
      <c r="G31" s="390"/>
      <c r="H31" s="390"/>
      <c r="I31" s="391"/>
      <c r="J31" s="392"/>
      <c r="K31" s="393"/>
      <c r="L31" s="393"/>
      <c r="M31" s="393"/>
      <c r="N31" s="393"/>
      <c r="O31" s="393"/>
      <c r="P31" s="393">
        <f>T31</f>
        <v>4216719.66</v>
      </c>
      <c r="Q31" s="393"/>
      <c r="R31" s="477" t="s">
        <v>139</v>
      </c>
      <c r="S31" s="394" t="s">
        <v>255</v>
      </c>
      <c r="T31" s="420">
        <v>4216719.66</v>
      </c>
      <c r="U31" s="420">
        <v>0</v>
      </c>
      <c r="V31" s="420">
        <f>T31+U31</f>
        <v>4216719.66</v>
      </c>
      <c r="X31" s="119"/>
      <c r="Y31" s="179"/>
      <c r="Z31" s="179"/>
    </row>
    <row r="32" spans="1:28" ht="35.1" customHeight="1" thickBot="1" x14ac:dyDescent="0.3">
      <c r="A32" s="513">
        <v>29</v>
      </c>
      <c r="B32" s="479">
        <v>1</v>
      </c>
      <c r="C32" s="480" t="s">
        <v>174</v>
      </c>
      <c r="D32" s="481"/>
      <c r="E32" s="481"/>
      <c r="F32" s="481"/>
      <c r="G32" s="481"/>
      <c r="H32" s="481"/>
      <c r="I32" s="482"/>
      <c r="J32" s="483"/>
      <c r="K32" s="484"/>
      <c r="L32" s="484"/>
      <c r="M32" s="484"/>
      <c r="N32" s="484"/>
      <c r="O32" s="484"/>
      <c r="P32" s="484">
        <f>T32</f>
        <v>2160473.5</v>
      </c>
      <c r="Q32" s="484"/>
      <c r="R32" s="514" t="s">
        <v>139</v>
      </c>
      <c r="S32" s="515" t="s">
        <v>255</v>
      </c>
      <c r="T32" s="485">
        <v>2160473.5</v>
      </c>
      <c r="U32" s="485">
        <v>0</v>
      </c>
      <c r="V32" s="486">
        <f t="shared" ref="V32" si="8">T32+U32</f>
        <v>2160473.5</v>
      </c>
      <c r="X32" s="117"/>
      <c r="Y32" s="105"/>
      <c r="Z32" s="211"/>
    </row>
    <row r="33" spans="1:26" ht="31.5" customHeight="1" thickTop="1" thickBot="1" x14ac:dyDescent="0.3">
      <c r="A33" s="516"/>
      <c r="B33" s="517" t="s">
        <v>120</v>
      </c>
      <c r="C33" s="518"/>
      <c r="D33" s="519">
        <f>SUM(D7:D30)</f>
        <v>392033916.06</v>
      </c>
      <c r="E33" s="518"/>
      <c r="F33" s="520"/>
      <c r="G33" s="519">
        <f>SUM(G7:G30)</f>
        <v>434361033.93000001</v>
      </c>
      <c r="H33" s="519">
        <f>SUM(H7:H30)</f>
        <v>456670000.00999999</v>
      </c>
      <c r="I33" s="519"/>
      <c r="J33" s="519">
        <f>SUM(J7:J30)</f>
        <v>548004000</v>
      </c>
      <c r="K33" s="521">
        <f>SUM(K7:K30)</f>
        <v>210417570.36000001</v>
      </c>
      <c r="L33" s="521">
        <f>SUM(L7:L30)+0.01</f>
        <v>79978331.209999993</v>
      </c>
      <c r="M33" s="521">
        <f>SUM(M7:M30)</f>
        <v>58868164.759999998</v>
      </c>
      <c r="N33" s="521">
        <f>SUM(N7:N30)</f>
        <v>5245250.92</v>
      </c>
      <c r="O33" s="521">
        <f>SUM(O7:O30)</f>
        <v>8616444.9800000004</v>
      </c>
      <c r="P33" s="521">
        <f>SUM(P7:P32)+0.01</f>
        <v>369502955.38999999</v>
      </c>
      <c r="Q33" s="521">
        <f>J33-P33</f>
        <v>178501044.61000001</v>
      </c>
      <c r="R33" s="521"/>
      <c r="S33" s="521"/>
      <c r="T33" s="522">
        <f>SUM(T7:T32)</f>
        <v>369502955.38</v>
      </c>
      <c r="U33" s="522">
        <f>SUM(U7:U32)</f>
        <v>109959751.43000001</v>
      </c>
      <c r="V33" s="522">
        <f>SUM(V7:V32)</f>
        <v>479462706.81</v>
      </c>
      <c r="W33" s="177"/>
      <c r="X33" s="115"/>
      <c r="Y33" s="101">
        <f>SUM(Y7:Y30)</f>
        <v>39961110.119999997</v>
      </c>
      <c r="Z33" s="210">
        <f>SUM(Z7:Z30)</f>
        <v>0</v>
      </c>
    </row>
    <row r="34" spans="1:26" ht="32.25" customHeight="1" x14ac:dyDescent="0.25">
      <c r="A34" s="498"/>
      <c r="B34" s="499"/>
      <c r="C34" s="499"/>
      <c r="D34" s="499"/>
      <c r="E34" s="499"/>
      <c r="F34" s="499"/>
      <c r="G34" s="499"/>
      <c r="H34" s="500"/>
      <c r="I34" s="499"/>
      <c r="J34" s="500"/>
      <c r="K34" s="501"/>
      <c r="L34" s="501"/>
      <c r="M34" s="501"/>
      <c r="N34" s="501"/>
      <c r="O34" s="501"/>
      <c r="P34" s="501"/>
      <c r="Q34" s="501"/>
      <c r="R34" s="501"/>
      <c r="S34" s="501"/>
      <c r="T34" s="1123" t="s">
        <v>245</v>
      </c>
      <c r="U34" s="1124"/>
      <c r="V34" s="503"/>
      <c r="X34" s="65"/>
      <c r="Y34" s="81"/>
      <c r="Z34" s="81"/>
    </row>
    <row r="35" spans="1:26" ht="35.1" customHeight="1" x14ac:dyDescent="0.25">
      <c r="A35" s="217">
        <v>30</v>
      </c>
      <c r="B35" s="218">
        <v>2</v>
      </c>
      <c r="C35" s="219" t="s">
        <v>141</v>
      </c>
      <c r="D35" s="220"/>
      <c r="E35" s="220"/>
      <c r="F35" s="220"/>
      <c r="G35" s="220"/>
      <c r="H35" s="220"/>
      <c r="I35" s="221"/>
      <c r="J35" s="222"/>
      <c r="K35" s="459"/>
      <c r="L35" s="459"/>
      <c r="M35" s="459"/>
      <c r="N35" s="459"/>
      <c r="O35" s="459"/>
      <c r="P35" s="459"/>
      <c r="Q35" s="459"/>
      <c r="R35" s="460" t="s">
        <v>139</v>
      </c>
      <c r="S35" s="461" t="s">
        <v>261</v>
      </c>
      <c r="T35" s="462">
        <v>0</v>
      </c>
      <c r="U35" s="462">
        <v>809392.99</v>
      </c>
      <c r="V35" s="462">
        <f t="shared" ref="V35:V40" si="9">T35+U35</f>
        <v>809392.99</v>
      </c>
      <c r="X35" s="119"/>
      <c r="Y35" s="179"/>
      <c r="Z35" s="179"/>
    </row>
    <row r="36" spans="1:26" ht="35.1" customHeight="1" x14ac:dyDescent="0.25">
      <c r="A36" s="458">
        <v>31</v>
      </c>
      <c r="B36" s="218">
        <v>3</v>
      </c>
      <c r="C36" s="219" t="s">
        <v>142</v>
      </c>
      <c r="D36" s="220"/>
      <c r="E36" s="220"/>
      <c r="F36" s="220"/>
      <c r="G36" s="220"/>
      <c r="H36" s="220"/>
      <c r="I36" s="221"/>
      <c r="J36" s="222"/>
      <c r="K36" s="459"/>
      <c r="L36" s="459"/>
      <c r="M36" s="459"/>
      <c r="N36" s="459"/>
      <c r="O36" s="459"/>
      <c r="P36" s="459"/>
      <c r="Q36" s="459"/>
      <c r="R36" s="460" t="s">
        <v>139</v>
      </c>
      <c r="S36" s="461" t="str">
        <f>S35</f>
        <v>отправлено на проверку 05.06</v>
      </c>
      <c r="T36" s="462">
        <v>0</v>
      </c>
      <c r="U36" s="462">
        <v>95286.48</v>
      </c>
      <c r="V36" s="462">
        <f t="shared" si="9"/>
        <v>95286.48</v>
      </c>
      <c r="X36" s="119"/>
      <c r="Y36" s="180"/>
      <c r="Z36" s="180"/>
    </row>
    <row r="37" spans="1:26" ht="35.1" customHeight="1" x14ac:dyDescent="0.25">
      <c r="A37" s="217">
        <v>32</v>
      </c>
      <c r="B37" s="218">
        <v>4</v>
      </c>
      <c r="C37" s="219" t="s">
        <v>143</v>
      </c>
      <c r="D37" s="220"/>
      <c r="E37" s="220"/>
      <c r="F37" s="220"/>
      <c r="G37" s="220"/>
      <c r="H37" s="220"/>
      <c r="I37" s="221"/>
      <c r="J37" s="222"/>
      <c r="K37" s="459"/>
      <c r="L37" s="459"/>
      <c r="M37" s="459"/>
      <c r="N37" s="459"/>
      <c r="O37" s="459"/>
      <c r="P37" s="459"/>
      <c r="Q37" s="459"/>
      <c r="R37" s="460" t="s">
        <v>139</v>
      </c>
      <c r="S37" s="461" t="str">
        <f>S35</f>
        <v>отправлено на проверку 05.06</v>
      </c>
      <c r="T37" s="462">
        <v>0</v>
      </c>
      <c r="U37" s="462">
        <v>29209.07</v>
      </c>
      <c r="V37" s="462">
        <f t="shared" si="9"/>
        <v>29209.07</v>
      </c>
      <c r="X37" s="119"/>
      <c r="Y37" s="180"/>
      <c r="Z37" s="180"/>
    </row>
    <row r="38" spans="1:26" ht="35.1" customHeight="1" x14ac:dyDescent="0.25">
      <c r="A38" s="458">
        <v>33</v>
      </c>
      <c r="B38" s="218">
        <v>6</v>
      </c>
      <c r="C38" s="219" t="s">
        <v>146</v>
      </c>
      <c r="D38" s="220"/>
      <c r="E38" s="220"/>
      <c r="F38" s="220"/>
      <c r="G38" s="220"/>
      <c r="H38" s="220"/>
      <c r="I38" s="221"/>
      <c r="J38" s="222"/>
      <c r="K38" s="459"/>
      <c r="L38" s="459"/>
      <c r="M38" s="459"/>
      <c r="N38" s="459"/>
      <c r="O38" s="459"/>
      <c r="P38" s="459"/>
      <c r="Q38" s="459"/>
      <c r="R38" s="460" t="s">
        <v>139</v>
      </c>
      <c r="S38" s="461" t="str">
        <f>S35</f>
        <v>отправлено на проверку 05.06</v>
      </c>
      <c r="T38" s="462">
        <v>0</v>
      </c>
      <c r="U38" s="462">
        <v>220556.39</v>
      </c>
      <c r="V38" s="462">
        <f t="shared" si="9"/>
        <v>220556.39</v>
      </c>
      <c r="X38" s="119"/>
      <c r="Y38" s="180"/>
      <c r="Z38" s="180"/>
    </row>
    <row r="39" spans="1:26" ht="35.1" customHeight="1" x14ac:dyDescent="0.25">
      <c r="A39" s="217">
        <v>38</v>
      </c>
      <c r="B39" s="41">
        <v>7</v>
      </c>
      <c r="C39" s="42" t="s">
        <v>148</v>
      </c>
      <c r="D39" s="43"/>
      <c r="E39" s="43"/>
      <c r="F39" s="43"/>
      <c r="G39" s="43"/>
      <c r="H39" s="43"/>
      <c r="I39" s="44"/>
      <c r="J39" s="55"/>
      <c r="K39" s="56"/>
      <c r="L39" s="56"/>
      <c r="M39" s="56"/>
      <c r="N39" s="56"/>
      <c r="O39" s="56"/>
      <c r="P39" s="459"/>
      <c r="Q39" s="459"/>
      <c r="R39" s="529" t="s">
        <v>139</v>
      </c>
      <c r="S39" s="461" t="str">
        <f>S35</f>
        <v>отправлено на проверку 05.06</v>
      </c>
      <c r="T39" s="530">
        <v>0</v>
      </c>
      <c r="U39" s="530">
        <v>231661.7</v>
      </c>
      <c r="V39" s="462">
        <f>T39+U39</f>
        <v>231661.7</v>
      </c>
      <c r="X39" s="119"/>
      <c r="Y39" s="107"/>
      <c r="Z39" s="213"/>
    </row>
    <row r="40" spans="1:26" ht="35.1" customHeight="1" x14ac:dyDescent="0.25">
      <c r="A40" s="217">
        <v>34</v>
      </c>
      <c r="B40" s="463">
        <v>9</v>
      </c>
      <c r="C40" s="464" t="s">
        <v>140</v>
      </c>
      <c r="D40" s="465"/>
      <c r="E40" s="465"/>
      <c r="F40" s="465"/>
      <c r="G40" s="465"/>
      <c r="H40" s="465"/>
      <c r="I40" s="466"/>
      <c r="J40" s="467"/>
      <c r="K40" s="468"/>
      <c r="L40" s="468"/>
      <c r="M40" s="468"/>
      <c r="N40" s="468"/>
      <c r="O40" s="468"/>
      <c r="P40" s="468"/>
      <c r="Q40" s="468"/>
      <c r="R40" s="469" t="s">
        <v>139</v>
      </c>
      <c r="S40" s="528" t="str">
        <f>S35</f>
        <v>отправлено на проверку 05.06</v>
      </c>
      <c r="T40" s="470">
        <v>0</v>
      </c>
      <c r="U40" s="470">
        <v>598821.47</v>
      </c>
      <c r="V40" s="462">
        <f t="shared" si="9"/>
        <v>598821.47</v>
      </c>
      <c r="X40" s="117"/>
      <c r="Y40" s="105"/>
      <c r="Z40" s="211"/>
    </row>
    <row r="41" spans="1:26" ht="35.1" customHeight="1" thickBot="1" x14ac:dyDescent="0.3">
      <c r="A41" s="425">
        <v>35</v>
      </c>
      <c r="B41" s="426">
        <v>10</v>
      </c>
      <c r="C41" s="427" t="s">
        <v>248</v>
      </c>
      <c r="D41" s="428"/>
      <c r="E41" s="428"/>
      <c r="F41" s="428"/>
      <c r="G41" s="428"/>
      <c r="H41" s="428"/>
      <c r="I41" s="429"/>
      <c r="J41" s="430"/>
      <c r="K41" s="431"/>
      <c r="L41" s="431"/>
      <c r="M41" s="431"/>
      <c r="N41" s="431"/>
      <c r="O41" s="431"/>
      <c r="P41" s="431"/>
      <c r="Q41" s="431"/>
      <c r="R41" s="478" t="s">
        <v>255</v>
      </c>
      <c r="S41" s="535" t="s">
        <v>271</v>
      </c>
      <c r="T41" s="432">
        <v>0</v>
      </c>
      <c r="U41" s="432">
        <v>9690548.2599999998</v>
      </c>
      <c r="V41" s="433">
        <f>T41+U41</f>
        <v>9690548.2599999998</v>
      </c>
      <c r="X41" s="117"/>
      <c r="Y41" s="105"/>
      <c r="Z41" s="211"/>
    </row>
    <row r="42" spans="1:26" ht="35.1" customHeight="1" thickTop="1" thickBot="1" x14ac:dyDescent="0.3">
      <c r="A42" s="421">
        <v>39</v>
      </c>
      <c r="B42" s="374">
        <v>12</v>
      </c>
      <c r="C42" s="375" t="s">
        <v>250</v>
      </c>
      <c r="D42" s="471"/>
      <c r="E42" s="471"/>
      <c r="F42" s="471"/>
      <c r="G42" s="471"/>
      <c r="H42" s="471"/>
      <c r="I42" s="472"/>
      <c r="J42" s="473"/>
      <c r="K42" s="474"/>
      <c r="L42" s="474"/>
      <c r="M42" s="474"/>
      <c r="N42" s="474"/>
      <c r="O42" s="474"/>
      <c r="P42" s="531"/>
      <c r="Q42" s="531"/>
      <c r="R42" s="532" t="s">
        <v>139</v>
      </c>
      <c r="S42" s="527" t="str">
        <f>S35</f>
        <v>отправлено на проверку 05.06</v>
      </c>
      <c r="T42" s="533">
        <v>0</v>
      </c>
      <c r="U42" s="533">
        <v>119814.01</v>
      </c>
      <c r="V42" s="534">
        <f>T42+U42</f>
        <v>119814.01</v>
      </c>
      <c r="X42" s="119"/>
      <c r="Y42" s="107"/>
      <c r="Z42" s="213"/>
    </row>
    <row r="43" spans="1:26" ht="35.1" customHeight="1" thickTop="1" x14ac:dyDescent="0.25">
      <c r="A43" s="475">
        <v>36</v>
      </c>
      <c r="B43" s="476">
        <v>5</v>
      </c>
      <c r="C43" s="411" t="s">
        <v>145</v>
      </c>
      <c r="D43" s="412"/>
      <c r="E43" s="412"/>
      <c r="F43" s="412"/>
      <c r="G43" s="412"/>
      <c r="H43" s="412"/>
      <c r="I43" s="413"/>
      <c r="J43" s="414"/>
      <c r="K43" s="56"/>
      <c r="L43" s="56"/>
      <c r="M43" s="56"/>
      <c r="N43" s="56"/>
      <c r="O43" s="56"/>
      <c r="P43" s="53"/>
      <c r="Q43" s="53"/>
      <c r="R43" s="398" t="s">
        <v>139</v>
      </c>
      <c r="S43" s="457" t="s">
        <v>246</v>
      </c>
      <c r="T43" s="399">
        <v>0</v>
      </c>
      <c r="U43" s="399">
        <v>2348452.58</v>
      </c>
      <c r="V43" s="399">
        <f>T43+U43</f>
        <v>2348452.58</v>
      </c>
      <c r="X43" s="119"/>
      <c r="Y43" s="180"/>
      <c r="Z43" s="180"/>
    </row>
    <row r="44" spans="1:26" ht="41.25" customHeight="1" x14ac:dyDescent="0.25">
      <c r="A44" s="487">
        <v>37</v>
      </c>
      <c r="B44" s="488">
        <v>8</v>
      </c>
      <c r="C44" s="489" t="s">
        <v>144</v>
      </c>
      <c r="D44" s="490"/>
      <c r="E44" s="490"/>
      <c r="F44" s="490"/>
      <c r="G44" s="490"/>
      <c r="H44" s="490"/>
      <c r="I44" s="491"/>
      <c r="J44" s="492"/>
      <c r="K44" s="493"/>
      <c r="L44" s="493"/>
      <c r="M44" s="493"/>
      <c r="N44" s="493"/>
      <c r="O44" s="493"/>
      <c r="P44" s="290"/>
      <c r="Q44" s="290"/>
      <c r="R44" s="494" t="s">
        <v>139</v>
      </c>
      <c r="S44" s="495" t="s">
        <v>246</v>
      </c>
      <c r="T44" s="496">
        <v>0</v>
      </c>
      <c r="U44" s="496">
        <v>389490.94</v>
      </c>
      <c r="V44" s="497">
        <f>T44+U44</f>
        <v>389490.94</v>
      </c>
      <c r="W44" s="189"/>
      <c r="X44" s="182"/>
      <c r="Y44" s="183"/>
      <c r="Z44" s="212"/>
    </row>
    <row r="45" spans="1:26" ht="35.1" customHeight="1" thickBot="1" x14ac:dyDescent="0.3">
      <c r="A45" s="82">
        <v>12</v>
      </c>
      <c r="B45" s="321"/>
      <c r="C45" s="171" t="s">
        <v>149</v>
      </c>
      <c r="D45" s="322"/>
      <c r="E45" s="322"/>
      <c r="F45" s="322"/>
      <c r="G45" s="322"/>
      <c r="H45" s="322"/>
      <c r="I45" s="323"/>
      <c r="J45" s="172"/>
      <c r="K45" s="324"/>
      <c r="L45" s="324"/>
      <c r="M45" s="324"/>
      <c r="N45" s="324"/>
      <c r="O45" s="324"/>
      <c r="P45" s="173"/>
      <c r="Q45" s="173"/>
      <c r="R45" s="401" t="s">
        <v>139</v>
      </c>
      <c r="S45" s="401" t="s">
        <v>170</v>
      </c>
      <c r="T45" s="326"/>
      <c r="U45" s="326">
        <v>4746000</v>
      </c>
      <c r="V45" s="399">
        <f>T45+U45</f>
        <v>4746000</v>
      </c>
      <c r="X45" s="119"/>
      <c r="Y45" s="107"/>
      <c r="Z45" s="213"/>
    </row>
    <row r="46" spans="1:26" ht="35.1" customHeight="1" thickBot="1" x14ac:dyDescent="0.3">
      <c r="A46" s="504"/>
      <c r="B46" s="103"/>
      <c r="C46" s="505"/>
      <c r="D46" s="506"/>
      <c r="E46" s="506"/>
      <c r="F46" s="506"/>
      <c r="G46" s="506"/>
      <c r="H46" s="506"/>
      <c r="I46" s="507"/>
      <c r="J46" s="508"/>
      <c r="K46" s="509"/>
      <c r="L46" s="509"/>
      <c r="M46" s="509"/>
      <c r="N46" s="509"/>
      <c r="O46" s="509"/>
      <c r="P46" s="509"/>
      <c r="Q46" s="509"/>
      <c r="R46" s="510"/>
      <c r="S46" s="511"/>
      <c r="T46" s="512"/>
      <c r="U46" s="73">
        <f>SUM(U35:U45)</f>
        <v>19279233.890000001</v>
      </c>
      <c r="V46" s="73">
        <f>SUM(V35:V45)</f>
        <v>19279233.890000001</v>
      </c>
      <c r="X46" s="117"/>
      <c r="Y46" s="105"/>
      <c r="Z46" s="211"/>
    </row>
    <row r="47" spans="1:26" ht="33" customHeight="1" x14ac:dyDescent="0.25">
      <c r="A47" s="498"/>
      <c r="B47" s="499"/>
      <c r="C47" s="499"/>
      <c r="D47" s="499"/>
      <c r="E47" s="499"/>
      <c r="F47" s="499"/>
      <c r="G47" s="499"/>
      <c r="H47" s="500"/>
      <c r="I47" s="499"/>
      <c r="J47" s="500"/>
      <c r="K47" s="501"/>
      <c r="L47" s="501"/>
      <c r="M47" s="501"/>
      <c r="N47" s="501"/>
      <c r="O47" s="501"/>
      <c r="P47" s="501"/>
      <c r="Q47" s="501"/>
      <c r="R47" s="501"/>
      <c r="S47" s="502"/>
      <c r="T47" s="1123" t="s">
        <v>253</v>
      </c>
      <c r="U47" s="1124"/>
      <c r="V47" s="503"/>
      <c r="X47" s="65"/>
      <c r="Y47" s="81"/>
      <c r="Z47" s="81"/>
    </row>
    <row r="48" spans="1:26" ht="45" customHeight="1" x14ac:dyDescent="0.25">
      <c r="A48" s="82">
        <v>11</v>
      </c>
      <c r="B48" s="41">
        <v>11</v>
      </c>
      <c r="C48" s="42" t="s">
        <v>147</v>
      </c>
      <c r="D48" s="43"/>
      <c r="E48" s="43"/>
      <c r="F48" s="43"/>
      <c r="G48" s="43"/>
      <c r="H48" s="43"/>
      <c r="I48" s="44"/>
      <c r="J48" s="55"/>
      <c r="K48" s="56"/>
      <c r="L48" s="56"/>
      <c r="M48" s="56"/>
      <c r="N48" s="56"/>
      <c r="O48" s="56"/>
      <c r="P48" s="53"/>
      <c r="Q48" s="53"/>
      <c r="R48" s="400" t="s">
        <v>139</v>
      </c>
      <c r="S48" s="190" t="s">
        <v>252</v>
      </c>
      <c r="T48" s="107">
        <v>0</v>
      </c>
      <c r="U48" s="107">
        <v>22102525.02</v>
      </c>
      <c r="V48" s="399">
        <f>T48+U48</f>
        <v>22102525.02</v>
      </c>
      <c r="X48" s="119"/>
      <c r="Y48" s="107"/>
      <c r="Z48" s="213"/>
    </row>
    <row r="49" spans="1:26" ht="35.1" customHeight="1" x14ac:dyDescent="0.25">
      <c r="A49" s="82">
        <v>14</v>
      </c>
      <c r="B49" s="321"/>
      <c r="C49" s="171" t="s">
        <v>151</v>
      </c>
      <c r="D49" s="322"/>
      <c r="E49" s="322"/>
      <c r="F49" s="322"/>
      <c r="G49" s="322"/>
      <c r="H49" s="322"/>
      <c r="I49" s="323"/>
      <c r="J49" s="172"/>
      <c r="K49" s="324"/>
      <c r="L49" s="324"/>
      <c r="M49" s="324"/>
      <c r="N49" s="324"/>
      <c r="O49" s="324"/>
      <c r="P49" s="173"/>
      <c r="Q49" s="173"/>
      <c r="R49" s="404" t="s">
        <v>243</v>
      </c>
      <c r="S49" s="325"/>
      <c r="T49" s="326"/>
      <c r="U49" s="326"/>
      <c r="V49" s="399">
        <f>T49+U49</f>
        <v>0</v>
      </c>
      <c r="X49" s="119"/>
      <c r="Y49" s="107"/>
      <c r="Z49" s="213"/>
    </row>
    <row r="50" spans="1:26" ht="35.1" customHeight="1" thickBot="1" x14ac:dyDescent="0.3">
      <c r="A50" s="87">
        <v>15</v>
      </c>
      <c r="B50" s="327"/>
      <c r="C50" s="328" t="s">
        <v>152</v>
      </c>
      <c r="D50" s="329"/>
      <c r="E50" s="329"/>
      <c r="F50" s="329"/>
      <c r="G50" s="329"/>
      <c r="H50" s="329"/>
      <c r="I50" s="330"/>
      <c r="J50" s="331"/>
      <c r="K50" s="332"/>
      <c r="L50" s="332"/>
      <c r="M50" s="332"/>
      <c r="N50" s="332"/>
      <c r="O50" s="332"/>
      <c r="P50" s="333"/>
      <c r="Q50" s="333"/>
      <c r="R50" s="405" t="s">
        <v>243</v>
      </c>
      <c r="S50" s="334"/>
      <c r="T50" s="335"/>
      <c r="U50" s="335"/>
      <c r="V50" s="408">
        <f t="shared" ref="V50" si="10">T50+U50</f>
        <v>0</v>
      </c>
      <c r="X50" s="125"/>
      <c r="Y50" s="109"/>
      <c r="Z50" s="214"/>
    </row>
    <row r="51" spans="1:26" ht="31.5" customHeight="1" thickTop="1" thickBot="1" x14ac:dyDescent="0.3">
      <c r="A51" s="102"/>
      <c r="B51" s="66" t="s">
        <v>120</v>
      </c>
      <c r="C51" s="67"/>
      <c r="D51" s="68">
        <f t="shared" ref="D51:J51" si="11">SUM(D35:D50)</f>
        <v>0</v>
      </c>
      <c r="E51" s="68">
        <f t="shared" si="11"/>
        <v>0</v>
      </c>
      <c r="F51" s="68">
        <f t="shared" si="11"/>
        <v>0</v>
      </c>
      <c r="G51" s="68">
        <f t="shared" si="11"/>
        <v>0</v>
      </c>
      <c r="H51" s="68">
        <f t="shared" si="11"/>
        <v>0</v>
      </c>
      <c r="I51" s="68">
        <f t="shared" si="11"/>
        <v>0</v>
      </c>
      <c r="J51" s="68">
        <f t="shared" si="11"/>
        <v>0</v>
      </c>
      <c r="K51" s="69"/>
      <c r="L51" s="69"/>
      <c r="M51" s="69"/>
      <c r="N51" s="69"/>
      <c r="O51" s="69"/>
      <c r="P51" s="69"/>
      <c r="Q51" s="69"/>
      <c r="R51" s="69"/>
      <c r="S51" s="386"/>
      <c r="T51" s="86">
        <f>SUM(T35:T50)</f>
        <v>0</v>
      </c>
      <c r="U51" s="86">
        <f>SUM(U35:U50)-U46</f>
        <v>41381758.909999996</v>
      </c>
      <c r="V51" s="86">
        <f>SUM(V35:V50)-V46</f>
        <v>41381758.909999996</v>
      </c>
      <c r="W51" s="177"/>
      <c r="X51" s="69"/>
      <c r="Y51" s="86">
        <f>SUM(Y35:Y50)</f>
        <v>0</v>
      </c>
      <c r="Z51" s="215">
        <f>SUM(Z35:Z50)</f>
        <v>0</v>
      </c>
    </row>
    <row r="52" spans="1:26" ht="31.5" customHeight="1" thickBot="1" x14ac:dyDescent="0.3">
      <c r="A52" s="104"/>
      <c r="B52" s="103" t="s">
        <v>153</v>
      </c>
      <c r="C52" s="70"/>
      <c r="D52" s="71">
        <f>D33+D51</f>
        <v>392033916.06</v>
      </c>
      <c r="E52" s="70"/>
      <c r="F52" s="72"/>
      <c r="G52" s="71">
        <f>SUM(G28:G51)</f>
        <v>499469563.56</v>
      </c>
      <c r="H52" s="71">
        <f>SUM(H28:H51)</f>
        <v>525122531.06999999</v>
      </c>
      <c r="I52" s="71"/>
      <c r="J52" s="71">
        <f t="shared" ref="J52:Q52" si="12">J33+J51</f>
        <v>548004000</v>
      </c>
      <c r="K52" s="71">
        <f t="shared" si="12"/>
        <v>210417570.36000001</v>
      </c>
      <c r="L52" s="71">
        <f t="shared" si="12"/>
        <v>79978331.209999993</v>
      </c>
      <c r="M52" s="71">
        <f t="shared" si="12"/>
        <v>58868164.759999998</v>
      </c>
      <c r="N52" s="71">
        <f t="shared" si="12"/>
        <v>5245250.92</v>
      </c>
      <c r="O52" s="71">
        <f t="shared" si="12"/>
        <v>8616444.9800000004</v>
      </c>
      <c r="P52" s="71">
        <f t="shared" si="12"/>
        <v>369502955.38999999</v>
      </c>
      <c r="Q52" s="71">
        <f t="shared" si="12"/>
        <v>178501044.61000001</v>
      </c>
      <c r="R52" s="71"/>
      <c r="S52" s="402"/>
      <c r="T52" s="73">
        <f>T33+T51</f>
        <v>369502955.38</v>
      </c>
      <c r="U52" s="73">
        <f>U33+U51</f>
        <v>151341510.34</v>
      </c>
      <c r="V52" s="73">
        <f>V33+V51</f>
        <v>520844465.72000003</v>
      </c>
      <c r="W52" s="177"/>
      <c r="X52" s="71"/>
      <c r="Y52" s="73">
        <f>Y33+Y51</f>
        <v>39961110.119999997</v>
      </c>
      <c r="Z52" s="216">
        <f>Z33+Z51</f>
        <v>0</v>
      </c>
    </row>
    <row r="55" spans="1:26" x14ac:dyDescent="0.25">
      <c r="C55" s="36" t="s">
        <v>164</v>
      </c>
    </row>
    <row r="56" spans="1:26" x14ac:dyDescent="0.25">
      <c r="C56" s="36" t="s">
        <v>165</v>
      </c>
    </row>
    <row r="57" spans="1:26" x14ac:dyDescent="0.25">
      <c r="T57" s="45"/>
    </row>
    <row r="58" spans="1:26" x14ac:dyDescent="0.25">
      <c r="T58" s="45"/>
    </row>
    <row r="59" spans="1:26" x14ac:dyDescent="0.25">
      <c r="T59" s="45"/>
    </row>
    <row r="70" spans="1:27" s="39" customFormat="1" ht="54.95" customHeight="1" x14ac:dyDescent="0.25">
      <c r="A70" s="46"/>
      <c r="B70" s="47"/>
      <c r="C70" s="46"/>
      <c r="D70" s="48"/>
      <c r="E70" s="46"/>
      <c r="F70" s="49"/>
      <c r="G70" s="48"/>
      <c r="H70" s="48"/>
      <c r="I70" s="48"/>
      <c r="J70" s="48"/>
      <c r="K70" s="50"/>
      <c r="M70" s="35"/>
      <c r="O70" s="35"/>
      <c r="P70" s="36"/>
      <c r="Q70" s="36"/>
      <c r="R70" s="36"/>
      <c r="S70" s="36"/>
      <c r="T70" s="36"/>
      <c r="U70" s="36"/>
      <c r="V70" s="36"/>
      <c r="W70" s="176"/>
      <c r="X70" s="36"/>
      <c r="Y70" s="36"/>
      <c r="Z70" s="36"/>
      <c r="AA70" s="407"/>
    </row>
    <row r="71" spans="1:27" s="39" customFormat="1" x14ac:dyDescent="0.25">
      <c r="A71" s="36"/>
      <c r="B71" s="36"/>
      <c r="C71" s="36"/>
      <c r="D71" s="45">
        <f>ССР!H58</f>
        <v>392033.92</v>
      </c>
      <c r="E71" s="36"/>
      <c r="F71" s="45"/>
      <c r="G71" s="45">
        <f>ССР!H76</f>
        <v>434361.04</v>
      </c>
      <c r="H71" s="45">
        <f>ССР!H78</f>
        <v>456670</v>
      </c>
      <c r="I71" s="36"/>
      <c r="J71" s="45"/>
      <c r="K71" s="35"/>
      <c r="M71" s="35"/>
      <c r="O71" s="35"/>
      <c r="P71" s="36"/>
      <c r="Q71" s="36"/>
      <c r="R71" s="36"/>
      <c r="S71" s="36"/>
      <c r="T71" s="36"/>
      <c r="U71" s="36"/>
      <c r="V71" s="36"/>
      <c r="W71" s="176"/>
      <c r="X71" s="36"/>
      <c r="Y71" s="36"/>
      <c r="Z71" s="36"/>
      <c r="AA71" s="407"/>
    </row>
    <row r="72" spans="1:27" s="39" customFormat="1" x14ac:dyDescent="0.25">
      <c r="A72" s="36"/>
      <c r="B72" s="36"/>
      <c r="C72" s="36"/>
      <c r="D72" s="45">
        <f>D33/1000</f>
        <v>392033.92</v>
      </c>
      <c r="E72" s="36"/>
      <c r="F72" s="51"/>
      <c r="G72" s="52">
        <f>G33/1000</f>
        <v>434361.03</v>
      </c>
      <c r="H72" s="52">
        <f>H33/1000</f>
        <v>456670</v>
      </c>
      <c r="I72" s="36"/>
      <c r="J72" s="45"/>
      <c r="K72" s="50"/>
      <c r="M72" s="35"/>
      <c r="O72" s="35"/>
      <c r="P72" s="36"/>
      <c r="Q72" s="36"/>
      <c r="R72" s="36"/>
      <c r="S72" s="36"/>
      <c r="T72" s="36"/>
      <c r="U72" s="36"/>
      <c r="V72" s="36"/>
      <c r="W72" s="176"/>
      <c r="X72" s="36"/>
      <c r="Y72" s="36"/>
      <c r="Z72" s="36"/>
      <c r="AA72" s="407"/>
    </row>
    <row r="73" spans="1:27" s="39" customFormat="1" x14ac:dyDescent="0.25">
      <c r="A73" s="36"/>
      <c r="B73" s="36"/>
      <c r="C73" s="36"/>
      <c r="D73" s="45"/>
      <c r="E73" s="45"/>
      <c r="F73" s="51"/>
      <c r="G73" s="36"/>
      <c r="H73" s="36"/>
      <c r="I73" s="36"/>
      <c r="J73" s="36"/>
      <c r="M73" s="35"/>
      <c r="O73" s="35"/>
      <c r="P73" s="36"/>
      <c r="Q73" s="36"/>
      <c r="R73" s="36"/>
      <c r="S73" s="36"/>
      <c r="T73" s="36"/>
      <c r="U73" s="36"/>
      <c r="V73" s="36"/>
      <c r="W73" s="176"/>
      <c r="X73" s="36"/>
      <c r="Y73" s="36"/>
      <c r="Z73" s="36"/>
      <c r="AA73" s="407"/>
    </row>
    <row r="93" spans="1:1" x14ac:dyDescent="0.25">
      <c r="A93" s="36">
        <v>7</v>
      </c>
    </row>
  </sheetData>
  <autoFilter ref="A3:W52" xr:uid="{00000000-0001-0000-0100-000000000000}"/>
  <mergeCells count="14">
    <mergeCell ref="T47:U47"/>
    <mergeCell ref="A1:J1"/>
    <mergeCell ref="A3:A4"/>
    <mergeCell ref="B3:B4"/>
    <mergeCell ref="C3:C4"/>
    <mergeCell ref="G3:G4"/>
    <mergeCell ref="H3:H4"/>
    <mergeCell ref="I3:I4"/>
    <mergeCell ref="J3:J4"/>
    <mergeCell ref="T5:U5"/>
    <mergeCell ref="A6:V6"/>
    <mergeCell ref="T21:U21"/>
    <mergeCell ref="T22:U22"/>
    <mergeCell ref="T34:U34"/>
  </mergeCells>
  <pageMargins left="0.23622047244094491" right="0.23622047244094491" top="0.74803149606299213" bottom="0.74803149606299213" header="0.31496062992125984" footer="0.31496062992125984"/>
  <pageSetup paperSize="9" scale="58" fitToHeight="100" orientation="landscape" r:id="rId1"/>
  <rowBreaks count="2" manualBreakCount="2">
    <brk id="53" max="17" man="1"/>
    <brk id="59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DA3B9-7FB2-4142-8DB5-F14FF006272D}">
  <sheetPr>
    <tabColor rgb="FF92D050"/>
    <pageSetUpPr fitToPage="1"/>
  </sheetPr>
  <dimension ref="A1:AB93"/>
  <sheetViews>
    <sheetView zoomScale="90" zoomScaleNormal="90" zoomScaleSheetLayoutView="80" workbookViewId="0">
      <pane ySplit="3" topLeftCell="A8" activePane="bottomLeft" state="frozen"/>
      <selection pane="bottomLeft" activeCell="U11" sqref="U11"/>
    </sheetView>
  </sheetViews>
  <sheetFormatPr defaultColWidth="9.140625" defaultRowHeight="15.75" outlineLevelCol="1" x14ac:dyDescent="0.25"/>
  <cols>
    <col min="1" max="1" width="7.42578125" style="36" customWidth="1"/>
    <col min="2" max="2" width="16.140625" style="36" customWidth="1"/>
    <col min="3" max="3" width="35.85546875" style="36" customWidth="1"/>
    <col min="4" max="4" width="20.5703125" style="36" hidden="1" customWidth="1" outlineLevel="1"/>
    <col min="5" max="5" width="18.85546875" style="36" hidden="1" customWidth="1" outlineLevel="1"/>
    <col min="6" max="6" width="17.5703125" style="36" hidden="1" customWidth="1" outlineLevel="1"/>
    <col min="7" max="7" width="20.7109375" style="36" hidden="1" customWidth="1" outlineLevel="1"/>
    <col min="8" max="8" width="19.5703125" style="36" hidden="1" customWidth="1" outlineLevel="1"/>
    <col min="9" max="9" width="8.5703125" style="36" hidden="1" customWidth="1" outlineLevel="1"/>
    <col min="10" max="10" width="22.28515625" style="36" customWidth="1" collapsed="1"/>
    <col min="11" max="11" width="20.42578125" style="39" hidden="1" customWidth="1" outlineLevel="1"/>
    <col min="12" max="12" width="16.85546875" style="39" hidden="1" customWidth="1" outlineLevel="1"/>
    <col min="13" max="13" width="18.140625" style="35" hidden="1" customWidth="1" outlineLevel="1"/>
    <col min="14" max="14" width="16.85546875" style="39" hidden="1" customWidth="1" outlineLevel="1"/>
    <col min="15" max="15" width="18.140625" style="35" hidden="1" customWidth="1" outlineLevel="1"/>
    <col min="16" max="16" width="18.42578125" style="36" customWidth="1" collapsed="1"/>
    <col min="17" max="17" width="15.42578125" style="36" bestFit="1" customWidth="1"/>
    <col min="18" max="18" width="30.28515625" style="36" customWidth="1"/>
    <col min="19" max="19" width="30.42578125" style="36" customWidth="1"/>
    <col min="20" max="20" width="26.140625" style="36" customWidth="1"/>
    <col min="21" max="21" width="26.7109375" style="36" bestFit="1" customWidth="1"/>
    <col min="22" max="22" width="31.42578125" style="36" customWidth="1"/>
    <col min="23" max="23" width="3.28515625" style="176" hidden="1" customWidth="1"/>
    <col min="24" max="24" width="27.5703125" style="36" hidden="1" customWidth="1"/>
    <col min="25" max="26" width="19" style="36" hidden="1" customWidth="1"/>
    <col min="27" max="27" width="29.28515625" style="406" bestFit="1" customWidth="1"/>
    <col min="28" max="28" width="15" style="36" customWidth="1"/>
    <col min="29" max="16384" width="9.140625" style="36"/>
  </cols>
  <sheetData>
    <row r="1" spans="1:28" ht="8.25" customHeight="1" x14ac:dyDescent="0.25">
      <c r="A1" s="1125"/>
      <c r="B1" s="1125"/>
      <c r="C1" s="1125"/>
      <c r="D1" s="1125"/>
      <c r="E1" s="1125"/>
      <c r="F1" s="1125"/>
      <c r="G1" s="1125"/>
      <c r="H1" s="1125"/>
      <c r="I1" s="1125"/>
      <c r="J1" s="1125"/>
      <c r="K1" s="601"/>
      <c r="L1" s="601"/>
      <c r="N1" s="601"/>
    </row>
    <row r="2" spans="1:28" ht="5.25" customHeight="1" thickBot="1" x14ac:dyDescent="0.3">
      <c r="A2" s="37"/>
      <c r="B2" s="37"/>
      <c r="C2" s="37"/>
      <c r="D2" s="37"/>
      <c r="E2" s="37"/>
      <c r="F2" s="37"/>
      <c r="G2" s="37"/>
      <c r="H2" s="37"/>
      <c r="I2" s="38"/>
      <c r="J2" s="37"/>
    </row>
    <row r="3" spans="1:28" ht="47.25" customHeight="1" x14ac:dyDescent="0.25">
      <c r="A3" s="1126" t="s">
        <v>111</v>
      </c>
      <c r="B3" s="1128" t="s">
        <v>112</v>
      </c>
      <c r="C3" s="1128" t="s">
        <v>113</v>
      </c>
      <c r="D3" s="602" t="s">
        <v>114</v>
      </c>
      <c r="E3" s="602" t="s">
        <v>115</v>
      </c>
      <c r="F3" s="602" t="s">
        <v>116</v>
      </c>
      <c r="G3" s="1128" t="s">
        <v>117</v>
      </c>
      <c r="H3" s="1130" t="s">
        <v>125</v>
      </c>
      <c r="I3" s="1128" t="s">
        <v>118</v>
      </c>
      <c r="J3" s="1130" t="s">
        <v>244</v>
      </c>
      <c r="K3" s="74" t="s">
        <v>126</v>
      </c>
      <c r="L3" s="74" t="s">
        <v>127</v>
      </c>
      <c r="M3" s="75" t="s">
        <v>128</v>
      </c>
      <c r="N3" s="76" t="s">
        <v>134</v>
      </c>
      <c r="O3" s="77" t="s">
        <v>135</v>
      </c>
      <c r="P3" s="78" t="s">
        <v>136</v>
      </c>
      <c r="Q3" s="78" t="s">
        <v>121</v>
      </c>
      <c r="R3" s="79" t="s">
        <v>137</v>
      </c>
      <c r="S3" s="79" t="s">
        <v>138</v>
      </c>
      <c r="T3" s="80" t="s">
        <v>249</v>
      </c>
      <c r="U3" s="80" t="s">
        <v>276</v>
      </c>
      <c r="V3" s="80" t="s">
        <v>242</v>
      </c>
      <c r="X3" s="79" t="s">
        <v>193</v>
      </c>
      <c r="Y3" s="80" t="s">
        <v>157</v>
      </c>
      <c r="Z3" s="80" t="s">
        <v>137</v>
      </c>
    </row>
    <row r="4" spans="1:28" ht="14.25" customHeight="1" x14ac:dyDescent="0.25">
      <c r="A4" s="1127"/>
      <c r="B4" s="1129"/>
      <c r="C4" s="1129"/>
      <c r="D4" s="603"/>
      <c r="E4" s="603"/>
      <c r="F4" s="603"/>
      <c r="G4" s="1129"/>
      <c r="H4" s="1131"/>
      <c r="I4" s="1129"/>
      <c r="J4" s="1131"/>
      <c r="K4" s="54" t="s">
        <v>122</v>
      </c>
      <c r="L4" s="54" t="s">
        <v>123</v>
      </c>
      <c r="M4" s="54" t="s">
        <v>124</v>
      </c>
      <c r="N4" s="54" t="s">
        <v>132</v>
      </c>
      <c r="O4" s="54" t="s">
        <v>133</v>
      </c>
      <c r="P4" s="40"/>
      <c r="Q4" s="40"/>
      <c r="R4" s="65"/>
      <c r="S4" s="65"/>
      <c r="T4" s="81"/>
      <c r="U4" s="81"/>
      <c r="V4" s="81"/>
      <c r="X4" s="65"/>
      <c r="Y4" s="81"/>
      <c r="Z4" s="81"/>
    </row>
    <row r="5" spans="1:28" x14ac:dyDescent="0.25">
      <c r="A5" s="380"/>
      <c r="B5" s="381"/>
      <c r="C5" s="381"/>
      <c r="D5" s="381"/>
      <c r="E5" s="381"/>
      <c r="F5" s="381"/>
      <c r="G5" s="381"/>
      <c r="H5" s="382"/>
      <c r="I5" s="381"/>
      <c r="J5" s="382"/>
      <c r="K5" s="383"/>
      <c r="L5" s="383"/>
      <c r="M5" s="383"/>
      <c r="N5" s="383"/>
      <c r="O5" s="383"/>
      <c r="P5" s="383"/>
      <c r="Q5" s="383"/>
      <c r="R5" s="383"/>
      <c r="S5" s="383"/>
      <c r="T5" s="1132" t="s">
        <v>283</v>
      </c>
      <c r="U5" s="1133"/>
      <c r="V5" s="384"/>
      <c r="X5" s="65"/>
      <c r="Y5" s="81"/>
      <c r="Z5" s="81"/>
    </row>
    <row r="6" spans="1:28" ht="54" customHeight="1" x14ac:dyDescent="0.25">
      <c r="A6" s="273">
        <v>1</v>
      </c>
      <c r="B6" s="361" t="s">
        <v>159</v>
      </c>
      <c r="C6" s="275" t="str">
        <f>ССР!C24</f>
        <v>Выполнение работ по ликвидации объектов по трассе ж.д. путей, подготовке трассы ж.д. путей.</v>
      </c>
      <c r="D6" s="385">
        <v>48841208.740000002</v>
      </c>
      <c r="E6" s="385">
        <v>4004979.12</v>
      </c>
      <c r="F6" s="385">
        <v>1268308.51</v>
      </c>
      <c r="G6" s="385">
        <v>54114496.369999997</v>
      </c>
      <c r="H6" s="385">
        <v>56893839.630000003</v>
      </c>
      <c r="I6" s="277">
        <v>1.2</v>
      </c>
      <c r="J6" s="278">
        <f>ROUND(H6*I6,2)</f>
        <v>68272607.560000002</v>
      </c>
      <c r="K6" s="365">
        <v>65507253.219999999</v>
      </c>
      <c r="L6" s="365">
        <v>360012.73</v>
      </c>
      <c r="M6" s="365"/>
      <c r="N6" s="365"/>
      <c r="O6" s="365"/>
      <c r="P6" s="365">
        <f>K6+L6+M6+N6+O6</f>
        <v>65867265.950000003</v>
      </c>
      <c r="Q6" s="365">
        <f>J6-K6-L6-M6-N6-O6</f>
        <v>2405341.61</v>
      </c>
      <c r="R6" s="365" t="s">
        <v>139</v>
      </c>
      <c r="S6" s="362" t="s">
        <v>158</v>
      </c>
      <c r="T6" s="363">
        <f>P6</f>
        <v>65867265.950000003</v>
      </c>
      <c r="U6" s="363">
        <v>0</v>
      </c>
      <c r="V6" s="364">
        <f t="shared" ref="V6:V13" si="0">T6+U6</f>
        <v>65867265.950000003</v>
      </c>
      <c r="W6" s="177"/>
      <c r="X6" s="111"/>
      <c r="Y6" s="84"/>
      <c r="Z6" s="208"/>
    </row>
    <row r="7" spans="1:28" ht="42.75" customHeight="1" x14ac:dyDescent="0.25">
      <c r="A7" s="273">
        <v>2</v>
      </c>
      <c r="B7" s="361" t="s">
        <v>160</v>
      </c>
      <c r="C7" s="275" t="str">
        <f>ССР!C25</f>
        <v>Выполнение работ по ликвидации объекта капитального строительства</v>
      </c>
      <c r="D7" s="385">
        <v>40054718.460000001</v>
      </c>
      <c r="E7" s="385">
        <v>3284486.91</v>
      </c>
      <c r="F7" s="385">
        <v>1040140.93</v>
      </c>
      <c r="G7" s="385">
        <v>44379346.299999997</v>
      </c>
      <c r="H7" s="385">
        <v>46658688.170000002</v>
      </c>
      <c r="I7" s="277">
        <v>1.2</v>
      </c>
      <c r="J7" s="278">
        <f t="shared" ref="J7:J29" si="1">ROUND(H7*I7,2)</f>
        <v>55990425.799999997</v>
      </c>
      <c r="K7" s="365">
        <v>54911594.170000002</v>
      </c>
      <c r="L7" s="365"/>
      <c r="M7" s="365"/>
      <c r="N7" s="365"/>
      <c r="O7" s="365"/>
      <c r="P7" s="365">
        <f t="shared" ref="P7:P29" si="2">K7+L7+M7+N7+O7</f>
        <v>54911594.170000002</v>
      </c>
      <c r="Q7" s="365">
        <f t="shared" ref="Q7:Q29" si="3">J7-K7-L7-M7-N7-O7</f>
        <v>1078831.6299999999</v>
      </c>
      <c r="R7" s="365" t="s">
        <v>139</v>
      </c>
      <c r="S7" s="362" t="s">
        <v>158</v>
      </c>
      <c r="T7" s="363">
        <f t="shared" ref="T7:T29" si="4">P7</f>
        <v>54911594.170000002</v>
      </c>
      <c r="U7" s="363">
        <v>0</v>
      </c>
      <c r="V7" s="364">
        <f t="shared" si="0"/>
        <v>54911594.170000002</v>
      </c>
      <c r="X7" s="111"/>
      <c r="Y7" s="84"/>
      <c r="Z7" s="208"/>
    </row>
    <row r="8" spans="1:28" ht="35.1" customHeight="1" x14ac:dyDescent="0.25">
      <c r="A8" s="273">
        <v>3</v>
      </c>
      <c r="B8" s="361" t="s">
        <v>176</v>
      </c>
      <c r="C8" s="275" t="str">
        <f>ССР!C26</f>
        <v>Демонтаж сетей и систем  инженерного обоспечения.</v>
      </c>
      <c r="D8" s="385">
        <v>1177977.71</v>
      </c>
      <c r="E8" s="385">
        <v>96594.17</v>
      </c>
      <c r="F8" s="385">
        <v>30589.73</v>
      </c>
      <c r="G8" s="385">
        <v>1305161.6100000001</v>
      </c>
      <c r="H8" s="385">
        <v>1372195.26</v>
      </c>
      <c r="I8" s="277">
        <f>I6</f>
        <v>1.2</v>
      </c>
      <c r="J8" s="278">
        <f>ROUND(H8*I8,2)</f>
        <v>1646634.31</v>
      </c>
      <c r="K8" s="365"/>
      <c r="L8" s="365"/>
      <c r="M8" s="365">
        <v>1646696.3</v>
      </c>
      <c r="N8" s="365"/>
      <c r="O8" s="365"/>
      <c r="P8" s="365">
        <f t="shared" si="2"/>
        <v>1646696.3</v>
      </c>
      <c r="Q8" s="365">
        <v>0</v>
      </c>
      <c r="R8" s="365" t="s">
        <v>139</v>
      </c>
      <c r="S8" s="362" t="s">
        <v>158</v>
      </c>
      <c r="T8" s="363">
        <f t="shared" si="4"/>
        <v>1646696.3</v>
      </c>
      <c r="U8" s="363">
        <v>0</v>
      </c>
      <c r="V8" s="364">
        <f t="shared" si="0"/>
        <v>1646696.3</v>
      </c>
      <c r="X8" s="111"/>
      <c r="Y8" s="84"/>
      <c r="Z8" s="208"/>
    </row>
    <row r="9" spans="1:28" s="525" customFormat="1" ht="44.25" customHeight="1" x14ac:dyDescent="0.25">
      <c r="A9" s="217">
        <v>4</v>
      </c>
      <c r="B9" s="245" t="s">
        <v>177</v>
      </c>
      <c r="C9" s="219" t="str">
        <f>ССР!C32</f>
        <v>Трансбордер. Архитектурно-строительные решения. Часть 2. АС2 .</v>
      </c>
      <c r="D9" s="220">
        <v>1615223.87</v>
      </c>
      <c r="E9" s="220">
        <v>132448.35999999999</v>
      </c>
      <c r="F9" s="220">
        <v>41944.13</v>
      </c>
      <c r="G9" s="220">
        <v>1789616.36</v>
      </c>
      <c r="H9" s="220">
        <v>1881531.81</v>
      </c>
      <c r="I9" s="221">
        <f>I22</f>
        <v>1.2</v>
      </c>
      <c r="J9" s="222">
        <f t="shared" si="1"/>
        <v>2257838.17</v>
      </c>
      <c r="K9" s="246"/>
      <c r="L9" s="246"/>
      <c r="M9" s="246">
        <v>1627347.05</v>
      </c>
      <c r="N9" s="246"/>
      <c r="O9" s="246"/>
      <c r="P9" s="246">
        <f>K9+L9+M9+N9+O9</f>
        <v>1627347.05</v>
      </c>
      <c r="Q9" s="246">
        <f t="shared" si="3"/>
        <v>630491.12</v>
      </c>
      <c r="R9" s="539" t="s">
        <v>139</v>
      </c>
      <c r="S9" s="461" t="s">
        <v>291</v>
      </c>
      <c r="T9" s="247">
        <f t="shared" si="4"/>
        <v>1627347.05</v>
      </c>
      <c r="U9" s="590">
        <v>396302.34</v>
      </c>
      <c r="V9" s="248">
        <f t="shared" si="0"/>
        <v>2023649.39</v>
      </c>
      <c r="W9" s="231"/>
      <c r="X9" s="229" t="s">
        <v>139</v>
      </c>
      <c r="Y9" s="523">
        <f>1447989.61*1.082*1.024*1.0514*1.2</f>
        <v>2024146.22</v>
      </c>
      <c r="Z9" s="524" t="s">
        <v>186</v>
      </c>
      <c r="AA9" s="406"/>
      <c r="AB9" s="526">
        <f>V9-J9</f>
        <v>-234188.78</v>
      </c>
    </row>
    <row r="10" spans="1:28" ht="42.75" customHeight="1" x14ac:dyDescent="0.25">
      <c r="A10" s="217">
        <v>5</v>
      </c>
      <c r="B10" s="245" t="s">
        <v>195</v>
      </c>
      <c r="C10" s="219" t="str">
        <f>ССР!C35</f>
        <v>Электроснабжение. ЭС 1.</v>
      </c>
      <c r="D10" s="220">
        <v>475031.03999999998</v>
      </c>
      <c r="E10" s="220">
        <v>38952.550000000003</v>
      </c>
      <c r="F10" s="220">
        <v>12335.61</v>
      </c>
      <c r="G10" s="220">
        <v>526319.19999999995</v>
      </c>
      <c r="H10" s="220">
        <v>553351.18000000005</v>
      </c>
      <c r="I10" s="221">
        <f>I23</f>
        <v>1.2</v>
      </c>
      <c r="J10" s="222">
        <f t="shared" si="1"/>
        <v>664021.42000000004</v>
      </c>
      <c r="K10" s="246"/>
      <c r="L10" s="246"/>
      <c r="M10" s="246"/>
      <c r="N10" s="246"/>
      <c r="O10" s="246"/>
      <c r="P10" s="246">
        <f t="shared" si="2"/>
        <v>0</v>
      </c>
      <c r="Q10" s="246">
        <f t="shared" si="3"/>
        <v>664021.42000000004</v>
      </c>
      <c r="R10" s="539" t="s">
        <v>139</v>
      </c>
      <c r="S10" s="461" t="str">
        <f>S9</f>
        <v>ВОР оформлен, отправлен на подпись для Дураева 14.06</v>
      </c>
      <c r="T10" s="247">
        <f t="shared" si="4"/>
        <v>0</v>
      </c>
      <c r="U10" s="590">
        <f>329035+47139*1.0514*1.2</f>
        <v>388509.33</v>
      </c>
      <c r="V10" s="248">
        <f t="shared" si="0"/>
        <v>388509.33</v>
      </c>
      <c r="W10" s="236"/>
      <c r="X10" s="228" t="s">
        <v>139</v>
      </c>
      <c r="Y10" s="232">
        <f>(235378.05+47139.18)*1.082*1.024*1.0514*1.2</f>
        <v>394931.14</v>
      </c>
      <c r="Z10" s="233" t="s">
        <v>186</v>
      </c>
      <c r="AB10" s="526">
        <f t="shared" ref="AB10:AB18" si="5">V10-J10</f>
        <v>-275512.09000000003</v>
      </c>
    </row>
    <row r="11" spans="1:28" ht="51" customHeight="1" x14ac:dyDescent="0.25">
      <c r="A11" s="217">
        <v>6</v>
      </c>
      <c r="B11" s="245" t="s">
        <v>178</v>
      </c>
      <c r="C11" s="219" t="str">
        <f>ССР!C36</f>
        <v>Переустройство кабельных линий.ЭС2</v>
      </c>
      <c r="D11" s="220">
        <v>2276671.21</v>
      </c>
      <c r="E11" s="220">
        <v>186687.04</v>
      </c>
      <c r="F11" s="220">
        <v>59120.6</v>
      </c>
      <c r="G11" s="220">
        <v>2522478.85</v>
      </c>
      <c r="H11" s="220">
        <v>2652034.42</v>
      </c>
      <c r="I11" s="221">
        <f>I23</f>
        <v>1.2</v>
      </c>
      <c r="J11" s="222">
        <f t="shared" si="1"/>
        <v>3182441.3</v>
      </c>
      <c r="K11" s="246"/>
      <c r="L11" s="246"/>
      <c r="M11" s="246"/>
      <c r="N11" s="246"/>
      <c r="O11" s="246"/>
      <c r="P11" s="246">
        <f t="shared" si="2"/>
        <v>0</v>
      </c>
      <c r="Q11" s="246">
        <f t="shared" si="3"/>
        <v>3182441.3</v>
      </c>
      <c r="R11" s="539" t="s">
        <v>139</v>
      </c>
      <c r="S11" s="461" t="str">
        <f>S9</f>
        <v>ВОР оформлен, отправлен на подпись для Дураева 14.06</v>
      </c>
      <c r="T11" s="247">
        <f t="shared" si="4"/>
        <v>0</v>
      </c>
      <c r="U11" s="607">
        <v>4814643</v>
      </c>
      <c r="V11" s="248">
        <f t="shared" si="0"/>
        <v>4814643</v>
      </c>
      <c r="W11" s="178"/>
      <c r="X11" s="111" t="s">
        <v>139</v>
      </c>
      <c r="Y11" s="84">
        <f>(3206824.35+130942.19)*1.082*1.024*1.0514*1.2</f>
        <v>4665867.41</v>
      </c>
      <c r="Z11" s="233" t="s">
        <v>186</v>
      </c>
      <c r="AB11" s="526">
        <f t="shared" si="5"/>
        <v>1632201.7</v>
      </c>
    </row>
    <row r="12" spans="1:28" ht="39.75" customHeight="1" x14ac:dyDescent="0.25">
      <c r="A12" s="217">
        <v>7</v>
      </c>
      <c r="B12" s="245" t="s">
        <v>179</v>
      </c>
      <c r="C12" s="219" t="str">
        <f>ССР!C40</f>
        <v>Переустройство хозпитьевого водопровода.НВК2</v>
      </c>
      <c r="D12" s="220">
        <v>760016.55</v>
      </c>
      <c r="E12" s="220">
        <v>62321.36</v>
      </c>
      <c r="F12" s="220">
        <v>19736.11</v>
      </c>
      <c r="G12" s="220">
        <v>842074.02</v>
      </c>
      <c r="H12" s="220">
        <v>885323.3</v>
      </c>
      <c r="I12" s="221">
        <f>I24</f>
        <v>1.2</v>
      </c>
      <c r="J12" s="222">
        <f t="shared" si="1"/>
        <v>1062387.96</v>
      </c>
      <c r="K12" s="246"/>
      <c r="L12" s="246"/>
      <c r="M12" s="246"/>
      <c r="N12" s="246"/>
      <c r="O12" s="246"/>
      <c r="P12" s="246">
        <f t="shared" si="2"/>
        <v>0</v>
      </c>
      <c r="Q12" s="246">
        <f t="shared" si="3"/>
        <v>1062387.96</v>
      </c>
      <c r="R12" s="246" t="s">
        <v>139</v>
      </c>
      <c r="S12" s="461" t="str">
        <f>S9</f>
        <v>ВОР оформлен, отправлен на подпись для Дураева 14.06</v>
      </c>
      <c r="T12" s="247">
        <f t="shared" si="4"/>
        <v>0</v>
      </c>
      <c r="U12" s="590">
        <v>1463803.34</v>
      </c>
      <c r="V12" s="248">
        <f t="shared" si="0"/>
        <v>1463803.34</v>
      </c>
      <c r="W12" s="231"/>
      <c r="X12" s="228" t="s">
        <v>139</v>
      </c>
      <c r="Y12" s="232">
        <f>1047143.73*1.082*1.024*1.0514*1.2</f>
        <v>1463803.34</v>
      </c>
      <c r="Z12" s="233" t="s">
        <v>186</v>
      </c>
      <c r="AB12" s="526">
        <f t="shared" si="5"/>
        <v>401415.38</v>
      </c>
    </row>
    <row r="13" spans="1:28" ht="43.5" customHeight="1" x14ac:dyDescent="0.25">
      <c r="A13" s="217">
        <v>8</v>
      </c>
      <c r="B13" s="245" t="s">
        <v>180</v>
      </c>
      <c r="C13" s="219" t="str">
        <f>ССР!C41</f>
        <v>Переустройство хозпитьевого водопровода.НВК3</v>
      </c>
      <c r="D13" s="220">
        <v>10454161.890000001</v>
      </c>
      <c r="E13" s="220">
        <v>857241.27</v>
      </c>
      <c r="F13" s="220">
        <v>271473.68</v>
      </c>
      <c r="G13" s="220">
        <v>11582876.84</v>
      </c>
      <c r="H13" s="220">
        <v>12177778.26</v>
      </c>
      <c r="I13" s="221">
        <f t="shared" ref="I13:I18" si="6">I6</f>
        <v>1.2</v>
      </c>
      <c r="J13" s="222">
        <f t="shared" si="1"/>
        <v>14613333.91</v>
      </c>
      <c r="K13" s="246"/>
      <c r="L13" s="246"/>
      <c r="M13" s="246"/>
      <c r="N13" s="246"/>
      <c r="O13" s="246"/>
      <c r="P13" s="246">
        <f t="shared" si="2"/>
        <v>0</v>
      </c>
      <c r="Q13" s="246">
        <f t="shared" si="3"/>
        <v>14613333.91</v>
      </c>
      <c r="R13" s="246" t="s">
        <v>139</v>
      </c>
      <c r="S13" s="461" t="str">
        <f>S9</f>
        <v>ВОР оформлен, отправлен на подпись для Дураева 14.06</v>
      </c>
      <c r="T13" s="247">
        <f t="shared" si="4"/>
        <v>0</v>
      </c>
      <c r="U13" s="590">
        <v>19308691</v>
      </c>
      <c r="V13" s="248">
        <f t="shared" si="0"/>
        <v>19308691</v>
      </c>
      <c r="W13" s="231"/>
      <c r="X13" s="228" t="s">
        <v>139</v>
      </c>
      <c r="Y13" s="232">
        <f>13422525.94*1.082*1.024*1.0514*1.2</f>
        <v>18763363.32</v>
      </c>
      <c r="Z13" s="233" t="s">
        <v>186</v>
      </c>
      <c r="AB13" s="526">
        <f t="shared" si="5"/>
        <v>4695357.09</v>
      </c>
    </row>
    <row r="14" spans="1:28" s="525" customFormat="1" ht="47.25" customHeight="1" x14ac:dyDescent="0.25">
      <c r="A14" s="217">
        <v>9</v>
      </c>
      <c r="B14" s="245" t="s">
        <v>181</v>
      </c>
      <c r="C14" s="219" t="str">
        <f>ССР!C43</f>
        <v>Переустройство хозяйственно-бытовой канализации.НВК4</v>
      </c>
      <c r="D14" s="220">
        <v>9143309.8300000001</v>
      </c>
      <c r="E14" s="220">
        <v>749751.41</v>
      </c>
      <c r="F14" s="220">
        <v>237433.47</v>
      </c>
      <c r="G14" s="220">
        <v>10130494.710000001</v>
      </c>
      <c r="H14" s="220">
        <v>10650801.17</v>
      </c>
      <c r="I14" s="221">
        <f t="shared" si="6"/>
        <v>1.2</v>
      </c>
      <c r="J14" s="222">
        <f t="shared" si="1"/>
        <v>12780961.4</v>
      </c>
      <c r="K14" s="246"/>
      <c r="L14" s="246"/>
      <c r="M14" s="246"/>
      <c r="N14" s="246"/>
      <c r="O14" s="246">
        <v>337909.86</v>
      </c>
      <c r="P14" s="246">
        <f t="shared" si="2"/>
        <v>337909.86</v>
      </c>
      <c r="Q14" s="246">
        <f t="shared" si="3"/>
        <v>12443051.539999999</v>
      </c>
      <c r="R14" s="246" t="s">
        <v>139</v>
      </c>
      <c r="S14" s="461" t="str">
        <f>S9</f>
        <v>ВОР оформлен, отправлен на подпись для Дураева 14.06</v>
      </c>
      <c r="T14" s="247">
        <f t="shared" si="4"/>
        <v>337909.86</v>
      </c>
      <c r="U14" s="607">
        <v>2202170</v>
      </c>
      <c r="V14" s="248">
        <f>T14+U14</f>
        <v>2540079.86</v>
      </c>
      <c r="W14" s="178"/>
      <c r="X14" s="175" t="s">
        <v>139</v>
      </c>
      <c r="Y14" s="174">
        <f>1724717.19*1.082*1.024*1.0514*1.2</f>
        <v>2410984</v>
      </c>
      <c r="Z14" s="524" t="s">
        <v>186</v>
      </c>
      <c r="AA14" s="406"/>
      <c r="AB14" s="526">
        <f t="shared" si="5"/>
        <v>-10240881.539999999</v>
      </c>
    </row>
    <row r="15" spans="1:28" s="525" customFormat="1" ht="44.25" customHeight="1" x14ac:dyDescent="0.25">
      <c r="A15" s="217">
        <v>10</v>
      </c>
      <c r="B15" s="245" t="s">
        <v>182</v>
      </c>
      <c r="C15" s="219" t="str">
        <f>ССР!C44</f>
        <v>Переустройство ливневой канализации.НВК5.</v>
      </c>
      <c r="D15" s="220">
        <v>21996729.18</v>
      </c>
      <c r="E15" s="220">
        <v>1803731.79</v>
      </c>
      <c r="F15" s="220">
        <v>571211.06000000006</v>
      </c>
      <c r="G15" s="220">
        <v>24371672.030000001</v>
      </c>
      <c r="H15" s="220">
        <v>25623411.34</v>
      </c>
      <c r="I15" s="221">
        <f t="shared" si="6"/>
        <v>1.2</v>
      </c>
      <c r="J15" s="222">
        <f t="shared" si="1"/>
        <v>30748093.609999999</v>
      </c>
      <c r="K15" s="246"/>
      <c r="L15" s="246"/>
      <c r="M15" s="246">
        <v>1211400.79</v>
      </c>
      <c r="N15" s="246"/>
      <c r="O15" s="246"/>
      <c r="P15" s="246">
        <f t="shared" si="2"/>
        <v>1211400.79</v>
      </c>
      <c r="Q15" s="246">
        <f t="shared" si="3"/>
        <v>29536692.82</v>
      </c>
      <c r="R15" s="539" t="s">
        <v>139</v>
      </c>
      <c r="S15" s="461" t="str">
        <f>S9</f>
        <v>ВОР оформлен, отправлен на подпись для Дураева 14.06</v>
      </c>
      <c r="T15" s="247">
        <f t="shared" si="4"/>
        <v>1211400.79</v>
      </c>
      <c r="U15" s="607">
        <v>3236659</v>
      </c>
      <c r="V15" s="248">
        <f>T15+U15</f>
        <v>4448059.79</v>
      </c>
      <c r="W15" s="178"/>
      <c r="X15" s="175" t="s">
        <v>139</v>
      </c>
      <c r="Y15" s="174">
        <f>2827828.36*1.082*1.024*1.0514*1.2</f>
        <v>3953024.28</v>
      </c>
      <c r="Z15" s="524" t="s">
        <v>186</v>
      </c>
      <c r="AA15" s="406"/>
      <c r="AB15" s="526">
        <f t="shared" si="5"/>
        <v>-26300033.82</v>
      </c>
    </row>
    <row r="16" spans="1:28" ht="40.5" customHeight="1" x14ac:dyDescent="0.25">
      <c r="A16" s="217">
        <v>11</v>
      </c>
      <c r="B16" s="245" t="s">
        <v>183</v>
      </c>
      <c r="C16" s="219" t="str">
        <f>ССР!C49</f>
        <v>Теплоснабжение. Переустройство трубопровода.ТС2</v>
      </c>
      <c r="D16" s="220">
        <v>1890203.39</v>
      </c>
      <c r="E16" s="220">
        <v>154996.68</v>
      </c>
      <c r="F16" s="220">
        <v>49084.800000000003</v>
      </c>
      <c r="G16" s="220">
        <v>2094284.87</v>
      </c>
      <c r="H16" s="220">
        <v>2201848.2200000002</v>
      </c>
      <c r="I16" s="221">
        <f t="shared" si="6"/>
        <v>1.2</v>
      </c>
      <c r="J16" s="222">
        <f>ROUND(H16*I16,2)</f>
        <v>2642217.86</v>
      </c>
      <c r="K16" s="246"/>
      <c r="L16" s="246"/>
      <c r="M16" s="246"/>
      <c r="N16" s="246"/>
      <c r="O16" s="246"/>
      <c r="P16" s="246">
        <f>K16+L16+M16+N16+O16</f>
        <v>0</v>
      </c>
      <c r="Q16" s="246">
        <f>J16-K16-L16-M16-N16-O16</f>
        <v>2642217.86</v>
      </c>
      <c r="R16" s="246" t="s">
        <v>139</v>
      </c>
      <c r="S16" s="461" t="str">
        <f>S9</f>
        <v>ВОР оформлен, отправлен на подпись для Дураева 14.06</v>
      </c>
      <c r="T16" s="247">
        <f>P16</f>
        <v>0</v>
      </c>
      <c r="U16" s="607">
        <v>2387178</v>
      </c>
      <c r="V16" s="248">
        <f>T16+U16</f>
        <v>2387178</v>
      </c>
      <c r="W16" s="178"/>
      <c r="X16" s="111" t="s">
        <v>139</v>
      </c>
      <c r="Y16" s="84">
        <f>1675854.44*1.082*1.024*1.0514*1.2</f>
        <v>2342678.71</v>
      </c>
      <c r="Z16" s="233" t="s">
        <v>186</v>
      </c>
      <c r="AB16" s="526">
        <f t="shared" si="5"/>
        <v>-255039.86</v>
      </c>
    </row>
    <row r="17" spans="1:28" ht="42" customHeight="1" x14ac:dyDescent="0.25">
      <c r="A17" s="217">
        <v>12</v>
      </c>
      <c r="B17" s="245" t="s">
        <v>184</v>
      </c>
      <c r="C17" s="219" t="str">
        <f>ССР!C50</f>
        <v>Теплоснабжение. Переустройство трубопровода.ТС3</v>
      </c>
      <c r="D17" s="220">
        <v>4003449.34</v>
      </c>
      <c r="E17" s="220">
        <v>328282.84999999998</v>
      </c>
      <c r="F17" s="220">
        <v>103961.57</v>
      </c>
      <c r="G17" s="220">
        <v>4435693.76</v>
      </c>
      <c r="H17" s="220">
        <v>4663512.8499999996</v>
      </c>
      <c r="I17" s="221">
        <f t="shared" si="6"/>
        <v>1.2</v>
      </c>
      <c r="J17" s="222">
        <f>ROUND(H17*I17,2)</f>
        <v>5596215.4199999999</v>
      </c>
      <c r="K17" s="246"/>
      <c r="L17" s="246"/>
      <c r="M17" s="246"/>
      <c r="N17" s="246"/>
      <c r="O17" s="246"/>
      <c r="P17" s="246">
        <f>K17+L17+M17+N17+O17</f>
        <v>0</v>
      </c>
      <c r="Q17" s="246">
        <f>J17-K17-L17-M17-N17-O17</f>
        <v>5596215.4199999999</v>
      </c>
      <c r="R17" s="246" t="s">
        <v>139</v>
      </c>
      <c r="S17" s="461" t="str">
        <f>S9</f>
        <v>ВОР оформлен, отправлен на подпись для Дураева 14.06</v>
      </c>
      <c r="T17" s="247">
        <f>P17</f>
        <v>0</v>
      </c>
      <c r="U17" s="590">
        <v>3942311.7</v>
      </c>
      <c r="V17" s="248">
        <f>T17+U17</f>
        <v>3942311.7</v>
      </c>
      <c r="W17" s="178"/>
      <c r="X17" s="111" t="s">
        <v>139</v>
      </c>
      <c r="Y17" s="84">
        <f>2820165.03*1.082*1.024*1.0514*1.2</f>
        <v>3942311.7</v>
      </c>
      <c r="Z17" s="233" t="s">
        <v>186</v>
      </c>
      <c r="AB17" s="526">
        <f t="shared" si="5"/>
        <v>-1653903.72</v>
      </c>
    </row>
    <row r="18" spans="1:28" ht="39.75" customHeight="1" x14ac:dyDescent="0.25">
      <c r="A18" s="217">
        <v>13</v>
      </c>
      <c r="B18" s="245" t="s">
        <v>289</v>
      </c>
      <c r="C18" s="219" t="str">
        <f>ССР!C52</f>
        <v>Наружные газопроводы. Вынос газопровода среднего давления.</v>
      </c>
      <c r="D18" s="220">
        <v>8291915.46</v>
      </c>
      <c r="E18" s="220">
        <v>679937.07</v>
      </c>
      <c r="F18" s="220">
        <v>215324.46</v>
      </c>
      <c r="G18" s="220">
        <v>9187176.9900000002</v>
      </c>
      <c r="H18" s="220">
        <v>9659034.2599999998</v>
      </c>
      <c r="I18" s="221">
        <f t="shared" si="6"/>
        <v>1.2</v>
      </c>
      <c r="J18" s="222">
        <f>ROUND(H18*I18,2)</f>
        <v>11590841.109999999</v>
      </c>
      <c r="K18" s="459"/>
      <c r="L18" s="459"/>
      <c r="M18" s="459"/>
      <c r="N18" s="459"/>
      <c r="O18" s="459"/>
      <c r="P18" s="246">
        <f>K18+L18+M18+N18+O18</f>
        <v>0</v>
      </c>
      <c r="Q18" s="246">
        <f>J18-K18-L18-M18-N18-O18</f>
        <v>11590841.109999999</v>
      </c>
      <c r="R18" s="540" t="s">
        <v>139</v>
      </c>
      <c r="S18" s="461" t="str">
        <f>S9</f>
        <v>ВОР оформлен, отправлен на подпись для Дураева 14.06</v>
      </c>
      <c r="T18" s="247">
        <f>P18</f>
        <v>0</v>
      </c>
      <c r="U18" s="247">
        <v>6207755.29</v>
      </c>
      <c r="V18" s="248">
        <f>T18+U18</f>
        <v>6207755.29</v>
      </c>
      <c r="W18" s="188"/>
      <c r="X18" s="111"/>
      <c r="Y18" s="84"/>
      <c r="Z18" s="208"/>
      <c r="AB18" s="526">
        <f t="shared" si="5"/>
        <v>-5383085.8200000003</v>
      </c>
    </row>
    <row r="19" spans="1:28" ht="4.5" customHeight="1" x14ac:dyDescent="0.25">
      <c r="A19" s="409"/>
      <c r="B19" s="410"/>
      <c r="C19" s="411"/>
      <c r="D19" s="412"/>
      <c r="E19" s="412"/>
      <c r="F19" s="412"/>
      <c r="G19" s="412"/>
      <c r="H19" s="412"/>
      <c r="I19" s="413"/>
      <c r="J19" s="414"/>
      <c r="K19" s="415"/>
      <c r="L19" s="415"/>
      <c r="M19" s="415"/>
      <c r="N19" s="415"/>
      <c r="O19" s="415"/>
      <c r="P19" s="415"/>
      <c r="Q19" s="415"/>
      <c r="R19" s="415"/>
      <c r="S19" s="190"/>
      <c r="T19" s="416"/>
      <c r="U19" s="417"/>
      <c r="V19" s="418"/>
      <c r="W19" s="178"/>
      <c r="X19" s="111"/>
      <c r="Y19" s="84"/>
      <c r="Z19" s="233"/>
    </row>
    <row r="20" spans="1:28" ht="32.25" hidden="1" customHeight="1" x14ac:dyDescent="0.25">
      <c r="A20" s="380"/>
      <c r="B20" s="381"/>
      <c r="C20" s="381"/>
      <c r="D20" s="381"/>
      <c r="E20" s="381"/>
      <c r="F20" s="381"/>
      <c r="G20" s="381"/>
      <c r="H20" s="382"/>
      <c r="I20" s="381"/>
      <c r="J20" s="382"/>
      <c r="K20" s="383"/>
      <c r="L20" s="383"/>
      <c r="M20" s="383"/>
      <c r="N20" s="383"/>
      <c r="O20" s="383"/>
      <c r="P20" s="383"/>
      <c r="Q20" s="383"/>
      <c r="R20" s="383"/>
      <c r="S20" s="383"/>
      <c r="T20" s="1132" t="s">
        <v>254</v>
      </c>
      <c r="U20" s="1133"/>
      <c r="V20" s="384"/>
      <c r="X20" s="65"/>
      <c r="Y20" s="81"/>
      <c r="Z20" s="81"/>
    </row>
    <row r="21" spans="1:28" ht="32.25" customHeight="1" x14ac:dyDescent="0.25">
      <c r="A21" s="380"/>
      <c r="B21" s="381"/>
      <c r="C21" s="381"/>
      <c r="D21" s="381"/>
      <c r="E21" s="381"/>
      <c r="F21" s="381"/>
      <c r="G21" s="381"/>
      <c r="H21" s="382"/>
      <c r="I21" s="381"/>
      <c r="J21" s="382"/>
      <c r="K21" s="383"/>
      <c r="L21" s="383"/>
      <c r="M21" s="383"/>
      <c r="N21" s="383"/>
      <c r="O21" s="383"/>
      <c r="P21" s="383"/>
      <c r="Q21" s="383"/>
      <c r="R21" s="383"/>
      <c r="S21" s="383"/>
      <c r="T21" s="1132" t="s">
        <v>272</v>
      </c>
      <c r="U21" s="1133"/>
      <c r="V21" s="384"/>
      <c r="X21" s="65"/>
      <c r="Y21" s="81"/>
      <c r="Z21" s="81"/>
    </row>
    <row r="22" spans="1:28" ht="45" customHeight="1" x14ac:dyDescent="0.25">
      <c r="A22" s="217">
        <v>14</v>
      </c>
      <c r="B22" s="372" t="s">
        <v>31</v>
      </c>
      <c r="C22" s="219" t="str">
        <f>ССР!C29</f>
        <v>Верхнее строение пути</v>
      </c>
      <c r="D22" s="220">
        <v>161452921.99000001</v>
      </c>
      <c r="E22" s="220">
        <v>13239139.6</v>
      </c>
      <c r="F22" s="220">
        <v>4192609.48</v>
      </c>
      <c r="G22" s="220">
        <v>178884671.06999999</v>
      </c>
      <c r="H22" s="220">
        <v>188072263.84999999</v>
      </c>
      <c r="I22" s="221">
        <f>I6</f>
        <v>1.2</v>
      </c>
      <c r="J22" s="222">
        <f>ROUND(H22*I22,2)</f>
        <v>225686716.62</v>
      </c>
      <c r="K22" s="373">
        <v>89998722.969999999</v>
      </c>
      <c r="L22" s="373">
        <v>66544414.909999996</v>
      </c>
      <c r="M22" s="373">
        <v>42672742.899999999</v>
      </c>
      <c r="N22" s="373"/>
      <c r="O22" s="373"/>
      <c r="P22" s="371">
        <f>K22+L22+M22+N22+O22</f>
        <v>199215880.78</v>
      </c>
      <c r="Q22" s="371">
        <f>J22-K22-L22-M22-N22-O22</f>
        <v>26470835.84</v>
      </c>
      <c r="R22" s="396" t="s">
        <v>284</v>
      </c>
      <c r="S22" s="403" t="s">
        <v>287</v>
      </c>
      <c r="T22" s="83">
        <f>P22</f>
        <v>199215880.78</v>
      </c>
      <c r="U22" s="366">
        <v>37774590</v>
      </c>
      <c r="V22" s="83">
        <f>T22+U22</f>
        <v>236990470.78</v>
      </c>
      <c r="X22" s="111"/>
      <c r="Y22" s="84"/>
      <c r="Z22" s="208"/>
      <c r="AA22" s="419"/>
    </row>
    <row r="23" spans="1:28" s="449" customFormat="1" ht="32.25" customHeight="1" x14ac:dyDescent="0.25">
      <c r="A23" s="434">
        <v>15</v>
      </c>
      <c r="B23" s="435" t="s">
        <v>32</v>
      </c>
      <c r="C23" s="436" t="str">
        <f>ССР!C30</f>
        <v>Восстановительные работы цеха №121/18. АС 3.</v>
      </c>
      <c r="D23" s="437">
        <v>4505948.67</v>
      </c>
      <c r="E23" s="437">
        <v>369487.79</v>
      </c>
      <c r="F23" s="437">
        <v>117010.48</v>
      </c>
      <c r="G23" s="437">
        <v>4992446.9400000004</v>
      </c>
      <c r="H23" s="437">
        <v>5248861.1100000003</v>
      </c>
      <c r="I23" s="438">
        <f>I7</f>
        <v>1.2</v>
      </c>
      <c r="J23" s="439">
        <f>ROUND(H23*I23,2)</f>
        <v>6298633.3300000001</v>
      </c>
      <c r="K23" s="440"/>
      <c r="L23" s="440"/>
      <c r="M23" s="440"/>
      <c r="N23" s="440">
        <v>5245250.92</v>
      </c>
      <c r="O23" s="440"/>
      <c r="P23" s="441">
        <f>K23+L23+M23+N23+O23</f>
        <v>5245250.92</v>
      </c>
      <c r="Q23" s="441">
        <f>J23-K23-L23-M23-N23-O23</f>
        <v>1053382.4099999999</v>
      </c>
      <c r="R23" s="578" t="s">
        <v>168</v>
      </c>
      <c r="S23" s="442" t="s">
        <v>189</v>
      </c>
      <c r="T23" s="443">
        <f>P23</f>
        <v>5245250.92</v>
      </c>
      <c r="U23" s="444">
        <v>0</v>
      </c>
      <c r="V23" s="443">
        <f>T23+U23</f>
        <v>5245250.92</v>
      </c>
      <c r="W23" s="445" t="s">
        <v>172</v>
      </c>
      <c r="X23" s="446"/>
      <c r="Y23" s="443"/>
      <c r="Z23" s="447"/>
      <c r="AA23" s="448"/>
    </row>
    <row r="24" spans="1:28" s="585" customFormat="1" ht="31.5" x14ac:dyDescent="0.25">
      <c r="A24" s="217">
        <v>16</v>
      </c>
      <c r="B24" s="245" t="s">
        <v>33</v>
      </c>
      <c r="C24" s="219" t="str">
        <f>ССР!C31</f>
        <v>Архитектурно-строительные решения. Часть 1.АС1</v>
      </c>
      <c r="D24" s="220">
        <v>10526911.91</v>
      </c>
      <c r="E24" s="220">
        <v>863206.78</v>
      </c>
      <c r="F24" s="220">
        <v>273362.84999999998</v>
      </c>
      <c r="G24" s="220">
        <v>11663481.539999999</v>
      </c>
      <c r="H24" s="220">
        <v>12262522.85</v>
      </c>
      <c r="I24" s="221">
        <f>I8</f>
        <v>1.2</v>
      </c>
      <c r="J24" s="222">
        <f>ROUND(H24*I24,2)</f>
        <v>14715027.42</v>
      </c>
      <c r="K24" s="373"/>
      <c r="L24" s="373">
        <v>10775049.08</v>
      </c>
      <c r="M24" s="373"/>
      <c r="N24" s="373"/>
      <c r="O24" s="373"/>
      <c r="P24" s="371">
        <f>K24+L24+M24+N24+O24</f>
        <v>10775049.08</v>
      </c>
      <c r="Q24" s="371">
        <f>J24-K24-L24-M24-N24-O24</f>
        <v>3939978.34</v>
      </c>
      <c r="R24" s="395" t="str">
        <f>R26</f>
        <v>ждем ВОР</v>
      </c>
      <c r="S24" s="403" t="s">
        <v>275</v>
      </c>
      <c r="T24" s="83">
        <f>P24</f>
        <v>10775049.08</v>
      </c>
      <c r="U24" s="586">
        <f>Q24</f>
        <v>3939978.34</v>
      </c>
      <c r="V24" s="83">
        <f>T24+U24</f>
        <v>14715027.42</v>
      </c>
      <c r="W24" s="582"/>
      <c r="X24" s="111"/>
      <c r="Y24" s="83"/>
      <c r="Z24" s="583"/>
      <c r="AA24" s="584"/>
    </row>
    <row r="25" spans="1:28" s="449" customFormat="1" ht="31.5" x14ac:dyDescent="0.25">
      <c r="A25" s="434">
        <v>17</v>
      </c>
      <c r="B25" s="435" t="s">
        <v>55</v>
      </c>
      <c r="C25" s="436" t="str">
        <f>ССР!C45</f>
        <v>Трубопровод ливневых сточных вод от трансбордера. НВК1</v>
      </c>
      <c r="D25" s="437">
        <v>1758763.66</v>
      </c>
      <c r="E25" s="437">
        <v>144218.62</v>
      </c>
      <c r="F25" s="437">
        <v>45671.57</v>
      </c>
      <c r="G25" s="437">
        <v>1948653.85</v>
      </c>
      <c r="H25" s="437">
        <v>2048737.53</v>
      </c>
      <c r="I25" s="438">
        <f>I22</f>
        <v>1.2</v>
      </c>
      <c r="J25" s="439">
        <f t="shared" si="1"/>
        <v>2458485.04</v>
      </c>
      <c r="K25" s="452"/>
      <c r="L25" s="452"/>
      <c r="M25" s="452"/>
      <c r="N25" s="452"/>
      <c r="O25" s="452">
        <v>505496.99</v>
      </c>
      <c r="P25" s="441">
        <f t="shared" si="2"/>
        <v>505496.99</v>
      </c>
      <c r="Q25" s="441">
        <f t="shared" si="3"/>
        <v>1952988.05</v>
      </c>
      <c r="R25" s="578" t="str">
        <f>R23</f>
        <v>ВОРа на доп. не будет</v>
      </c>
      <c r="S25" s="453" t="s">
        <v>251</v>
      </c>
      <c r="T25" s="443">
        <f t="shared" si="4"/>
        <v>505496.99</v>
      </c>
      <c r="U25" s="454">
        <v>0</v>
      </c>
      <c r="V25" s="455">
        <f>T25+U25</f>
        <v>505496.99</v>
      </c>
      <c r="W25" s="451"/>
      <c r="X25" s="446"/>
      <c r="Y25" s="443"/>
      <c r="Z25" s="447"/>
      <c r="AA25" s="448"/>
    </row>
    <row r="26" spans="1:28" s="585" customFormat="1" ht="31.5" x14ac:dyDescent="0.25">
      <c r="A26" s="217">
        <v>18</v>
      </c>
      <c r="B26" s="245" t="s">
        <v>58</v>
      </c>
      <c r="C26" s="219" t="str">
        <f>ССР!C47</f>
        <v>Теплоснабжение. Переустройство трубопровода.ТС1</v>
      </c>
      <c r="D26" s="220">
        <v>4044845.15</v>
      </c>
      <c r="E26" s="220">
        <v>331677.3</v>
      </c>
      <c r="F26" s="220">
        <v>105036.54</v>
      </c>
      <c r="G26" s="220">
        <v>4481558.99</v>
      </c>
      <c r="H26" s="220">
        <v>4711733.74</v>
      </c>
      <c r="I26" s="221">
        <f>I13</f>
        <v>1.2</v>
      </c>
      <c r="J26" s="222">
        <f t="shared" si="1"/>
        <v>5654080.4900000002</v>
      </c>
      <c r="K26" s="579"/>
      <c r="L26" s="579"/>
      <c r="M26" s="579"/>
      <c r="N26" s="579"/>
      <c r="O26" s="579">
        <v>3594854.48</v>
      </c>
      <c r="P26" s="371">
        <f t="shared" si="2"/>
        <v>3594854.48</v>
      </c>
      <c r="Q26" s="371">
        <f t="shared" si="3"/>
        <v>2059226.01</v>
      </c>
      <c r="R26" s="579" t="s">
        <v>169</v>
      </c>
      <c r="S26" s="580" t="s">
        <v>247</v>
      </c>
      <c r="T26" s="83">
        <f t="shared" si="4"/>
        <v>3594854.48</v>
      </c>
      <c r="U26" s="581">
        <v>0</v>
      </c>
      <c r="V26" s="368">
        <f t="shared" ref="V26:V29" si="7">T26+U26</f>
        <v>3594854.48</v>
      </c>
      <c r="W26" s="582"/>
      <c r="X26" s="111"/>
      <c r="Y26" s="83"/>
      <c r="Z26" s="583"/>
      <c r="AA26" s="584"/>
    </row>
    <row r="27" spans="1:28" s="449" customFormat="1" ht="78.75" x14ac:dyDescent="0.25">
      <c r="A27" s="434">
        <v>19</v>
      </c>
      <c r="B27" s="435" t="s">
        <v>59</v>
      </c>
      <c r="C27" s="436" t="str">
        <f>ССР!C48</f>
        <v>Архитектурно-строительные решения. Эстакада для ТС1. АС 4</v>
      </c>
      <c r="D27" s="437">
        <v>4859580.66</v>
      </c>
      <c r="E27" s="437">
        <v>398485.61</v>
      </c>
      <c r="F27" s="437">
        <v>126193.59</v>
      </c>
      <c r="G27" s="437">
        <v>5384259.8600000003</v>
      </c>
      <c r="H27" s="437">
        <v>5660797.71</v>
      </c>
      <c r="I27" s="438">
        <f>I14</f>
        <v>1.2</v>
      </c>
      <c r="J27" s="439">
        <f t="shared" si="1"/>
        <v>6792957.25</v>
      </c>
      <c r="K27" s="452"/>
      <c r="L27" s="452"/>
      <c r="M27" s="452"/>
      <c r="N27" s="452"/>
      <c r="O27" s="452">
        <v>562345.21</v>
      </c>
      <c r="P27" s="441">
        <f t="shared" si="2"/>
        <v>562345.21</v>
      </c>
      <c r="Q27" s="441">
        <f t="shared" si="3"/>
        <v>6230612.04</v>
      </c>
      <c r="R27" s="456" t="s">
        <v>286</v>
      </c>
      <c r="S27" s="453" t="s">
        <v>251</v>
      </c>
      <c r="T27" s="443">
        <f t="shared" si="4"/>
        <v>562345.21</v>
      </c>
      <c r="U27" s="454">
        <v>0</v>
      </c>
      <c r="V27" s="455">
        <f t="shared" si="7"/>
        <v>562345.21</v>
      </c>
      <c r="W27" s="451"/>
      <c r="X27" s="446"/>
      <c r="Y27" s="443"/>
      <c r="Z27" s="447"/>
      <c r="AA27" s="448"/>
    </row>
    <row r="28" spans="1:28" ht="31.5" x14ac:dyDescent="0.25">
      <c r="A28" s="217">
        <v>20</v>
      </c>
      <c r="B28" s="245" t="s">
        <v>70</v>
      </c>
      <c r="C28" s="219" t="str">
        <f>ССР!C55</f>
        <v>Генеральный план. Трансбордер. ГП1</v>
      </c>
      <c r="D28" s="220">
        <v>5005903.75</v>
      </c>
      <c r="E28" s="220">
        <v>410484.11</v>
      </c>
      <c r="F28" s="220">
        <v>129993.31</v>
      </c>
      <c r="G28" s="220">
        <v>5546381.1699999999</v>
      </c>
      <c r="H28" s="220">
        <v>5831245.6399999997</v>
      </c>
      <c r="I28" s="221">
        <f>I12</f>
        <v>1.2</v>
      </c>
      <c r="J28" s="222">
        <f t="shared" si="1"/>
        <v>6997494.7699999996</v>
      </c>
      <c r="K28" s="373"/>
      <c r="L28" s="373">
        <v>2298854.48</v>
      </c>
      <c r="M28" s="373"/>
      <c r="N28" s="373"/>
      <c r="O28" s="373"/>
      <c r="P28" s="371">
        <f t="shared" si="2"/>
        <v>2298854.48</v>
      </c>
      <c r="Q28" s="371">
        <f t="shared" si="3"/>
        <v>4698640.29</v>
      </c>
      <c r="R28" s="395" t="str">
        <f>R26</f>
        <v>ждем ВОР</v>
      </c>
      <c r="S28" s="403" t="s">
        <v>247</v>
      </c>
      <c r="T28" s="83">
        <f t="shared" si="4"/>
        <v>2298854.48</v>
      </c>
      <c r="U28" s="367">
        <f>Q28</f>
        <v>4698640.29</v>
      </c>
      <c r="V28" s="368">
        <f t="shared" si="7"/>
        <v>6997494.7699999996</v>
      </c>
      <c r="W28" s="206"/>
      <c r="X28" s="111"/>
      <c r="Y28" s="84"/>
      <c r="Z28" s="208"/>
      <c r="AA28" s="419"/>
    </row>
    <row r="29" spans="1:28" ht="24.75" thickBot="1" x14ac:dyDescent="0.3">
      <c r="A29" s="421">
        <v>21</v>
      </c>
      <c r="B29" s="374" t="s">
        <v>71</v>
      </c>
      <c r="C29" s="375" t="str">
        <f>ССР!C56</f>
        <v>Генеральный план. ГП2</v>
      </c>
      <c r="D29" s="397">
        <v>48898423.600000001</v>
      </c>
      <c r="E29" s="397">
        <v>4009670.74</v>
      </c>
      <c r="F29" s="397">
        <v>1269794.26</v>
      </c>
      <c r="G29" s="397">
        <v>54177888.600000001</v>
      </c>
      <c r="H29" s="397">
        <v>56960487.710000001</v>
      </c>
      <c r="I29" s="376">
        <f>I16</f>
        <v>1.2</v>
      </c>
      <c r="J29" s="377">
        <f t="shared" si="1"/>
        <v>68352585.25</v>
      </c>
      <c r="K29" s="378"/>
      <c r="L29" s="378"/>
      <c r="M29" s="378">
        <v>11709977.720000001</v>
      </c>
      <c r="N29" s="378"/>
      <c r="O29" s="378">
        <v>3615838.44</v>
      </c>
      <c r="P29" s="379">
        <f t="shared" si="2"/>
        <v>15325816.16</v>
      </c>
      <c r="Q29" s="379">
        <f t="shared" si="3"/>
        <v>53026769.090000004</v>
      </c>
      <c r="R29" s="422" t="str">
        <f>R26</f>
        <v>ждем ВОР</v>
      </c>
      <c r="S29" s="423" t="s">
        <v>247</v>
      </c>
      <c r="T29" s="370">
        <f t="shared" si="4"/>
        <v>15325816.16</v>
      </c>
      <c r="U29" s="424">
        <f>Q29</f>
        <v>53026769.090000004</v>
      </c>
      <c r="V29" s="369">
        <f t="shared" si="7"/>
        <v>68352585.25</v>
      </c>
      <c r="W29" s="206"/>
      <c r="X29" s="111"/>
      <c r="Y29" s="85"/>
      <c r="Z29" s="209"/>
      <c r="AA29" s="419"/>
    </row>
    <row r="30" spans="1:28" ht="35.1" customHeight="1" thickTop="1" x14ac:dyDescent="0.25">
      <c r="A30" s="387">
        <v>22</v>
      </c>
      <c r="B30" s="388">
        <v>1</v>
      </c>
      <c r="C30" s="389" t="s">
        <v>175</v>
      </c>
      <c r="D30" s="390"/>
      <c r="E30" s="390"/>
      <c r="F30" s="390"/>
      <c r="G30" s="390"/>
      <c r="H30" s="390"/>
      <c r="I30" s="391"/>
      <c r="J30" s="392"/>
      <c r="K30" s="393"/>
      <c r="L30" s="393"/>
      <c r="M30" s="393"/>
      <c r="N30" s="393"/>
      <c r="O30" s="393"/>
      <c r="P30" s="393">
        <f>T30</f>
        <v>4216719.66</v>
      </c>
      <c r="Q30" s="393"/>
      <c r="R30" s="477" t="s">
        <v>139</v>
      </c>
      <c r="S30" s="394" t="s">
        <v>255</v>
      </c>
      <c r="T30" s="420">
        <v>4216719.66</v>
      </c>
      <c r="U30" s="420">
        <v>0</v>
      </c>
      <c r="V30" s="420">
        <f>T30+U30</f>
        <v>4216719.66</v>
      </c>
      <c r="X30" s="119"/>
      <c r="Y30" s="179"/>
      <c r="Z30" s="179"/>
    </row>
    <row r="31" spans="1:28" ht="35.1" customHeight="1" thickBot="1" x14ac:dyDescent="0.3">
      <c r="A31" s="513">
        <v>23</v>
      </c>
      <c r="B31" s="479">
        <v>1</v>
      </c>
      <c r="C31" s="480" t="s">
        <v>174</v>
      </c>
      <c r="D31" s="481"/>
      <c r="E31" s="481"/>
      <c r="F31" s="481"/>
      <c r="G31" s="481"/>
      <c r="H31" s="481"/>
      <c r="I31" s="482"/>
      <c r="J31" s="483"/>
      <c r="K31" s="484"/>
      <c r="L31" s="484"/>
      <c r="M31" s="484"/>
      <c r="N31" s="484"/>
      <c r="O31" s="484"/>
      <c r="P31" s="484">
        <f>T31</f>
        <v>2160473.5</v>
      </c>
      <c r="Q31" s="484"/>
      <c r="R31" s="514" t="s">
        <v>139</v>
      </c>
      <c r="S31" s="515" t="s">
        <v>255</v>
      </c>
      <c r="T31" s="485">
        <v>2160473.5</v>
      </c>
      <c r="U31" s="485">
        <v>0</v>
      </c>
      <c r="V31" s="486">
        <f t="shared" ref="V31" si="8">T31+U31</f>
        <v>2160473.5</v>
      </c>
      <c r="X31" s="117"/>
      <c r="Y31" s="105"/>
      <c r="Z31" s="211"/>
    </row>
    <row r="32" spans="1:28" ht="31.5" customHeight="1" thickTop="1" thickBot="1" x14ac:dyDescent="0.3">
      <c r="A32" s="516"/>
      <c r="B32" s="517" t="s">
        <v>120</v>
      </c>
      <c r="C32" s="518"/>
      <c r="D32" s="519">
        <f>SUM(D6:D29)</f>
        <v>392033916.06</v>
      </c>
      <c r="E32" s="518"/>
      <c r="F32" s="520"/>
      <c r="G32" s="519">
        <f>SUM(G6:G29)</f>
        <v>434361033.93000001</v>
      </c>
      <c r="H32" s="519">
        <f>SUM(H6:H29)</f>
        <v>456670000.00999999</v>
      </c>
      <c r="I32" s="519"/>
      <c r="J32" s="519">
        <f>SUM(J6:J29)</f>
        <v>548004000</v>
      </c>
      <c r="K32" s="521">
        <f>SUM(K6:K29)</f>
        <v>210417570.36000001</v>
      </c>
      <c r="L32" s="521">
        <f>SUM(L6:L29)+0.01</f>
        <v>79978331.209999993</v>
      </c>
      <c r="M32" s="521">
        <f>SUM(M6:M29)</f>
        <v>58868164.759999998</v>
      </c>
      <c r="N32" s="521">
        <f>SUM(N6:N29)</f>
        <v>5245250.92</v>
      </c>
      <c r="O32" s="521">
        <f>SUM(O6:O29)</f>
        <v>8616444.9800000004</v>
      </c>
      <c r="P32" s="521">
        <f>SUM(P6:P31)+0.01</f>
        <v>369502955.38999999</v>
      </c>
      <c r="Q32" s="521">
        <f>J32-P32</f>
        <v>178501044.61000001</v>
      </c>
      <c r="R32" s="521"/>
      <c r="S32" s="521"/>
      <c r="T32" s="522">
        <f>SUM(T6:T31)</f>
        <v>369502955.38</v>
      </c>
      <c r="U32" s="522">
        <f>SUM(U6:U31)</f>
        <v>143788000.72</v>
      </c>
      <c r="V32" s="522">
        <f>SUM(V6:V31)</f>
        <v>513290956.10000002</v>
      </c>
      <c r="W32" s="177"/>
      <c r="X32" s="115"/>
      <c r="Y32" s="101">
        <f>SUM(Y6:Y29)</f>
        <v>39961110.119999997</v>
      </c>
      <c r="Z32" s="210">
        <f>SUM(Z6:Z29)</f>
        <v>0</v>
      </c>
    </row>
    <row r="33" spans="1:27" ht="32.25" customHeight="1" x14ac:dyDescent="0.25">
      <c r="A33" s="498"/>
      <c r="B33" s="499"/>
      <c r="C33" s="499"/>
      <c r="D33" s="499"/>
      <c r="E33" s="499"/>
      <c r="F33" s="499"/>
      <c r="G33" s="499"/>
      <c r="H33" s="500"/>
      <c r="I33" s="499"/>
      <c r="J33" s="500"/>
      <c r="K33" s="501"/>
      <c r="L33" s="501"/>
      <c r="M33" s="501"/>
      <c r="N33" s="501"/>
      <c r="O33" s="501"/>
      <c r="P33" s="501"/>
      <c r="Q33" s="501"/>
      <c r="R33" s="501"/>
      <c r="S33" s="501"/>
      <c r="T33" s="1123" t="s">
        <v>245</v>
      </c>
      <c r="U33" s="1124"/>
      <c r="V33" s="503"/>
      <c r="X33" s="65"/>
      <c r="Y33" s="81"/>
      <c r="Z33" s="81"/>
    </row>
    <row r="34" spans="1:27" ht="35.1" customHeight="1" x14ac:dyDescent="0.25">
      <c r="A34" s="591">
        <v>24</v>
      </c>
      <c r="B34" s="542">
        <v>2</v>
      </c>
      <c r="C34" s="592" t="s">
        <v>141</v>
      </c>
      <c r="D34" s="593"/>
      <c r="E34" s="593"/>
      <c r="F34" s="593"/>
      <c r="G34" s="593"/>
      <c r="H34" s="593"/>
      <c r="I34" s="594"/>
      <c r="J34" s="595"/>
      <c r="K34" s="596"/>
      <c r="L34" s="596"/>
      <c r="M34" s="596"/>
      <c r="N34" s="596"/>
      <c r="O34" s="596"/>
      <c r="P34" s="596"/>
      <c r="Q34" s="596"/>
      <c r="R34" s="597" t="s">
        <v>139</v>
      </c>
      <c r="S34" s="600" t="s">
        <v>290</v>
      </c>
      <c r="T34" s="598">
        <v>0</v>
      </c>
      <c r="U34" s="598">
        <v>705505</v>
      </c>
      <c r="V34" s="598">
        <f t="shared" ref="V34:V44" si="9">T34+U34</f>
        <v>705505</v>
      </c>
      <c r="X34" s="119"/>
      <c r="Y34" s="179"/>
      <c r="Z34" s="179"/>
      <c r="AA34" s="406" t="s">
        <v>280</v>
      </c>
    </row>
    <row r="35" spans="1:27" ht="35.1" customHeight="1" x14ac:dyDescent="0.25">
      <c r="A35" s="599">
        <v>25</v>
      </c>
      <c r="B35" s="542">
        <v>3</v>
      </c>
      <c r="C35" s="592" t="s">
        <v>142</v>
      </c>
      <c r="D35" s="593"/>
      <c r="E35" s="593"/>
      <c r="F35" s="593"/>
      <c r="G35" s="593"/>
      <c r="H35" s="593"/>
      <c r="I35" s="594"/>
      <c r="J35" s="595"/>
      <c r="K35" s="596"/>
      <c r="L35" s="596"/>
      <c r="M35" s="596"/>
      <c r="N35" s="596"/>
      <c r="O35" s="596"/>
      <c r="P35" s="596"/>
      <c r="Q35" s="596"/>
      <c r="R35" s="597" t="s">
        <v>139</v>
      </c>
      <c r="S35" s="600" t="s">
        <v>290</v>
      </c>
      <c r="T35" s="598">
        <v>0</v>
      </c>
      <c r="U35" s="598">
        <v>85851.36</v>
      </c>
      <c r="V35" s="598">
        <f t="shared" si="9"/>
        <v>85851.36</v>
      </c>
      <c r="X35" s="119"/>
      <c r="Y35" s="180"/>
      <c r="Z35" s="180"/>
    </row>
    <row r="36" spans="1:27" ht="35.1" customHeight="1" x14ac:dyDescent="0.25">
      <c r="A36" s="591">
        <v>26</v>
      </c>
      <c r="B36" s="542">
        <v>4</v>
      </c>
      <c r="C36" s="592" t="s">
        <v>143</v>
      </c>
      <c r="D36" s="593"/>
      <c r="E36" s="593"/>
      <c r="F36" s="593"/>
      <c r="G36" s="593"/>
      <c r="H36" s="593"/>
      <c r="I36" s="594"/>
      <c r="J36" s="595"/>
      <c r="K36" s="596"/>
      <c r="L36" s="596"/>
      <c r="M36" s="596"/>
      <c r="N36" s="596"/>
      <c r="O36" s="596"/>
      <c r="P36" s="596"/>
      <c r="Q36" s="596"/>
      <c r="R36" s="597" t="s">
        <v>139</v>
      </c>
      <c r="S36" s="600" t="s">
        <v>290</v>
      </c>
      <c r="T36" s="598">
        <v>0</v>
      </c>
      <c r="U36" s="598">
        <v>26314.48</v>
      </c>
      <c r="V36" s="598">
        <f t="shared" si="9"/>
        <v>26314.48</v>
      </c>
      <c r="X36" s="119"/>
      <c r="Y36" s="180"/>
      <c r="Z36" s="180"/>
    </row>
    <row r="37" spans="1:27" ht="35.1" customHeight="1" x14ac:dyDescent="0.25">
      <c r="A37" s="599">
        <v>27</v>
      </c>
      <c r="B37" s="542">
        <v>5</v>
      </c>
      <c r="C37" s="592" t="s">
        <v>146</v>
      </c>
      <c r="D37" s="593"/>
      <c r="E37" s="593"/>
      <c r="F37" s="593"/>
      <c r="G37" s="593"/>
      <c r="H37" s="593"/>
      <c r="I37" s="594"/>
      <c r="J37" s="595"/>
      <c r="K37" s="596"/>
      <c r="L37" s="596"/>
      <c r="M37" s="596"/>
      <c r="N37" s="596"/>
      <c r="O37" s="596"/>
      <c r="P37" s="596"/>
      <c r="Q37" s="596"/>
      <c r="R37" s="597" t="s">
        <v>139</v>
      </c>
      <c r="S37" s="600" t="s">
        <v>290</v>
      </c>
      <c r="T37" s="598">
        <v>0</v>
      </c>
      <c r="U37" s="598">
        <v>208912.6</v>
      </c>
      <c r="V37" s="598">
        <f t="shared" si="9"/>
        <v>208912.6</v>
      </c>
      <c r="X37" s="119"/>
      <c r="Y37" s="180"/>
      <c r="Z37" s="180"/>
    </row>
    <row r="38" spans="1:27" ht="35.1" customHeight="1" x14ac:dyDescent="0.25">
      <c r="A38" s="217">
        <v>29</v>
      </c>
      <c r="B38" s="543">
        <v>6</v>
      </c>
      <c r="C38" s="464" t="s">
        <v>140</v>
      </c>
      <c r="D38" s="465"/>
      <c r="E38" s="465"/>
      <c r="F38" s="465"/>
      <c r="G38" s="465"/>
      <c r="H38" s="465"/>
      <c r="I38" s="466"/>
      <c r="J38" s="467"/>
      <c r="K38" s="468"/>
      <c r="L38" s="468"/>
      <c r="M38" s="468"/>
      <c r="N38" s="468"/>
      <c r="O38" s="468"/>
      <c r="P38" s="468"/>
      <c r="Q38" s="468"/>
      <c r="R38" s="469" t="s">
        <v>139</v>
      </c>
      <c r="S38" s="528" t="s">
        <v>292</v>
      </c>
      <c r="T38" s="470">
        <v>0</v>
      </c>
      <c r="U38" s="470">
        <v>570651.94999999995</v>
      </c>
      <c r="V38" s="462">
        <f t="shared" si="9"/>
        <v>570651.94999999995</v>
      </c>
      <c r="X38" s="117"/>
      <c r="Y38" s="105"/>
      <c r="Z38" s="211"/>
    </row>
    <row r="39" spans="1:27" ht="35.1" customHeight="1" x14ac:dyDescent="0.25">
      <c r="A39" s="217">
        <v>28</v>
      </c>
      <c r="B39" s="542">
        <v>7</v>
      </c>
      <c r="C39" s="42" t="s">
        <v>148</v>
      </c>
      <c r="D39" s="43"/>
      <c r="E39" s="43"/>
      <c r="F39" s="43"/>
      <c r="G39" s="43"/>
      <c r="H39" s="43"/>
      <c r="I39" s="44"/>
      <c r="J39" s="55"/>
      <c r="K39" s="56"/>
      <c r="L39" s="56"/>
      <c r="M39" s="56"/>
      <c r="N39" s="56"/>
      <c r="O39" s="56"/>
      <c r="P39" s="459"/>
      <c r="Q39" s="459"/>
      <c r="R39" s="529" t="s">
        <v>139</v>
      </c>
      <c r="S39" s="461" t="str">
        <f>S38</f>
        <v>вопросы к емк. ковша и уплотнению трамбовками</v>
      </c>
      <c r="T39" s="530">
        <v>0</v>
      </c>
      <c r="U39" s="530">
        <v>231084.76</v>
      </c>
      <c r="V39" s="462">
        <f t="shared" si="9"/>
        <v>231084.76</v>
      </c>
      <c r="X39" s="119"/>
      <c r="Y39" s="107"/>
      <c r="Z39" s="213"/>
    </row>
    <row r="40" spans="1:27" ht="35.1" customHeight="1" thickBot="1" x14ac:dyDescent="0.3">
      <c r="A40" s="421">
        <v>31</v>
      </c>
      <c r="B40" s="544">
        <v>8</v>
      </c>
      <c r="C40" s="375" t="s">
        <v>250</v>
      </c>
      <c r="D40" s="471"/>
      <c r="E40" s="471"/>
      <c r="F40" s="471"/>
      <c r="G40" s="471"/>
      <c r="H40" s="471"/>
      <c r="I40" s="472"/>
      <c r="J40" s="473"/>
      <c r="K40" s="474"/>
      <c r="L40" s="474"/>
      <c r="M40" s="474"/>
      <c r="N40" s="474"/>
      <c r="O40" s="474"/>
      <c r="P40" s="531"/>
      <c r="Q40" s="531"/>
      <c r="R40" s="532" t="s">
        <v>139</v>
      </c>
      <c r="S40" s="527" t="str">
        <f>S38</f>
        <v>вопросы к емк. ковша и уплотнению трамбовками</v>
      </c>
      <c r="T40" s="533">
        <v>0</v>
      </c>
      <c r="U40" s="533">
        <v>107940.55</v>
      </c>
      <c r="V40" s="534">
        <f t="shared" si="9"/>
        <v>107940.55</v>
      </c>
      <c r="X40" s="119"/>
      <c r="Y40" s="107"/>
      <c r="Z40" s="213"/>
    </row>
    <row r="41" spans="1:27" ht="35.1" customHeight="1" thickTop="1" x14ac:dyDescent="0.25">
      <c r="A41" s="545">
        <v>32</v>
      </c>
      <c r="B41" s="568">
        <v>9</v>
      </c>
      <c r="C41" s="569" t="s">
        <v>145</v>
      </c>
      <c r="D41" s="570"/>
      <c r="E41" s="570"/>
      <c r="F41" s="570"/>
      <c r="G41" s="570"/>
      <c r="H41" s="570"/>
      <c r="I41" s="571"/>
      <c r="J41" s="572"/>
      <c r="K41" s="573"/>
      <c r="L41" s="573"/>
      <c r="M41" s="573"/>
      <c r="N41" s="573"/>
      <c r="O41" s="573"/>
      <c r="P41" s="574"/>
      <c r="Q41" s="574"/>
      <c r="R41" s="575" t="s">
        <v>139</v>
      </c>
      <c r="S41" s="576" t="s">
        <v>285</v>
      </c>
      <c r="T41" s="577">
        <v>0</v>
      </c>
      <c r="U41" s="577">
        <v>2348452.58</v>
      </c>
      <c r="V41" s="577">
        <f t="shared" si="9"/>
        <v>2348452.58</v>
      </c>
      <c r="X41" s="119"/>
      <c r="Y41" s="180"/>
      <c r="Z41" s="180"/>
    </row>
    <row r="42" spans="1:27" ht="46.5" customHeight="1" x14ac:dyDescent="0.25">
      <c r="A42" s="475">
        <v>33</v>
      </c>
      <c r="B42" s="558">
        <v>10</v>
      </c>
      <c r="C42" s="559" t="s">
        <v>144</v>
      </c>
      <c r="D42" s="560"/>
      <c r="E42" s="560"/>
      <c r="F42" s="560"/>
      <c r="G42" s="560"/>
      <c r="H42" s="560"/>
      <c r="I42" s="561"/>
      <c r="J42" s="562"/>
      <c r="K42" s="563"/>
      <c r="L42" s="563"/>
      <c r="M42" s="563"/>
      <c r="N42" s="563"/>
      <c r="O42" s="563"/>
      <c r="P42" s="293"/>
      <c r="Q42" s="293"/>
      <c r="R42" s="564" t="s">
        <v>139</v>
      </c>
      <c r="S42" s="565" t="s">
        <v>288</v>
      </c>
      <c r="T42" s="566">
        <v>0</v>
      </c>
      <c r="U42" s="566">
        <v>389490.94</v>
      </c>
      <c r="V42" s="567">
        <f t="shared" si="9"/>
        <v>389490.94</v>
      </c>
      <c r="W42" s="189"/>
      <c r="X42" s="182"/>
      <c r="Y42" s="183"/>
      <c r="Z42" s="212"/>
    </row>
    <row r="43" spans="1:27" ht="50.25" customHeight="1" thickBot="1" x14ac:dyDescent="0.3">
      <c r="A43" s="546">
        <v>30</v>
      </c>
      <c r="B43" s="547"/>
      <c r="C43" s="548" t="s">
        <v>279</v>
      </c>
      <c r="D43" s="549"/>
      <c r="E43" s="549"/>
      <c r="F43" s="549"/>
      <c r="G43" s="549"/>
      <c r="H43" s="549"/>
      <c r="I43" s="550"/>
      <c r="J43" s="551"/>
      <c r="K43" s="552"/>
      <c r="L43" s="552"/>
      <c r="M43" s="552"/>
      <c r="N43" s="552"/>
      <c r="O43" s="552"/>
      <c r="P43" s="552"/>
      <c r="Q43" s="552"/>
      <c r="R43" s="553" t="s">
        <v>255</v>
      </c>
      <c r="S43" s="554" t="s">
        <v>281</v>
      </c>
      <c r="T43" s="555">
        <v>0</v>
      </c>
      <c r="U43" s="555">
        <v>9690548.2599999998</v>
      </c>
      <c r="V43" s="556">
        <f t="shared" si="9"/>
        <v>9690548.2599999998</v>
      </c>
      <c r="X43" s="117"/>
      <c r="Y43" s="105"/>
      <c r="Z43" s="211"/>
    </row>
    <row r="44" spans="1:27" ht="35.1" customHeight="1" thickTop="1" thickBot="1" x14ac:dyDescent="0.3">
      <c r="A44" s="82">
        <v>34</v>
      </c>
      <c r="B44" s="321"/>
      <c r="C44" s="171" t="s">
        <v>149</v>
      </c>
      <c r="D44" s="322"/>
      <c r="E44" s="322"/>
      <c r="F44" s="322"/>
      <c r="G44" s="322"/>
      <c r="H44" s="322"/>
      <c r="I44" s="323"/>
      <c r="J44" s="172"/>
      <c r="K44" s="324"/>
      <c r="L44" s="324"/>
      <c r="M44" s="324"/>
      <c r="N44" s="324"/>
      <c r="O44" s="324"/>
      <c r="P44" s="173"/>
      <c r="Q44" s="173"/>
      <c r="R44" s="401" t="s">
        <v>139</v>
      </c>
      <c r="S44" s="401" t="s">
        <v>170</v>
      </c>
      <c r="T44" s="326"/>
      <c r="U44" s="326">
        <v>4746000</v>
      </c>
      <c r="V44" s="399">
        <f t="shared" si="9"/>
        <v>4746000</v>
      </c>
      <c r="X44" s="119"/>
      <c r="Y44" s="107"/>
      <c r="Z44" s="213"/>
    </row>
    <row r="45" spans="1:27" ht="35.1" customHeight="1" thickBot="1" x14ac:dyDescent="0.3">
      <c r="A45" s="504"/>
      <c r="B45" s="103"/>
      <c r="C45" s="505"/>
      <c r="D45" s="506"/>
      <c r="E45" s="506"/>
      <c r="F45" s="506"/>
      <c r="G45" s="506"/>
      <c r="H45" s="506"/>
      <c r="I45" s="507"/>
      <c r="J45" s="508"/>
      <c r="K45" s="509"/>
      <c r="L45" s="509"/>
      <c r="M45" s="509"/>
      <c r="N45" s="509"/>
      <c r="O45" s="509"/>
      <c r="P45" s="509"/>
      <c r="Q45" s="509"/>
      <c r="R45" s="510"/>
      <c r="S45" s="511"/>
      <c r="T45" s="512"/>
      <c r="U45" s="73">
        <f>SUM(U34:U44)</f>
        <v>19110752.48</v>
      </c>
      <c r="V45" s="73">
        <f>SUM(V34:V44)</f>
        <v>19110752.48</v>
      </c>
      <c r="X45" s="117"/>
      <c r="Y45" s="105"/>
      <c r="Z45" s="211"/>
    </row>
    <row r="46" spans="1:27" ht="33" customHeight="1" x14ac:dyDescent="0.25">
      <c r="A46" s="498"/>
      <c r="B46" s="499"/>
      <c r="C46" s="499"/>
      <c r="D46" s="499"/>
      <c r="E46" s="499"/>
      <c r="F46" s="499"/>
      <c r="G46" s="499"/>
      <c r="H46" s="500"/>
      <c r="I46" s="499"/>
      <c r="J46" s="500"/>
      <c r="K46" s="501"/>
      <c r="L46" s="501"/>
      <c r="M46" s="501"/>
      <c r="N46" s="501"/>
      <c r="O46" s="501"/>
      <c r="P46" s="501"/>
      <c r="Q46" s="501"/>
      <c r="R46" s="501"/>
      <c r="S46" s="502"/>
      <c r="T46" s="1123" t="s">
        <v>253</v>
      </c>
      <c r="U46" s="1124"/>
      <c r="V46" s="503"/>
      <c r="X46" s="65"/>
      <c r="Y46" s="81"/>
      <c r="Z46" s="81"/>
    </row>
    <row r="47" spans="1:27" ht="35.1" customHeight="1" x14ac:dyDescent="0.25">
      <c r="A47" s="82">
        <v>36</v>
      </c>
      <c r="B47" s="321"/>
      <c r="C47" s="171" t="s">
        <v>151</v>
      </c>
      <c r="D47" s="322"/>
      <c r="E47" s="322"/>
      <c r="F47" s="322"/>
      <c r="G47" s="322"/>
      <c r="H47" s="322"/>
      <c r="I47" s="323"/>
      <c r="J47" s="172"/>
      <c r="K47" s="324"/>
      <c r="L47" s="324"/>
      <c r="M47" s="324"/>
      <c r="N47" s="324"/>
      <c r="O47" s="324"/>
      <c r="P47" s="173"/>
      <c r="Q47" s="173"/>
      <c r="R47" s="404" t="s">
        <v>243</v>
      </c>
      <c r="S47" s="325"/>
      <c r="T47" s="326"/>
      <c r="U47" s="326"/>
      <c r="V47" s="399">
        <f>T47+U47</f>
        <v>0</v>
      </c>
      <c r="X47" s="119"/>
      <c r="Y47" s="107"/>
      <c r="Z47" s="213"/>
    </row>
    <row r="48" spans="1:27" ht="35.1" customHeight="1" thickBot="1" x14ac:dyDescent="0.3">
      <c r="A48" s="87">
        <v>37</v>
      </c>
      <c r="B48" s="327"/>
      <c r="C48" s="328" t="s">
        <v>152</v>
      </c>
      <c r="D48" s="329"/>
      <c r="E48" s="329"/>
      <c r="F48" s="329"/>
      <c r="G48" s="329"/>
      <c r="H48" s="329"/>
      <c r="I48" s="330"/>
      <c r="J48" s="331"/>
      <c r="K48" s="332"/>
      <c r="L48" s="332"/>
      <c r="M48" s="332"/>
      <c r="N48" s="332"/>
      <c r="O48" s="332"/>
      <c r="P48" s="333"/>
      <c r="Q48" s="333"/>
      <c r="R48" s="405" t="s">
        <v>243</v>
      </c>
      <c r="S48" s="334"/>
      <c r="T48" s="335"/>
      <c r="U48" s="335"/>
      <c r="V48" s="408">
        <f t="shared" ref="V48" si="10">T48+U48</f>
        <v>0</v>
      </c>
      <c r="X48" s="125"/>
      <c r="Y48" s="109"/>
      <c r="Z48" s="214"/>
    </row>
    <row r="49" spans="1:27" ht="31.5" customHeight="1" thickTop="1" thickBot="1" x14ac:dyDescent="0.3">
      <c r="A49" s="102"/>
      <c r="B49" s="66" t="s">
        <v>120</v>
      </c>
      <c r="C49" s="67"/>
      <c r="D49" s="68">
        <f t="shared" ref="D49:J49" si="11">SUM(D34:D48)</f>
        <v>0</v>
      </c>
      <c r="E49" s="68">
        <f t="shared" si="11"/>
        <v>0</v>
      </c>
      <c r="F49" s="68">
        <f t="shared" si="11"/>
        <v>0</v>
      </c>
      <c r="G49" s="68">
        <f t="shared" si="11"/>
        <v>0</v>
      </c>
      <c r="H49" s="68">
        <f t="shared" si="11"/>
        <v>0</v>
      </c>
      <c r="I49" s="68">
        <f t="shared" si="11"/>
        <v>0</v>
      </c>
      <c r="J49" s="68">
        <f t="shared" si="11"/>
        <v>0</v>
      </c>
      <c r="K49" s="69"/>
      <c r="L49" s="69"/>
      <c r="M49" s="69"/>
      <c r="N49" s="69"/>
      <c r="O49" s="69"/>
      <c r="P49" s="69"/>
      <c r="Q49" s="69"/>
      <c r="R49" s="69"/>
      <c r="S49" s="386"/>
      <c r="T49" s="86">
        <f>SUM(T34:T48)</f>
        <v>0</v>
      </c>
      <c r="U49" s="86">
        <f>SUM(U34:U48)-U45</f>
        <v>19110752.48</v>
      </c>
      <c r="V49" s="86">
        <f>SUM(V34:V48)-V45</f>
        <v>19110752.48</v>
      </c>
      <c r="W49" s="177"/>
      <c r="X49" s="69"/>
      <c r="Y49" s="86">
        <f>SUM(Y34:Y48)</f>
        <v>0</v>
      </c>
      <c r="Z49" s="215">
        <f>SUM(Z34:Z48)</f>
        <v>0</v>
      </c>
    </row>
    <row r="50" spans="1:27" ht="31.5" customHeight="1" thickBot="1" x14ac:dyDescent="0.3">
      <c r="A50" s="104"/>
      <c r="B50" s="103" t="s">
        <v>153</v>
      </c>
      <c r="C50" s="70"/>
      <c r="D50" s="71">
        <f>D32+D49</f>
        <v>392033916.06</v>
      </c>
      <c r="E50" s="70"/>
      <c r="F50" s="72"/>
      <c r="G50" s="71">
        <f>SUM(G27:G49)</f>
        <v>499469563.56</v>
      </c>
      <c r="H50" s="71">
        <f>SUM(H27:H49)</f>
        <v>525122531.06999999</v>
      </c>
      <c r="I50" s="71"/>
      <c r="J50" s="71">
        <f t="shared" ref="J50:Q50" si="12">J32+J49</f>
        <v>548004000</v>
      </c>
      <c r="K50" s="71">
        <f t="shared" si="12"/>
        <v>210417570.36000001</v>
      </c>
      <c r="L50" s="71">
        <f t="shared" si="12"/>
        <v>79978331.209999993</v>
      </c>
      <c r="M50" s="71">
        <f t="shared" si="12"/>
        <v>58868164.759999998</v>
      </c>
      <c r="N50" s="71">
        <f t="shared" si="12"/>
        <v>5245250.92</v>
      </c>
      <c r="O50" s="71">
        <f t="shared" si="12"/>
        <v>8616444.9800000004</v>
      </c>
      <c r="P50" s="71">
        <f t="shared" si="12"/>
        <v>369502955.38999999</v>
      </c>
      <c r="Q50" s="71">
        <f t="shared" si="12"/>
        <v>178501044.61000001</v>
      </c>
      <c r="R50" s="71"/>
      <c r="S50" s="402"/>
      <c r="T50" s="73">
        <f>T32+T49</f>
        <v>369502955.38</v>
      </c>
      <c r="U50" s="73">
        <f>U32+U49</f>
        <v>162898753.19999999</v>
      </c>
      <c r="V50" s="73">
        <f>V32+V49</f>
        <v>532401708.57999998</v>
      </c>
      <c r="W50" s="177"/>
      <c r="X50" s="71"/>
      <c r="Y50" s="73">
        <f>Y32+Y49</f>
        <v>39961110.119999997</v>
      </c>
      <c r="Z50" s="216">
        <f>Z32+Z49</f>
        <v>0</v>
      </c>
      <c r="AA50" s="406">
        <f>V50/1.0514</f>
        <v>506374080.82556599</v>
      </c>
    </row>
    <row r="51" spans="1:27" x14ac:dyDescent="0.25">
      <c r="AA51" s="557">
        <f>J50/AA50</f>
        <v>1.0822000000000001</v>
      </c>
    </row>
    <row r="52" spans="1:27" ht="45" customHeight="1" x14ac:dyDescent="0.25">
      <c r="A52" s="82">
        <v>35</v>
      </c>
      <c r="B52" s="41">
        <v>11</v>
      </c>
      <c r="C52" s="42" t="s">
        <v>277</v>
      </c>
      <c r="D52" s="43"/>
      <c r="E52" s="43"/>
      <c r="F52" s="43"/>
      <c r="G52" s="43"/>
      <c r="H52" s="43"/>
      <c r="I52" s="44"/>
      <c r="J52" s="55"/>
      <c r="K52" s="56"/>
      <c r="L52" s="56"/>
      <c r="M52" s="56"/>
      <c r="N52" s="56"/>
      <c r="O52" s="56"/>
      <c r="P52" s="53"/>
      <c r="Q52" s="53"/>
      <c r="R52" s="400" t="s">
        <v>139</v>
      </c>
      <c r="S52" s="190" t="s">
        <v>278</v>
      </c>
      <c r="T52" s="107">
        <v>0</v>
      </c>
      <c r="U52" s="107">
        <v>22184864.98</v>
      </c>
      <c r="V52" s="399">
        <f>T52+U52</f>
        <v>22184864.98</v>
      </c>
      <c r="X52" s="119"/>
      <c r="Y52" s="107"/>
      <c r="Z52" s="213"/>
    </row>
    <row r="53" spans="1:27" ht="16.5" thickBot="1" x14ac:dyDescent="0.3"/>
    <row r="54" spans="1:27" ht="31.5" customHeight="1" thickBot="1" x14ac:dyDescent="0.3">
      <c r="A54" s="104"/>
      <c r="B54" s="103" t="s">
        <v>153</v>
      </c>
      <c r="C54" s="70"/>
      <c r="D54" s="71">
        <f>D36+D53</f>
        <v>0</v>
      </c>
      <c r="E54" s="70"/>
      <c r="F54" s="72"/>
      <c r="G54" s="71">
        <f>SUM(G31:G53)</f>
        <v>933830597.49000001</v>
      </c>
      <c r="H54" s="71">
        <f>SUM(H31:H53)</f>
        <v>981792531.08000004</v>
      </c>
      <c r="I54" s="71"/>
      <c r="J54" s="71">
        <f t="shared" ref="J54:Q54" si="13">J36+J53</f>
        <v>0</v>
      </c>
      <c r="K54" s="71">
        <f t="shared" si="13"/>
        <v>0</v>
      </c>
      <c r="L54" s="71">
        <f t="shared" si="13"/>
        <v>0</v>
      </c>
      <c r="M54" s="71">
        <f t="shared" si="13"/>
        <v>0</v>
      </c>
      <c r="N54" s="71">
        <f t="shared" si="13"/>
        <v>0</v>
      </c>
      <c r="O54" s="71">
        <f t="shared" si="13"/>
        <v>0</v>
      </c>
      <c r="P54" s="71">
        <f t="shared" si="13"/>
        <v>0</v>
      </c>
      <c r="Q54" s="71">
        <f t="shared" si="13"/>
        <v>0</v>
      </c>
      <c r="R54" s="71"/>
      <c r="S54" s="402"/>
      <c r="T54" s="73">
        <f>T36+T53</f>
        <v>0</v>
      </c>
      <c r="U54" s="73">
        <f>U50+U52</f>
        <v>185083618.18000001</v>
      </c>
      <c r="V54" s="73">
        <f>V50+V52</f>
        <v>554586573.55999994</v>
      </c>
      <c r="W54" s="177"/>
      <c r="X54" s="71"/>
      <c r="Y54" s="73">
        <f>Y36+Y53</f>
        <v>0</v>
      </c>
      <c r="Z54" s="216">
        <f>Z36+Z53</f>
        <v>0</v>
      </c>
    </row>
    <row r="57" spans="1:27" x14ac:dyDescent="0.25">
      <c r="T57" s="45"/>
      <c r="V57" s="45"/>
    </row>
    <row r="58" spans="1:27" x14ac:dyDescent="0.25">
      <c r="T58" s="45"/>
    </row>
    <row r="59" spans="1:27" x14ac:dyDescent="0.25">
      <c r="T59" s="45"/>
    </row>
    <row r="60" spans="1:27" x14ac:dyDescent="0.25">
      <c r="V60" s="45"/>
    </row>
    <row r="70" spans="1:27" s="39" customFormat="1" ht="54.95" customHeight="1" x14ac:dyDescent="0.25">
      <c r="A70" s="46"/>
      <c r="B70" s="47"/>
      <c r="C70" s="46"/>
      <c r="D70" s="48"/>
      <c r="E70" s="46"/>
      <c r="F70" s="49"/>
      <c r="G70" s="48"/>
      <c r="H70" s="48"/>
      <c r="I70" s="48"/>
      <c r="J70" s="48"/>
      <c r="K70" s="50"/>
      <c r="M70" s="35"/>
      <c r="O70" s="35"/>
      <c r="P70" s="36"/>
      <c r="Q70" s="36"/>
      <c r="R70" s="36"/>
      <c r="S70" s="36"/>
      <c r="T70" s="36"/>
      <c r="U70" s="36"/>
      <c r="V70" s="36"/>
      <c r="W70" s="176"/>
      <c r="X70" s="36"/>
      <c r="Y70" s="36"/>
      <c r="Z70" s="36"/>
      <c r="AA70" s="407"/>
    </row>
    <row r="71" spans="1:27" s="39" customFormat="1" x14ac:dyDescent="0.25">
      <c r="A71" s="36"/>
      <c r="B71" s="36"/>
      <c r="C71" s="36"/>
      <c r="D71" s="45">
        <f>ССР!H58</f>
        <v>392033.92</v>
      </c>
      <c r="E71" s="36"/>
      <c r="F71" s="45"/>
      <c r="G71" s="45">
        <f>ССР!H76</f>
        <v>434361.04</v>
      </c>
      <c r="H71" s="45">
        <f>ССР!H78</f>
        <v>456670</v>
      </c>
      <c r="I71" s="36"/>
      <c r="J71" s="45"/>
      <c r="K71" s="35"/>
      <c r="M71" s="35"/>
      <c r="O71" s="35"/>
      <c r="P71" s="36"/>
      <c r="Q71" s="36"/>
      <c r="R71" s="36"/>
      <c r="S71" s="36"/>
      <c r="T71" s="36"/>
      <c r="U71" s="36"/>
      <c r="V71" s="36"/>
      <c r="W71" s="176"/>
      <c r="X71" s="36"/>
      <c r="Y71" s="36"/>
      <c r="Z71" s="36"/>
      <c r="AA71" s="407"/>
    </row>
    <row r="72" spans="1:27" s="39" customFormat="1" x14ac:dyDescent="0.25">
      <c r="A72" s="36"/>
      <c r="B72" s="36"/>
      <c r="C72" s="36"/>
      <c r="D72" s="45">
        <f>D32/1000</f>
        <v>392033.92</v>
      </c>
      <c r="E72" s="36"/>
      <c r="F72" s="51"/>
      <c r="G72" s="52">
        <f>G32/1000</f>
        <v>434361.03</v>
      </c>
      <c r="H72" s="52">
        <f>H32/1000</f>
        <v>456670</v>
      </c>
      <c r="I72" s="36"/>
      <c r="J72" s="45"/>
      <c r="K72" s="50"/>
      <c r="M72" s="35"/>
      <c r="O72" s="35"/>
      <c r="P72" s="36"/>
      <c r="Q72" s="36"/>
      <c r="R72" s="36"/>
      <c r="S72" s="36"/>
      <c r="T72" s="36"/>
      <c r="U72" s="36"/>
      <c r="V72" s="36"/>
      <c r="W72" s="176"/>
      <c r="X72" s="36"/>
      <c r="Y72" s="36"/>
      <c r="Z72" s="36"/>
      <c r="AA72" s="407"/>
    </row>
    <row r="73" spans="1:27" s="39" customFormat="1" x14ac:dyDescent="0.25">
      <c r="A73" s="36"/>
      <c r="B73" s="36"/>
      <c r="C73" s="36"/>
      <c r="D73" s="45"/>
      <c r="E73" s="45"/>
      <c r="F73" s="51"/>
      <c r="G73" s="36"/>
      <c r="H73" s="36"/>
      <c r="I73" s="36"/>
      <c r="J73" s="36"/>
      <c r="M73" s="35"/>
      <c r="O73" s="35"/>
      <c r="P73" s="36"/>
      <c r="Q73" s="36"/>
      <c r="R73" s="36"/>
      <c r="S73" s="36"/>
      <c r="T73" s="36"/>
      <c r="U73" s="36"/>
      <c r="V73" s="36"/>
      <c r="W73" s="176"/>
      <c r="X73" s="36"/>
      <c r="Y73" s="36"/>
      <c r="Z73" s="36"/>
      <c r="AA73" s="407"/>
    </row>
    <row r="93" spans="1:1" x14ac:dyDescent="0.25">
      <c r="A93" s="36">
        <v>7</v>
      </c>
    </row>
  </sheetData>
  <autoFilter ref="A3:W50" xr:uid="{00000000-0001-0000-0100-000000000000}"/>
  <mergeCells count="13">
    <mergeCell ref="A1:J1"/>
    <mergeCell ref="A3:A4"/>
    <mergeCell ref="B3:B4"/>
    <mergeCell ref="C3:C4"/>
    <mergeCell ref="G3:G4"/>
    <mergeCell ref="H3:H4"/>
    <mergeCell ref="I3:I4"/>
    <mergeCell ref="J3:J4"/>
    <mergeCell ref="T5:U5"/>
    <mergeCell ref="T20:U20"/>
    <mergeCell ref="T21:U21"/>
    <mergeCell ref="T33:U33"/>
    <mergeCell ref="T46:U46"/>
  </mergeCells>
  <pageMargins left="0.23622047244094491" right="0.23622047244094491" top="0.74803149606299213" bottom="0.74803149606299213" header="0.31496062992125984" footer="0.31496062992125984"/>
  <pageSetup paperSize="9" scale="58" fitToHeight="100" orientation="landscape" r:id="rId1"/>
  <rowBreaks count="2" manualBreakCount="2">
    <brk id="52" max="17" man="1"/>
    <brk id="59" max="9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16A07-0CEE-4CC5-B0A2-E3131DC0011A}">
  <sheetPr>
    <tabColor rgb="FFFF0000"/>
    <pageSetUpPr fitToPage="1"/>
  </sheetPr>
  <dimension ref="A1:AE93"/>
  <sheetViews>
    <sheetView tabSelected="1" zoomScale="70" zoomScaleNormal="70" zoomScaleSheetLayoutView="80" workbookViewId="0">
      <pane ySplit="3" topLeftCell="A4" activePane="bottomLeft" state="frozen"/>
      <selection pane="bottomLeft" activeCell="AF18" sqref="AF18"/>
    </sheetView>
  </sheetViews>
  <sheetFormatPr defaultColWidth="9.140625" defaultRowHeight="15.75" outlineLevelCol="1" x14ac:dyDescent="0.25"/>
  <cols>
    <col min="1" max="1" width="6.28515625" style="36" customWidth="1"/>
    <col min="2" max="2" width="17" style="36" customWidth="1"/>
    <col min="3" max="3" width="38.85546875" style="36" customWidth="1"/>
    <col min="4" max="4" width="20.5703125" style="36" hidden="1" customWidth="1" outlineLevel="1"/>
    <col min="5" max="5" width="18.85546875" style="36" hidden="1" customWidth="1" outlineLevel="1"/>
    <col min="6" max="6" width="17.5703125" style="36" hidden="1" customWidth="1" outlineLevel="1"/>
    <col min="7" max="7" width="20.7109375" style="36" hidden="1" customWidth="1" outlineLevel="1"/>
    <col min="8" max="8" width="19.5703125" style="36" hidden="1" customWidth="1" outlineLevel="1"/>
    <col min="9" max="9" width="8.5703125" style="36" hidden="1" customWidth="1" outlineLevel="1"/>
    <col min="10" max="10" width="22.28515625" style="36" customWidth="1" collapsed="1"/>
    <col min="11" max="11" width="20.42578125" style="39" hidden="1" customWidth="1" outlineLevel="1"/>
    <col min="12" max="12" width="16.85546875" style="39" hidden="1" customWidth="1" outlineLevel="1"/>
    <col min="13" max="13" width="18.140625" style="35" hidden="1" customWidth="1" outlineLevel="1"/>
    <col min="14" max="14" width="16.85546875" style="39" hidden="1" customWidth="1" outlineLevel="1"/>
    <col min="15" max="15" width="18.140625" style="35" hidden="1" customWidth="1" outlineLevel="1"/>
    <col min="16" max="16" width="18.42578125" style="36" customWidth="1" collapsed="1"/>
    <col min="17" max="17" width="16.7109375" style="36" customWidth="1"/>
    <col min="18" max="18" width="16.85546875" style="36" customWidth="1"/>
    <col min="19" max="19" width="40.85546875" style="36" customWidth="1"/>
    <col min="20" max="20" width="26.140625" style="36" customWidth="1"/>
    <col min="21" max="21" width="26.7109375" style="36" customWidth="1"/>
    <col min="22" max="22" width="31.42578125" style="36" customWidth="1"/>
    <col min="23" max="23" width="3.28515625" style="176" hidden="1" customWidth="1"/>
    <col min="24" max="24" width="27.5703125" style="36" hidden="1" customWidth="1"/>
    <col min="25" max="26" width="19" style="36" hidden="1" customWidth="1"/>
    <col min="27" max="27" width="29.28515625" style="406" hidden="1" customWidth="1"/>
    <col min="28" max="28" width="15" style="36" hidden="1" customWidth="1"/>
    <col min="29" max="29" width="19.28515625" style="36" hidden="1" customWidth="1"/>
    <col min="30" max="30" width="15.7109375" style="36" hidden="1" customWidth="1"/>
    <col min="31" max="31" width="19.85546875" style="36" customWidth="1"/>
    <col min="32" max="32" width="12.85546875" style="36" customWidth="1"/>
    <col min="33" max="33" width="14.28515625" style="36" customWidth="1"/>
    <col min="34" max="16384" width="9.140625" style="36"/>
  </cols>
  <sheetData>
    <row r="1" spans="1:31" ht="8.25" customHeight="1" x14ac:dyDescent="0.25">
      <c r="A1" s="1125"/>
      <c r="B1" s="1125"/>
      <c r="C1" s="1125"/>
      <c r="D1" s="1125"/>
      <c r="E1" s="1125"/>
      <c r="F1" s="1125"/>
      <c r="G1" s="1125"/>
      <c r="H1" s="1125"/>
      <c r="I1" s="1125"/>
      <c r="J1" s="1125"/>
      <c r="K1" s="654"/>
      <c r="L1" s="654"/>
      <c r="N1" s="654"/>
    </row>
    <row r="2" spans="1:31" ht="5.25" customHeight="1" thickBot="1" x14ac:dyDescent="0.3">
      <c r="A2" s="37"/>
      <c r="B2" s="37"/>
      <c r="C2" s="37"/>
      <c r="D2" s="37"/>
      <c r="E2" s="37"/>
      <c r="F2" s="37"/>
      <c r="G2" s="37"/>
      <c r="H2" s="37"/>
      <c r="I2" s="38"/>
      <c r="J2" s="37"/>
    </row>
    <row r="3" spans="1:31" ht="47.25" customHeight="1" x14ac:dyDescent="0.25">
      <c r="A3" s="1126" t="s">
        <v>111</v>
      </c>
      <c r="B3" s="1128" t="s">
        <v>112</v>
      </c>
      <c r="C3" s="1128" t="s">
        <v>113</v>
      </c>
      <c r="D3" s="655" t="s">
        <v>114</v>
      </c>
      <c r="E3" s="655" t="s">
        <v>115</v>
      </c>
      <c r="F3" s="655" t="s">
        <v>116</v>
      </c>
      <c r="G3" s="1128" t="s">
        <v>117</v>
      </c>
      <c r="H3" s="1130" t="s">
        <v>125</v>
      </c>
      <c r="I3" s="1128" t="s">
        <v>118</v>
      </c>
      <c r="J3" s="1130" t="s">
        <v>244</v>
      </c>
      <c r="K3" s="74" t="s">
        <v>126</v>
      </c>
      <c r="L3" s="74" t="s">
        <v>127</v>
      </c>
      <c r="M3" s="75" t="s">
        <v>128</v>
      </c>
      <c r="N3" s="76" t="s">
        <v>134</v>
      </c>
      <c r="O3" s="77" t="s">
        <v>135</v>
      </c>
      <c r="P3" s="78" t="s">
        <v>136</v>
      </c>
      <c r="Q3" s="78" t="s">
        <v>121</v>
      </c>
      <c r="R3" s="79" t="s">
        <v>137</v>
      </c>
      <c r="S3" s="79" t="s">
        <v>138</v>
      </c>
      <c r="T3" s="80" t="s">
        <v>249</v>
      </c>
      <c r="U3" s="80" t="s">
        <v>276</v>
      </c>
      <c r="V3" s="80" t="s">
        <v>242</v>
      </c>
      <c r="X3" s="79" t="s">
        <v>193</v>
      </c>
      <c r="Y3" s="80" t="s">
        <v>157</v>
      </c>
      <c r="Z3" s="80" t="s">
        <v>137</v>
      </c>
      <c r="AA3" s="80" t="s">
        <v>293</v>
      </c>
    </row>
    <row r="4" spans="1:31" ht="14.25" customHeight="1" x14ac:dyDescent="0.25">
      <c r="A4" s="1127"/>
      <c r="B4" s="1129"/>
      <c r="C4" s="1129"/>
      <c r="D4" s="656"/>
      <c r="E4" s="656"/>
      <c r="F4" s="656"/>
      <c r="G4" s="1129"/>
      <c r="H4" s="1131"/>
      <c r="I4" s="1129"/>
      <c r="J4" s="1131"/>
      <c r="K4" s="54" t="s">
        <v>122</v>
      </c>
      <c r="L4" s="54" t="s">
        <v>123</v>
      </c>
      <c r="M4" s="54" t="s">
        <v>124</v>
      </c>
      <c r="N4" s="54" t="s">
        <v>132</v>
      </c>
      <c r="O4" s="54" t="s">
        <v>133</v>
      </c>
      <c r="P4" s="40"/>
      <c r="Q4" s="40"/>
      <c r="R4" s="65"/>
      <c r="S4" s="65"/>
      <c r="T4" s="81"/>
      <c r="U4" s="81"/>
      <c r="V4" s="81"/>
      <c r="X4" s="65"/>
      <c r="Y4" s="81"/>
      <c r="Z4" s="81"/>
    </row>
    <row r="5" spans="1:31" x14ac:dyDescent="0.25">
      <c r="A5" s="380"/>
      <c r="B5" s="381"/>
      <c r="C5" s="381"/>
      <c r="D5" s="381"/>
      <c r="E5" s="381"/>
      <c r="F5" s="381"/>
      <c r="G5" s="381"/>
      <c r="H5" s="382"/>
      <c r="I5" s="381"/>
      <c r="J5" s="382"/>
      <c r="K5" s="383"/>
      <c r="L5" s="383"/>
      <c r="M5" s="383"/>
      <c r="N5" s="383"/>
      <c r="O5" s="383"/>
      <c r="P5" s="383"/>
      <c r="Q5" s="383"/>
      <c r="R5" s="383"/>
      <c r="S5" s="383"/>
      <c r="T5" s="1132" t="s">
        <v>283</v>
      </c>
      <c r="U5" s="1133"/>
      <c r="V5" s="384"/>
      <c r="X5" s="65"/>
      <c r="Y5" s="81"/>
      <c r="Z5" s="81"/>
    </row>
    <row r="6" spans="1:31" ht="54" customHeight="1" x14ac:dyDescent="0.25">
      <c r="A6" s="301">
        <v>1</v>
      </c>
      <c r="B6" s="620" t="s">
        <v>159</v>
      </c>
      <c r="C6" s="302" t="s">
        <v>26</v>
      </c>
      <c r="D6" s="621">
        <v>48841208.740000002</v>
      </c>
      <c r="E6" s="621">
        <v>4004979.12</v>
      </c>
      <c r="F6" s="621">
        <v>1268308.51</v>
      </c>
      <c r="G6" s="621">
        <v>54114496.369999997</v>
      </c>
      <c r="H6" s="621">
        <v>56893839.630000003</v>
      </c>
      <c r="I6" s="304">
        <v>1.2</v>
      </c>
      <c r="J6" s="305">
        <f>ROUND(H6*I6,2)</f>
        <v>68272607.560000002</v>
      </c>
      <c r="K6" s="622">
        <v>65507253.219999999</v>
      </c>
      <c r="L6" s="622">
        <v>360012.73</v>
      </c>
      <c r="M6" s="622"/>
      <c r="N6" s="622"/>
      <c r="O6" s="622"/>
      <c r="P6" s="622">
        <f>K6+L6+M6+N6+O6</f>
        <v>65867265.950000003</v>
      </c>
      <c r="Q6" s="622">
        <f>J6-K6-L6-M6-N6-O6</f>
        <v>2405341.61</v>
      </c>
      <c r="R6" s="622" t="s">
        <v>139</v>
      </c>
      <c r="S6" s="623" t="s">
        <v>158</v>
      </c>
      <c r="T6" s="624">
        <f>P6</f>
        <v>65867265.950000003</v>
      </c>
      <c r="U6" s="624">
        <v>0</v>
      </c>
      <c r="V6" s="625">
        <f t="shared" ref="V6:V18" si="0">T6+U6</f>
        <v>65867265.950000003</v>
      </c>
      <c r="W6" s="177"/>
      <c r="X6" s="111"/>
      <c r="Y6" s="84"/>
      <c r="Z6" s="208"/>
      <c r="AA6" s="604"/>
      <c r="AC6" s="36">
        <v>0</v>
      </c>
      <c r="AD6" s="45">
        <f>U6-AC6</f>
        <v>0</v>
      </c>
    </row>
    <row r="7" spans="1:31" ht="49.5" customHeight="1" x14ac:dyDescent="0.25">
      <c r="A7" s="301">
        <v>2</v>
      </c>
      <c r="B7" s="620" t="s">
        <v>160</v>
      </c>
      <c r="C7" s="302" t="s">
        <v>9</v>
      </c>
      <c r="D7" s="621">
        <v>40054718.460000001</v>
      </c>
      <c r="E7" s="621">
        <v>3284486.91</v>
      </c>
      <c r="F7" s="621">
        <v>1040140.93</v>
      </c>
      <c r="G7" s="621">
        <v>44379346.299999997</v>
      </c>
      <c r="H7" s="621">
        <v>46658688.170000002</v>
      </c>
      <c r="I7" s="304">
        <v>1.2</v>
      </c>
      <c r="J7" s="305">
        <f t="shared" ref="J7:J24" si="1">ROUND(H7*I7,2)</f>
        <v>55990425.799999997</v>
      </c>
      <c r="K7" s="622">
        <v>54911594.170000002</v>
      </c>
      <c r="L7" s="622"/>
      <c r="M7" s="622"/>
      <c r="N7" s="622"/>
      <c r="O7" s="622"/>
      <c r="P7" s="622">
        <f t="shared" ref="P7:P24" si="2">K7+L7+M7+N7+O7</f>
        <v>54911594.170000002</v>
      </c>
      <c r="Q7" s="622">
        <f t="shared" ref="Q7:Q24" si="3">J7-K7-L7-M7-N7-O7</f>
        <v>1078831.6299999999</v>
      </c>
      <c r="R7" s="622" t="s">
        <v>139</v>
      </c>
      <c r="S7" s="623" t="s">
        <v>158</v>
      </c>
      <c r="T7" s="624">
        <f t="shared" ref="T7:T24" si="4">P7</f>
        <v>54911594.170000002</v>
      </c>
      <c r="U7" s="624">
        <v>0</v>
      </c>
      <c r="V7" s="625">
        <f t="shared" si="0"/>
        <v>54911594.170000002</v>
      </c>
      <c r="X7" s="111"/>
      <c r="Y7" s="84"/>
      <c r="Z7" s="208"/>
      <c r="AA7" s="604"/>
      <c r="AC7" s="36">
        <v>0</v>
      </c>
      <c r="AD7" s="45">
        <f t="shared" ref="AD7:AD22" si="5">U7-AC7</f>
        <v>0</v>
      </c>
    </row>
    <row r="8" spans="1:31" ht="35.1" customHeight="1" x14ac:dyDescent="0.25">
      <c r="A8" s="301">
        <v>3</v>
      </c>
      <c r="B8" s="620" t="s">
        <v>176</v>
      </c>
      <c r="C8" s="302" t="s">
        <v>10</v>
      </c>
      <c r="D8" s="621">
        <v>1177977.71</v>
      </c>
      <c r="E8" s="621">
        <v>96594.17</v>
      </c>
      <c r="F8" s="621">
        <v>30589.73</v>
      </c>
      <c r="G8" s="621">
        <v>1305161.6100000001</v>
      </c>
      <c r="H8" s="621">
        <v>1372195.26</v>
      </c>
      <c r="I8" s="304">
        <f>I6</f>
        <v>1.2</v>
      </c>
      <c r="J8" s="305">
        <f>ROUND(H8*I8,2)</f>
        <v>1646634.31</v>
      </c>
      <c r="K8" s="622"/>
      <c r="L8" s="622"/>
      <c r="M8" s="622">
        <v>1646696.3</v>
      </c>
      <c r="N8" s="622"/>
      <c r="O8" s="622"/>
      <c r="P8" s="622">
        <f t="shared" si="2"/>
        <v>1646696.3</v>
      </c>
      <c r="Q8" s="622">
        <v>0</v>
      </c>
      <c r="R8" s="622" t="s">
        <v>139</v>
      </c>
      <c r="S8" s="623" t="s">
        <v>158</v>
      </c>
      <c r="T8" s="624">
        <f t="shared" si="4"/>
        <v>1646696.3</v>
      </c>
      <c r="U8" s="624">
        <v>0</v>
      </c>
      <c r="V8" s="625">
        <f t="shared" si="0"/>
        <v>1646696.3</v>
      </c>
      <c r="X8" s="111"/>
      <c r="Y8" s="84"/>
      <c r="Z8" s="208"/>
      <c r="AA8" s="604"/>
      <c r="AC8" s="36">
        <v>0</v>
      </c>
      <c r="AD8" s="45">
        <f t="shared" si="5"/>
        <v>0</v>
      </c>
    </row>
    <row r="9" spans="1:31" s="525" customFormat="1" ht="47.25" x14ac:dyDescent="0.25">
      <c r="A9" s="684">
        <v>4</v>
      </c>
      <c r="B9" s="685" t="s">
        <v>177</v>
      </c>
      <c r="C9" s="686" t="s">
        <v>36</v>
      </c>
      <c r="D9" s="687">
        <v>1615223.87</v>
      </c>
      <c r="E9" s="687">
        <v>132448.35999999999</v>
      </c>
      <c r="F9" s="687">
        <v>41944.13</v>
      </c>
      <c r="G9" s="687">
        <v>1789616.36</v>
      </c>
      <c r="H9" s="687">
        <v>1881531.81</v>
      </c>
      <c r="I9" s="688">
        <f>I19</f>
        <v>1.2</v>
      </c>
      <c r="J9" s="689">
        <f t="shared" si="1"/>
        <v>2257838.17</v>
      </c>
      <c r="K9" s="690"/>
      <c r="L9" s="690"/>
      <c r="M9" s="690">
        <v>1627347.05</v>
      </c>
      <c r="N9" s="690"/>
      <c r="O9" s="690"/>
      <c r="P9" s="690">
        <f>K9+L9+M9+N9+O9</f>
        <v>1627347.05</v>
      </c>
      <c r="Q9" s="690">
        <f t="shared" si="3"/>
        <v>630491.12</v>
      </c>
      <c r="R9" s="691" t="s">
        <v>139</v>
      </c>
      <c r="S9" s="692" t="s">
        <v>320</v>
      </c>
      <c r="T9" s="693">
        <f t="shared" si="4"/>
        <v>1627347.05</v>
      </c>
      <c r="U9" s="610">
        <f>381481.1*1.0514</f>
        <v>401089.23</v>
      </c>
      <c r="V9" s="694">
        <f t="shared" si="0"/>
        <v>2028436.28</v>
      </c>
      <c r="W9" s="231"/>
      <c r="X9" s="229" t="s">
        <v>139</v>
      </c>
      <c r="Y9" s="523">
        <f>1447989.61*1.082*1.024*1.0514*1.2</f>
        <v>2024146.22</v>
      </c>
      <c r="Z9" s="524" t="s">
        <v>186</v>
      </c>
      <c r="AA9" s="604">
        <v>2023649.39</v>
      </c>
      <c r="AB9" s="606">
        <f>AA9-V9</f>
        <v>-4786.8900000000003</v>
      </c>
      <c r="AC9" s="525">
        <v>400933.67</v>
      </c>
      <c r="AD9" s="45">
        <f t="shared" si="5"/>
        <v>155.56</v>
      </c>
    </row>
    <row r="10" spans="1:31" ht="31.5" x14ac:dyDescent="0.25">
      <c r="A10" s="684">
        <v>5</v>
      </c>
      <c r="B10" s="685" t="s">
        <v>195</v>
      </c>
      <c r="C10" s="686" t="s">
        <v>315</v>
      </c>
      <c r="D10" s="687">
        <v>475031.03999999998</v>
      </c>
      <c r="E10" s="687">
        <v>38952.550000000003</v>
      </c>
      <c r="F10" s="687">
        <v>12335.61</v>
      </c>
      <c r="G10" s="687">
        <v>526319.19999999995</v>
      </c>
      <c r="H10" s="687">
        <v>553351.18000000005</v>
      </c>
      <c r="I10" s="688">
        <f>I27</f>
        <v>1.2</v>
      </c>
      <c r="J10" s="689">
        <f t="shared" si="1"/>
        <v>664021.42000000004</v>
      </c>
      <c r="K10" s="690"/>
      <c r="L10" s="690"/>
      <c r="M10" s="690"/>
      <c r="N10" s="690"/>
      <c r="O10" s="690"/>
      <c r="P10" s="690">
        <f t="shared" si="2"/>
        <v>0</v>
      </c>
      <c r="Q10" s="690">
        <f t="shared" si="3"/>
        <v>664021.42000000004</v>
      </c>
      <c r="R10" s="691" t="s">
        <v>139</v>
      </c>
      <c r="S10" s="692" t="s">
        <v>312</v>
      </c>
      <c r="T10" s="693">
        <f t="shared" si="4"/>
        <v>0</v>
      </c>
      <c r="U10" s="610">
        <f>328908.08*1.0514+75422.69*1.0514</f>
        <v>425113.37</v>
      </c>
      <c r="V10" s="694">
        <f t="shared" si="0"/>
        <v>425113.37</v>
      </c>
      <c r="W10" s="236"/>
      <c r="X10" s="228" t="s">
        <v>139</v>
      </c>
      <c r="Y10" s="232">
        <f>(235378.05+47139.18)*1.082*1.024*1.0514*1.2</f>
        <v>394931.14</v>
      </c>
      <c r="Z10" s="233" t="s">
        <v>186</v>
      </c>
      <c r="AA10" s="604">
        <v>388509.33</v>
      </c>
      <c r="AB10" s="606">
        <f t="shared" ref="AB10:AB17" si="6">AA10-V10</f>
        <v>-36604.04</v>
      </c>
      <c r="AC10" s="36">
        <v>370254</v>
      </c>
      <c r="AD10" s="45">
        <f t="shared" si="5"/>
        <v>54859.37</v>
      </c>
    </row>
    <row r="11" spans="1:31" ht="31.5" x14ac:dyDescent="0.25">
      <c r="A11" s="684">
        <v>6</v>
      </c>
      <c r="B11" s="685" t="s">
        <v>178</v>
      </c>
      <c r="C11" s="686" t="s">
        <v>314</v>
      </c>
      <c r="D11" s="687">
        <v>2276671.21</v>
      </c>
      <c r="E11" s="687">
        <v>186687.04</v>
      </c>
      <c r="F11" s="687">
        <v>59120.6</v>
      </c>
      <c r="G11" s="687">
        <v>2522478.85</v>
      </c>
      <c r="H11" s="687">
        <v>2652034.42</v>
      </c>
      <c r="I11" s="688">
        <f>I27</f>
        <v>1.2</v>
      </c>
      <c r="J11" s="689">
        <f t="shared" si="1"/>
        <v>3182441.3</v>
      </c>
      <c r="K11" s="690"/>
      <c r="L11" s="690"/>
      <c r="M11" s="690"/>
      <c r="N11" s="690"/>
      <c r="O11" s="690"/>
      <c r="P11" s="690">
        <f t="shared" si="2"/>
        <v>0</v>
      </c>
      <c r="Q11" s="690">
        <f t="shared" si="3"/>
        <v>3182441.3</v>
      </c>
      <c r="R11" s="691" t="s">
        <v>139</v>
      </c>
      <c r="S11" s="692" t="s">
        <v>312</v>
      </c>
      <c r="T11" s="693">
        <f t="shared" si="4"/>
        <v>0</v>
      </c>
      <c r="U11" s="610">
        <f>4303628.36*1.0514+232553.33*1.0514</f>
        <v>4769341.43</v>
      </c>
      <c r="V11" s="694">
        <f t="shared" si="0"/>
        <v>4769341.43</v>
      </c>
      <c r="W11" s="178"/>
      <c r="X11" s="111" t="s">
        <v>139</v>
      </c>
      <c r="Y11" s="84">
        <f>(3206824.35+130942.19)*1.082*1.024*1.0514*1.2</f>
        <v>4665867.41</v>
      </c>
      <c r="Z11" s="233" t="s">
        <v>186</v>
      </c>
      <c r="AA11" s="604">
        <f>'вар НВ (с 0,65 и без упл)'!U11</f>
        <v>4814643</v>
      </c>
      <c r="AB11" s="606">
        <f t="shared" si="6"/>
        <v>45301.57</v>
      </c>
      <c r="AC11" s="45">
        <v>4524834.8600000003</v>
      </c>
      <c r="AD11" s="45">
        <f t="shared" si="5"/>
        <v>244506.57</v>
      </c>
    </row>
    <row r="12" spans="1:31" ht="31.5" x14ac:dyDescent="0.25">
      <c r="A12" s="684">
        <v>7</v>
      </c>
      <c r="B12" s="685" t="s">
        <v>179</v>
      </c>
      <c r="C12" s="686" t="s">
        <v>47</v>
      </c>
      <c r="D12" s="687">
        <v>760016.55</v>
      </c>
      <c r="E12" s="687">
        <v>62321.36</v>
      </c>
      <c r="F12" s="687">
        <v>19736.11</v>
      </c>
      <c r="G12" s="687">
        <v>842074.02</v>
      </c>
      <c r="H12" s="687">
        <v>885323.3</v>
      </c>
      <c r="I12" s="688">
        <f>I20</f>
        <v>1.2</v>
      </c>
      <c r="J12" s="689">
        <f t="shared" si="1"/>
        <v>1062387.96</v>
      </c>
      <c r="K12" s="690"/>
      <c r="L12" s="690"/>
      <c r="M12" s="690"/>
      <c r="N12" s="690"/>
      <c r="O12" s="690"/>
      <c r="P12" s="690">
        <f t="shared" si="2"/>
        <v>0</v>
      </c>
      <c r="Q12" s="690">
        <f t="shared" si="3"/>
        <v>1062387.96</v>
      </c>
      <c r="R12" s="690" t="s">
        <v>139</v>
      </c>
      <c r="S12" s="692" t="s">
        <v>312</v>
      </c>
      <c r="T12" s="693">
        <f t="shared" si="4"/>
        <v>0</v>
      </c>
      <c r="U12" s="610">
        <f>1451570.46*1.0514</f>
        <v>1526181.18</v>
      </c>
      <c r="V12" s="694">
        <f t="shared" si="0"/>
        <v>1526181.18</v>
      </c>
      <c r="W12" s="231"/>
      <c r="X12" s="228" t="s">
        <v>139</v>
      </c>
      <c r="Y12" s="232">
        <f>1047143.73*1.082*1.024*1.0514*1.2</f>
        <v>1463803.34</v>
      </c>
      <c r="Z12" s="233" t="s">
        <v>186</v>
      </c>
      <c r="AA12" s="619">
        <v>1463803.34</v>
      </c>
      <c r="AB12" s="606">
        <f t="shared" si="6"/>
        <v>-62377.84</v>
      </c>
      <c r="AC12" s="36">
        <v>1553260.73</v>
      </c>
      <c r="AD12" s="45">
        <f t="shared" si="5"/>
        <v>-27079.55</v>
      </c>
    </row>
    <row r="13" spans="1:31" ht="31.5" x14ac:dyDescent="0.25">
      <c r="A13" s="684">
        <v>8</v>
      </c>
      <c r="B13" s="685" t="s">
        <v>180</v>
      </c>
      <c r="C13" s="686" t="s">
        <v>49</v>
      </c>
      <c r="D13" s="687">
        <v>10454161.890000001</v>
      </c>
      <c r="E13" s="687">
        <v>857241.27</v>
      </c>
      <c r="F13" s="687">
        <v>271473.68</v>
      </c>
      <c r="G13" s="687">
        <v>11582876.84</v>
      </c>
      <c r="H13" s="687">
        <v>12177778.26</v>
      </c>
      <c r="I13" s="688">
        <f t="shared" ref="I13:I18" si="7">I6</f>
        <v>1.2</v>
      </c>
      <c r="J13" s="689">
        <f t="shared" si="1"/>
        <v>14613333.91</v>
      </c>
      <c r="K13" s="690"/>
      <c r="L13" s="690"/>
      <c r="M13" s="690"/>
      <c r="N13" s="690"/>
      <c r="O13" s="690"/>
      <c r="P13" s="690">
        <f t="shared" si="2"/>
        <v>0</v>
      </c>
      <c r="Q13" s="690">
        <f t="shared" si="3"/>
        <v>14613333.91</v>
      </c>
      <c r="R13" s="690" t="s">
        <v>139</v>
      </c>
      <c r="S13" s="692" t="str">
        <f>S10</f>
        <v>СОГЛАСОВАНО</v>
      </c>
      <c r="T13" s="693">
        <f t="shared" si="4"/>
        <v>0</v>
      </c>
      <c r="U13" s="610">
        <f>18693514.12*1.0514</f>
        <v>19654360.75</v>
      </c>
      <c r="V13" s="694">
        <f t="shared" si="0"/>
        <v>19654360.75</v>
      </c>
      <c r="W13" s="231"/>
      <c r="X13" s="228" t="s">
        <v>139</v>
      </c>
      <c r="Y13" s="232">
        <f>13422525.94*1.082*1.024*1.0514*1.2</f>
        <v>18763363.32</v>
      </c>
      <c r="Z13" s="233" t="s">
        <v>186</v>
      </c>
      <c r="AA13" s="619">
        <f>'вар НВ (с 0,65 и без упл)'!U13</f>
        <v>19308691</v>
      </c>
      <c r="AB13" s="606">
        <f t="shared" si="6"/>
        <v>-345669.75</v>
      </c>
      <c r="AC13" s="36">
        <v>19970832</v>
      </c>
      <c r="AD13" s="704">
        <f t="shared" si="5"/>
        <v>-316471.25</v>
      </c>
    </row>
    <row r="14" spans="1:31" s="525" customFormat="1" ht="31.5" x14ac:dyDescent="0.25">
      <c r="A14" s="684">
        <v>9</v>
      </c>
      <c r="B14" s="685" t="s">
        <v>181</v>
      </c>
      <c r="C14" s="686" t="s">
        <v>52</v>
      </c>
      <c r="D14" s="687">
        <v>9143309.8300000001</v>
      </c>
      <c r="E14" s="687">
        <v>749751.41</v>
      </c>
      <c r="F14" s="687">
        <v>237433.47</v>
      </c>
      <c r="G14" s="687">
        <v>10130494.710000001</v>
      </c>
      <c r="H14" s="687">
        <v>10650801.17</v>
      </c>
      <c r="I14" s="688">
        <f t="shared" si="7"/>
        <v>1.2</v>
      </c>
      <c r="J14" s="689">
        <f t="shared" si="1"/>
        <v>12780961.4</v>
      </c>
      <c r="K14" s="690"/>
      <c r="L14" s="690"/>
      <c r="M14" s="690"/>
      <c r="N14" s="690"/>
      <c r="O14" s="690">
        <v>337909.86</v>
      </c>
      <c r="P14" s="690">
        <f t="shared" si="2"/>
        <v>337909.86</v>
      </c>
      <c r="Q14" s="690">
        <f t="shared" si="3"/>
        <v>12443051.539999999</v>
      </c>
      <c r="R14" s="690" t="s">
        <v>139</v>
      </c>
      <c r="S14" s="692" t="s">
        <v>312</v>
      </c>
      <c r="T14" s="693">
        <f t="shared" si="4"/>
        <v>337909.86</v>
      </c>
      <c r="U14" s="610">
        <f>2088473.11*1.0514</f>
        <v>2195820.63</v>
      </c>
      <c r="V14" s="694">
        <f t="shared" si="0"/>
        <v>2533730.4900000002</v>
      </c>
      <c r="W14" s="178"/>
      <c r="X14" s="175" t="s">
        <v>139</v>
      </c>
      <c r="Y14" s="174">
        <f>1724717.19*1.082*1.024*1.0514*1.2</f>
        <v>2410984</v>
      </c>
      <c r="Z14" s="524" t="s">
        <v>186</v>
      </c>
      <c r="AA14" s="619">
        <f>'вар НВ (с 0,65 и без упл)'!U14</f>
        <v>2202170</v>
      </c>
      <c r="AB14" s="606">
        <f t="shared" si="6"/>
        <v>-331560.49</v>
      </c>
      <c r="AC14" s="525">
        <v>2221220.66</v>
      </c>
      <c r="AD14" s="45">
        <f t="shared" si="5"/>
        <v>-25400.03</v>
      </c>
    </row>
    <row r="15" spans="1:31" s="525" customFormat="1" ht="31.5" x14ac:dyDescent="0.25">
      <c r="A15" s="684">
        <v>10</v>
      </c>
      <c r="B15" s="685" t="s">
        <v>182</v>
      </c>
      <c r="C15" s="686" t="s">
        <v>54</v>
      </c>
      <c r="D15" s="687">
        <v>21996729.18</v>
      </c>
      <c r="E15" s="687">
        <v>1803731.79</v>
      </c>
      <c r="F15" s="687">
        <v>571211.06000000006</v>
      </c>
      <c r="G15" s="687">
        <v>24371672.030000001</v>
      </c>
      <c r="H15" s="687">
        <v>25623411.34</v>
      </c>
      <c r="I15" s="688">
        <f t="shared" si="7"/>
        <v>1.2</v>
      </c>
      <c r="J15" s="689">
        <f t="shared" si="1"/>
        <v>30748093.609999999</v>
      </c>
      <c r="K15" s="690"/>
      <c r="L15" s="690"/>
      <c r="M15" s="690">
        <v>1211400.79</v>
      </c>
      <c r="N15" s="690"/>
      <c r="O15" s="690"/>
      <c r="P15" s="690">
        <f t="shared" si="2"/>
        <v>1211400.79</v>
      </c>
      <c r="Q15" s="690">
        <f t="shared" si="3"/>
        <v>29536692.82</v>
      </c>
      <c r="R15" s="691" t="s">
        <v>139</v>
      </c>
      <c r="S15" s="692" t="s">
        <v>312</v>
      </c>
      <c r="T15" s="693">
        <f t="shared" si="4"/>
        <v>1211400.79</v>
      </c>
      <c r="U15" s="610">
        <f>2857250.86*1.0514</f>
        <v>3004113.55</v>
      </c>
      <c r="V15" s="694">
        <f t="shared" si="0"/>
        <v>4215514.34</v>
      </c>
      <c r="W15" s="178"/>
      <c r="X15" s="175" t="s">
        <v>139</v>
      </c>
      <c r="Y15" s="174">
        <f>2827828.36*1.082*1.024*1.0514*1.2</f>
        <v>3953024.28</v>
      </c>
      <c r="Z15" s="524" t="s">
        <v>186</v>
      </c>
      <c r="AA15" s="619">
        <f>'вар НВ (с 0,65 и без упл)'!V15</f>
        <v>4448059.79</v>
      </c>
      <c r="AB15" s="606">
        <f t="shared" si="6"/>
        <v>232545.45</v>
      </c>
      <c r="AC15" s="525">
        <v>3314342.94</v>
      </c>
      <c r="AD15" s="45">
        <f t="shared" si="5"/>
        <v>-310229.39</v>
      </c>
      <c r="AE15" s="525" t="s">
        <v>313</v>
      </c>
    </row>
    <row r="16" spans="1:31" ht="31.5" x14ac:dyDescent="0.25">
      <c r="A16" s="684">
        <v>11</v>
      </c>
      <c r="B16" s="685" t="s">
        <v>183</v>
      </c>
      <c r="C16" s="686" t="s">
        <v>62</v>
      </c>
      <c r="D16" s="687">
        <v>1890203.39</v>
      </c>
      <c r="E16" s="687">
        <v>154996.68</v>
      </c>
      <c r="F16" s="687">
        <v>49084.800000000003</v>
      </c>
      <c r="G16" s="687">
        <v>2094284.87</v>
      </c>
      <c r="H16" s="687">
        <v>2201848.2200000002</v>
      </c>
      <c r="I16" s="688">
        <f t="shared" si="7"/>
        <v>1.2</v>
      </c>
      <c r="J16" s="689">
        <f t="shared" ref="J16:J21" si="8">ROUND(H16*I16,2)</f>
        <v>2642217.86</v>
      </c>
      <c r="K16" s="690"/>
      <c r="L16" s="690"/>
      <c r="M16" s="690"/>
      <c r="N16" s="690"/>
      <c r="O16" s="690"/>
      <c r="P16" s="690">
        <f t="shared" ref="P16:P21" si="9">K16+L16+M16+N16+O16</f>
        <v>0</v>
      </c>
      <c r="Q16" s="690">
        <f t="shared" ref="Q16:Q21" si="10">J16-K16-L16-M16-N16-O16</f>
        <v>2642217.86</v>
      </c>
      <c r="R16" s="690" t="s">
        <v>139</v>
      </c>
      <c r="S16" s="692" t="s">
        <v>312</v>
      </c>
      <c r="T16" s="693">
        <f t="shared" ref="T16:T21" si="11">P16</f>
        <v>0</v>
      </c>
      <c r="U16" s="610">
        <f>2349488.86*1.0514</f>
        <v>2470252.59</v>
      </c>
      <c r="V16" s="694">
        <f t="shared" si="0"/>
        <v>2470252.59</v>
      </c>
      <c r="W16" s="178"/>
      <c r="X16" s="111" t="s">
        <v>139</v>
      </c>
      <c r="Y16" s="84">
        <f>1675854.44*1.082*1.024*1.0514*1.2</f>
        <v>2342678.71</v>
      </c>
      <c r="Z16" s="233" t="s">
        <v>186</v>
      </c>
      <c r="AA16" s="619">
        <f>'вар НВ (с 0,65 и без упл)'!U16</f>
        <v>2387178</v>
      </c>
      <c r="AB16" s="606">
        <f t="shared" si="6"/>
        <v>-83074.59</v>
      </c>
      <c r="AC16" s="36">
        <v>2509941.54</v>
      </c>
      <c r="AD16" s="45">
        <f t="shared" si="5"/>
        <v>-39688.949999999997</v>
      </c>
    </row>
    <row r="17" spans="1:30" ht="31.5" x14ac:dyDescent="0.25">
      <c r="A17" s="684">
        <v>12</v>
      </c>
      <c r="B17" s="685" t="s">
        <v>184</v>
      </c>
      <c r="C17" s="686" t="s">
        <v>64</v>
      </c>
      <c r="D17" s="687">
        <v>4003449.34</v>
      </c>
      <c r="E17" s="687">
        <v>328282.84999999998</v>
      </c>
      <c r="F17" s="687">
        <v>103961.57</v>
      </c>
      <c r="G17" s="687">
        <v>4435693.76</v>
      </c>
      <c r="H17" s="687">
        <v>4663512.8499999996</v>
      </c>
      <c r="I17" s="688">
        <f t="shared" si="7"/>
        <v>1.2</v>
      </c>
      <c r="J17" s="689">
        <f t="shared" si="8"/>
        <v>5596215.4199999999</v>
      </c>
      <c r="K17" s="690"/>
      <c r="L17" s="690"/>
      <c r="M17" s="690"/>
      <c r="N17" s="690"/>
      <c r="O17" s="690"/>
      <c r="P17" s="690">
        <f t="shared" si="9"/>
        <v>0</v>
      </c>
      <c r="Q17" s="690">
        <f t="shared" si="10"/>
        <v>5596215.4199999999</v>
      </c>
      <c r="R17" s="690" t="s">
        <v>139</v>
      </c>
      <c r="S17" s="692" t="s">
        <v>312</v>
      </c>
      <c r="T17" s="693">
        <f t="shared" si="11"/>
        <v>0</v>
      </c>
      <c r="U17" s="610">
        <f>4471850.99*1.0514</f>
        <v>4701704.13</v>
      </c>
      <c r="V17" s="694">
        <f t="shared" si="0"/>
        <v>4701704.13</v>
      </c>
      <c r="W17" s="178"/>
      <c r="X17" s="111" t="s">
        <v>139</v>
      </c>
      <c r="Y17" s="84">
        <f>2820165.03*1.082*1.024*1.0514*1.2</f>
        <v>3942311.7</v>
      </c>
      <c r="Z17" s="233" t="s">
        <v>186</v>
      </c>
      <c r="AA17" s="619">
        <v>3942311.7</v>
      </c>
      <c r="AB17" s="606">
        <f t="shared" si="6"/>
        <v>-759392.43</v>
      </c>
      <c r="AC17" s="36">
        <v>4764781</v>
      </c>
      <c r="AD17" s="45">
        <f t="shared" si="5"/>
        <v>-63076.87</v>
      </c>
    </row>
    <row r="18" spans="1:30" ht="31.5" x14ac:dyDescent="0.25">
      <c r="A18" s="684">
        <v>13</v>
      </c>
      <c r="B18" s="685" t="s">
        <v>289</v>
      </c>
      <c r="C18" s="686" t="s">
        <v>67</v>
      </c>
      <c r="D18" s="687">
        <v>8291915.46</v>
      </c>
      <c r="E18" s="687">
        <v>679937.07</v>
      </c>
      <c r="F18" s="687">
        <v>215324.46</v>
      </c>
      <c r="G18" s="687">
        <v>9187176.9900000002</v>
      </c>
      <c r="H18" s="687">
        <v>9659034.2599999998</v>
      </c>
      <c r="I18" s="688">
        <f t="shared" si="7"/>
        <v>1.2</v>
      </c>
      <c r="J18" s="689">
        <f t="shared" si="8"/>
        <v>11590841.109999999</v>
      </c>
      <c r="K18" s="705"/>
      <c r="L18" s="705"/>
      <c r="M18" s="705"/>
      <c r="N18" s="705"/>
      <c r="O18" s="705"/>
      <c r="P18" s="690">
        <f t="shared" si="9"/>
        <v>0</v>
      </c>
      <c r="Q18" s="690">
        <f t="shared" si="10"/>
        <v>11590841.109999999</v>
      </c>
      <c r="R18" s="706" t="s">
        <v>139</v>
      </c>
      <c r="S18" s="692" t="str">
        <f>S15</f>
        <v>СОГЛАСОВАНО</v>
      </c>
      <c r="T18" s="693">
        <f t="shared" si="11"/>
        <v>0</v>
      </c>
      <c r="U18" s="610">
        <f>6105289.42*1.0514</f>
        <v>6419101.2999999998</v>
      </c>
      <c r="V18" s="694">
        <f t="shared" si="0"/>
        <v>6419101.2999999998</v>
      </c>
      <c r="W18" s="188"/>
      <c r="X18" s="111"/>
      <c r="Y18" s="84"/>
      <c r="Z18" s="208"/>
      <c r="AA18" s="604"/>
      <c r="AB18" s="526"/>
      <c r="AC18" s="36">
        <v>6207964</v>
      </c>
      <c r="AD18" s="45">
        <f t="shared" si="5"/>
        <v>211137.3</v>
      </c>
    </row>
    <row r="19" spans="1:30" ht="47.25" x14ac:dyDescent="0.25">
      <c r="A19" s="591">
        <v>14</v>
      </c>
      <c r="B19" s="682" t="s">
        <v>306</v>
      </c>
      <c r="C19" s="592" t="s">
        <v>11</v>
      </c>
      <c r="D19" s="593">
        <v>161452921.99000001</v>
      </c>
      <c r="E19" s="593">
        <v>13239139.6</v>
      </c>
      <c r="F19" s="593">
        <v>4192609.48</v>
      </c>
      <c r="G19" s="593">
        <v>178884671.06999999</v>
      </c>
      <c r="H19" s="593">
        <v>188072263.84999999</v>
      </c>
      <c r="I19" s="594">
        <f>I6</f>
        <v>1.2</v>
      </c>
      <c r="J19" s="595">
        <f t="shared" si="8"/>
        <v>225686716.62</v>
      </c>
      <c r="K19" s="648">
        <v>89998722.969999999</v>
      </c>
      <c r="L19" s="648">
        <v>66544414.909999996</v>
      </c>
      <c r="M19" s="648">
        <v>42672742.899999999</v>
      </c>
      <c r="N19" s="648"/>
      <c r="O19" s="648"/>
      <c r="P19" s="648">
        <f t="shared" si="9"/>
        <v>199215880.78</v>
      </c>
      <c r="Q19" s="648">
        <f t="shared" si="10"/>
        <v>26470835.84</v>
      </c>
      <c r="R19" s="648" t="s">
        <v>139</v>
      </c>
      <c r="S19" s="683" t="s">
        <v>311</v>
      </c>
      <c r="T19" s="650">
        <f t="shared" si="11"/>
        <v>199215880.78</v>
      </c>
      <c r="U19" s="681">
        <f>37091104.51</f>
        <v>37091104.509999998</v>
      </c>
      <c r="V19" s="652">
        <f>T19+U19</f>
        <v>236306985.28999999</v>
      </c>
      <c r="X19" s="111"/>
      <c r="Y19" s="84"/>
      <c r="Z19" s="208"/>
      <c r="AA19" s="36"/>
      <c r="AB19" s="45"/>
      <c r="AC19" s="36">
        <v>37091104.509999998</v>
      </c>
      <c r="AD19" s="45">
        <f t="shared" si="5"/>
        <v>0</v>
      </c>
    </row>
    <row r="20" spans="1:30" s="585" customFormat="1" ht="35.25" customHeight="1" x14ac:dyDescent="0.25">
      <c r="A20" s="684">
        <v>16</v>
      </c>
      <c r="B20" s="1058" t="s">
        <v>307</v>
      </c>
      <c r="C20" s="686" t="s">
        <v>34</v>
      </c>
      <c r="D20" s="687">
        <v>10526911.91</v>
      </c>
      <c r="E20" s="687">
        <v>863206.78</v>
      </c>
      <c r="F20" s="687">
        <v>273362.84999999998</v>
      </c>
      <c r="G20" s="687">
        <v>11663481.539999999</v>
      </c>
      <c r="H20" s="687">
        <v>12262522.85</v>
      </c>
      <c r="I20" s="688">
        <f>I8</f>
        <v>1.2</v>
      </c>
      <c r="J20" s="689">
        <f t="shared" si="8"/>
        <v>14715027.42</v>
      </c>
      <c r="K20" s="690"/>
      <c r="L20" s="690">
        <v>10775049.08</v>
      </c>
      <c r="M20" s="690"/>
      <c r="N20" s="690"/>
      <c r="O20" s="690"/>
      <c r="P20" s="690">
        <f t="shared" si="9"/>
        <v>10775049.08</v>
      </c>
      <c r="Q20" s="690">
        <f t="shared" si="10"/>
        <v>3939978.34</v>
      </c>
      <c r="R20" s="690" t="s">
        <v>139</v>
      </c>
      <c r="S20" s="692" t="s">
        <v>312</v>
      </c>
      <c r="T20" s="693">
        <f t="shared" si="11"/>
        <v>10775049.08</v>
      </c>
      <c r="U20" s="610">
        <f>3431255.45*1.0514</f>
        <v>3607621.98</v>
      </c>
      <c r="V20" s="694">
        <f>T20+U20</f>
        <v>14382671.060000001</v>
      </c>
      <c r="W20" s="582"/>
      <c r="X20" s="111"/>
      <c r="Y20" s="83"/>
      <c r="Z20" s="583"/>
      <c r="AA20" s="584"/>
      <c r="AC20" s="585">
        <v>1790752.08</v>
      </c>
      <c r="AD20" s="45">
        <f t="shared" si="5"/>
        <v>1816869.9</v>
      </c>
    </row>
    <row r="21" spans="1:30" s="449" customFormat="1" ht="36" customHeight="1" x14ac:dyDescent="0.25">
      <c r="A21" s="695">
        <v>19</v>
      </c>
      <c r="B21" s="696" t="s">
        <v>59</v>
      </c>
      <c r="C21" s="697" t="s">
        <v>60</v>
      </c>
      <c r="D21" s="698">
        <v>4859580.66</v>
      </c>
      <c r="E21" s="698">
        <v>398485.61</v>
      </c>
      <c r="F21" s="698">
        <v>126193.59</v>
      </c>
      <c r="G21" s="698">
        <v>5384259.8600000003</v>
      </c>
      <c r="H21" s="698">
        <v>5660797.71</v>
      </c>
      <c r="I21" s="699">
        <f>I14</f>
        <v>1.2</v>
      </c>
      <c r="J21" s="700">
        <f t="shared" si="8"/>
        <v>6792957.25</v>
      </c>
      <c r="K21" s="701"/>
      <c r="L21" s="701"/>
      <c r="M21" s="701"/>
      <c r="N21" s="701"/>
      <c r="O21" s="701">
        <v>562345.21</v>
      </c>
      <c r="P21" s="701">
        <f t="shared" si="9"/>
        <v>562345.21</v>
      </c>
      <c r="Q21" s="701">
        <f t="shared" si="10"/>
        <v>6230612.04</v>
      </c>
      <c r="R21" s="690" t="s">
        <v>139</v>
      </c>
      <c r="S21" s="692" t="s">
        <v>312</v>
      </c>
      <c r="T21" s="702">
        <f t="shared" si="11"/>
        <v>562345.21</v>
      </c>
      <c r="U21" s="610">
        <f>3262429.24*1.0514</f>
        <v>3430118.1</v>
      </c>
      <c r="V21" s="694">
        <f>T21+U21</f>
        <v>3992463.31</v>
      </c>
      <c r="W21" s="451"/>
      <c r="X21" s="446"/>
      <c r="Y21" s="443"/>
      <c r="Z21" s="447"/>
      <c r="AA21" s="448"/>
      <c r="AC21" s="449">
        <v>3430118.1</v>
      </c>
      <c r="AD21" s="45">
        <f t="shared" si="5"/>
        <v>0</v>
      </c>
    </row>
    <row r="22" spans="1:30" ht="4.5" customHeight="1" x14ac:dyDescent="0.25">
      <c r="A22" s="409"/>
      <c r="B22" s="410"/>
      <c r="C22" s="411"/>
      <c r="D22" s="412"/>
      <c r="E22" s="412"/>
      <c r="F22" s="412"/>
      <c r="G22" s="412"/>
      <c r="H22" s="412"/>
      <c r="I22" s="413"/>
      <c r="J22" s="414"/>
      <c r="K22" s="415"/>
      <c r="L22" s="415"/>
      <c r="M22" s="415"/>
      <c r="N22" s="415"/>
      <c r="O22" s="415"/>
      <c r="P22" s="415"/>
      <c r="Q22" s="415"/>
      <c r="R22" s="415"/>
      <c r="S22" s="190"/>
      <c r="T22" s="416"/>
      <c r="U22" s="417"/>
      <c r="V22" s="418"/>
      <c r="W22" s="178"/>
      <c r="X22" s="111"/>
      <c r="Y22" s="84"/>
      <c r="Z22" s="233"/>
      <c r="AD22" s="45">
        <f t="shared" si="5"/>
        <v>0</v>
      </c>
    </row>
    <row r="23" spans="1:30" ht="32.25" customHeight="1" x14ac:dyDescent="0.25">
      <c r="A23" s="380"/>
      <c r="B23" s="381"/>
      <c r="C23" s="381"/>
      <c r="D23" s="381"/>
      <c r="E23" s="381"/>
      <c r="F23" s="381"/>
      <c r="G23" s="381"/>
      <c r="H23" s="382"/>
      <c r="I23" s="381"/>
      <c r="J23" s="382"/>
      <c r="K23" s="383"/>
      <c r="L23" s="383"/>
      <c r="M23" s="383"/>
      <c r="N23" s="383"/>
      <c r="O23" s="383"/>
      <c r="P23" s="383"/>
      <c r="Q23" s="383"/>
      <c r="R23" s="383"/>
      <c r="S23" s="383"/>
      <c r="T23" s="1132" t="s">
        <v>272</v>
      </c>
      <c r="U23" s="1133"/>
      <c r="V23" s="605"/>
      <c r="W23" s="605">
        <f>SUM(W9:W17)</f>
        <v>0</v>
      </c>
      <c r="X23" s="605">
        <f>SUM(X9:X17)</f>
        <v>0</v>
      </c>
      <c r="Y23" s="605">
        <f>SUM(Y9:Y17)</f>
        <v>39961110.119999997</v>
      </c>
      <c r="Z23" s="605">
        <f>SUM(Z9:Z17)</f>
        <v>0</v>
      </c>
      <c r="AA23" s="36"/>
      <c r="AC23" s="45"/>
    </row>
    <row r="24" spans="1:30" s="585" customFormat="1" ht="43.5" customHeight="1" x14ac:dyDescent="0.25">
      <c r="A24" s="409">
        <v>18</v>
      </c>
      <c r="B24" s="410" t="s">
        <v>58</v>
      </c>
      <c r="C24" s="411" t="s">
        <v>297</v>
      </c>
      <c r="D24" s="412">
        <v>4044845.15</v>
      </c>
      <c r="E24" s="412">
        <v>331677.3</v>
      </c>
      <c r="F24" s="412">
        <v>105036.54</v>
      </c>
      <c r="G24" s="412">
        <v>4481558.99</v>
      </c>
      <c r="H24" s="412">
        <v>4711733.74</v>
      </c>
      <c r="I24" s="413">
        <f>I13</f>
        <v>1.2</v>
      </c>
      <c r="J24" s="414">
        <f t="shared" si="1"/>
        <v>5654080.4900000002</v>
      </c>
      <c r="K24" s="415"/>
      <c r="L24" s="415"/>
      <c r="M24" s="415"/>
      <c r="N24" s="415"/>
      <c r="O24" s="415">
        <v>3594854.48</v>
      </c>
      <c r="P24" s="415">
        <f t="shared" si="2"/>
        <v>3594854.48</v>
      </c>
      <c r="Q24" s="415">
        <f t="shared" si="3"/>
        <v>2059226.01</v>
      </c>
      <c r="R24" s="415" t="s">
        <v>169</v>
      </c>
      <c r="S24" s="1062" t="s">
        <v>247</v>
      </c>
      <c r="T24" s="1063">
        <f t="shared" si="4"/>
        <v>3594854.48</v>
      </c>
      <c r="U24" s="418">
        <f>Q24</f>
        <v>2059226.01</v>
      </c>
      <c r="V24" s="1063">
        <f t="shared" ref="V24" si="12">T24+U24</f>
        <v>5654080.4900000002</v>
      </c>
      <c r="W24" s="582"/>
      <c r="X24" s="111"/>
      <c r="Y24" s="83"/>
      <c r="Z24" s="583"/>
      <c r="AA24" s="584" t="s">
        <v>295</v>
      </c>
    </row>
    <row r="25" spans="1:30" ht="31.5" x14ac:dyDescent="0.25">
      <c r="A25" s="409">
        <v>20</v>
      </c>
      <c r="B25" s="410" t="s">
        <v>70</v>
      </c>
      <c r="C25" s="411" t="s">
        <v>8</v>
      </c>
      <c r="D25" s="412">
        <v>5005903.75</v>
      </c>
      <c r="E25" s="412">
        <v>410484.11</v>
      </c>
      <c r="F25" s="412">
        <v>129993.31</v>
      </c>
      <c r="G25" s="412">
        <v>5546381.1699999999</v>
      </c>
      <c r="H25" s="412">
        <v>5831245.6399999997</v>
      </c>
      <c r="I25" s="413">
        <f>I12</f>
        <v>1.2</v>
      </c>
      <c r="J25" s="414">
        <f>ROUND(H25*I25,2)</f>
        <v>6997494.7699999996</v>
      </c>
      <c r="K25" s="415"/>
      <c r="L25" s="415">
        <v>2298854.48</v>
      </c>
      <c r="M25" s="415"/>
      <c r="N25" s="415"/>
      <c r="O25" s="415"/>
      <c r="P25" s="415">
        <f>K25+L25+M25+N25+O25</f>
        <v>2298854.48</v>
      </c>
      <c r="Q25" s="415">
        <f>J25-K25-L25-M25-N25-O25</f>
        <v>4698640.29</v>
      </c>
      <c r="R25" s="1064" t="str">
        <f>R24</f>
        <v>ждем ВОР</v>
      </c>
      <c r="S25" s="1062" t="s">
        <v>247</v>
      </c>
      <c r="T25" s="1063">
        <f>P25</f>
        <v>2298854.48</v>
      </c>
      <c r="U25" s="418">
        <f>Q25</f>
        <v>4698640.29</v>
      </c>
      <c r="V25" s="1063">
        <f>T25+U25</f>
        <v>6997494.7699999996</v>
      </c>
      <c r="W25" s="206"/>
      <c r="X25" s="111"/>
      <c r="Y25" s="84"/>
      <c r="Z25" s="208"/>
      <c r="AA25" s="584" t="s">
        <v>295</v>
      </c>
    </row>
    <row r="26" spans="1:30" ht="33" customHeight="1" thickBot="1" x14ac:dyDescent="0.3">
      <c r="A26" s="546">
        <v>21</v>
      </c>
      <c r="B26" s="1065" t="s">
        <v>71</v>
      </c>
      <c r="C26" s="548" t="s">
        <v>109</v>
      </c>
      <c r="D26" s="549">
        <v>48898423.600000001</v>
      </c>
      <c r="E26" s="549">
        <v>4009670.74</v>
      </c>
      <c r="F26" s="549">
        <v>1269794.26</v>
      </c>
      <c r="G26" s="549">
        <v>54177888.600000001</v>
      </c>
      <c r="H26" s="549">
        <v>56960487.710000001</v>
      </c>
      <c r="I26" s="550">
        <f>I16</f>
        <v>1.2</v>
      </c>
      <c r="J26" s="551">
        <f>ROUND(H26*I26,2)</f>
        <v>68352585.25</v>
      </c>
      <c r="K26" s="1066"/>
      <c r="L26" s="1066"/>
      <c r="M26" s="1066">
        <v>11709977.720000001</v>
      </c>
      <c r="N26" s="1066"/>
      <c r="O26" s="1066">
        <v>3615838.44</v>
      </c>
      <c r="P26" s="1066">
        <f>K26+L26+M26+N26+O26</f>
        <v>15325816.16</v>
      </c>
      <c r="Q26" s="1066">
        <f>J26-K26-L26-M26-N26-O26</f>
        <v>53026769.090000004</v>
      </c>
      <c r="R26" s="1067" t="str">
        <f>R24</f>
        <v>ждем ВОР</v>
      </c>
      <c r="S26" s="1068" t="s">
        <v>247</v>
      </c>
      <c r="T26" s="1069">
        <f>P26</f>
        <v>15325816.16</v>
      </c>
      <c r="U26" s="1071">
        <f>Q26+310000</f>
        <v>53336769.090000004</v>
      </c>
      <c r="V26" s="1070">
        <f>T26+U26</f>
        <v>68662585.25</v>
      </c>
      <c r="W26" s="206"/>
      <c r="X26" s="111"/>
      <c r="Y26" s="85"/>
      <c r="Z26" s="209"/>
      <c r="AA26" s="584" t="s">
        <v>295</v>
      </c>
      <c r="AC26" s="36" t="s">
        <v>319</v>
      </c>
    </row>
    <row r="27" spans="1:30" s="449" customFormat="1" ht="32.25" customHeight="1" thickTop="1" x14ac:dyDescent="0.25">
      <c r="A27" s="658">
        <v>15</v>
      </c>
      <c r="B27" s="659" t="s">
        <v>32</v>
      </c>
      <c r="C27" s="660" t="str">
        <f>ССР!C30</f>
        <v>Восстановительные работы цеха №121/18. АС 3.</v>
      </c>
      <c r="D27" s="661">
        <v>4505948.67</v>
      </c>
      <c r="E27" s="661">
        <v>369487.79</v>
      </c>
      <c r="F27" s="661">
        <v>117010.48</v>
      </c>
      <c r="G27" s="661">
        <v>4992446.9400000004</v>
      </c>
      <c r="H27" s="661">
        <v>5248861.1100000003</v>
      </c>
      <c r="I27" s="662">
        <f>I7</f>
        <v>1.2</v>
      </c>
      <c r="J27" s="663">
        <f>ROUND(H27*I27,2)</f>
        <v>6298633.3300000001</v>
      </c>
      <c r="K27" s="664"/>
      <c r="L27" s="664"/>
      <c r="M27" s="664"/>
      <c r="N27" s="664">
        <v>5245250.92</v>
      </c>
      <c r="O27" s="664"/>
      <c r="P27" s="665">
        <f>K27+L27+M27+N27+O27</f>
        <v>5245250.92</v>
      </c>
      <c r="Q27" s="665">
        <f>J27-K27-L27-M27-N27-O27</f>
        <v>1053382.4099999999</v>
      </c>
      <c r="R27" s="666" t="s">
        <v>168</v>
      </c>
      <c r="S27" s="1083" t="s">
        <v>324</v>
      </c>
      <c r="T27" s="667">
        <f>P27</f>
        <v>5245250.92</v>
      </c>
      <c r="U27" s="668" t="s">
        <v>243</v>
      </c>
      <c r="V27" s="667">
        <f>T27</f>
        <v>5245250.92</v>
      </c>
      <c r="W27" s="445" t="s">
        <v>172</v>
      </c>
      <c r="X27" s="446"/>
      <c r="Y27" s="443"/>
      <c r="Z27" s="447"/>
      <c r="AA27" s="1138" t="s">
        <v>308</v>
      </c>
      <c r="AC27" s="449" t="s">
        <v>310</v>
      </c>
    </row>
    <row r="28" spans="1:30" s="449" customFormat="1" ht="32.25" thickBot="1" x14ac:dyDescent="0.3">
      <c r="A28" s="669">
        <v>17</v>
      </c>
      <c r="B28" s="670" t="s">
        <v>55</v>
      </c>
      <c r="C28" s="671" t="str">
        <f>ССР!C45</f>
        <v>Трубопровод ливневых сточных вод от трансбордера. НВК1</v>
      </c>
      <c r="D28" s="672">
        <v>1758763.66</v>
      </c>
      <c r="E28" s="672">
        <v>144218.62</v>
      </c>
      <c r="F28" s="672">
        <v>45671.57</v>
      </c>
      <c r="G28" s="672">
        <v>1948653.85</v>
      </c>
      <c r="H28" s="672">
        <v>2048737.53</v>
      </c>
      <c r="I28" s="673">
        <f>I19</f>
        <v>1.2</v>
      </c>
      <c r="J28" s="674">
        <f>ROUND(H28*I28,2)</f>
        <v>2458485.04</v>
      </c>
      <c r="K28" s="675"/>
      <c r="L28" s="675"/>
      <c r="M28" s="675"/>
      <c r="N28" s="675"/>
      <c r="O28" s="675">
        <v>505496.99</v>
      </c>
      <c r="P28" s="676">
        <f>K28+L28+M28+N28+O28</f>
        <v>505496.99</v>
      </c>
      <c r="Q28" s="676">
        <f>J28-K28-L28-M28-N28-O28</f>
        <v>1952988.05</v>
      </c>
      <c r="R28" s="677" t="str">
        <f>R27</f>
        <v>ВОРа на доп. не будет</v>
      </c>
      <c r="S28" s="1084" t="s">
        <v>324</v>
      </c>
      <c r="T28" s="678">
        <f>P28</f>
        <v>505496.99</v>
      </c>
      <c r="U28" s="679" t="s">
        <v>243</v>
      </c>
      <c r="V28" s="680">
        <f>T28</f>
        <v>505496.99</v>
      </c>
      <c r="W28" s="451"/>
      <c r="X28" s="446"/>
      <c r="Y28" s="443"/>
      <c r="Z28" s="447"/>
      <c r="AA28" s="1138"/>
      <c r="AC28" s="449" t="s">
        <v>310</v>
      </c>
    </row>
    <row r="29" spans="1:30" ht="35.1" customHeight="1" x14ac:dyDescent="0.25">
      <c r="A29" s="387">
        <v>22</v>
      </c>
      <c r="B29" s="388">
        <v>1</v>
      </c>
      <c r="C29" s="389" t="s">
        <v>175</v>
      </c>
      <c r="D29" s="390"/>
      <c r="E29" s="390"/>
      <c r="F29" s="390"/>
      <c r="G29" s="390"/>
      <c r="H29" s="390"/>
      <c r="I29" s="391"/>
      <c r="J29" s="392"/>
      <c r="K29" s="393"/>
      <c r="L29" s="393"/>
      <c r="M29" s="393"/>
      <c r="N29" s="393"/>
      <c r="O29" s="393"/>
      <c r="P29" s="393">
        <f>T29</f>
        <v>4216719.66</v>
      </c>
      <c r="Q29" s="393"/>
      <c r="R29" s="477" t="s">
        <v>139</v>
      </c>
      <c r="S29" s="394" t="s">
        <v>325</v>
      </c>
      <c r="T29" s="420">
        <v>4216719.66</v>
      </c>
      <c r="U29" s="420">
        <v>0</v>
      </c>
      <c r="V29" s="420">
        <f>T29+U29</f>
        <v>4216719.66</v>
      </c>
      <c r="X29" s="119"/>
      <c r="Y29" s="179"/>
      <c r="Z29" s="179"/>
    </row>
    <row r="30" spans="1:30" ht="35.1" customHeight="1" thickBot="1" x14ac:dyDescent="0.3">
      <c r="A30" s="513">
        <v>23</v>
      </c>
      <c r="B30" s="479">
        <v>1</v>
      </c>
      <c r="C30" s="480" t="s">
        <v>174</v>
      </c>
      <c r="D30" s="481"/>
      <c r="E30" s="481"/>
      <c r="F30" s="481"/>
      <c r="G30" s="481"/>
      <c r="H30" s="481"/>
      <c r="I30" s="482"/>
      <c r="J30" s="483"/>
      <c r="K30" s="484"/>
      <c r="L30" s="484"/>
      <c r="M30" s="484"/>
      <c r="N30" s="484"/>
      <c r="O30" s="484"/>
      <c r="P30" s="484">
        <f>T30</f>
        <v>2160473.5</v>
      </c>
      <c r="Q30" s="484"/>
      <c r="R30" s="514" t="s">
        <v>139</v>
      </c>
      <c r="S30" s="515" t="s">
        <v>325</v>
      </c>
      <c r="T30" s="485">
        <v>2160473.5</v>
      </c>
      <c r="U30" s="485">
        <v>0</v>
      </c>
      <c r="V30" s="486">
        <f t="shared" ref="V30" si="13">T30+U30</f>
        <v>2160473.5</v>
      </c>
      <c r="X30" s="117"/>
      <c r="Y30" s="105"/>
      <c r="Z30" s="211"/>
    </row>
    <row r="31" spans="1:30" ht="31.5" customHeight="1" thickTop="1" thickBot="1" x14ac:dyDescent="0.3">
      <c r="A31" s="516"/>
      <c r="B31" s="517" t="s">
        <v>120</v>
      </c>
      <c r="C31" s="518"/>
      <c r="D31" s="519">
        <f>SUM(D6:D28)</f>
        <v>392033916.06</v>
      </c>
      <c r="E31" s="518"/>
      <c r="F31" s="520"/>
      <c r="G31" s="519">
        <f>SUM(G6:G28)</f>
        <v>434361033.93000001</v>
      </c>
      <c r="H31" s="519">
        <f>SUM(H6:H28)</f>
        <v>456670000.00999999</v>
      </c>
      <c r="I31" s="519"/>
      <c r="J31" s="519">
        <f>SUM(J6:J28)</f>
        <v>548004000</v>
      </c>
      <c r="K31" s="521">
        <f>SUM(K6:K28)</f>
        <v>210417570.36000001</v>
      </c>
      <c r="L31" s="521">
        <f>SUM(L6:L28)+0.01</f>
        <v>79978331.209999993</v>
      </c>
      <c r="M31" s="521">
        <f>SUM(M6:M28)</f>
        <v>58868164.759999998</v>
      </c>
      <c r="N31" s="521">
        <f>SUM(N6:N28)</f>
        <v>5245250.92</v>
      </c>
      <c r="O31" s="521">
        <f>SUM(O6:O28)</f>
        <v>8616444.9800000004</v>
      </c>
      <c r="P31" s="521">
        <f>SUM(P6:P30)+0.01</f>
        <v>369502955.38999999</v>
      </c>
      <c r="Q31" s="521">
        <f>J31-P31</f>
        <v>178501044.61000001</v>
      </c>
      <c r="R31" s="521"/>
      <c r="S31" s="521"/>
      <c r="T31" s="522">
        <f>SUM(T6:T30)</f>
        <v>369502955.38</v>
      </c>
      <c r="U31" s="522">
        <f>SUM(U6:U30)</f>
        <v>149790558.13999999</v>
      </c>
      <c r="V31" s="522">
        <f>SUM(V6:V30)</f>
        <v>519293513.51999998</v>
      </c>
      <c r="W31" s="177"/>
      <c r="X31" s="115"/>
      <c r="Y31" s="101">
        <f>SUM(Y6:Y28)</f>
        <v>79922220.239999995</v>
      </c>
      <c r="Z31" s="210">
        <f>SUM(Z6:Z28)</f>
        <v>0</v>
      </c>
    </row>
    <row r="32" spans="1:30" ht="32.25" customHeight="1" x14ac:dyDescent="0.25">
      <c r="A32" s="498"/>
      <c r="B32" s="499"/>
      <c r="C32" s="499"/>
      <c r="D32" s="499"/>
      <c r="E32" s="499"/>
      <c r="F32" s="499"/>
      <c r="G32" s="499"/>
      <c r="H32" s="500"/>
      <c r="I32" s="499"/>
      <c r="J32" s="500"/>
      <c r="K32" s="501"/>
      <c r="L32" s="501"/>
      <c r="M32" s="501"/>
      <c r="N32" s="501"/>
      <c r="O32" s="501"/>
      <c r="P32" s="501"/>
      <c r="Q32" s="501"/>
      <c r="R32" s="501"/>
      <c r="S32" s="501"/>
      <c r="T32" s="1123" t="s">
        <v>309</v>
      </c>
      <c r="U32" s="1124"/>
      <c r="V32" s="503"/>
      <c r="X32" s="65"/>
      <c r="Y32" s="81"/>
      <c r="Z32" s="81"/>
    </row>
    <row r="33" spans="1:31" ht="35.1" customHeight="1" x14ac:dyDescent="0.25">
      <c r="A33" s="684">
        <v>24</v>
      </c>
      <c r="B33" s="1035">
        <v>2</v>
      </c>
      <c r="C33" s="686" t="s">
        <v>141</v>
      </c>
      <c r="D33" s="687"/>
      <c r="E33" s="687"/>
      <c r="F33" s="687"/>
      <c r="G33" s="687"/>
      <c r="H33" s="687"/>
      <c r="I33" s="688"/>
      <c r="J33" s="689"/>
      <c r="K33" s="705"/>
      <c r="L33" s="705"/>
      <c r="M33" s="705"/>
      <c r="N33" s="705"/>
      <c r="O33" s="705"/>
      <c r="P33" s="705"/>
      <c r="Q33" s="705"/>
      <c r="R33" s="1036" t="s">
        <v>139</v>
      </c>
      <c r="S33" s="692" t="s">
        <v>312</v>
      </c>
      <c r="T33" s="1037">
        <v>0</v>
      </c>
      <c r="U33" s="1059">
        <f>673388.23*1.0514</f>
        <v>708000.39</v>
      </c>
      <c r="V33" s="1037">
        <f t="shared" ref="V33:V42" si="14">T33+U33</f>
        <v>708000.39</v>
      </c>
      <c r="X33" s="119"/>
      <c r="Y33" s="179"/>
      <c r="Z33" s="179"/>
      <c r="AA33" s="406" t="s">
        <v>280</v>
      </c>
      <c r="AC33" s="36">
        <v>705505</v>
      </c>
      <c r="AD33" s="45">
        <f>U33-AC33</f>
        <v>2495.39</v>
      </c>
    </row>
    <row r="34" spans="1:31" ht="35.1" customHeight="1" x14ac:dyDescent="0.25">
      <c r="A34" s="1034">
        <v>25</v>
      </c>
      <c r="B34" s="1035">
        <v>3</v>
      </c>
      <c r="C34" s="686" t="s">
        <v>142</v>
      </c>
      <c r="D34" s="687"/>
      <c r="E34" s="687"/>
      <c r="F34" s="687"/>
      <c r="G34" s="687"/>
      <c r="H34" s="687"/>
      <c r="I34" s="688"/>
      <c r="J34" s="689"/>
      <c r="K34" s="705"/>
      <c r="L34" s="705"/>
      <c r="M34" s="705"/>
      <c r="N34" s="705"/>
      <c r="O34" s="705"/>
      <c r="P34" s="705"/>
      <c r="Q34" s="705"/>
      <c r="R34" s="1036" t="s">
        <v>139</v>
      </c>
      <c r="S34" s="692" t="str">
        <f>S21</f>
        <v>СОГЛАСОВАНО</v>
      </c>
      <c r="T34" s="1037">
        <v>0</v>
      </c>
      <c r="U34" s="1059">
        <f>81654*1.0514</f>
        <v>85851.02</v>
      </c>
      <c r="V34" s="1037">
        <f t="shared" si="14"/>
        <v>85851.02</v>
      </c>
      <c r="X34" s="119"/>
      <c r="Y34" s="180"/>
      <c r="Z34" s="180"/>
      <c r="AC34" s="36">
        <v>85851.36</v>
      </c>
      <c r="AD34" s="45">
        <f t="shared" ref="AD34:AD39" si="15">U34-AC34</f>
        <v>-0.34</v>
      </c>
    </row>
    <row r="35" spans="1:31" ht="35.1" customHeight="1" x14ac:dyDescent="0.25">
      <c r="A35" s="684">
        <v>26</v>
      </c>
      <c r="B35" s="1035">
        <v>4</v>
      </c>
      <c r="C35" s="686" t="s">
        <v>143</v>
      </c>
      <c r="D35" s="687"/>
      <c r="E35" s="687"/>
      <c r="F35" s="687"/>
      <c r="G35" s="687"/>
      <c r="H35" s="687"/>
      <c r="I35" s="688"/>
      <c r="J35" s="689"/>
      <c r="K35" s="705"/>
      <c r="L35" s="705"/>
      <c r="M35" s="705"/>
      <c r="N35" s="705"/>
      <c r="O35" s="705"/>
      <c r="P35" s="705"/>
      <c r="Q35" s="705"/>
      <c r="R35" s="1036" t="s">
        <v>139</v>
      </c>
      <c r="S35" s="692" t="str">
        <f>S34</f>
        <v>СОГЛАСОВАНО</v>
      </c>
      <c r="T35" s="1037">
        <v>0</v>
      </c>
      <c r="U35" s="1059">
        <f>26314.48*1.0514</f>
        <v>27667.040000000001</v>
      </c>
      <c r="V35" s="1037">
        <f t="shared" si="14"/>
        <v>27667.040000000001</v>
      </c>
      <c r="X35" s="119"/>
      <c r="Y35" s="180"/>
      <c r="Z35" s="180"/>
      <c r="AC35" s="36">
        <v>26314.48</v>
      </c>
      <c r="AD35" s="45">
        <f t="shared" si="15"/>
        <v>1352.56</v>
      </c>
    </row>
    <row r="36" spans="1:31" ht="35.1" customHeight="1" x14ac:dyDescent="0.25">
      <c r="A36" s="1034">
        <v>27</v>
      </c>
      <c r="B36" s="1035">
        <v>5</v>
      </c>
      <c r="C36" s="686" t="s">
        <v>146</v>
      </c>
      <c r="D36" s="687"/>
      <c r="E36" s="687"/>
      <c r="F36" s="687"/>
      <c r="G36" s="687"/>
      <c r="H36" s="687"/>
      <c r="I36" s="688"/>
      <c r="J36" s="689"/>
      <c r="K36" s="705"/>
      <c r="L36" s="705"/>
      <c r="M36" s="705"/>
      <c r="N36" s="705"/>
      <c r="O36" s="705"/>
      <c r="P36" s="705"/>
      <c r="Q36" s="705"/>
      <c r="R36" s="1036" t="s">
        <v>139</v>
      </c>
      <c r="S36" s="692" t="str">
        <f>S34</f>
        <v>СОГЛАСОВАНО</v>
      </c>
      <c r="T36" s="1037">
        <v>0</v>
      </c>
      <c r="U36" s="1059">
        <f>198699.44*1.0514</f>
        <v>208912.59</v>
      </c>
      <c r="V36" s="1037">
        <f t="shared" si="14"/>
        <v>208912.59</v>
      </c>
      <c r="X36" s="119"/>
      <c r="Y36" s="180"/>
      <c r="Z36" s="180"/>
      <c r="AC36" s="36">
        <v>208912.6</v>
      </c>
      <c r="AD36" s="45">
        <f t="shared" si="15"/>
        <v>-0.01</v>
      </c>
    </row>
    <row r="37" spans="1:31" ht="35.1" customHeight="1" thickBot="1" x14ac:dyDescent="0.3">
      <c r="A37" s="684">
        <v>29</v>
      </c>
      <c r="B37" s="1038">
        <v>6</v>
      </c>
      <c r="C37" s="1039" t="s">
        <v>140</v>
      </c>
      <c r="D37" s="1040"/>
      <c r="E37" s="1040"/>
      <c r="F37" s="1040"/>
      <c r="G37" s="1040"/>
      <c r="H37" s="1040"/>
      <c r="I37" s="1041"/>
      <c r="J37" s="1042"/>
      <c r="K37" s="1043"/>
      <c r="L37" s="1043"/>
      <c r="M37" s="1043"/>
      <c r="N37" s="1043"/>
      <c r="O37" s="1043"/>
      <c r="P37" s="1043"/>
      <c r="Q37" s="1043"/>
      <c r="R37" s="1044" t="s">
        <v>139</v>
      </c>
      <c r="S37" s="692" t="str">
        <f>S35</f>
        <v>СОГЛАСОВАНО</v>
      </c>
      <c r="T37" s="1045">
        <v>0</v>
      </c>
      <c r="U37" s="1060">
        <f>529403.22*1.0514</f>
        <v>556614.55000000005</v>
      </c>
      <c r="V37" s="1037">
        <f t="shared" si="14"/>
        <v>556614.55000000005</v>
      </c>
      <c r="X37" s="117"/>
      <c r="Y37" s="105"/>
      <c r="Z37" s="211"/>
      <c r="AC37" s="36">
        <v>570651.94999999995</v>
      </c>
      <c r="AD37" s="45">
        <f t="shared" si="15"/>
        <v>-14037.4</v>
      </c>
    </row>
    <row r="38" spans="1:31" ht="54.75" customHeight="1" thickTop="1" thickBot="1" x14ac:dyDescent="0.3">
      <c r="A38" s="1046">
        <v>32</v>
      </c>
      <c r="B38" s="1047">
        <v>9</v>
      </c>
      <c r="C38" s="1048" t="s">
        <v>304</v>
      </c>
      <c r="D38" s="1049"/>
      <c r="E38" s="1049"/>
      <c r="F38" s="1049"/>
      <c r="G38" s="1049"/>
      <c r="H38" s="1049"/>
      <c r="I38" s="1050"/>
      <c r="J38" s="1051"/>
      <c r="K38" s="1052"/>
      <c r="L38" s="1052"/>
      <c r="M38" s="1052"/>
      <c r="N38" s="1052"/>
      <c r="O38" s="1052"/>
      <c r="P38" s="1052"/>
      <c r="Q38" s="1052"/>
      <c r="R38" s="1053" t="s">
        <v>139</v>
      </c>
      <c r="S38" s="1054" t="str">
        <f>S37</f>
        <v>СОГЛАСОВАНО</v>
      </c>
      <c r="T38" s="1055">
        <v>0</v>
      </c>
      <c r="U38" s="1061">
        <f>1940817.65*1.0514</f>
        <v>2040575.68</v>
      </c>
      <c r="V38" s="1055">
        <f t="shared" si="14"/>
        <v>2040575.68</v>
      </c>
      <c r="X38" s="119"/>
      <c r="Y38" s="180"/>
      <c r="Z38" s="180"/>
      <c r="AC38" s="36">
        <v>2065078.4</v>
      </c>
      <c r="AD38" s="45">
        <f t="shared" si="15"/>
        <v>-24502.720000000001</v>
      </c>
    </row>
    <row r="39" spans="1:31" ht="35.1" customHeight="1" thickTop="1" thickBot="1" x14ac:dyDescent="0.3">
      <c r="A39" s="1046">
        <v>32</v>
      </c>
      <c r="B39" s="1047">
        <v>10</v>
      </c>
      <c r="C39" s="1048" t="s">
        <v>303</v>
      </c>
      <c r="D39" s="1049"/>
      <c r="E39" s="1049"/>
      <c r="F39" s="1049"/>
      <c r="G39" s="1049"/>
      <c r="H39" s="1049"/>
      <c r="I39" s="1050"/>
      <c r="J39" s="1051"/>
      <c r="K39" s="1052"/>
      <c r="L39" s="1052"/>
      <c r="M39" s="1052"/>
      <c r="N39" s="1052"/>
      <c r="O39" s="1052"/>
      <c r="P39" s="1052"/>
      <c r="Q39" s="1052"/>
      <c r="R39" s="1053" t="s">
        <v>139</v>
      </c>
      <c r="S39" s="1054" t="str">
        <f>S36</f>
        <v>СОГЛАСОВАНО</v>
      </c>
      <c r="T39" s="1055">
        <v>0</v>
      </c>
      <c r="U39" s="1061">
        <f>54913.66*1.0514</f>
        <v>57736.22</v>
      </c>
      <c r="V39" s="1055">
        <f t="shared" ref="V39" si="16">T39+U39</f>
        <v>57736.22</v>
      </c>
      <c r="X39" s="119"/>
      <c r="Y39" s="180"/>
      <c r="Z39" s="180"/>
      <c r="AC39" s="36">
        <v>78531</v>
      </c>
      <c r="AD39" s="45">
        <f t="shared" si="15"/>
        <v>-20794.78</v>
      </c>
    </row>
    <row r="40" spans="1:31" ht="46.5" customHeight="1" thickTop="1" x14ac:dyDescent="0.25">
      <c r="A40" s="475">
        <v>33</v>
      </c>
      <c r="B40" s="1075">
        <v>10</v>
      </c>
      <c r="C40" s="559" t="s">
        <v>144</v>
      </c>
      <c r="D40" s="560"/>
      <c r="E40" s="560"/>
      <c r="F40" s="560"/>
      <c r="G40" s="560"/>
      <c r="H40" s="560"/>
      <c r="I40" s="561"/>
      <c r="J40" s="562"/>
      <c r="K40" s="1072"/>
      <c r="L40" s="1072"/>
      <c r="M40" s="1072"/>
      <c r="N40" s="1072"/>
      <c r="O40" s="1072"/>
      <c r="P40" s="1072"/>
      <c r="Q40" s="1072"/>
      <c r="R40" s="1073" t="s">
        <v>139</v>
      </c>
      <c r="S40" s="565" t="s">
        <v>288</v>
      </c>
      <c r="T40" s="1076">
        <v>0</v>
      </c>
      <c r="U40" s="1076">
        <v>389490.94</v>
      </c>
      <c r="V40" s="1074">
        <f t="shared" si="14"/>
        <v>389490.94</v>
      </c>
      <c r="W40" s="189"/>
      <c r="X40" s="182"/>
      <c r="Y40" s="183"/>
      <c r="Z40" s="212"/>
      <c r="AE40" s="36" t="s">
        <v>326</v>
      </c>
    </row>
    <row r="41" spans="1:31" ht="50.25" customHeight="1" thickBot="1" x14ac:dyDescent="0.3">
      <c r="A41" s="546">
        <v>30</v>
      </c>
      <c r="B41" s="1065"/>
      <c r="C41" s="548" t="s">
        <v>279</v>
      </c>
      <c r="D41" s="549"/>
      <c r="E41" s="549"/>
      <c r="F41" s="549"/>
      <c r="G41" s="549"/>
      <c r="H41" s="549"/>
      <c r="I41" s="550"/>
      <c r="J41" s="551"/>
      <c r="K41" s="1066"/>
      <c r="L41" s="1066"/>
      <c r="M41" s="1066"/>
      <c r="N41" s="1066"/>
      <c r="O41" s="1066"/>
      <c r="P41" s="1066"/>
      <c r="Q41" s="1066"/>
      <c r="R41" s="1077" t="s">
        <v>255</v>
      </c>
      <c r="S41" s="554" t="s">
        <v>281</v>
      </c>
      <c r="T41" s="1069">
        <v>0</v>
      </c>
      <c r="U41" s="1069">
        <v>9690548.2599999998</v>
      </c>
      <c r="V41" s="556">
        <f t="shared" si="14"/>
        <v>9690548.2599999998</v>
      </c>
      <c r="X41" s="117"/>
      <c r="Y41" s="105"/>
      <c r="Z41" s="211"/>
      <c r="AE41" s="36" t="s">
        <v>327</v>
      </c>
    </row>
    <row r="42" spans="1:31" ht="35.1" customHeight="1" thickTop="1" thickBot="1" x14ac:dyDescent="0.3">
      <c r="A42" s="409">
        <v>34</v>
      </c>
      <c r="B42" s="410"/>
      <c r="C42" s="411" t="s">
        <v>149</v>
      </c>
      <c r="D42" s="412"/>
      <c r="E42" s="412"/>
      <c r="F42" s="412"/>
      <c r="G42" s="412"/>
      <c r="H42" s="412"/>
      <c r="I42" s="413"/>
      <c r="J42" s="414"/>
      <c r="K42" s="415"/>
      <c r="L42" s="415"/>
      <c r="M42" s="415"/>
      <c r="N42" s="415"/>
      <c r="O42" s="415"/>
      <c r="P42" s="415"/>
      <c r="Q42" s="415"/>
      <c r="R42" s="1079" t="s">
        <v>139</v>
      </c>
      <c r="S42" s="1079" t="s">
        <v>170</v>
      </c>
      <c r="T42" s="1063"/>
      <c r="U42" s="1063">
        <v>4746000</v>
      </c>
      <c r="V42" s="1078">
        <f t="shared" si="14"/>
        <v>4746000</v>
      </c>
      <c r="X42" s="119"/>
      <c r="Y42" s="107"/>
      <c r="Z42" s="213"/>
      <c r="AE42" s="36" t="s">
        <v>328</v>
      </c>
    </row>
    <row r="43" spans="1:31" ht="35.1" customHeight="1" thickBot="1" x14ac:dyDescent="0.3">
      <c r="A43" s="504"/>
      <c r="B43" s="103"/>
      <c r="C43" s="505"/>
      <c r="D43" s="506"/>
      <c r="E43" s="506"/>
      <c r="F43" s="506"/>
      <c r="G43" s="506"/>
      <c r="H43" s="506"/>
      <c r="I43" s="507"/>
      <c r="J43" s="508"/>
      <c r="K43" s="509"/>
      <c r="L43" s="509"/>
      <c r="M43" s="509"/>
      <c r="N43" s="509"/>
      <c r="O43" s="509"/>
      <c r="P43" s="509"/>
      <c r="Q43" s="509"/>
      <c r="R43" s="510"/>
      <c r="S43" s="511"/>
      <c r="T43" s="512"/>
      <c r="U43" s="73">
        <f>SUM(U33:U42)</f>
        <v>18511396.690000001</v>
      </c>
      <c r="V43" s="73">
        <f>SUM(V33:V42)</f>
        <v>18511396.690000001</v>
      </c>
      <c r="X43" s="117"/>
      <c r="Y43" s="105"/>
      <c r="Z43" s="211"/>
    </row>
    <row r="44" spans="1:31" ht="33" customHeight="1" x14ac:dyDescent="0.25">
      <c r="A44" s="498"/>
      <c r="B44" s="499"/>
      <c r="C44" s="499"/>
      <c r="D44" s="499"/>
      <c r="E44" s="499"/>
      <c r="F44" s="499"/>
      <c r="G44" s="499"/>
      <c r="H44" s="500"/>
      <c r="I44" s="499"/>
      <c r="J44" s="500"/>
      <c r="K44" s="501"/>
      <c r="L44" s="501"/>
      <c r="M44" s="501"/>
      <c r="N44" s="501"/>
      <c r="O44" s="501"/>
      <c r="P44" s="501"/>
      <c r="Q44" s="501"/>
      <c r="R44" s="501"/>
      <c r="S44" s="502"/>
      <c r="T44" s="1123" t="s">
        <v>253</v>
      </c>
      <c r="U44" s="1124"/>
      <c r="V44" s="503"/>
      <c r="X44" s="65"/>
      <c r="Y44" s="81"/>
      <c r="Z44" s="81"/>
    </row>
    <row r="45" spans="1:31" ht="40.5" customHeight="1" thickBot="1" x14ac:dyDescent="0.3">
      <c r="A45" s="546">
        <v>37</v>
      </c>
      <c r="B45" s="1065"/>
      <c r="C45" s="548" t="s">
        <v>152</v>
      </c>
      <c r="D45" s="549"/>
      <c r="E45" s="549"/>
      <c r="F45" s="549"/>
      <c r="G45" s="549"/>
      <c r="H45" s="549"/>
      <c r="I45" s="550"/>
      <c r="J45" s="551"/>
      <c r="K45" s="1066"/>
      <c r="L45" s="1066"/>
      <c r="M45" s="1066"/>
      <c r="N45" s="1066"/>
      <c r="O45" s="1066"/>
      <c r="P45" s="1066"/>
      <c r="Q45" s="1066"/>
      <c r="R45" s="1081" t="s">
        <v>243</v>
      </c>
      <c r="S45" s="1082" t="s">
        <v>323</v>
      </c>
      <c r="T45" s="1069"/>
      <c r="U45" s="1069"/>
      <c r="V45" s="1080">
        <f t="shared" ref="V45" si="17">T45+U45</f>
        <v>0</v>
      </c>
      <c r="X45" s="125"/>
      <c r="Y45" s="109"/>
      <c r="Z45" s="214"/>
    </row>
    <row r="46" spans="1:31" ht="31.5" customHeight="1" thickTop="1" thickBot="1" x14ac:dyDescent="0.3">
      <c r="A46" s="102"/>
      <c r="B46" s="66" t="s">
        <v>120</v>
      </c>
      <c r="C46" s="67"/>
      <c r="D46" s="68">
        <f t="shared" ref="D46:J46" si="18">SUM(D33:D45)</f>
        <v>0</v>
      </c>
      <c r="E46" s="68">
        <f t="shared" si="18"/>
        <v>0</v>
      </c>
      <c r="F46" s="68">
        <f t="shared" si="18"/>
        <v>0</v>
      </c>
      <c r="G46" s="68">
        <f t="shared" si="18"/>
        <v>0</v>
      </c>
      <c r="H46" s="68">
        <f t="shared" si="18"/>
        <v>0</v>
      </c>
      <c r="I46" s="68">
        <f t="shared" si="18"/>
        <v>0</v>
      </c>
      <c r="J46" s="68">
        <f t="shared" si="18"/>
        <v>0</v>
      </c>
      <c r="K46" s="69"/>
      <c r="L46" s="69"/>
      <c r="M46" s="69"/>
      <c r="N46" s="69"/>
      <c r="O46" s="69"/>
      <c r="P46" s="69"/>
      <c r="Q46" s="69"/>
      <c r="R46" s="69"/>
      <c r="S46" s="386"/>
      <c r="T46" s="86">
        <f>SUM(T33:T45)</f>
        <v>0</v>
      </c>
      <c r="U46" s="86">
        <f>SUM(U33:U45)-U43</f>
        <v>18511396.690000001</v>
      </c>
      <c r="V46" s="86">
        <f>SUM(V33:V45)-V43</f>
        <v>18511396.690000001</v>
      </c>
      <c r="W46" s="177"/>
      <c r="X46" s="69"/>
      <c r="Y46" s="86">
        <f>SUM(Y33:Y45)</f>
        <v>0</v>
      </c>
      <c r="Z46" s="215">
        <f>SUM(Z33:Z45)</f>
        <v>0</v>
      </c>
      <c r="AE46" s="39" t="s">
        <v>322</v>
      </c>
    </row>
    <row r="47" spans="1:31" ht="31.5" customHeight="1" thickBot="1" x14ac:dyDescent="0.3">
      <c r="A47" s="104"/>
      <c r="B47" s="103" t="s">
        <v>153</v>
      </c>
      <c r="C47" s="70"/>
      <c r="D47" s="71">
        <f>D31+D46</f>
        <v>392033916.06</v>
      </c>
      <c r="E47" s="70"/>
      <c r="F47" s="72"/>
      <c r="G47" s="71">
        <f>SUM(G21:G46)</f>
        <v>510892223.33999997</v>
      </c>
      <c r="H47" s="71">
        <f>SUM(H21:H46)</f>
        <v>537131863.45000005</v>
      </c>
      <c r="I47" s="71"/>
      <c r="J47" s="71">
        <f t="shared" ref="J47:Q47" si="19">J31+J46</f>
        <v>548004000</v>
      </c>
      <c r="K47" s="71">
        <f t="shared" si="19"/>
        <v>210417570.36000001</v>
      </c>
      <c r="L47" s="71">
        <f t="shared" si="19"/>
        <v>79978331.209999993</v>
      </c>
      <c r="M47" s="71">
        <f t="shared" si="19"/>
        <v>58868164.759999998</v>
      </c>
      <c r="N47" s="71">
        <f t="shared" si="19"/>
        <v>5245250.92</v>
      </c>
      <c r="O47" s="71">
        <f t="shared" si="19"/>
        <v>8616444.9800000004</v>
      </c>
      <c r="P47" s="71">
        <f t="shared" si="19"/>
        <v>369502955.38999999</v>
      </c>
      <c r="Q47" s="71">
        <f t="shared" si="19"/>
        <v>178501044.61000001</v>
      </c>
      <c r="R47" s="71"/>
      <c r="S47" s="402"/>
      <c r="T47" s="73">
        <f>T31+T46</f>
        <v>369502955.38</v>
      </c>
      <c r="U47" s="73">
        <f>U31+U46</f>
        <v>168301954.83000001</v>
      </c>
      <c r="V47" s="73">
        <f>V31+V46</f>
        <v>537804910.21000004</v>
      </c>
      <c r="W47" s="177"/>
      <c r="X47" s="71"/>
      <c r="Y47" s="73">
        <f>Y31+Y46</f>
        <v>79922220.239999995</v>
      </c>
      <c r="Z47" s="216">
        <f>Z31+Z46</f>
        <v>0</v>
      </c>
      <c r="AA47" s="406">
        <f>V47/1.0514</f>
        <v>511513135.06752902</v>
      </c>
      <c r="AC47" s="45">
        <f>'реестр под ФАКТ до соглас. '!V47</f>
        <v>536062673.99000001</v>
      </c>
      <c r="AD47" s="45">
        <f>V47-AC47</f>
        <v>1742236.22</v>
      </c>
      <c r="AE47" s="35">
        <f>'реестр под ФАКТ до соглас. '!V47</f>
        <v>536062673.99000001</v>
      </c>
    </row>
    <row r="48" spans="1:31" x14ac:dyDescent="0.25">
      <c r="AA48" s="557">
        <f>J47/AA47</f>
        <v>1.0712999999999999</v>
      </c>
    </row>
    <row r="49" spans="1:27" ht="45" customHeight="1" x14ac:dyDescent="0.25">
      <c r="A49" s="82">
        <v>35</v>
      </c>
      <c r="B49" s="41">
        <v>11</v>
      </c>
      <c r="C49" s="42" t="s">
        <v>277</v>
      </c>
      <c r="D49" s="43"/>
      <c r="E49" s="43"/>
      <c r="F49" s="43"/>
      <c r="G49" s="43"/>
      <c r="H49" s="43"/>
      <c r="I49" s="44"/>
      <c r="J49" s="55"/>
      <c r="K49" s="56"/>
      <c r="L49" s="56"/>
      <c r="M49" s="56"/>
      <c r="N49" s="56"/>
      <c r="O49" s="56"/>
      <c r="P49" s="53"/>
      <c r="Q49" s="53"/>
      <c r="R49" s="400" t="s">
        <v>139</v>
      </c>
      <c r="S49" s="190" t="s">
        <v>278</v>
      </c>
      <c r="T49" s="107">
        <v>0</v>
      </c>
      <c r="U49" s="107">
        <v>22184864.98</v>
      </c>
      <c r="V49" s="399">
        <f>T49+U49</f>
        <v>22184864.98</v>
      </c>
      <c r="X49" s="119"/>
      <c r="Y49" s="107"/>
      <c r="Z49" s="213"/>
    </row>
    <row r="50" spans="1:27" ht="16.5" thickBot="1" x14ac:dyDescent="0.3"/>
    <row r="51" spans="1:27" ht="31.5" customHeight="1" thickBot="1" x14ac:dyDescent="0.3">
      <c r="A51" s="104"/>
      <c r="B51" s="103" t="s">
        <v>153</v>
      </c>
      <c r="C51" s="70"/>
      <c r="D51" s="71">
        <f>D35+D50</f>
        <v>0</v>
      </c>
      <c r="E51" s="70"/>
      <c r="F51" s="72"/>
      <c r="G51" s="71">
        <f>SUM(G30:G50)</f>
        <v>945253257.26999998</v>
      </c>
      <c r="H51" s="71">
        <f>SUM(H30:H50)</f>
        <v>993801863.46000004</v>
      </c>
      <c r="I51" s="71"/>
      <c r="J51" s="71">
        <f t="shared" ref="J51:Q51" si="20">J35+J50</f>
        <v>0</v>
      </c>
      <c r="K51" s="71">
        <f t="shared" si="20"/>
        <v>0</v>
      </c>
      <c r="L51" s="71">
        <f t="shared" si="20"/>
        <v>0</v>
      </c>
      <c r="M51" s="71">
        <f t="shared" si="20"/>
        <v>0</v>
      </c>
      <c r="N51" s="71">
        <f t="shared" si="20"/>
        <v>0</v>
      </c>
      <c r="O51" s="71">
        <f t="shared" si="20"/>
        <v>0</v>
      </c>
      <c r="P51" s="71">
        <f t="shared" si="20"/>
        <v>0</v>
      </c>
      <c r="Q51" s="71">
        <f t="shared" si="20"/>
        <v>0</v>
      </c>
      <c r="R51" s="71"/>
      <c r="S51" s="402"/>
      <c r="T51" s="73">
        <f>T35+T50</f>
        <v>0</v>
      </c>
      <c r="U51" s="73">
        <f>U47+U49</f>
        <v>190486819.81</v>
      </c>
      <c r="V51" s="73">
        <f>V47+V49</f>
        <v>559989775.19000006</v>
      </c>
      <c r="W51" s="177"/>
      <c r="X51" s="71"/>
      <c r="Y51" s="73">
        <f>Y35+Y50</f>
        <v>0</v>
      </c>
      <c r="Z51" s="216">
        <f>Z35+Z50</f>
        <v>0</v>
      </c>
    </row>
    <row r="53" spans="1:27" x14ac:dyDescent="0.25">
      <c r="V53" s="45"/>
    </row>
    <row r="54" spans="1:27" ht="20.25" x14ac:dyDescent="0.3">
      <c r="T54" s="1056" t="s">
        <v>321</v>
      </c>
      <c r="U54" s="1057"/>
      <c r="V54" s="1056">
        <f>U9+U10+U11+U12+U13+U14+U15+U16+U17+U18+U20+U21+U33+U34+U35+U36+U37+U38+U39</f>
        <v>56290175.729999997</v>
      </c>
    </row>
    <row r="55" spans="1:27" hidden="1" x14ac:dyDescent="0.25">
      <c r="T55" s="45"/>
    </row>
    <row r="56" spans="1:27" ht="35.1" hidden="1" customHeight="1" thickBot="1" x14ac:dyDescent="0.3">
      <c r="A56" s="637">
        <v>31</v>
      </c>
      <c r="B56" s="544">
        <v>8</v>
      </c>
      <c r="C56" s="638" t="s">
        <v>250</v>
      </c>
      <c r="D56" s="639"/>
      <c r="E56" s="639"/>
      <c r="F56" s="639"/>
      <c r="G56" s="639"/>
      <c r="H56" s="639"/>
      <c r="I56" s="640"/>
      <c r="J56" s="641"/>
      <c r="K56" s="642"/>
      <c r="L56" s="642"/>
      <c r="M56" s="642"/>
      <c r="N56" s="642"/>
      <c r="O56" s="642"/>
      <c r="P56" s="643"/>
      <c r="Q56" s="643"/>
      <c r="R56" s="644" t="s">
        <v>139</v>
      </c>
      <c r="S56" s="600" t="s">
        <v>298</v>
      </c>
      <c r="T56" s="645">
        <v>0</v>
      </c>
      <c r="U56" s="645">
        <v>107940.55</v>
      </c>
      <c r="V56" s="646">
        <f>T56+U56</f>
        <v>107940.55</v>
      </c>
      <c r="X56" s="119"/>
      <c r="Y56" s="107"/>
      <c r="Z56" s="213"/>
      <c r="AA56" s="1137" t="s">
        <v>300</v>
      </c>
    </row>
    <row r="57" spans="1:27" ht="35.1" hidden="1" customHeight="1" thickTop="1" x14ac:dyDescent="0.25">
      <c r="A57" s="591">
        <v>28</v>
      </c>
      <c r="B57" s="542">
        <v>7</v>
      </c>
      <c r="C57" s="592" t="s">
        <v>148</v>
      </c>
      <c r="D57" s="593"/>
      <c r="E57" s="593"/>
      <c r="F57" s="593"/>
      <c r="G57" s="593"/>
      <c r="H57" s="593"/>
      <c r="I57" s="594"/>
      <c r="J57" s="595"/>
      <c r="K57" s="596"/>
      <c r="L57" s="596"/>
      <c r="M57" s="596"/>
      <c r="N57" s="596"/>
      <c r="O57" s="596"/>
      <c r="P57" s="596"/>
      <c r="Q57" s="596"/>
      <c r="R57" s="635" t="s">
        <v>139</v>
      </c>
      <c r="S57" s="600" t="str">
        <f>S33</f>
        <v>СОГЛАСОВАНО</v>
      </c>
      <c r="T57" s="636">
        <v>0</v>
      </c>
      <c r="U57" s="636">
        <v>231084.76</v>
      </c>
      <c r="V57" s="598">
        <f>T57+U57</f>
        <v>231084.76</v>
      </c>
      <c r="X57" s="119"/>
      <c r="Y57" s="107"/>
      <c r="Z57" s="213"/>
      <c r="AA57" s="1137"/>
    </row>
    <row r="58" spans="1:27" ht="52.5" hidden="1" customHeight="1" x14ac:dyDescent="0.25">
      <c r="A58" s="82">
        <v>36</v>
      </c>
      <c r="B58" s="321"/>
      <c r="C58" s="171" t="s">
        <v>151</v>
      </c>
      <c r="D58" s="322"/>
      <c r="E58" s="322"/>
      <c r="F58" s="322"/>
      <c r="G58" s="322"/>
      <c r="H58" s="322"/>
      <c r="I58" s="323"/>
      <c r="J58" s="172"/>
      <c r="K58" s="324"/>
      <c r="L58" s="324"/>
      <c r="M58" s="324"/>
      <c r="N58" s="324"/>
      <c r="O58" s="324"/>
      <c r="P58" s="173"/>
      <c r="Q58" s="173"/>
      <c r="R58" s="404" t="s">
        <v>243</v>
      </c>
      <c r="S58" s="325"/>
      <c r="T58" s="326"/>
      <c r="U58" s="326"/>
      <c r="V58" s="399">
        <f>T58+U58</f>
        <v>0</v>
      </c>
      <c r="X58" s="119"/>
      <c r="Y58" s="107"/>
      <c r="Z58" s="213"/>
      <c r="AA58" s="657" t="s">
        <v>301</v>
      </c>
    </row>
    <row r="59" spans="1:27" x14ac:dyDescent="0.25">
      <c r="T59" s="45"/>
    </row>
    <row r="60" spans="1:27" x14ac:dyDescent="0.25">
      <c r="V60" s="45"/>
    </row>
    <row r="70" spans="1:27" s="39" customFormat="1" ht="54.95" customHeight="1" x14ac:dyDescent="0.25">
      <c r="A70" s="46"/>
      <c r="B70" s="47"/>
      <c r="C70" s="46"/>
      <c r="D70" s="48"/>
      <c r="E70" s="46"/>
      <c r="F70" s="49"/>
      <c r="G70" s="48"/>
      <c r="H70" s="48"/>
      <c r="I70" s="48"/>
      <c r="J70" s="48"/>
      <c r="K70" s="50"/>
      <c r="M70" s="35"/>
      <c r="O70" s="35"/>
      <c r="P70" s="36"/>
      <c r="Q70" s="36"/>
      <c r="R70" s="36"/>
      <c r="S70" s="36"/>
      <c r="T70" s="36"/>
      <c r="U70" s="36"/>
      <c r="V70" s="36"/>
      <c r="W70" s="176"/>
      <c r="X70" s="36"/>
      <c r="Y70" s="36"/>
      <c r="Z70" s="36"/>
      <c r="AA70" s="407"/>
    </row>
    <row r="71" spans="1:27" s="39" customFormat="1" x14ac:dyDescent="0.25">
      <c r="A71" s="36"/>
      <c r="B71" s="36"/>
      <c r="C71" s="36"/>
      <c r="D71" s="45">
        <f>ССР!H58</f>
        <v>392033.92</v>
      </c>
      <c r="E71" s="36"/>
      <c r="F71" s="45"/>
      <c r="G71" s="45">
        <f>ССР!H76</f>
        <v>434361.04</v>
      </c>
      <c r="H71" s="45">
        <f>ССР!H78</f>
        <v>456670</v>
      </c>
      <c r="I71" s="36"/>
      <c r="J71" s="45"/>
      <c r="K71" s="35"/>
      <c r="M71" s="35"/>
      <c r="O71" s="35"/>
      <c r="P71" s="36"/>
      <c r="Q71" s="36"/>
      <c r="R71" s="36"/>
      <c r="S71" s="36"/>
      <c r="T71" s="36"/>
      <c r="U71" s="36"/>
      <c r="V71" s="36"/>
      <c r="W71" s="176"/>
      <c r="X71" s="36"/>
      <c r="Y71" s="36"/>
      <c r="Z71" s="36"/>
      <c r="AA71" s="407"/>
    </row>
    <row r="72" spans="1:27" s="39" customFormat="1" x14ac:dyDescent="0.25">
      <c r="A72" s="36"/>
      <c r="B72" s="36"/>
      <c r="C72" s="36"/>
      <c r="D72" s="45">
        <f>D31/1000</f>
        <v>392033.92</v>
      </c>
      <c r="E72" s="36"/>
      <c r="F72" s="51"/>
      <c r="G72" s="52">
        <f>G31/1000</f>
        <v>434361.03</v>
      </c>
      <c r="H72" s="52">
        <f>H31/1000</f>
        <v>456670</v>
      </c>
      <c r="I72" s="36"/>
      <c r="J72" s="45"/>
      <c r="K72" s="50"/>
      <c r="M72" s="35"/>
      <c r="O72" s="35"/>
      <c r="P72" s="36"/>
      <c r="Q72" s="36"/>
      <c r="R72" s="36"/>
      <c r="S72" s="36"/>
      <c r="T72" s="36"/>
      <c r="U72" s="36"/>
      <c r="V72" s="36"/>
      <c r="W72" s="176"/>
      <c r="X72" s="36"/>
      <c r="Y72" s="36"/>
      <c r="Z72" s="36"/>
      <c r="AA72" s="407"/>
    </row>
    <row r="73" spans="1:27" s="39" customFormat="1" x14ac:dyDescent="0.25">
      <c r="A73" s="36"/>
      <c r="B73" s="36"/>
      <c r="C73" s="36"/>
      <c r="D73" s="45"/>
      <c r="E73" s="45"/>
      <c r="F73" s="51"/>
      <c r="G73" s="36"/>
      <c r="H73" s="36"/>
      <c r="I73" s="36"/>
      <c r="J73" s="36"/>
      <c r="M73" s="35"/>
      <c r="O73" s="35"/>
      <c r="P73" s="36"/>
      <c r="Q73" s="36"/>
      <c r="R73" s="36"/>
      <c r="S73" s="36"/>
      <c r="T73" s="36"/>
      <c r="U73" s="36"/>
      <c r="V73" s="36"/>
      <c r="W73" s="176"/>
      <c r="X73" s="36"/>
      <c r="Y73" s="36"/>
      <c r="Z73" s="36"/>
      <c r="AA73" s="407"/>
    </row>
    <row r="93" spans="1:1" x14ac:dyDescent="0.25">
      <c r="A93" s="36">
        <v>7</v>
      </c>
    </row>
  </sheetData>
  <autoFilter ref="A3:W47" xr:uid="{00000000-0001-0000-0100-000000000000}"/>
  <mergeCells count="14">
    <mergeCell ref="A1:J1"/>
    <mergeCell ref="A3:A4"/>
    <mergeCell ref="B3:B4"/>
    <mergeCell ref="C3:C4"/>
    <mergeCell ref="G3:G4"/>
    <mergeCell ref="H3:H4"/>
    <mergeCell ref="I3:I4"/>
    <mergeCell ref="J3:J4"/>
    <mergeCell ref="T5:U5"/>
    <mergeCell ref="T23:U23"/>
    <mergeCell ref="T32:U32"/>
    <mergeCell ref="T44:U44"/>
    <mergeCell ref="AA56:AA57"/>
    <mergeCell ref="AA27:AA28"/>
  </mergeCells>
  <phoneticPr fontId="83" type="noConversion"/>
  <pageMargins left="0.23622047244094491" right="0.23622047244094491" top="0.74803149606299213" bottom="0.74803149606299213" header="0.31496062992125984" footer="0.31496062992125984"/>
  <pageSetup paperSize="9" scale="58" fitToHeight="100" orientation="landscape" r:id="rId1"/>
  <rowBreaks count="2" manualBreakCount="2">
    <brk id="49" max="17" man="1"/>
    <brk id="59" max="9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F229D-F7DF-4CA5-B117-A461BC101E9C}">
  <sheetPr>
    <tabColor rgb="FFFF0000"/>
    <pageSetUpPr fitToPage="1"/>
  </sheetPr>
  <dimension ref="A1:AC90"/>
  <sheetViews>
    <sheetView zoomScale="80" zoomScaleNormal="80" zoomScaleSheetLayoutView="80" workbookViewId="0">
      <pane ySplit="3" topLeftCell="A38" activePane="bottomLeft" state="frozen"/>
      <selection pane="bottomLeft" activeCell="J37" sqref="J37"/>
    </sheetView>
  </sheetViews>
  <sheetFormatPr defaultColWidth="9.140625" defaultRowHeight="15.75" outlineLevelCol="1" x14ac:dyDescent="0.25"/>
  <cols>
    <col min="1" max="1" width="6.28515625" style="708" customWidth="1"/>
    <col min="2" max="2" width="16.140625" style="708" customWidth="1"/>
    <col min="3" max="3" width="38.85546875" style="708" customWidth="1"/>
    <col min="4" max="4" width="20.5703125" style="708" hidden="1" customWidth="1" outlineLevel="1"/>
    <col min="5" max="5" width="18.85546875" style="708" hidden="1" customWidth="1" outlineLevel="1"/>
    <col min="6" max="6" width="17.5703125" style="708" hidden="1" customWidth="1" outlineLevel="1"/>
    <col min="7" max="7" width="20.7109375" style="708" hidden="1" customWidth="1" outlineLevel="1"/>
    <col min="8" max="8" width="19.5703125" style="708" hidden="1" customWidth="1" outlineLevel="1"/>
    <col min="9" max="9" width="8.5703125" style="708" hidden="1" customWidth="1" outlineLevel="1"/>
    <col min="10" max="10" width="22.28515625" style="708" customWidth="1" collapsed="1"/>
    <col min="11" max="11" width="20.42578125" style="711" hidden="1" customWidth="1" outlineLevel="1"/>
    <col min="12" max="12" width="16.85546875" style="711" hidden="1" customWidth="1" outlineLevel="1"/>
    <col min="13" max="13" width="18.140625" style="707" hidden="1" customWidth="1" outlineLevel="1"/>
    <col min="14" max="14" width="16.85546875" style="711" hidden="1" customWidth="1" outlineLevel="1"/>
    <col min="15" max="15" width="18.140625" style="707" hidden="1" customWidth="1" outlineLevel="1"/>
    <col min="16" max="16" width="18.42578125" style="708" customWidth="1" collapsed="1"/>
    <col min="17" max="17" width="16.7109375" style="708" customWidth="1"/>
    <col min="18" max="18" width="16.85546875" style="708" customWidth="1"/>
    <col min="19" max="19" width="40.85546875" style="708" customWidth="1"/>
    <col min="20" max="20" width="26.140625" style="708" customWidth="1"/>
    <col min="21" max="21" width="26.7109375" style="708" customWidth="1"/>
    <col min="22" max="22" width="31.42578125" style="708" customWidth="1"/>
    <col min="23" max="23" width="3.28515625" style="709" hidden="1" customWidth="1"/>
    <col min="24" max="24" width="27.5703125" style="708" hidden="1" customWidth="1"/>
    <col min="25" max="26" width="19" style="708" hidden="1" customWidth="1"/>
    <col min="27" max="27" width="29.28515625" style="710" hidden="1" customWidth="1"/>
    <col min="28" max="28" width="15" style="708" hidden="1" customWidth="1"/>
    <col min="29" max="29" width="19.28515625" style="708" customWidth="1"/>
    <col min="30" max="16384" width="9.140625" style="708"/>
  </cols>
  <sheetData>
    <row r="1" spans="1:28" ht="8.25" customHeight="1" x14ac:dyDescent="0.25">
      <c r="A1" s="1125"/>
      <c r="B1" s="1125"/>
      <c r="C1" s="1125"/>
      <c r="D1" s="1125"/>
      <c r="E1" s="1125"/>
      <c r="F1" s="1125"/>
      <c r="G1" s="1125"/>
      <c r="H1" s="1125"/>
      <c r="I1" s="1125"/>
      <c r="J1" s="1125"/>
      <c r="K1" s="703"/>
      <c r="L1" s="703"/>
      <c r="N1" s="703"/>
    </row>
    <row r="2" spans="1:28" ht="5.25" customHeight="1" thickBot="1" x14ac:dyDescent="0.3">
      <c r="A2" s="37"/>
      <c r="B2" s="37"/>
      <c r="C2" s="37"/>
      <c r="D2" s="37"/>
      <c r="E2" s="37"/>
      <c r="F2" s="37"/>
      <c r="G2" s="37"/>
      <c r="H2" s="37"/>
      <c r="I2" s="38"/>
      <c r="J2" s="37"/>
    </row>
    <row r="3" spans="1:28" ht="47.25" customHeight="1" x14ac:dyDescent="0.25">
      <c r="A3" s="1140" t="s">
        <v>111</v>
      </c>
      <c r="B3" s="1142" t="s">
        <v>112</v>
      </c>
      <c r="C3" s="1142" t="s">
        <v>113</v>
      </c>
      <c r="D3" s="712" t="s">
        <v>114</v>
      </c>
      <c r="E3" s="712" t="s">
        <v>115</v>
      </c>
      <c r="F3" s="712" t="s">
        <v>116</v>
      </c>
      <c r="G3" s="1142" t="s">
        <v>117</v>
      </c>
      <c r="H3" s="1144" t="s">
        <v>125</v>
      </c>
      <c r="I3" s="1142" t="s">
        <v>118</v>
      </c>
      <c r="J3" s="1144" t="s">
        <v>244</v>
      </c>
      <c r="K3" s="713" t="s">
        <v>126</v>
      </c>
      <c r="L3" s="713" t="s">
        <v>127</v>
      </c>
      <c r="M3" s="714" t="s">
        <v>128</v>
      </c>
      <c r="N3" s="715" t="s">
        <v>134</v>
      </c>
      <c r="O3" s="716" t="s">
        <v>135</v>
      </c>
      <c r="P3" s="717" t="s">
        <v>136</v>
      </c>
      <c r="Q3" s="717" t="s">
        <v>121</v>
      </c>
      <c r="R3" s="718" t="s">
        <v>137</v>
      </c>
      <c r="S3" s="718" t="s">
        <v>138</v>
      </c>
      <c r="T3" s="719" t="s">
        <v>249</v>
      </c>
      <c r="U3" s="719" t="s">
        <v>276</v>
      </c>
      <c r="V3" s="719" t="s">
        <v>242</v>
      </c>
      <c r="X3" s="718" t="s">
        <v>193</v>
      </c>
      <c r="Y3" s="719" t="s">
        <v>157</v>
      </c>
      <c r="Z3" s="719" t="s">
        <v>137</v>
      </c>
      <c r="AA3" s="719" t="s">
        <v>293</v>
      </c>
    </row>
    <row r="4" spans="1:28" ht="14.25" customHeight="1" x14ac:dyDescent="0.25">
      <c r="A4" s="1141"/>
      <c r="B4" s="1143"/>
      <c r="C4" s="1143"/>
      <c r="D4" s="720"/>
      <c r="E4" s="720"/>
      <c r="F4" s="720"/>
      <c r="G4" s="1143"/>
      <c r="H4" s="1145"/>
      <c r="I4" s="1143"/>
      <c r="J4" s="1145"/>
      <c r="K4" s="721" t="s">
        <v>122</v>
      </c>
      <c r="L4" s="721" t="s">
        <v>123</v>
      </c>
      <c r="M4" s="721" t="s">
        <v>124</v>
      </c>
      <c r="N4" s="721" t="s">
        <v>132</v>
      </c>
      <c r="O4" s="721" t="s">
        <v>133</v>
      </c>
      <c r="P4" s="722"/>
      <c r="Q4" s="722"/>
      <c r="R4" s="723"/>
      <c r="S4" s="723"/>
      <c r="T4" s="724"/>
      <c r="U4" s="724"/>
      <c r="V4" s="724"/>
      <c r="X4" s="723"/>
      <c r="Y4" s="724"/>
      <c r="Z4" s="724"/>
    </row>
    <row r="5" spans="1:28" x14ac:dyDescent="0.25">
      <c r="A5" s="725"/>
      <c r="B5" s="726"/>
      <c r="C5" s="726"/>
      <c r="D5" s="726"/>
      <c r="E5" s="726"/>
      <c r="F5" s="726"/>
      <c r="G5" s="726"/>
      <c r="H5" s="727"/>
      <c r="I5" s="726"/>
      <c r="J5" s="727"/>
      <c r="K5" s="728"/>
      <c r="L5" s="728"/>
      <c r="M5" s="728"/>
      <c r="N5" s="728"/>
      <c r="O5" s="728"/>
      <c r="P5" s="728"/>
      <c r="Q5" s="728"/>
      <c r="R5" s="728"/>
      <c r="S5" s="728"/>
      <c r="T5" s="1146" t="s">
        <v>283</v>
      </c>
      <c r="U5" s="1147"/>
      <c r="V5" s="729"/>
      <c r="X5" s="723"/>
      <c r="Y5" s="724"/>
      <c r="Z5" s="724"/>
    </row>
    <row r="6" spans="1:28" ht="54" customHeight="1" x14ac:dyDescent="0.25">
      <c r="A6" s="730">
        <v>1</v>
      </c>
      <c r="B6" s="731" t="s">
        <v>159</v>
      </c>
      <c r="C6" s="732" t="str">
        <f>ССР!C24</f>
        <v>Выполнение работ по ликвидации объектов по трассе ж.д. путей, подготовке трассы ж.д. путей.</v>
      </c>
      <c r="D6" s="733">
        <v>48841208.740000002</v>
      </c>
      <c r="E6" s="733">
        <v>4004979.12</v>
      </c>
      <c r="F6" s="733">
        <v>1268308.51</v>
      </c>
      <c r="G6" s="733">
        <v>54114496.369999997</v>
      </c>
      <c r="H6" s="733">
        <v>56893839.630000003</v>
      </c>
      <c r="I6" s="734">
        <v>1.2</v>
      </c>
      <c r="J6" s="735">
        <f>ROUND(H6*I6,2)</f>
        <v>68272607.560000002</v>
      </c>
      <c r="K6" s="736">
        <v>65507253.219999999</v>
      </c>
      <c r="L6" s="736">
        <v>360012.73</v>
      </c>
      <c r="M6" s="736"/>
      <c r="N6" s="736"/>
      <c r="O6" s="736"/>
      <c r="P6" s="736">
        <f>K6+L6+M6+N6+O6</f>
        <v>65867265.950000003</v>
      </c>
      <c r="Q6" s="736">
        <f>J6-K6-L6-M6-N6-O6</f>
        <v>2405341.61</v>
      </c>
      <c r="R6" s="736" t="s">
        <v>139</v>
      </c>
      <c r="S6" s="737" t="s">
        <v>158</v>
      </c>
      <c r="T6" s="738">
        <f>P6</f>
        <v>65867265.950000003</v>
      </c>
      <c r="U6" s="738">
        <v>0</v>
      </c>
      <c r="V6" s="739">
        <f t="shared" ref="V6:V18" si="0">T6+U6</f>
        <v>65867265.950000003</v>
      </c>
      <c r="W6" s="740"/>
      <c r="X6" s="741"/>
      <c r="Y6" s="742"/>
      <c r="Z6" s="743"/>
      <c r="AA6" s="744"/>
    </row>
    <row r="7" spans="1:28" ht="49.5" customHeight="1" x14ac:dyDescent="0.25">
      <c r="A7" s="730">
        <v>2</v>
      </c>
      <c r="B7" s="731" t="s">
        <v>160</v>
      </c>
      <c r="C7" s="732" t="str">
        <f>ССР!C25</f>
        <v>Выполнение работ по ликвидации объекта капитального строительства</v>
      </c>
      <c r="D7" s="733">
        <v>40054718.460000001</v>
      </c>
      <c r="E7" s="733">
        <v>3284486.91</v>
      </c>
      <c r="F7" s="733">
        <v>1040140.93</v>
      </c>
      <c r="G7" s="733">
        <v>44379346.299999997</v>
      </c>
      <c r="H7" s="733">
        <v>46658688.170000002</v>
      </c>
      <c r="I7" s="734">
        <v>1.2</v>
      </c>
      <c r="J7" s="735">
        <f t="shared" ref="J7:J24" si="1">ROUND(H7*I7,2)</f>
        <v>55990425.799999997</v>
      </c>
      <c r="K7" s="736">
        <v>54911594.170000002</v>
      </c>
      <c r="L7" s="736"/>
      <c r="M7" s="736"/>
      <c r="N7" s="736"/>
      <c r="O7" s="736"/>
      <c r="P7" s="736">
        <f t="shared" ref="P7:P24" si="2">K7+L7+M7+N7+O7</f>
        <v>54911594.170000002</v>
      </c>
      <c r="Q7" s="736">
        <f t="shared" ref="Q7:Q24" si="3">J7-K7-L7-M7-N7-O7</f>
        <v>1078831.6299999999</v>
      </c>
      <c r="R7" s="736" t="s">
        <v>139</v>
      </c>
      <c r="S7" s="737" t="s">
        <v>158</v>
      </c>
      <c r="T7" s="738">
        <f t="shared" ref="T7:T24" si="4">P7</f>
        <v>54911594.170000002</v>
      </c>
      <c r="U7" s="738">
        <v>0</v>
      </c>
      <c r="V7" s="739">
        <f t="shared" si="0"/>
        <v>54911594.170000002</v>
      </c>
      <c r="X7" s="741"/>
      <c r="Y7" s="742"/>
      <c r="Z7" s="743"/>
      <c r="AA7" s="744"/>
    </row>
    <row r="8" spans="1:28" ht="35.1" customHeight="1" x14ac:dyDescent="0.25">
      <c r="A8" s="730">
        <v>3</v>
      </c>
      <c r="B8" s="731" t="s">
        <v>176</v>
      </c>
      <c r="C8" s="732" t="str">
        <f>ССР!C26</f>
        <v>Демонтаж сетей и систем  инженерного обоспечения.</v>
      </c>
      <c r="D8" s="733">
        <v>1177977.71</v>
      </c>
      <c r="E8" s="733">
        <v>96594.17</v>
      </c>
      <c r="F8" s="733">
        <v>30589.73</v>
      </c>
      <c r="G8" s="733">
        <v>1305161.6100000001</v>
      </c>
      <c r="H8" s="733">
        <v>1372195.26</v>
      </c>
      <c r="I8" s="734">
        <f>I6</f>
        <v>1.2</v>
      </c>
      <c r="J8" s="735">
        <f>ROUND(H8*I8,2)</f>
        <v>1646634.31</v>
      </c>
      <c r="K8" s="736"/>
      <c r="L8" s="736"/>
      <c r="M8" s="736">
        <v>1646696.3</v>
      </c>
      <c r="N8" s="736"/>
      <c r="O8" s="736"/>
      <c r="P8" s="736">
        <f t="shared" si="2"/>
        <v>1646696.3</v>
      </c>
      <c r="Q8" s="736">
        <v>0</v>
      </c>
      <c r="R8" s="736" t="s">
        <v>139</v>
      </c>
      <c r="S8" s="737" t="s">
        <v>158</v>
      </c>
      <c r="T8" s="738">
        <f t="shared" si="4"/>
        <v>1646696.3</v>
      </c>
      <c r="U8" s="738">
        <v>0</v>
      </c>
      <c r="V8" s="739">
        <f t="shared" si="0"/>
        <v>1646696.3</v>
      </c>
      <c r="X8" s="741"/>
      <c r="Y8" s="742"/>
      <c r="Z8" s="743"/>
      <c r="AA8" s="744"/>
    </row>
    <row r="9" spans="1:28" s="762" customFormat="1" ht="47.25" x14ac:dyDescent="0.25">
      <c r="A9" s="745">
        <v>4</v>
      </c>
      <c r="B9" s="746" t="s">
        <v>177</v>
      </c>
      <c r="C9" s="747" t="str">
        <f>ССР!C32</f>
        <v>Трансбордер. Архитектурно-строительные решения. Часть 2. АС2 .</v>
      </c>
      <c r="D9" s="748">
        <v>1615223.87</v>
      </c>
      <c r="E9" s="748">
        <v>132448.35999999999</v>
      </c>
      <c r="F9" s="748">
        <v>41944.13</v>
      </c>
      <c r="G9" s="748">
        <v>1789616.36</v>
      </c>
      <c r="H9" s="748">
        <v>1881531.81</v>
      </c>
      <c r="I9" s="749">
        <f>I19</f>
        <v>1.2</v>
      </c>
      <c r="J9" s="750">
        <f t="shared" si="1"/>
        <v>2257838.17</v>
      </c>
      <c r="K9" s="751"/>
      <c r="L9" s="751"/>
      <c r="M9" s="751">
        <v>1627347.05</v>
      </c>
      <c r="N9" s="751"/>
      <c r="O9" s="751"/>
      <c r="P9" s="751">
        <f>K9+L9+M9+N9+O9</f>
        <v>1627347.05</v>
      </c>
      <c r="Q9" s="751">
        <f t="shared" si="3"/>
        <v>630491.12</v>
      </c>
      <c r="R9" s="752" t="s">
        <v>139</v>
      </c>
      <c r="S9" s="753" t="str">
        <f>S10</f>
        <v>ВОР подписан, смета отправлена на проверку 21.06</v>
      </c>
      <c r="T9" s="754">
        <f t="shared" si="4"/>
        <v>1627347.05</v>
      </c>
      <c r="U9" s="755">
        <v>400933.67</v>
      </c>
      <c r="V9" s="756">
        <f t="shared" si="0"/>
        <v>2028280.72</v>
      </c>
      <c r="W9" s="757"/>
      <c r="X9" s="758" t="s">
        <v>139</v>
      </c>
      <c r="Y9" s="759">
        <f>1447989.61*1.082*1.024*1.0514*1.2</f>
        <v>2024146.22</v>
      </c>
      <c r="Z9" s="760" t="s">
        <v>186</v>
      </c>
      <c r="AA9" s="744">
        <v>2023649.39</v>
      </c>
      <c r="AB9" s="761">
        <f>AA9-V9</f>
        <v>-4631.33</v>
      </c>
    </row>
    <row r="10" spans="1:28" ht="31.5" x14ac:dyDescent="0.25">
      <c r="A10" s="745">
        <v>5</v>
      </c>
      <c r="B10" s="746" t="s">
        <v>195</v>
      </c>
      <c r="C10" s="747" t="str">
        <f>ССР!C35</f>
        <v>Электроснабжение. ЭС 1.</v>
      </c>
      <c r="D10" s="748">
        <v>475031.03999999998</v>
      </c>
      <c r="E10" s="748">
        <v>38952.550000000003</v>
      </c>
      <c r="F10" s="748">
        <v>12335.61</v>
      </c>
      <c r="G10" s="748">
        <v>526319.19999999995</v>
      </c>
      <c r="H10" s="748">
        <v>553351.18000000005</v>
      </c>
      <c r="I10" s="749">
        <f>I27</f>
        <v>1.2</v>
      </c>
      <c r="J10" s="750">
        <f t="shared" si="1"/>
        <v>664021.42000000004</v>
      </c>
      <c r="K10" s="751"/>
      <c r="L10" s="751"/>
      <c r="M10" s="751"/>
      <c r="N10" s="751"/>
      <c r="O10" s="751"/>
      <c r="P10" s="751">
        <f t="shared" si="2"/>
        <v>0</v>
      </c>
      <c r="Q10" s="751">
        <f t="shared" si="3"/>
        <v>664021.42000000004</v>
      </c>
      <c r="R10" s="752" t="s">
        <v>139</v>
      </c>
      <c r="S10" s="753" t="s">
        <v>299</v>
      </c>
      <c r="T10" s="754">
        <f t="shared" si="4"/>
        <v>0</v>
      </c>
      <c r="U10" s="755">
        <v>370254</v>
      </c>
      <c r="V10" s="756">
        <f t="shared" si="0"/>
        <v>370254</v>
      </c>
      <c r="W10" s="763"/>
      <c r="X10" s="764" t="s">
        <v>139</v>
      </c>
      <c r="Y10" s="765">
        <f>(235378.05+47139.18)*1.082*1.024*1.0514*1.2</f>
        <v>394931.14</v>
      </c>
      <c r="Z10" s="766" t="s">
        <v>186</v>
      </c>
      <c r="AA10" s="744">
        <v>388509.33</v>
      </c>
      <c r="AB10" s="761">
        <f t="shared" ref="AB10:AB17" si="5">AA10-V10</f>
        <v>18255.330000000002</v>
      </c>
    </row>
    <row r="11" spans="1:28" ht="31.5" x14ac:dyDescent="0.25">
      <c r="A11" s="745">
        <v>6</v>
      </c>
      <c r="B11" s="746" t="s">
        <v>178</v>
      </c>
      <c r="C11" s="747" t="str">
        <f>ССР!C36</f>
        <v>Переустройство кабельных линий.ЭС2</v>
      </c>
      <c r="D11" s="748">
        <v>2276671.21</v>
      </c>
      <c r="E11" s="748">
        <v>186687.04</v>
      </c>
      <c r="F11" s="748">
        <v>59120.6</v>
      </c>
      <c r="G11" s="748">
        <v>2522478.85</v>
      </c>
      <c r="H11" s="748">
        <v>2652034.42</v>
      </c>
      <c r="I11" s="749">
        <f>I27</f>
        <v>1.2</v>
      </c>
      <c r="J11" s="750">
        <f t="shared" si="1"/>
        <v>3182441.3</v>
      </c>
      <c r="K11" s="751"/>
      <c r="L11" s="751"/>
      <c r="M11" s="751"/>
      <c r="N11" s="751"/>
      <c r="O11" s="751"/>
      <c r="P11" s="751">
        <f t="shared" si="2"/>
        <v>0</v>
      </c>
      <c r="Q11" s="751">
        <f t="shared" si="3"/>
        <v>3182441.3</v>
      </c>
      <c r="R11" s="752" t="s">
        <v>139</v>
      </c>
      <c r="S11" s="753" t="str">
        <f>S10</f>
        <v>ВОР подписан, смета отправлена на проверку 21.06</v>
      </c>
      <c r="T11" s="754">
        <f t="shared" si="4"/>
        <v>0</v>
      </c>
      <c r="U11" s="755">
        <v>4582694</v>
      </c>
      <c r="V11" s="756">
        <f t="shared" si="0"/>
        <v>4582694</v>
      </c>
      <c r="W11" s="767"/>
      <c r="X11" s="741" t="s">
        <v>139</v>
      </c>
      <c r="Y11" s="742">
        <f>(3206824.35+130942.19)*1.082*1.024*1.0514*1.2</f>
        <v>4665867.41</v>
      </c>
      <c r="Z11" s="766" t="s">
        <v>186</v>
      </c>
      <c r="AA11" s="744">
        <f>'вар НВ (с 0,65 и без упл)'!U11</f>
        <v>4814643</v>
      </c>
      <c r="AB11" s="761">
        <f t="shared" si="5"/>
        <v>231949</v>
      </c>
    </row>
    <row r="12" spans="1:28" ht="31.5" x14ac:dyDescent="0.25">
      <c r="A12" s="745">
        <v>7</v>
      </c>
      <c r="B12" s="746" t="s">
        <v>179</v>
      </c>
      <c r="C12" s="747" t="str">
        <f>ССР!C40</f>
        <v>Переустройство хозпитьевого водопровода.НВК2</v>
      </c>
      <c r="D12" s="748">
        <v>760016.55</v>
      </c>
      <c r="E12" s="748">
        <v>62321.36</v>
      </c>
      <c r="F12" s="748">
        <v>19736.11</v>
      </c>
      <c r="G12" s="748">
        <v>842074.02</v>
      </c>
      <c r="H12" s="748">
        <v>885323.3</v>
      </c>
      <c r="I12" s="749">
        <f>I20</f>
        <v>1.2</v>
      </c>
      <c r="J12" s="750">
        <f t="shared" si="1"/>
        <v>1062387.96</v>
      </c>
      <c r="K12" s="751"/>
      <c r="L12" s="751"/>
      <c r="M12" s="751"/>
      <c r="N12" s="751"/>
      <c r="O12" s="751"/>
      <c r="P12" s="751">
        <f t="shared" si="2"/>
        <v>0</v>
      </c>
      <c r="Q12" s="751">
        <f t="shared" si="3"/>
        <v>1062387.96</v>
      </c>
      <c r="R12" s="751" t="s">
        <v>139</v>
      </c>
      <c r="S12" s="753" t="str">
        <f>S10</f>
        <v>ВОР подписан, смета отправлена на проверку 21.06</v>
      </c>
      <c r="T12" s="754">
        <f t="shared" si="4"/>
        <v>0</v>
      </c>
      <c r="U12" s="755">
        <v>1553260.73</v>
      </c>
      <c r="V12" s="756">
        <f t="shared" si="0"/>
        <v>1553260.73</v>
      </c>
      <c r="W12" s="757"/>
      <c r="X12" s="764" t="s">
        <v>139</v>
      </c>
      <c r="Y12" s="765">
        <f>1047143.73*1.082*1.024*1.0514*1.2</f>
        <v>1463803.34</v>
      </c>
      <c r="Z12" s="766" t="s">
        <v>186</v>
      </c>
      <c r="AA12" s="768">
        <v>1463803.34</v>
      </c>
      <c r="AB12" s="761">
        <f t="shared" si="5"/>
        <v>-89457.39</v>
      </c>
    </row>
    <row r="13" spans="1:28" ht="31.5" x14ac:dyDescent="0.25">
      <c r="A13" s="745">
        <v>8</v>
      </c>
      <c r="B13" s="746" t="s">
        <v>180</v>
      </c>
      <c r="C13" s="747" t="str">
        <f>ССР!C41</f>
        <v>Переустройство хозпитьевого водопровода.НВК3</v>
      </c>
      <c r="D13" s="748">
        <v>10454161.890000001</v>
      </c>
      <c r="E13" s="748">
        <v>857241.27</v>
      </c>
      <c r="F13" s="748">
        <v>271473.68</v>
      </c>
      <c r="G13" s="748">
        <v>11582876.84</v>
      </c>
      <c r="H13" s="748">
        <v>12177778.26</v>
      </c>
      <c r="I13" s="749">
        <f t="shared" ref="I13:I18" si="6">I6</f>
        <v>1.2</v>
      </c>
      <c r="J13" s="750">
        <f t="shared" si="1"/>
        <v>14613333.91</v>
      </c>
      <c r="K13" s="751"/>
      <c r="L13" s="751"/>
      <c r="M13" s="751"/>
      <c r="N13" s="751"/>
      <c r="O13" s="751"/>
      <c r="P13" s="751">
        <f t="shared" si="2"/>
        <v>0</v>
      </c>
      <c r="Q13" s="751">
        <f t="shared" si="3"/>
        <v>14613333.91</v>
      </c>
      <c r="R13" s="751" t="s">
        <v>139</v>
      </c>
      <c r="S13" s="753" t="str">
        <f>S10</f>
        <v>ВОР подписан, смета отправлена на проверку 21.06</v>
      </c>
      <c r="T13" s="754">
        <f t="shared" si="4"/>
        <v>0</v>
      </c>
      <c r="U13" s="755">
        <v>19970832</v>
      </c>
      <c r="V13" s="756">
        <f t="shared" si="0"/>
        <v>19970832</v>
      </c>
      <c r="W13" s="757"/>
      <c r="X13" s="764" t="s">
        <v>139</v>
      </c>
      <c r="Y13" s="765">
        <f>13422525.94*1.082*1.024*1.0514*1.2</f>
        <v>18763363.32</v>
      </c>
      <c r="Z13" s="766" t="s">
        <v>186</v>
      </c>
      <c r="AA13" s="768">
        <f>'вар НВ (с 0,65 и без упл)'!U13</f>
        <v>19308691</v>
      </c>
      <c r="AB13" s="761">
        <f t="shared" si="5"/>
        <v>-662141</v>
      </c>
    </row>
    <row r="14" spans="1:28" s="762" customFormat="1" ht="31.5" x14ac:dyDescent="0.25">
      <c r="A14" s="745">
        <v>9</v>
      </c>
      <c r="B14" s="746" t="s">
        <v>181</v>
      </c>
      <c r="C14" s="747" t="str">
        <f>ССР!C43</f>
        <v>Переустройство хозяйственно-бытовой канализации.НВК4</v>
      </c>
      <c r="D14" s="748">
        <v>9143309.8300000001</v>
      </c>
      <c r="E14" s="748">
        <v>749751.41</v>
      </c>
      <c r="F14" s="748">
        <v>237433.47</v>
      </c>
      <c r="G14" s="748">
        <v>10130494.710000001</v>
      </c>
      <c r="H14" s="748">
        <v>10650801.17</v>
      </c>
      <c r="I14" s="749">
        <f t="shared" si="6"/>
        <v>1.2</v>
      </c>
      <c r="J14" s="750">
        <f t="shared" si="1"/>
        <v>12780961.4</v>
      </c>
      <c r="K14" s="751"/>
      <c r="L14" s="751"/>
      <c r="M14" s="751"/>
      <c r="N14" s="751"/>
      <c r="O14" s="751">
        <v>337909.86</v>
      </c>
      <c r="P14" s="751">
        <f t="shared" si="2"/>
        <v>337909.86</v>
      </c>
      <c r="Q14" s="751">
        <f t="shared" si="3"/>
        <v>12443051.539999999</v>
      </c>
      <c r="R14" s="751" t="s">
        <v>139</v>
      </c>
      <c r="S14" s="753" t="str">
        <f>S10</f>
        <v>ВОР подписан, смета отправлена на проверку 21.06</v>
      </c>
      <c r="T14" s="754">
        <f t="shared" si="4"/>
        <v>337909.86</v>
      </c>
      <c r="U14" s="755">
        <v>2221220.66</v>
      </c>
      <c r="V14" s="756">
        <f t="shared" si="0"/>
        <v>2559130.52</v>
      </c>
      <c r="W14" s="767"/>
      <c r="X14" s="769" t="s">
        <v>139</v>
      </c>
      <c r="Y14" s="770">
        <f>1724717.19*1.082*1.024*1.0514*1.2</f>
        <v>2410984</v>
      </c>
      <c r="Z14" s="760" t="s">
        <v>186</v>
      </c>
      <c r="AA14" s="768">
        <f>'вар НВ (с 0,65 и без упл)'!U14</f>
        <v>2202170</v>
      </c>
      <c r="AB14" s="761">
        <f t="shared" si="5"/>
        <v>-356960.52</v>
      </c>
    </row>
    <row r="15" spans="1:28" s="762" customFormat="1" ht="31.5" x14ac:dyDescent="0.25">
      <c r="A15" s="745">
        <v>10</v>
      </c>
      <c r="B15" s="746" t="s">
        <v>182</v>
      </c>
      <c r="C15" s="747" t="str">
        <f>ССР!C44</f>
        <v>Переустройство ливневой канализации.НВК5.</v>
      </c>
      <c r="D15" s="748">
        <v>21996729.18</v>
      </c>
      <c r="E15" s="748">
        <v>1803731.79</v>
      </c>
      <c r="F15" s="748">
        <v>571211.06000000006</v>
      </c>
      <c r="G15" s="748">
        <v>24371672.030000001</v>
      </c>
      <c r="H15" s="748">
        <v>25623411.34</v>
      </c>
      <c r="I15" s="749">
        <f t="shared" si="6"/>
        <v>1.2</v>
      </c>
      <c r="J15" s="750">
        <f t="shared" si="1"/>
        <v>30748093.609999999</v>
      </c>
      <c r="K15" s="751"/>
      <c r="L15" s="751"/>
      <c r="M15" s="751">
        <v>1211400.79</v>
      </c>
      <c r="N15" s="751"/>
      <c r="O15" s="751"/>
      <c r="P15" s="751">
        <f t="shared" si="2"/>
        <v>1211400.79</v>
      </c>
      <c r="Q15" s="751">
        <f t="shared" si="3"/>
        <v>29536692.82</v>
      </c>
      <c r="R15" s="752" t="s">
        <v>139</v>
      </c>
      <c r="S15" s="753" t="str">
        <f>S10</f>
        <v>ВОР подписан, смета отправлена на проверку 21.06</v>
      </c>
      <c r="T15" s="754">
        <f t="shared" si="4"/>
        <v>1211400.79</v>
      </c>
      <c r="U15" s="755">
        <v>3314342.94</v>
      </c>
      <c r="V15" s="756">
        <f t="shared" si="0"/>
        <v>4525743.7300000004</v>
      </c>
      <c r="W15" s="767"/>
      <c r="X15" s="769" t="s">
        <v>139</v>
      </c>
      <c r="Y15" s="770">
        <f>2827828.36*1.082*1.024*1.0514*1.2</f>
        <v>3953024.28</v>
      </c>
      <c r="Z15" s="760" t="s">
        <v>186</v>
      </c>
      <c r="AA15" s="768">
        <f>'вар НВ (с 0,65 и без упл)'!V15</f>
        <v>4448059.79</v>
      </c>
      <c r="AB15" s="761">
        <f t="shared" si="5"/>
        <v>-77683.94</v>
      </c>
    </row>
    <row r="16" spans="1:28" ht="31.5" x14ac:dyDescent="0.25">
      <c r="A16" s="745">
        <v>11</v>
      </c>
      <c r="B16" s="746" t="s">
        <v>183</v>
      </c>
      <c r="C16" s="747" t="str">
        <f>ССР!C49</f>
        <v>Теплоснабжение. Переустройство трубопровода.ТС2</v>
      </c>
      <c r="D16" s="748">
        <v>1890203.39</v>
      </c>
      <c r="E16" s="748">
        <v>154996.68</v>
      </c>
      <c r="F16" s="748">
        <v>49084.800000000003</v>
      </c>
      <c r="G16" s="748">
        <v>2094284.87</v>
      </c>
      <c r="H16" s="748">
        <v>2201848.2200000002</v>
      </c>
      <c r="I16" s="749">
        <f t="shared" si="6"/>
        <v>1.2</v>
      </c>
      <c r="J16" s="750">
        <f t="shared" si="1"/>
        <v>2642217.86</v>
      </c>
      <c r="K16" s="751"/>
      <c r="L16" s="751"/>
      <c r="M16" s="751"/>
      <c r="N16" s="751"/>
      <c r="O16" s="751"/>
      <c r="P16" s="751">
        <f t="shared" si="2"/>
        <v>0</v>
      </c>
      <c r="Q16" s="751">
        <f t="shared" si="3"/>
        <v>2642217.86</v>
      </c>
      <c r="R16" s="751" t="s">
        <v>139</v>
      </c>
      <c r="S16" s="753" t="str">
        <f>S10</f>
        <v>ВОР подписан, смета отправлена на проверку 21.06</v>
      </c>
      <c r="T16" s="754">
        <f t="shared" si="4"/>
        <v>0</v>
      </c>
      <c r="U16" s="755">
        <v>2509941.54</v>
      </c>
      <c r="V16" s="756">
        <f t="shared" si="0"/>
        <v>2509941.54</v>
      </c>
      <c r="W16" s="767"/>
      <c r="X16" s="741" t="s">
        <v>139</v>
      </c>
      <c r="Y16" s="742">
        <f>1675854.44*1.082*1.024*1.0514*1.2</f>
        <v>2342678.71</v>
      </c>
      <c r="Z16" s="766" t="s">
        <v>186</v>
      </c>
      <c r="AA16" s="768">
        <f>'вар НВ (с 0,65 и без упл)'!U16</f>
        <v>2387178</v>
      </c>
      <c r="AB16" s="761">
        <f t="shared" si="5"/>
        <v>-122763.54</v>
      </c>
    </row>
    <row r="17" spans="1:29" ht="31.5" x14ac:dyDescent="0.25">
      <c r="A17" s="745">
        <v>12</v>
      </c>
      <c r="B17" s="746" t="s">
        <v>184</v>
      </c>
      <c r="C17" s="747" t="str">
        <f>ССР!C50</f>
        <v>Теплоснабжение. Переустройство трубопровода.ТС3</v>
      </c>
      <c r="D17" s="748">
        <v>4003449.34</v>
      </c>
      <c r="E17" s="748">
        <v>328282.84999999998</v>
      </c>
      <c r="F17" s="748">
        <v>103961.57</v>
      </c>
      <c r="G17" s="748">
        <v>4435693.76</v>
      </c>
      <c r="H17" s="748">
        <v>4663512.8499999996</v>
      </c>
      <c r="I17" s="749">
        <f t="shared" si="6"/>
        <v>1.2</v>
      </c>
      <c r="J17" s="750">
        <f t="shared" si="1"/>
        <v>5596215.4199999999</v>
      </c>
      <c r="K17" s="751"/>
      <c r="L17" s="751"/>
      <c r="M17" s="751"/>
      <c r="N17" s="751"/>
      <c r="O17" s="751"/>
      <c r="P17" s="751">
        <f t="shared" si="2"/>
        <v>0</v>
      </c>
      <c r="Q17" s="751">
        <f t="shared" si="3"/>
        <v>5596215.4199999999</v>
      </c>
      <c r="R17" s="751" t="s">
        <v>139</v>
      </c>
      <c r="S17" s="753" t="str">
        <f>S10</f>
        <v>ВОР подписан, смета отправлена на проверку 21.06</v>
      </c>
      <c r="T17" s="754">
        <f t="shared" si="4"/>
        <v>0</v>
      </c>
      <c r="U17" s="755">
        <v>4764781</v>
      </c>
      <c r="V17" s="756">
        <f t="shared" si="0"/>
        <v>4764781</v>
      </c>
      <c r="W17" s="767"/>
      <c r="X17" s="741" t="s">
        <v>139</v>
      </c>
      <c r="Y17" s="742">
        <f>2820165.03*1.082*1.024*1.0514*1.2</f>
        <v>3942311.7</v>
      </c>
      <c r="Z17" s="766" t="s">
        <v>186</v>
      </c>
      <c r="AA17" s="768">
        <v>3942311.7</v>
      </c>
      <c r="AB17" s="761">
        <f t="shared" si="5"/>
        <v>-822469.3</v>
      </c>
    </row>
    <row r="18" spans="1:29" ht="31.5" x14ac:dyDescent="0.25">
      <c r="A18" s="745">
        <v>13</v>
      </c>
      <c r="B18" s="746" t="s">
        <v>289</v>
      </c>
      <c r="C18" s="747" t="str">
        <f>ССР!C52</f>
        <v>Наружные газопроводы. Вынос газопровода среднего давления.</v>
      </c>
      <c r="D18" s="748">
        <v>8291915.46</v>
      </c>
      <c r="E18" s="748">
        <v>679937.07</v>
      </c>
      <c r="F18" s="748">
        <v>215324.46</v>
      </c>
      <c r="G18" s="748">
        <v>9187176.9900000002</v>
      </c>
      <c r="H18" s="748">
        <v>9659034.2599999998</v>
      </c>
      <c r="I18" s="749">
        <f t="shared" si="6"/>
        <v>1.2</v>
      </c>
      <c r="J18" s="750">
        <f t="shared" si="1"/>
        <v>11590841.109999999</v>
      </c>
      <c r="K18" s="771"/>
      <c r="L18" s="771"/>
      <c r="M18" s="771"/>
      <c r="N18" s="771"/>
      <c r="O18" s="771"/>
      <c r="P18" s="751">
        <f t="shared" si="2"/>
        <v>0</v>
      </c>
      <c r="Q18" s="751">
        <f t="shared" si="3"/>
        <v>11590841.109999999</v>
      </c>
      <c r="R18" s="772" t="s">
        <v>139</v>
      </c>
      <c r="S18" s="753" t="str">
        <f>S10</f>
        <v>ВОР подписан, смета отправлена на проверку 21.06</v>
      </c>
      <c r="T18" s="754">
        <f t="shared" si="4"/>
        <v>0</v>
      </c>
      <c r="U18" s="755">
        <v>6207964</v>
      </c>
      <c r="V18" s="756">
        <f t="shared" si="0"/>
        <v>6207964</v>
      </c>
      <c r="W18" s="773"/>
      <c r="X18" s="741"/>
      <c r="Y18" s="742"/>
      <c r="Z18" s="743"/>
      <c r="AA18" s="744"/>
      <c r="AB18" s="774"/>
    </row>
    <row r="19" spans="1:29" ht="31.5" x14ac:dyDescent="0.25">
      <c r="A19" s="745">
        <v>14</v>
      </c>
      <c r="B19" s="775" t="s">
        <v>306</v>
      </c>
      <c r="C19" s="747" t="str">
        <f>ССР!C29</f>
        <v>Верхнее строение пути</v>
      </c>
      <c r="D19" s="748">
        <v>161452921.99000001</v>
      </c>
      <c r="E19" s="748">
        <v>13239139.6</v>
      </c>
      <c r="F19" s="748">
        <v>4192609.48</v>
      </c>
      <c r="G19" s="748">
        <v>178884671.06999999</v>
      </c>
      <c r="H19" s="748">
        <v>188072263.84999999</v>
      </c>
      <c r="I19" s="749">
        <f>I6</f>
        <v>1.2</v>
      </c>
      <c r="J19" s="750">
        <f t="shared" si="1"/>
        <v>225686716.62</v>
      </c>
      <c r="K19" s="751">
        <v>89998722.969999999</v>
      </c>
      <c r="L19" s="751">
        <v>66544414.909999996</v>
      </c>
      <c r="M19" s="751">
        <v>42672742.899999999</v>
      </c>
      <c r="N19" s="751"/>
      <c r="O19" s="751"/>
      <c r="P19" s="751">
        <f t="shared" si="2"/>
        <v>199215880.78</v>
      </c>
      <c r="Q19" s="751">
        <f t="shared" si="3"/>
        <v>26470835.84</v>
      </c>
      <c r="R19" s="751" t="s">
        <v>139</v>
      </c>
      <c r="S19" s="776" t="s">
        <v>316</v>
      </c>
      <c r="T19" s="754">
        <f t="shared" si="4"/>
        <v>199215880.78</v>
      </c>
      <c r="U19" s="755">
        <v>37091104.509999998</v>
      </c>
      <c r="V19" s="756">
        <f>T19+U19</f>
        <v>236306985.28999999</v>
      </c>
      <c r="X19" s="741"/>
      <c r="Y19" s="742"/>
      <c r="Z19" s="743"/>
      <c r="AA19" s="708"/>
      <c r="AB19" s="777"/>
    </row>
    <row r="20" spans="1:29" s="782" customFormat="1" ht="35.25" customHeight="1" x14ac:dyDescent="0.25">
      <c r="A20" s="745">
        <v>16</v>
      </c>
      <c r="B20" s="775" t="s">
        <v>307</v>
      </c>
      <c r="C20" s="747" t="str">
        <f>ССР!C31</f>
        <v>Архитектурно-строительные решения. Часть 1.АС1</v>
      </c>
      <c r="D20" s="748">
        <v>10526911.91</v>
      </c>
      <c r="E20" s="748">
        <v>863206.78</v>
      </c>
      <c r="F20" s="748">
        <v>273362.84999999998</v>
      </c>
      <c r="G20" s="748">
        <v>11663481.539999999</v>
      </c>
      <c r="H20" s="748">
        <v>12262522.85</v>
      </c>
      <c r="I20" s="749">
        <f>I8</f>
        <v>1.2</v>
      </c>
      <c r="J20" s="750">
        <f t="shared" si="1"/>
        <v>14715027.42</v>
      </c>
      <c r="K20" s="751"/>
      <c r="L20" s="751">
        <v>10775049.08</v>
      </c>
      <c r="M20" s="751"/>
      <c r="N20" s="751"/>
      <c r="O20" s="751"/>
      <c r="P20" s="751">
        <f t="shared" si="2"/>
        <v>10775049.08</v>
      </c>
      <c r="Q20" s="751">
        <f t="shared" si="3"/>
        <v>3939978.34</v>
      </c>
      <c r="R20" s="751" t="s">
        <v>139</v>
      </c>
      <c r="S20" s="753" t="str">
        <f>S39</f>
        <v>ВОР подписан, смета отправлена на проверку 28.06</v>
      </c>
      <c r="T20" s="754">
        <f t="shared" si="4"/>
        <v>10775049.08</v>
      </c>
      <c r="U20" s="755">
        <v>1790752.08</v>
      </c>
      <c r="V20" s="756">
        <f>T20+U20</f>
        <v>12565801.16</v>
      </c>
      <c r="W20" s="778"/>
      <c r="X20" s="741"/>
      <c r="Y20" s="779"/>
      <c r="Z20" s="780"/>
      <c r="AA20" s="781"/>
    </row>
    <row r="21" spans="1:29" s="800" customFormat="1" ht="36" customHeight="1" x14ac:dyDescent="0.25">
      <c r="A21" s="783">
        <v>19</v>
      </c>
      <c r="B21" s="784" t="s">
        <v>59</v>
      </c>
      <c r="C21" s="785" t="str">
        <f>ССР!C48</f>
        <v>Архитектурно-строительные решения. Эстакада для ТС1. АС 4</v>
      </c>
      <c r="D21" s="786">
        <v>4859580.66</v>
      </c>
      <c r="E21" s="786">
        <v>398485.61</v>
      </c>
      <c r="F21" s="786">
        <v>126193.59</v>
      </c>
      <c r="G21" s="786">
        <v>5384259.8600000003</v>
      </c>
      <c r="H21" s="786">
        <v>5660797.71</v>
      </c>
      <c r="I21" s="787">
        <f>I14</f>
        <v>1.2</v>
      </c>
      <c r="J21" s="788">
        <f t="shared" si="1"/>
        <v>6792957.25</v>
      </c>
      <c r="K21" s="789"/>
      <c r="L21" s="789"/>
      <c r="M21" s="789"/>
      <c r="N21" s="789"/>
      <c r="O21" s="789">
        <v>562345.21</v>
      </c>
      <c r="P21" s="789">
        <f t="shared" si="2"/>
        <v>562345.21</v>
      </c>
      <c r="Q21" s="789">
        <f t="shared" si="3"/>
        <v>6230612.04</v>
      </c>
      <c r="R21" s="790" t="s">
        <v>139</v>
      </c>
      <c r="S21" s="791" t="s">
        <v>312</v>
      </c>
      <c r="T21" s="792">
        <f t="shared" si="4"/>
        <v>562345.21</v>
      </c>
      <c r="U21" s="793">
        <v>3430118.1</v>
      </c>
      <c r="V21" s="794">
        <f>T21+U21</f>
        <v>3992463.31</v>
      </c>
      <c r="W21" s="795"/>
      <c r="X21" s="796"/>
      <c r="Y21" s="797"/>
      <c r="Z21" s="798"/>
      <c r="AA21" s="799"/>
    </row>
    <row r="22" spans="1:29" ht="4.5" customHeight="1" x14ac:dyDescent="0.25">
      <c r="A22" s="801"/>
      <c r="B22" s="802"/>
      <c r="C22" s="803"/>
      <c r="D22" s="804"/>
      <c r="E22" s="804"/>
      <c r="F22" s="804"/>
      <c r="G22" s="804"/>
      <c r="H22" s="804"/>
      <c r="I22" s="805"/>
      <c r="J22" s="806"/>
      <c r="K22" s="807"/>
      <c r="L22" s="807"/>
      <c r="M22" s="807"/>
      <c r="N22" s="807"/>
      <c r="O22" s="807"/>
      <c r="P22" s="807"/>
      <c r="Q22" s="807"/>
      <c r="R22" s="807"/>
      <c r="S22" s="808"/>
      <c r="T22" s="809"/>
      <c r="U22" s="810"/>
      <c r="V22" s="811"/>
      <c r="W22" s="767"/>
      <c r="X22" s="741"/>
      <c r="Y22" s="742"/>
      <c r="Z22" s="766"/>
    </row>
    <row r="23" spans="1:29" ht="32.25" customHeight="1" x14ac:dyDescent="0.25">
      <c r="A23" s="725"/>
      <c r="B23" s="726"/>
      <c r="C23" s="726"/>
      <c r="D23" s="726"/>
      <c r="E23" s="726"/>
      <c r="F23" s="726"/>
      <c r="G23" s="726"/>
      <c r="H23" s="727"/>
      <c r="I23" s="726"/>
      <c r="J23" s="727"/>
      <c r="K23" s="728"/>
      <c r="L23" s="728"/>
      <c r="M23" s="728"/>
      <c r="N23" s="728"/>
      <c r="O23" s="728"/>
      <c r="P23" s="728"/>
      <c r="Q23" s="728"/>
      <c r="R23" s="728"/>
      <c r="S23" s="728"/>
      <c r="T23" s="1146" t="s">
        <v>272</v>
      </c>
      <c r="U23" s="1147"/>
      <c r="V23" s="812"/>
      <c r="W23" s="812">
        <f>SUM(W9:W17)</f>
        <v>0</v>
      </c>
      <c r="X23" s="812">
        <f>SUM(X9:X17)</f>
        <v>0</v>
      </c>
      <c r="Y23" s="812">
        <f>SUM(Y9:Y17)</f>
        <v>39961110.119999997</v>
      </c>
      <c r="Z23" s="812">
        <f>SUM(Z9:Z17)</f>
        <v>0</v>
      </c>
      <c r="AA23" s="708"/>
    </row>
    <row r="24" spans="1:29" s="782" customFormat="1" ht="43.5" customHeight="1" x14ac:dyDescent="0.25">
      <c r="A24" s="813">
        <v>18</v>
      </c>
      <c r="B24" s="814" t="s">
        <v>58</v>
      </c>
      <c r="C24" s="815" t="s">
        <v>297</v>
      </c>
      <c r="D24" s="816">
        <v>4044845.15</v>
      </c>
      <c r="E24" s="816">
        <v>331677.3</v>
      </c>
      <c r="F24" s="816">
        <v>105036.54</v>
      </c>
      <c r="G24" s="816">
        <v>4481558.99</v>
      </c>
      <c r="H24" s="816">
        <v>4711733.74</v>
      </c>
      <c r="I24" s="817">
        <f>I13</f>
        <v>1.2</v>
      </c>
      <c r="J24" s="818">
        <f t="shared" si="1"/>
        <v>5654080.4900000002</v>
      </c>
      <c r="K24" s="819"/>
      <c r="L24" s="819"/>
      <c r="M24" s="819"/>
      <c r="N24" s="819"/>
      <c r="O24" s="819">
        <v>3594854.48</v>
      </c>
      <c r="P24" s="819">
        <f t="shared" si="2"/>
        <v>3594854.48</v>
      </c>
      <c r="Q24" s="819">
        <f t="shared" si="3"/>
        <v>2059226.01</v>
      </c>
      <c r="R24" s="819" t="s">
        <v>169</v>
      </c>
      <c r="S24" s="820" t="s">
        <v>247</v>
      </c>
      <c r="T24" s="821">
        <f t="shared" si="4"/>
        <v>3594854.48</v>
      </c>
      <c r="U24" s="822">
        <f>Q24</f>
        <v>2059226.01</v>
      </c>
      <c r="V24" s="821">
        <f t="shared" ref="V24" si="7">T24+U24</f>
        <v>5654080.4900000002</v>
      </c>
      <c r="W24" s="778"/>
      <c r="X24" s="741"/>
      <c r="Y24" s="779"/>
      <c r="Z24" s="780"/>
      <c r="AA24" s="781" t="s">
        <v>295</v>
      </c>
    </row>
    <row r="25" spans="1:29" ht="31.5" x14ac:dyDescent="0.25">
      <c r="A25" s="813">
        <v>20</v>
      </c>
      <c r="B25" s="814" t="s">
        <v>70</v>
      </c>
      <c r="C25" s="815" t="s">
        <v>8</v>
      </c>
      <c r="D25" s="816">
        <v>5005903.75</v>
      </c>
      <c r="E25" s="816">
        <v>410484.11</v>
      </c>
      <c r="F25" s="816">
        <v>129993.31</v>
      </c>
      <c r="G25" s="816">
        <v>5546381.1699999999</v>
      </c>
      <c r="H25" s="816">
        <v>5831245.6399999997</v>
      </c>
      <c r="I25" s="817">
        <f>I12</f>
        <v>1.2</v>
      </c>
      <c r="J25" s="818">
        <f>ROUND(H25*I25,2)</f>
        <v>6997494.7699999996</v>
      </c>
      <c r="K25" s="819"/>
      <c r="L25" s="819">
        <v>2298854.48</v>
      </c>
      <c r="M25" s="819"/>
      <c r="N25" s="819"/>
      <c r="O25" s="819"/>
      <c r="P25" s="819">
        <f>K25+L25+M25+N25+O25</f>
        <v>2298854.48</v>
      </c>
      <c r="Q25" s="819">
        <f>J25-K25-L25-M25-N25-O25</f>
        <v>4698640.29</v>
      </c>
      <c r="R25" s="823" t="str">
        <f>R24</f>
        <v>ждем ВОР</v>
      </c>
      <c r="S25" s="820" t="s">
        <v>247</v>
      </c>
      <c r="T25" s="821">
        <f>P25</f>
        <v>2298854.48</v>
      </c>
      <c r="U25" s="822">
        <f>Q25</f>
        <v>4698640.29</v>
      </c>
      <c r="V25" s="821">
        <f>T25+U25</f>
        <v>6997494.7699999996</v>
      </c>
      <c r="W25" s="824"/>
      <c r="X25" s="741"/>
      <c r="Y25" s="742"/>
      <c r="Z25" s="743"/>
      <c r="AA25" s="781" t="s">
        <v>295</v>
      </c>
    </row>
    <row r="26" spans="1:29" ht="33" customHeight="1" thickBot="1" x14ac:dyDescent="0.3">
      <c r="A26" s="825">
        <v>21</v>
      </c>
      <c r="B26" s="826" t="s">
        <v>71</v>
      </c>
      <c r="C26" s="827" t="s">
        <v>109</v>
      </c>
      <c r="D26" s="828">
        <v>48898423.600000001</v>
      </c>
      <c r="E26" s="828">
        <v>4009670.74</v>
      </c>
      <c r="F26" s="828">
        <v>1269794.26</v>
      </c>
      <c r="G26" s="828">
        <v>54177888.600000001</v>
      </c>
      <c r="H26" s="828">
        <v>56960487.710000001</v>
      </c>
      <c r="I26" s="829">
        <f>I16</f>
        <v>1.2</v>
      </c>
      <c r="J26" s="830">
        <f>ROUND(H26*I26,2)</f>
        <v>68352585.25</v>
      </c>
      <c r="K26" s="831"/>
      <c r="L26" s="831"/>
      <c r="M26" s="831">
        <v>11709977.720000001</v>
      </c>
      <c r="N26" s="831"/>
      <c r="O26" s="831">
        <v>3615838.44</v>
      </c>
      <c r="P26" s="831">
        <f>K26+L26+M26+N26+O26</f>
        <v>15325816.16</v>
      </c>
      <c r="Q26" s="831">
        <f>J26-K26-L26-M26-N26-O26</f>
        <v>53026769.090000004</v>
      </c>
      <c r="R26" s="832" t="str">
        <f>R24</f>
        <v>ждем ВОР</v>
      </c>
      <c r="S26" s="833" t="s">
        <v>247</v>
      </c>
      <c r="T26" s="834">
        <f>P26</f>
        <v>15325816.16</v>
      </c>
      <c r="U26" s="835">
        <f>Q26</f>
        <v>53026769.090000004</v>
      </c>
      <c r="V26" s="836">
        <f>T26+U26</f>
        <v>68352585.25</v>
      </c>
      <c r="W26" s="824"/>
      <c r="X26" s="741"/>
      <c r="Y26" s="837"/>
      <c r="Z26" s="838"/>
      <c r="AA26" s="781" t="s">
        <v>295</v>
      </c>
    </row>
    <row r="27" spans="1:29" s="800" customFormat="1" ht="32.25" customHeight="1" thickTop="1" x14ac:dyDescent="0.25">
      <c r="A27" s="839">
        <v>15</v>
      </c>
      <c r="B27" s="840" t="s">
        <v>32</v>
      </c>
      <c r="C27" s="841" t="str">
        <f>ССР!C30</f>
        <v>Восстановительные работы цеха №121/18. АС 3.</v>
      </c>
      <c r="D27" s="842">
        <v>4505948.67</v>
      </c>
      <c r="E27" s="842">
        <v>369487.79</v>
      </c>
      <c r="F27" s="842">
        <v>117010.48</v>
      </c>
      <c r="G27" s="842">
        <v>4992446.9400000004</v>
      </c>
      <c r="H27" s="842">
        <v>5248861.1100000003</v>
      </c>
      <c r="I27" s="843">
        <f>I7</f>
        <v>1.2</v>
      </c>
      <c r="J27" s="844">
        <f>ROUND(H27*I27,2)</f>
        <v>6298633.3300000001</v>
      </c>
      <c r="K27" s="845"/>
      <c r="L27" s="845"/>
      <c r="M27" s="845"/>
      <c r="N27" s="845">
        <v>5245250.92</v>
      </c>
      <c r="O27" s="845"/>
      <c r="P27" s="846">
        <f>K27+L27+M27+N27+O27</f>
        <v>5245250.92</v>
      </c>
      <c r="Q27" s="846">
        <f>J27-K27-L27-M27-N27-O27</f>
        <v>1053382.4099999999</v>
      </c>
      <c r="R27" s="847" t="s">
        <v>168</v>
      </c>
      <c r="S27" s="848" t="s">
        <v>189</v>
      </c>
      <c r="T27" s="849">
        <f>P27</f>
        <v>5245250.92</v>
      </c>
      <c r="U27" s="850" t="s">
        <v>243</v>
      </c>
      <c r="V27" s="849">
        <f>T27</f>
        <v>5245250.92</v>
      </c>
      <c r="W27" s="851" t="s">
        <v>172</v>
      </c>
      <c r="X27" s="796"/>
      <c r="Y27" s="797"/>
      <c r="Z27" s="798"/>
      <c r="AA27" s="1148" t="s">
        <v>308</v>
      </c>
      <c r="AC27" s="800" t="s">
        <v>310</v>
      </c>
    </row>
    <row r="28" spans="1:29" s="800" customFormat="1" ht="32.25" thickBot="1" x14ac:dyDescent="0.3">
      <c r="A28" s="852">
        <v>17</v>
      </c>
      <c r="B28" s="853" t="s">
        <v>55</v>
      </c>
      <c r="C28" s="854" t="str">
        <f>ССР!C45</f>
        <v>Трубопровод ливневых сточных вод от трансбордера. НВК1</v>
      </c>
      <c r="D28" s="855">
        <v>1758763.66</v>
      </c>
      <c r="E28" s="855">
        <v>144218.62</v>
      </c>
      <c r="F28" s="855">
        <v>45671.57</v>
      </c>
      <c r="G28" s="855">
        <v>1948653.85</v>
      </c>
      <c r="H28" s="855">
        <v>2048737.53</v>
      </c>
      <c r="I28" s="856">
        <f>I19</f>
        <v>1.2</v>
      </c>
      <c r="J28" s="857">
        <f>ROUND(H28*I28,2)</f>
        <v>2458485.04</v>
      </c>
      <c r="K28" s="858"/>
      <c r="L28" s="858"/>
      <c r="M28" s="858"/>
      <c r="N28" s="858"/>
      <c r="O28" s="858">
        <v>505496.99</v>
      </c>
      <c r="P28" s="859">
        <f>K28+L28+M28+N28+O28</f>
        <v>505496.99</v>
      </c>
      <c r="Q28" s="859">
        <f>J28-K28-L28-M28-N28-O28</f>
        <v>1952988.05</v>
      </c>
      <c r="R28" s="860" t="str">
        <f>R27</f>
        <v>ВОРа на доп. не будет</v>
      </c>
      <c r="S28" s="861" t="s">
        <v>251</v>
      </c>
      <c r="T28" s="862">
        <f>P28</f>
        <v>505496.99</v>
      </c>
      <c r="U28" s="863" t="s">
        <v>243</v>
      </c>
      <c r="V28" s="864">
        <f>T28</f>
        <v>505496.99</v>
      </c>
      <c r="W28" s="795"/>
      <c r="X28" s="796"/>
      <c r="Y28" s="797"/>
      <c r="Z28" s="798"/>
      <c r="AA28" s="1148"/>
      <c r="AC28" s="800" t="s">
        <v>310</v>
      </c>
    </row>
    <row r="29" spans="1:29" ht="35.1" customHeight="1" x14ac:dyDescent="0.25">
      <c r="A29" s="865">
        <v>22</v>
      </c>
      <c r="B29" s="866">
        <v>1</v>
      </c>
      <c r="C29" s="867" t="s">
        <v>175</v>
      </c>
      <c r="D29" s="868"/>
      <c r="E29" s="868"/>
      <c r="F29" s="868"/>
      <c r="G29" s="868"/>
      <c r="H29" s="868"/>
      <c r="I29" s="869"/>
      <c r="J29" s="870"/>
      <c r="K29" s="871"/>
      <c r="L29" s="871"/>
      <c r="M29" s="871"/>
      <c r="N29" s="871"/>
      <c r="O29" s="871"/>
      <c r="P29" s="871">
        <f>T29</f>
        <v>4216719.66</v>
      </c>
      <c r="Q29" s="871"/>
      <c r="R29" s="872" t="s">
        <v>139</v>
      </c>
      <c r="S29" s="873" t="s">
        <v>139</v>
      </c>
      <c r="T29" s="874">
        <v>4216719.66</v>
      </c>
      <c r="U29" s="874">
        <v>0</v>
      </c>
      <c r="V29" s="874">
        <f>T29+U29</f>
        <v>4216719.66</v>
      </c>
      <c r="X29" s="875"/>
      <c r="Y29" s="876"/>
      <c r="Z29" s="876"/>
    </row>
    <row r="30" spans="1:29" ht="35.1" customHeight="1" thickBot="1" x14ac:dyDescent="0.3">
      <c r="A30" s="877">
        <v>23</v>
      </c>
      <c r="B30" s="878">
        <v>1</v>
      </c>
      <c r="C30" s="879" t="s">
        <v>174</v>
      </c>
      <c r="D30" s="880"/>
      <c r="E30" s="880"/>
      <c r="F30" s="880"/>
      <c r="G30" s="880"/>
      <c r="H30" s="880"/>
      <c r="I30" s="881"/>
      <c r="J30" s="882"/>
      <c r="K30" s="883"/>
      <c r="L30" s="883"/>
      <c r="M30" s="883"/>
      <c r="N30" s="883"/>
      <c r="O30" s="883"/>
      <c r="P30" s="883">
        <f>T30</f>
        <v>2160473.5</v>
      </c>
      <c r="Q30" s="883"/>
      <c r="R30" s="884" t="s">
        <v>139</v>
      </c>
      <c r="S30" s="885" t="s">
        <v>139</v>
      </c>
      <c r="T30" s="886">
        <v>2160473.5</v>
      </c>
      <c r="U30" s="886">
        <v>0</v>
      </c>
      <c r="V30" s="887">
        <f t="shared" ref="V30" si="8">T30+U30</f>
        <v>2160473.5</v>
      </c>
      <c r="X30" s="888"/>
      <c r="Y30" s="889"/>
      <c r="Z30" s="890"/>
    </row>
    <row r="31" spans="1:29" ht="31.5" customHeight="1" thickTop="1" thickBot="1" x14ac:dyDescent="0.3">
      <c r="A31" s="891"/>
      <c r="B31" s="892" t="s">
        <v>120</v>
      </c>
      <c r="C31" s="893"/>
      <c r="D31" s="894">
        <f>SUM(D6:D28)</f>
        <v>392033916.06</v>
      </c>
      <c r="E31" s="893"/>
      <c r="F31" s="895"/>
      <c r="G31" s="894">
        <f>SUM(G6:G28)</f>
        <v>434361033.93000001</v>
      </c>
      <c r="H31" s="894">
        <f>SUM(H6:H28)</f>
        <v>456670000.00999999</v>
      </c>
      <c r="I31" s="894"/>
      <c r="J31" s="894">
        <f>SUM(J6:J28)</f>
        <v>548004000</v>
      </c>
      <c r="K31" s="896">
        <f>SUM(K6:K28)</f>
        <v>210417570.36000001</v>
      </c>
      <c r="L31" s="896">
        <f>SUM(L6:L28)+0.01</f>
        <v>79978331.209999993</v>
      </c>
      <c r="M31" s="896">
        <f>SUM(M6:M28)</f>
        <v>58868164.759999998</v>
      </c>
      <c r="N31" s="896">
        <f>SUM(N6:N28)</f>
        <v>5245250.92</v>
      </c>
      <c r="O31" s="896">
        <f>SUM(O6:O28)</f>
        <v>8616444.9800000004</v>
      </c>
      <c r="P31" s="896">
        <f>SUM(P6:P30)+0.01</f>
        <v>369502955.38999999</v>
      </c>
      <c r="Q31" s="896">
        <f>J31-P31</f>
        <v>178501044.61000001</v>
      </c>
      <c r="R31" s="896"/>
      <c r="S31" s="896"/>
      <c r="T31" s="897">
        <f>SUM(T6:T30)</f>
        <v>369502955.38</v>
      </c>
      <c r="U31" s="897">
        <f>SUM(U6:U30)</f>
        <v>147992834.62</v>
      </c>
      <c r="V31" s="897">
        <f>SUM(V6:V30)</f>
        <v>517495790</v>
      </c>
      <c r="W31" s="740"/>
      <c r="X31" s="898"/>
      <c r="Y31" s="899">
        <f>SUM(Y6:Y28)</f>
        <v>79922220.239999995</v>
      </c>
      <c r="Z31" s="900">
        <f>SUM(Z6:Z28)</f>
        <v>0</v>
      </c>
    </row>
    <row r="32" spans="1:29" ht="32.25" customHeight="1" x14ac:dyDescent="0.25">
      <c r="A32" s="901"/>
      <c r="B32" s="902"/>
      <c r="C32" s="902"/>
      <c r="D32" s="902"/>
      <c r="E32" s="902"/>
      <c r="F32" s="902"/>
      <c r="G32" s="902"/>
      <c r="H32" s="903"/>
      <c r="I32" s="902"/>
      <c r="J32" s="903"/>
      <c r="K32" s="904"/>
      <c r="L32" s="904"/>
      <c r="M32" s="904"/>
      <c r="N32" s="904"/>
      <c r="O32" s="904"/>
      <c r="P32" s="904"/>
      <c r="Q32" s="904"/>
      <c r="R32" s="904"/>
      <c r="S32" s="904"/>
      <c r="T32" s="1149" t="s">
        <v>309</v>
      </c>
      <c r="U32" s="1150"/>
      <c r="V32" s="905"/>
      <c r="X32" s="723"/>
      <c r="Y32" s="724"/>
      <c r="Z32" s="724"/>
    </row>
    <row r="33" spans="1:27" ht="35.1" customHeight="1" x14ac:dyDescent="0.25">
      <c r="A33" s="745">
        <v>24</v>
      </c>
      <c r="B33" s="906">
        <v>2</v>
      </c>
      <c r="C33" s="747" t="s">
        <v>141</v>
      </c>
      <c r="D33" s="748"/>
      <c r="E33" s="748"/>
      <c r="F33" s="748"/>
      <c r="G33" s="748"/>
      <c r="H33" s="748"/>
      <c r="I33" s="749"/>
      <c r="J33" s="750"/>
      <c r="K33" s="771"/>
      <c r="L33" s="771"/>
      <c r="M33" s="771"/>
      <c r="N33" s="771"/>
      <c r="O33" s="771"/>
      <c r="P33" s="771"/>
      <c r="Q33" s="771"/>
      <c r="R33" s="907" t="s">
        <v>139</v>
      </c>
      <c r="S33" s="753" t="s">
        <v>299</v>
      </c>
      <c r="T33" s="908">
        <v>0</v>
      </c>
      <c r="U33" s="908">
        <v>705505</v>
      </c>
      <c r="V33" s="908">
        <f t="shared" ref="V33:V42" si="9">T33+U33</f>
        <v>705505</v>
      </c>
      <c r="X33" s="875"/>
      <c r="Y33" s="876"/>
      <c r="Z33" s="876"/>
      <c r="AA33" s="710" t="s">
        <v>280</v>
      </c>
    </row>
    <row r="34" spans="1:27" ht="35.1" customHeight="1" x14ac:dyDescent="0.25">
      <c r="A34" s="909">
        <v>25</v>
      </c>
      <c r="B34" s="906">
        <v>3</v>
      </c>
      <c r="C34" s="747" t="s">
        <v>142</v>
      </c>
      <c r="D34" s="748"/>
      <c r="E34" s="748"/>
      <c r="F34" s="748"/>
      <c r="G34" s="748"/>
      <c r="H34" s="748"/>
      <c r="I34" s="749"/>
      <c r="J34" s="750"/>
      <c r="K34" s="771"/>
      <c r="L34" s="771"/>
      <c r="M34" s="771"/>
      <c r="N34" s="771"/>
      <c r="O34" s="771"/>
      <c r="P34" s="771"/>
      <c r="Q34" s="771"/>
      <c r="R34" s="907" t="s">
        <v>139</v>
      </c>
      <c r="S34" s="753" t="str">
        <f>S33</f>
        <v>ВОР подписан, смета отправлена на проверку 21.06</v>
      </c>
      <c r="T34" s="908">
        <v>0</v>
      </c>
      <c r="U34" s="908">
        <v>85851.36</v>
      </c>
      <c r="V34" s="908">
        <f t="shared" si="9"/>
        <v>85851.36</v>
      </c>
      <c r="X34" s="875"/>
      <c r="Y34" s="910"/>
      <c r="Z34" s="910"/>
    </row>
    <row r="35" spans="1:27" ht="35.1" customHeight="1" x14ac:dyDescent="0.25">
      <c r="A35" s="745">
        <v>26</v>
      </c>
      <c r="B35" s="906">
        <v>4</v>
      </c>
      <c r="C35" s="747" t="s">
        <v>143</v>
      </c>
      <c r="D35" s="748"/>
      <c r="E35" s="748"/>
      <c r="F35" s="748"/>
      <c r="G35" s="748"/>
      <c r="H35" s="748"/>
      <c r="I35" s="749"/>
      <c r="J35" s="750"/>
      <c r="K35" s="771"/>
      <c r="L35" s="771"/>
      <c r="M35" s="771"/>
      <c r="N35" s="771"/>
      <c r="O35" s="771"/>
      <c r="P35" s="771"/>
      <c r="Q35" s="771"/>
      <c r="R35" s="907" t="s">
        <v>139</v>
      </c>
      <c r="S35" s="753" t="str">
        <f>S33</f>
        <v>ВОР подписан, смета отправлена на проверку 21.06</v>
      </c>
      <c r="T35" s="908">
        <v>0</v>
      </c>
      <c r="U35" s="908">
        <v>26314.48</v>
      </c>
      <c r="V35" s="908">
        <f t="shared" si="9"/>
        <v>26314.48</v>
      </c>
      <c r="X35" s="875"/>
      <c r="Y35" s="910"/>
      <c r="Z35" s="910"/>
    </row>
    <row r="36" spans="1:27" ht="35.1" customHeight="1" x14ac:dyDescent="0.25">
      <c r="A36" s="909">
        <v>27</v>
      </c>
      <c r="B36" s="906">
        <v>5</v>
      </c>
      <c r="C36" s="747" t="s">
        <v>146</v>
      </c>
      <c r="D36" s="748"/>
      <c r="E36" s="748"/>
      <c r="F36" s="748"/>
      <c r="G36" s="748"/>
      <c r="H36" s="748"/>
      <c r="I36" s="749"/>
      <c r="J36" s="750"/>
      <c r="K36" s="771"/>
      <c r="L36" s="771"/>
      <c r="M36" s="771"/>
      <c r="N36" s="771"/>
      <c r="O36" s="771"/>
      <c r="P36" s="771"/>
      <c r="Q36" s="771"/>
      <c r="R36" s="907" t="s">
        <v>139</v>
      </c>
      <c r="S36" s="753" t="str">
        <f>S33</f>
        <v>ВОР подписан, смета отправлена на проверку 21.06</v>
      </c>
      <c r="T36" s="908">
        <v>0</v>
      </c>
      <c r="U36" s="908">
        <v>208912.6</v>
      </c>
      <c r="V36" s="908">
        <f t="shared" si="9"/>
        <v>208912.6</v>
      </c>
      <c r="X36" s="875"/>
      <c r="Y36" s="910"/>
      <c r="Z36" s="910"/>
    </row>
    <row r="37" spans="1:27" ht="35.1" customHeight="1" thickBot="1" x14ac:dyDescent="0.3">
      <c r="A37" s="745">
        <v>29</v>
      </c>
      <c r="B37" s="911">
        <v>6</v>
      </c>
      <c r="C37" s="912" t="s">
        <v>140</v>
      </c>
      <c r="D37" s="913"/>
      <c r="E37" s="913"/>
      <c r="F37" s="913"/>
      <c r="G37" s="913"/>
      <c r="H37" s="913"/>
      <c r="I37" s="914"/>
      <c r="J37" s="915"/>
      <c r="K37" s="916"/>
      <c r="L37" s="916"/>
      <c r="M37" s="916"/>
      <c r="N37" s="916"/>
      <c r="O37" s="916"/>
      <c r="P37" s="916"/>
      <c r="Q37" s="916"/>
      <c r="R37" s="917" t="s">
        <v>139</v>
      </c>
      <c r="S37" s="918" t="str">
        <f>S33</f>
        <v>ВОР подписан, смета отправлена на проверку 21.06</v>
      </c>
      <c r="T37" s="919">
        <v>0</v>
      </c>
      <c r="U37" s="919">
        <v>570651.94999999995</v>
      </c>
      <c r="V37" s="908">
        <f t="shared" si="9"/>
        <v>570651.94999999995</v>
      </c>
      <c r="X37" s="888"/>
      <c r="Y37" s="889"/>
      <c r="Z37" s="890"/>
    </row>
    <row r="38" spans="1:27" ht="54.75" customHeight="1" thickTop="1" thickBot="1" x14ac:dyDescent="0.3">
      <c r="A38" s="920">
        <v>32</v>
      </c>
      <c r="B38" s="921">
        <v>9</v>
      </c>
      <c r="C38" s="922" t="s">
        <v>304</v>
      </c>
      <c r="D38" s="923"/>
      <c r="E38" s="923"/>
      <c r="F38" s="923"/>
      <c r="G38" s="923"/>
      <c r="H38" s="923"/>
      <c r="I38" s="924"/>
      <c r="J38" s="925"/>
      <c r="K38" s="926"/>
      <c r="L38" s="926"/>
      <c r="M38" s="926"/>
      <c r="N38" s="926"/>
      <c r="O38" s="926"/>
      <c r="P38" s="926"/>
      <c r="Q38" s="926"/>
      <c r="R38" s="927" t="s">
        <v>139</v>
      </c>
      <c r="S38" s="928" t="s">
        <v>302</v>
      </c>
      <c r="T38" s="929">
        <v>0</v>
      </c>
      <c r="U38" s="929">
        <v>2065078.4</v>
      </c>
      <c r="V38" s="929">
        <f t="shared" si="9"/>
        <v>2065078.4</v>
      </c>
      <c r="X38" s="875"/>
      <c r="Y38" s="910"/>
      <c r="Z38" s="910"/>
    </row>
    <row r="39" spans="1:27" ht="35.1" customHeight="1" thickTop="1" thickBot="1" x14ac:dyDescent="0.3">
      <c r="A39" s="920">
        <v>32</v>
      </c>
      <c r="B39" s="921">
        <v>10</v>
      </c>
      <c r="C39" s="922" t="s">
        <v>303</v>
      </c>
      <c r="D39" s="923"/>
      <c r="E39" s="923"/>
      <c r="F39" s="923"/>
      <c r="G39" s="923"/>
      <c r="H39" s="923"/>
      <c r="I39" s="924"/>
      <c r="J39" s="925"/>
      <c r="K39" s="926"/>
      <c r="L39" s="926"/>
      <c r="M39" s="926"/>
      <c r="N39" s="926"/>
      <c r="O39" s="926"/>
      <c r="P39" s="926"/>
      <c r="Q39" s="926"/>
      <c r="R39" s="927" t="s">
        <v>139</v>
      </c>
      <c r="S39" s="928" t="s">
        <v>305</v>
      </c>
      <c r="T39" s="929">
        <v>0</v>
      </c>
      <c r="U39" s="929">
        <v>78531</v>
      </c>
      <c r="V39" s="929">
        <f t="shared" si="9"/>
        <v>78531</v>
      </c>
      <c r="X39" s="875"/>
      <c r="Y39" s="910"/>
      <c r="Z39" s="910"/>
    </row>
    <row r="40" spans="1:27" ht="46.5" customHeight="1" thickTop="1" x14ac:dyDescent="0.25">
      <c r="A40" s="930">
        <v>33</v>
      </c>
      <c r="B40" s="931">
        <v>10</v>
      </c>
      <c r="C40" s="932" t="s">
        <v>144</v>
      </c>
      <c r="D40" s="933"/>
      <c r="E40" s="933"/>
      <c r="F40" s="933"/>
      <c r="G40" s="933"/>
      <c r="H40" s="933"/>
      <c r="I40" s="934"/>
      <c r="J40" s="935"/>
      <c r="K40" s="936"/>
      <c r="L40" s="936"/>
      <c r="M40" s="936"/>
      <c r="N40" s="936"/>
      <c r="O40" s="936"/>
      <c r="P40" s="937"/>
      <c r="Q40" s="937"/>
      <c r="R40" s="938" t="s">
        <v>139</v>
      </c>
      <c r="S40" s="939" t="s">
        <v>317</v>
      </c>
      <c r="T40" s="940">
        <v>0</v>
      </c>
      <c r="U40" s="940">
        <v>389490.94</v>
      </c>
      <c r="V40" s="941">
        <f t="shared" si="9"/>
        <v>389490.94</v>
      </c>
      <c r="W40" s="942"/>
      <c r="X40" s="943"/>
      <c r="Y40" s="944"/>
      <c r="Z40" s="945"/>
    </row>
    <row r="41" spans="1:27" ht="50.25" customHeight="1" thickBot="1" x14ac:dyDescent="0.3">
      <c r="A41" s="946">
        <v>30</v>
      </c>
      <c r="B41" s="947"/>
      <c r="C41" s="948" t="s">
        <v>279</v>
      </c>
      <c r="D41" s="949"/>
      <c r="E41" s="949"/>
      <c r="F41" s="949"/>
      <c r="G41" s="949"/>
      <c r="H41" s="949"/>
      <c r="I41" s="950"/>
      <c r="J41" s="951"/>
      <c r="K41" s="952"/>
      <c r="L41" s="952"/>
      <c r="M41" s="952"/>
      <c r="N41" s="952"/>
      <c r="O41" s="952"/>
      <c r="P41" s="952"/>
      <c r="Q41" s="952"/>
      <c r="R41" s="953" t="s">
        <v>255</v>
      </c>
      <c r="S41" s="954" t="s">
        <v>318</v>
      </c>
      <c r="T41" s="955">
        <v>0</v>
      </c>
      <c r="U41" s="955">
        <v>9690548.2599999998</v>
      </c>
      <c r="V41" s="956">
        <f t="shared" si="9"/>
        <v>9690548.2599999998</v>
      </c>
      <c r="X41" s="888"/>
      <c r="Y41" s="889"/>
      <c r="Z41" s="890"/>
    </row>
    <row r="42" spans="1:27" ht="35.1" customHeight="1" thickTop="1" thickBot="1" x14ac:dyDescent="0.3">
      <c r="A42" s="957">
        <v>34</v>
      </c>
      <c r="B42" s="958"/>
      <c r="C42" s="959" t="s">
        <v>149</v>
      </c>
      <c r="D42" s="960"/>
      <c r="E42" s="960"/>
      <c r="F42" s="960"/>
      <c r="G42" s="960"/>
      <c r="H42" s="960"/>
      <c r="I42" s="961"/>
      <c r="J42" s="962"/>
      <c r="K42" s="963"/>
      <c r="L42" s="963"/>
      <c r="M42" s="963"/>
      <c r="N42" s="963"/>
      <c r="O42" s="963"/>
      <c r="P42" s="964"/>
      <c r="Q42" s="964"/>
      <c r="R42" s="965" t="s">
        <v>139</v>
      </c>
      <c r="S42" s="965" t="s">
        <v>170</v>
      </c>
      <c r="T42" s="966"/>
      <c r="U42" s="966">
        <v>4746000</v>
      </c>
      <c r="V42" s="967">
        <f t="shared" si="9"/>
        <v>4746000</v>
      </c>
      <c r="X42" s="875"/>
      <c r="Y42" s="968"/>
      <c r="Z42" s="969"/>
    </row>
    <row r="43" spans="1:27" ht="35.1" customHeight="1" thickBot="1" x14ac:dyDescent="0.3">
      <c r="A43" s="970"/>
      <c r="B43" s="971"/>
      <c r="C43" s="972"/>
      <c r="D43" s="973"/>
      <c r="E43" s="973"/>
      <c r="F43" s="973"/>
      <c r="G43" s="973"/>
      <c r="H43" s="973"/>
      <c r="I43" s="974"/>
      <c r="J43" s="975"/>
      <c r="K43" s="976"/>
      <c r="L43" s="976"/>
      <c r="M43" s="976"/>
      <c r="N43" s="976"/>
      <c r="O43" s="976"/>
      <c r="P43" s="976"/>
      <c r="Q43" s="976"/>
      <c r="R43" s="977"/>
      <c r="S43" s="978"/>
      <c r="T43" s="979"/>
      <c r="U43" s="980">
        <f>SUM(U33:U42)</f>
        <v>18566883.989999998</v>
      </c>
      <c r="V43" s="980">
        <f>SUM(V33:V42)</f>
        <v>18566883.989999998</v>
      </c>
      <c r="X43" s="888"/>
      <c r="Y43" s="889"/>
      <c r="Z43" s="890"/>
    </row>
    <row r="44" spans="1:27" ht="33" customHeight="1" x14ac:dyDescent="0.25">
      <c r="A44" s="901"/>
      <c r="B44" s="902"/>
      <c r="C44" s="902"/>
      <c r="D44" s="902"/>
      <c r="E44" s="902"/>
      <c r="F44" s="902"/>
      <c r="G44" s="902"/>
      <c r="H44" s="903"/>
      <c r="I44" s="902"/>
      <c r="J44" s="903"/>
      <c r="K44" s="904"/>
      <c r="L44" s="904"/>
      <c r="M44" s="904"/>
      <c r="N44" s="904"/>
      <c r="O44" s="904"/>
      <c r="P44" s="904"/>
      <c r="Q44" s="904"/>
      <c r="R44" s="904"/>
      <c r="S44" s="981"/>
      <c r="T44" s="1149" t="s">
        <v>253</v>
      </c>
      <c r="U44" s="1150"/>
      <c r="V44" s="905"/>
      <c r="X44" s="723"/>
      <c r="Y44" s="724"/>
      <c r="Z44" s="724"/>
    </row>
    <row r="45" spans="1:27" ht="40.5" customHeight="1" thickBot="1" x14ac:dyDescent="0.3">
      <c r="A45" s="982">
        <v>37</v>
      </c>
      <c r="B45" s="983"/>
      <c r="C45" s="984" t="s">
        <v>152</v>
      </c>
      <c r="D45" s="985"/>
      <c r="E45" s="985"/>
      <c r="F45" s="985"/>
      <c r="G45" s="985"/>
      <c r="H45" s="985"/>
      <c r="I45" s="986"/>
      <c r="J45" s="987"/>
      <c r="K45" s="988"/>
      <c r="L45" s="988"/>
      <c r="M45" s="988"/>
      <c r="N45" s="988"/>
      <c r="O45" s="988"/>
      <c r="P45" s="989"/>
      <c r="Q45" s="989"/>
      <c r="R45" s="990" t="s">
        <v>243</v>
      </c>
      <c r="S45" s="991"/>
      <c r="T45" s="992"/>
      <c r="U45" s="992"/>
      <c r="V45" s="993">
        <f t="shared" ref="V45" si="10">T45+U45</f>
        <v>0</v>
      </c>
      <c r="X45" s="994"/>
      <c r="Y45" s="995"/>
      <c r="Z45" s="996"/>
    </row>
    <row r="46" spans="1:27" ht="31.5" customHeight="1" thickTop="1" thickBot="1" x14ac:dyDescent="0.3">
      <c r="A46" s="997"/>
      <c r="B46" s="998" t="s">
        <v>120</v>
      </c>
      <c r="C46" s="999"/>
      <c r="D46" s="1000">
        <f t="shared" ref="D46:J46" si="11">SUM(D33:D45)</f>
        <v>0</v>
      </c>
      <c r="E46" s="1000">
        <f t="shared" si="11"/>
        <v>0</v>
      </c>
      <c r="F46" s="1000">
        <f t="shared" si="11"/>
        <v>0</v>
      </c>
      <c r="G46" s="1000">
        <f t="shared" si="11"/>
        <v>0</v>
      </c>
      <c r="H46" s="1000">
        <f t="shared" si="11"/>
        <v>0</v>
      </c>
      <c r="I46" s="1000">
        <f t="shared" si="11"/>
        <v>0</v>
      </c>
      <c r="J46" s="1000">
        <f t="shared" si="11"/>
        <v>0</v>
      </c>
      <c r="K46" s="1001"/>
      <c r="L46" s="1001"/>
      <c r="M46" s="1001"/>
      <c r="N46" s="1001"/>
      <c r="O46" s="1001"/>
      <c r="P46" s="1001"/>
      <c r="Q46" s="1001"/>
      <c r="R46" s="1001"/>
      <c r="S46" s="1002"/>
      <c r="T46" s="1003">
        <f>SUM(T33:T45)</f>
        <v>0</v>
      </c>
      <c r="U46" s="1003">
        <f>SUM(U33:U45)-U43</f>
        <v>18566883.989999998</v>
      </c>
      <c r="V46" s="1003">
        <f>SUM(V33:V45)-V43</f>
        <v>18566883.989999998</v>
      </c>
      <c r="W46" s="740"/>
      <c r="X46" s="1001"/>
      <c r="Y46" s="1003">
        <f>SUM(Y33:Y45)</f>
        <v>0</v>
      </c>
      <c r="Z46" s="1004">
        <f>SUM(Z33:Z45)</f>
        <v>0</v>
      </c>
    </row>
    <row r="47" spans="1:27" ht="31.5" customHeight="1" thickBot="1" x14ac:dyDescent="0.3">
      <c r="A47" s="1005"/>
      <c r="B47" s="971" t="s">
        <v>153</v>
      </c>
      <c r="C47" s="1006"/>
      <c r="D47" s="1007">
        <f>D31+D46</f>
        <v>392033916.06</v>
      </c>
      <c r="E47" s="1006"/>
      <c r="F47" s="1008"/>
      <c r="G47" s="1007">
        <f>SUM(G21:G46)</f>
        <v>510892223.33999997</v>
      </c>
      <c r="H47" s="1007">
        <f>SUM(H21:H46)</f>
        <v>537131863.45000005</v>
      </c>
      <c r="I47" s="1007"/>
      <c r="J47" s="1007">
        <f t="shared" ref="J47:Q47" si="12">J31+J46</f>
        <v>548004000</v>
      </c>
      <c r="K47" s="1007">
        <f t="shared" si="12"/>
        <v>210417570.36000001</v>
      </c>
      <c r="L47" s="1007">
        <f t="shared" si="12"/>
        <v>79978331.209999993</v>
      </c>
      <c r="M47" s="1007">
        <f t="shared" si="12"/>
        <v>58868164.759999998</v>
      </c>
      <c r="N47" s="1007">
        <f t="shared" si="12"/>
        <v>5245250.92</v>
      </c>
      <c r="O47" s="1007">
        <f t="shared" si="12"/>
        <v>8616444.9800000004</v>
      </c>
      <c r="P47" s="1007">
        <f t="shared" si="12"/>
        <v>369502955.38999999</v>
      </c>
      <c r="Q47" s="1007">
        <f t="shared" si="12"/>
        <v>178501044.61000001</v>
      </c>
      <c r="R47" s="1007"/>
      <c r="S47" s="1009"/>
      <c r="T47" s="980">
        <f>T31+T46</f>
        <v>369502955.38</v>
      </c>
      <c r="U47" s="980">
        <f>U31+U46</f>
        <v>166559718.61000001</v>
      </c>
      <c r="V47" s="980">
        <f>V31+V46</f>
        <v>536062673.99000001</v>
      </c>
      <c r="W47" s="740"/>
      <c r="X47" s="1007"/>
      <c r="Y47" s="980">
        <f>Y31+Y46</f>
        <v>79922220.239999995</v>
      </c>
      <c r="Z47" s="1010">
        <f>Z31+Z46</f>
        <v>0</v>
      </c>
      <c r="AA47" s="710">
        <f>V47/1.0514</f>
        <v>509856071.89461702</v>
      </c>
    </row>
    <row r="48" spans="1:27" x14ac:dyDescent="0.25">
      <c r="AA48" s="1011">
        <f>J47/AA47</f>
        <v>1.0748</v>
      </c>
    </row>
    <row r="50" spans="1:27" x14ac:dyDescent="0.25">
      <c r="V50" s="777"/>
    </row>
    <row r="51" spans="1:27" x14ac:dyDescent="0.25">
      <c r="T51" s="777"/>
      <c r="V51" s="777"/>
    </row>
    <row r="52" spans="1:27" hidden="1" x14ac:dyDescent="0.25">
      <c r="T52" s="777"/>
    </row>
    <row r="53" spans="1:27" ht="35.1" hidden="1" customHeight="1" thickBot="1" x14ac:dyDescent="0.3">
      <c r="A53" s="1012">
        <v>31</v>
      </c>
      <c r="B53" s="1013">
        <v>8</v>
      </c>
      <c r="C53" s="1014" t="s">
        <v>250</v>
      </c>
      <c r="D53" s="1015"/>
      <c r="E53" s="1015"/>
      <c r="F53" s="1015"/>
      <c r="G53" s="1015"/>
      <c r="H53" s="1015"/>
      <c r="I53" s="1016"/>
      <c r="J53" s="1017"/>
      <c r="K53" s="1018"/>
      <c r="L53" s="1018"/>
      <c r="M53" s="1018"/>
      <c r="N53" s="1018"/>
      <c r="O53" s="1018"/>
      <c r="P53" s="1019"/>
      <c r="Q53" s="1019"/>
      <c r="R53" s="1020" t="s">
        <v>139</v>
      </c>
      <c r="S53" s="753" t="s">
        <v>298</v>
      </c>
      <c r="T53" s="1021">
        <v>0</v>
      </c>
      <c r="U53" s="1021">
        <v>107940.55</v>
      </c>
      <c r="V53" s="1022">
        <f>T53+U53</f>
        <v>107940.55</v>
      </c>
      <c r="X53" s="875"/>
      <c r="Y53" s="968"/>
      <c r="Z53" s="969"/>
      <c r="AA53" s="1139" t="s">
        <v>300</v>
      </c>
    </row>
    <row r="54" spans="1:27" ht="35.1" hidden="1" customHeight="1" thickTop="1" x14ac:dyDescent="0.25">
      <c r="A54" s="745">
        <v>28</v>
      </c>
      <c r="B54" s="906">
        <v>7</v>
      </c>
      <c r="C54" s="747" t="s">
        <v>148</v>
      </c>
      <c r="D54" s="748"/>
      <c r="E54" s="748"/>
      <c r="F54" s="748"/>
      <c r="G54" s="748"/>
      <c r="H54" s="748"/>
      <c r="I54" s="749"/>
      <c r="J54" s="750"/>
      <c r="K54" s="771"/>
      <c r="L54" s="771"/>
      <c r="M54" s="771"/>
      <c r="N54" s="771"/>
      <c r="O54" s="771"/>
      <c r="P54" s="771"/>
      <c r="Q54" s="771"/>
      <c r="R54" s="1023" t="s">
        <v>139</v>
      </c>
      <c r="S54" s="753" t="str">
        <f>S33</f>
        <v>ВОР подписан, смета отправлена на проверку 21.06</v>
      </c>
      <c r="T54" s="1024">
        <v>0</v>
      </c>
      <c r="U54" s="1024">
        <v>231084.76</v>
      </c>
      <c r="V54" s="908">
        <f>T54+U54</f>
        <v>231084.76</v>
      </c>
      <c r="X54" s="875"/>
      <c r="Y54" s="968"/>
      <c r="Z54" s="969"/>
      <c r="AA54" s="1139"/>
    </row>
    <row r="55" spans="1:27" ht="52.5" hidden="1" customHeight="1" x14ac:dyDescent="0.25">
      <c r="A55" s="957">
        <v>36</v>
      </c>
      <c r="B55" s="958"/>
      <c r="C55" s="959" t="s">
        <v>151</v>
      </c>
      <c r="D55" s="960"/>
      <c r="E55" s="960"/>
      <c r="F55" s="960"/>
      <c r="G55" s="960"/>
      <c r="H55" s="960"/>
      <c r="I55" s="961"/>
      <c r="J55" s="962"/>
      <c r="K55" s="963"/>
      <c r="L55" s="963"/>
      <c r="M55" s="963"/>
      <c r="N55" s="963"/>
      <c r="O55" s="963"/>
      <c r="P55" s="964"/>
      <c r="Q55" s="964"/>
      <c r="R55" s="1025" t="s">
        <v>243</v>
      </c>
      <c r="S55" s="1026"/>
      <c r="T55" s="966"/>
      <c r="U55" s="966"/>
      <c r="V55" s="967">
        <f>T55+U55</f>
        <v>0</v>
      </c>
      <c r="X55" s="875"/>
      <c r="Y55" s="968"/>
      <c r="Z55" s="969"/>
      <c r="AA55" s="1027" t="s">
        <v>301</v>
      </c>
    </row>
    <row r="56" spans="1:27" x14ac:dyDescent="0.25">
      <c r="T56" s="777"/>
    </row>
    <row r="57" spans="1:27" x14ac:dyDescent="0.25">
      <c r="V57" s="777"/>
    </row>
    <row r="67" spans="1:27" s="711" customFormat="1" ht="54.95" customHeight="1" x14ac:dyDescent="0.25">
      <c r="A67" s="708"/>
      <c r="B67" s="1028"/>
      <c r="C67" s="708"/>
      <c r="D67" s="1029"/>
      <c r="E67" s="708"/>
      <c r="F67" s="1030"/>
      <c r="G67" s="1029"/>
      <c r="H67" s="1029"/>
      <c r="I67" s="1029"/>
      <c r="J67" s="1029"/>
      <c r="K67" s="1029"/>
      <c r="M67" s="707"/>
      <c r="O67" s="707"/>
      <c r="P67" s="708"/>
      <c r="Q67" s="708"/>
      <c r="R67" s="708"/>
      <c r="S67" s="708"/>
      <c r="T67" s="708"/>
      <c r="U67" s="708"/>
      <c r="V67" s="708"/>
      <c r="W67" s="709"/>
      <c r="X67" s="708"/>
      <c r="Y67" s="708"/>
      <c r="Z67" s="708"/>
      <c r="AA67" s="1031"/>
    </row>
    <row r="68" spans="1:27" s="711" customFormat="1" x14ac:dyDescent="0.25">
      <c r="A68" s="708"/>
      <c r="B68" s="708"/>
      <c r="C68" s="708"/>
      <c r="D68" s="777">
        <f>ССР!H58</f>
        <v>392033.92</v>
      </c>
      <c r="E68" s="708"/>
      <c r="F68" s="777"/>
      <c r="G68" s="777">
        <f>ССР!H76</f>
        <v>434361.04</v>
      </c>
      <c r="H68" s="777">
        <f>ССР!H78</f>
        <v>456670</v>
      </c>
      <c r="I68" s="708"/>
      <c r="J68" s="777"/>
      <c r="K68" s="707"/>
      <c r="M68" s="707"/>
      <c r="O68" s="707"/>
      <c r="P68" s="708"/>
      <c r="Q68" s="708"/>
      <c r="R68" s="708"/>
      <c r="S68" s="708"/>
      <c r="T68" s="708"/>
      <c r="U68" s="708"/>
      <c r="V68" s="708"/>
      <c r="W68" s="709"/>
      <c r="X68" s="708"/>
      <c r="Y68" s="708"/>
      <c r="Z68" s="708"/>
      <c r="AA68" s="1031"/>
    </row>
    <row r="69" spans="1:27" s="711" customFormat="1" x14ac:dyDescent="0.25">
      <c r="A69" s="708"/>
      <c r="B69" s="708"/>
      <c r="C69" s="708"/>
      <c r="D69" s="777">
        <f>D31/1000</f>
        <v>392033.92</v>
      </c>
      <c r="E69" s="708"/>
      <c r="F69" s="1032"/>
      <c r="G69" s="1033">
        <f>G31/1000</f>
        <v>434361.03</v>
      </c>
      <c r="H69" s="1033">
        <f>H31/1000</f>
        <v>456670</v>
      </c>
      <c r="I69" s="708"/>
      <c r="J69" s="777"/>
      <c r="K69" s="1029"/>
      <c r="M69" s="707"/>
      <c r="O69" s="707"/>
      <c r="P69" s="708"/>
      <c r="Q69" s="708"/>
      <c r="R69" s="708"/>
      <c r="S69" s="708"/>
      <c r="T69" s="708"/>
      <c r="U69" s="708"/>
      <c r="V69" s="708"/>
      <c r="W69" s="709"/>
      <c r="X69" s="708"/>
      <c r="Y69" s="708"/>
      <c r="Z69" s="708"/>
      <c r="AA69" s="1031"/>
    </row>
    <row r="70" spans="1:27" s="711" customFormat="1" x14ac:dyDescent="0.25">
      <c r="A70" s="708"/>
      <c r="B70" s="708"/>
      <c r="C70" s="708"/>
      <c r="D70" s="777"/>
      <c r="E70" s="777"/>
      <c r="F70" s="1032"/>
      <c r="G70" s="708"/>
      <c r="H70" s="708"/>
      <c r="I70" s="708"/>
      <c r="J70" s="708"/>
      <c r="M70" s="707"/>
      <c r="O70" s="707"/>
      <c r="P70" s="708"/>
      <c r="Q70" s="708"/>
      <c r="R70" s="708"/>
      <c r="S70" s="708"/>
      <c r="T70" s="708"/>
      <c r="U70" s="708"/>
      <c r="V70" s="708"/>
      <c r="W70" s="709"/>
      <c r="X70" s="708"/>
      <c r="Y70" s="708"/>
      <c r="Z70" s="708"/>
      <c r="AA70" s="1031"/>
    </row>
    <row r="90" spans="1:1" x14ac:dyDescent="0.25">
      <c r="A90" s="708">
        <v>7</v>
      </c>
    </row>
  </sheetData>
  <autoFilter ref="A3:W47" xr:uid="{00000000-0001-0000-0100-000000000000}"/>
  <mergeCells count="14">
    <mergeCell ref="AA53:AA54"/>
    <mergeCell ref="A1:J1"/>
    <mergeCell ref="A3:A4"/>
    <mergeCell ref="B3:B4"/>
    <mergeCell ref="C3:C4"/>
    <mergeCell ref="G3:G4"/>
    <mergeCell ref="H3:H4"/>
    <mergeCell ref="I3:I4"/>
    <mergeCell ref="J3:J4"/>
    <mergeCell ref="T5:U5"/>
    <mergeCell ref="T23:U23"/>
    <mergeCell ref="AA27:AA28"/>
    <mergeCell ref="T32:U32"/>
    <mergeCell ref="T44:U44"/>
  </mergeCells>
  <pageMargins left="0.23622047244094491" right="0.23622047244094491" top="0.74803149606299213" bottom="0.74803149606299213" header="0.31496062992125984" footer="0.31496062992125984"/>
  <pageSetup paperSize="9" scale="58" fitToHeight="100" orientation="landscape" r:id="rId1"/>
  <rowBreaks count="1" manualBreakCount="1">
    <brk id="56" max="9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097C6-937A-4C5F-9DD3-D00F77DCA840}">
  <sheetPr>
    <pageSetUpPr fitToPage="1"/>
  </sheetPr>
  <dimension ref="A1:AB92"/>
  <sheetViews>
    <sheetView zoomScale="70" zoomScaleNormal="70" zoomScaleSheetLayoutView="80" workbookViewId="0">
      <pane ySplit="3" topLeftCell="A18" activePane="bottomLeft" state="frozen"/>
      <selection pane="bottomLeft" activeCell="U19" sqref="U19"/>
    </sheetView>
  </sheetViews>
  <sheetFormatPr defaultColWidth="9.140625" defaultRowHeight="15.75" outlineLevelCol="1" x14ac:dyDescent="0.25"/>
  <cols>
    <col min="1" max="1" width="6.28515625" style="36" customWidth="1"/>
    <col min="2" max="2" width="16.140625" style="36" customWidth="1"/>
    <col min="3" max="3" width="35.140625" style="36" customWidth="1"/>
    <col min="4" max="4" width="20.5703125" style="36" hidden="1" customWidth="1" outlineLevel="1"/>
    <col min="5" max="5" width="18.85546875" style="36" hidden="1" customWidth="1" outlineLevel="1"/>
    <col min="6" max="6" width="17.5703125" style="36" hidden="1" customWidth="1" outlineLevel="1"/>
    <col min="7" max="7" width="20.7109375" style="36" hidden="1" customWidth="1" outlineLevel="1"/>
    <col min="8" max="8" width="19.5703125" style="36" hidden="1" customWidth="1" outlineLevel="1"/>
    <col min="9" max="9" width="8.5703125" style="36" hidden="1" customWidth="1" outlineLevel="1"/>
    <col min="10" max="10" width="22.28515625" style="36" customWidth="1" collapsed="1"/>
    <col min="11" max="11" width="20.42578125" style="39" hidden="1" customWidth="1" outlineLevel="1"/>
    <col min="12" max="12" width="16.85546875" style="39" hidden="1" customWidth="1" outlineLevel="1"/>
    <col min="13" max="13" width="18.140625" style="35" hidden="1" customWidth="1" outlineLevel="1"/>
    <col min="14" max="14" width="16.85546875" style="39" hidden="1" customWidth="1" outlineLevel="1"/>
    <col min="15" max="15" width="18.140625" style="35" hidden="1" customWidth="1" outlineLevel="1"/>
    <col min="16" max="16" width="18.42578125" style="36" customWidth="1" collapsed="1"/>
    <col min="17" max="17" width="16.7109375" style="36" customWidth="1"/>
    <col min="18" max="18" width="16.85546875" style="36" customWidth="1"/>
    <col min="19" max="19" width="40.85546875" style="36" customWidth="1"/>
    <col min="20" max="20" width="26.140625" style="36" customWidth="1"/>
    <col min="21" max="21" width="26.7109375" style="36" customWidth="1"/>
    <col min="22" max="22" width="31.42578125" style="36" customWidth="1"/>
    <col min="23" max="23" width="3.28515625" style="176" hidden="1" customWidth="1"/>
    <col min="24" max="24" width="27.5703125" style="36" hidden="1" customWidth="1"/>
    <col min="25" max="26" width="19" style="36" hidden="1" customWidth="1"/>
    <col min="27" max="27" width="29.28515625" style="406" bestFit="1" customWidth="1"/>
    <col min="28" max="28" width="15" style="36" customWidth="1"/>
    <col min="29" max="29" width="19.28515625" style="36" customWidth="1"/>
    <col min="30" max="16384" width="9.140625" style="36"/>
  </cols>
  <sheetData>
    <row r="1" spans="1:28" ht="8.25" customHeight="1" x14ac:dyDescent="0.25">
      <c r="A1" s="1125"/>
      <c r="B1" s="1125"/>
      <c r="C1" s="1125"/>
      <c r="D1" s="1125"/>
      <c r="E1" s="1125"/>
      <c r="F1" s="1125"/>
      <c r="G1" s="1125"/>
      <c r="H1" s="1125"/>
      <c r="I1" s="1125"/>
      <c r="J1" s="1125"/>
      <c r="K1" s="587"/>
      <c r="L1" s="587"/>
      <c r="N1" s="587"/>
    </row>
    <row r="2" spans="1:28" ht="5.25" customHeight="1" thickBot="1" x14ac:dyDescent="0.3">
      <c r="A2" s="37"/>
      <c r="B2" s="37"/>
      <c r="C2" s="37"/>
      <c r="D2" s="37"/>
      <c r="E2" s="37"/>
      <c r="F2" s="37"/>
      <c r="G2" s="37"/>
      <c r="H2" s="37"/>
      <c r="I2" s="38"/>
      <c r="J2" s="37"/>
    </row>
    <row r="3" spans="1:28" ht="47.25" customHeight="1" x14ac:dyDescent="0.25">
      <c r="A3" s="1126" t="s">
        <v>111</v>
      </c>
      <c r="B3" s="1128" t="s">
        <v>112</v>
      </c>
      <c r="C3" s="1128" t="s">
        <v>113</v>
      </c>
      <c r="D3" s="588" t="s">
        <v>114</v>
      </c>
      <c r="E3" s="588" t="s">
        <v>115</v>
      </c>
      <c r="F3" s="588" t="s">
        <v>116</v>
      </c>
      <c r="G3" s="1128" t="s">
        <v>117</v>
      </c>
      <c r="H3" s="1130" t="s">
        <v>125</v>
      </c>
      <c r="I3" s="1128" t="s">
        <v>118</v>
      </c>
      <c r="J3" s="1130" t="s">
        <v>244</v>
      </c>
      <c r="K3" s="74" t="s">
        <v>126</v>
      </c>
      <c r="L3" s="74" t="s">
        <v>127</v>
      </c>
      <c r="M3" s="75" t="s">
        <v>128</v>
      </c>
      <c r="N3" s="76" t="s">
        <v>134</v>
      </c>
      <c r="O3" s="77" t="s">
        <v>135</v>
      </c>
      <c r="P3" s="78" t="s">
        <v>136</v>
      </c>
      <c r="Q3" s="78" t="s">
        <v>121</v>
      </c>
      <c r="R3" s="79" t="s">
        <v>137</v>
      </c>
      <c r="S3" s="79" t="s">
        <v>138</v>
      </c>
      <c r="T3" s="80" t="s">
        <v>249</v>
      </c>
      <c r="U3" s="80" t="s">
        <v>276</v>
      </c>
      <c r="V3" s="80" t="s">
        <v>242</v>
      </c>
      <c r="X3" s="79" t="s">
        <v>193</v>
      </c>
      <c r="Y3" s="80" t="s">
        <v>157</v>
      </c>
      <c r="Z3" s="80" t="s">
        <v>137</v>
      </c>
      <c r="AA3" s="80" t="s">
        <v>293</v>
      </c>
    </row>
    <row r="4" spans="1:28" ht="14.25" customHeight="1" x14ac:dyDescent="0.25">
      <c r="A4" s="1127"/>
      <c r="B4" s="1129"/>
      <c r="C4" s="1129"/>
      <c r="D4" s="589"/>
      <c r="E4" s="589"/>
      <c r="F4" s="589"/>
      <c r="G4" s="1129"/>
      <c r="H4" s="1131"/>
      <c r="I4" s="1129"/>
      <c r="J4" s="1131"/>
      <c r="K4" s="54" t="s">
        <v>122</v>
      </c>
      <c r="L4" s="54" t="s">
        <v>123</v>
      </c>
      <c r="M4" s="54" t="s">
        <v>124</v>
      </c>
      <c r="N4" s="54" t="s">
        <v>132</v>
      </c>
      <c r="O4" s="54" t="s">
        <v>133</v>
      </c>
      <c r="P4" s="40"/>
      <c r="Q4" s="40"/>
      <c r="R4" s="65"/>
      <c r="S4" s="65"/>
      <c r="T4" s="81"/>
      <c r="U4" s="81"/>
      <c r="V4" s="81"/>
      <c r="X4" s="65"/>
      <c r="Y4" s="81"/>
      <c r="Z4" s="81"/>
    </row>
    <row r="5" spans="1:28" x14ac:dyDescent="0.25">
      <c r="A5" s="380"/>
      <c r="B5" s="381"/>
      <c r="C5" s="381"/>
      <c r="D5" s="381"/>
      <c r="E5" s="381"/>
      <c r="F5" s="381"/>
      <c r="G5" s="381"/>
      <c r="H5" s="382"/>
      <c r="I5" s="381"/>
      <c r="J5" s="382"/>
      <c r="K5" s="383"/>
      <c r="L5" s="383"/>
      <c r="M5" s="383"/>
      <c r="N5" s="383"/>
      <c r="O5" s="383"/>
      <c r="P5" s="383"/>
      <c r="Q5" s="383"/>
      <c r="R5" s="383"/>
      <c r="S5" s="383"/>
      <c r="T5" s="1132" t="s">
        <v>283</v>
      </c>
      <c r="U5" s="1133"/>
      <c r="V5" s="384"/>
      <c r="X5" s="65"/>
      <c r="Y5" s="81"/>
      <c r="Z5" s="81"/>
    </row>
    <row r="6" spans="1:28" ht="54" customHeight="1" x14ac:dyDescent="0.25">
      <c r="A6" s="301">
        <v>1</v>
      </c>
      <c r="B6" s="620" t="s">
        <v>159</v>
      </c>
      <c r="C6" s="302" t="str">
        <f>ССР!C24</f>
        <v>Выполнение работ по ликвидации объектов по трассе ж.д. путей, подготовке трассы ж.д. путей.</v>
      </c>
      <c r="D6" s="621">
        <v>48841208.740000002</v>
      </c>
      <c r="E6" s="621">
        <v>4004979.12</v>
      </c>
      <c r="F6" s="621">
        <v>1268308.51</v>
      </c>
      <c r="G6" s="621">
        <v>54114496.369999997</v>
      </c>
      <c r="H6" s="621">
        <v>56893839.630000003</v>
      </c>
      <c r="I6" s="304">
        <v>1.2</v>
      </c>
      <c r="J6" s="305">
        <f>ROUND(H6*I6,2)</f>
        <v>68272607.560000002</v>
      </c>
      <c r="K6" s="622">
        <v>65507253.219999999</v>
      </c>
      <c r="L6" s="622">
        <v>360012.73</v>
      </c>
      <c r="M6" s="622"/>
      <c r="N6" s="622"/>
      <c r="O6" s="622"/>
      <c r="P6" s="622">
        <f>K6+L6+M6+N6+O6</f>
        <v>65867265.950000003</v>
      </c>
      <c r="Q6" s="622">
        <f>J6-K6-L6-M6-N6-O6</f>
        <v>2405341.61</v>
      </c>
      <c r="R6" s="622" t="s">
        <v>139</v>
      </c>
      <c r="S6" s="623" t="s">
        <v>158</v>
      </c>
      <c r="T6" s="624">
        <f>P6</f>
        <v>65867265.950000003</v>
      </c>
      <c r="U6" s="624">
        <v>0</v>
      </c>
      <c r="V6" s="625">
        <f t="shared" ref="V6:V13" si="0">T6+U6</f>
        <v>65867265.950000003</v>
      </c>
      <c r="W6" s="177"/>
      <c r="X6" s="111"/>
      <c r="Y6" s="84"/>
      <c r="Z6" s="208"/>
      <c r="AA6" s="604"/>
    </row>
    <row r="7" spans="1:28" ht="49.5" customHeight="1" x14ac:dyDescent="0.25">
      <c r="A7" s="301">
        <v>2</v>
      </c>
      <c r="B7" s="620" t="s">
        <v>160</v>
      </c>
      <c r="C7" s="302" t="str">
        <f>ССР!C25</f>
        <v>Выполнение работ по ликвидации объекта капитального строительства</v>
      </c>
      <c r="D7" s="621">
        <v>40054718.460000001</v>
      </c>
      <c r="E7" s="621">
        <v>3284486.91</v>
      </c>
      <c r="F7" s="621">
        <v>1040140.93</v>
      </c>
      <c r="G7" s="621">
        <v>44379346.299999997</v>
      </c>
      <c r="H7" s="621">
        <v>46658688.170000002</v>
      </c>
      <c r="I7" s="304">
        <v>1.2</v>
      </c>
      <c r="J7" s="305">
        <f t="shared" ref="J7:J28" si="1">ROUND(H7*I7,2)</f>
        <v>55990425.799999997</v>
      </c>
      <c r="K7" s="622">
        <v>54911594.170000002</v>
      </c>
      <c r="L7" s="622"/>
      <c r="M7" s="622"/>
      <c r="N7" s="622"/>
      <c r="O7" s="622"/>
      <c r="P7" s="622">
        <f t="shared" ref="P7:P28" si="2">K7+L7+M7+N7+O7</f>
        <v>54911594.170000002</v>
      </c>
      <c r="Q7" s="622">
        <f t="shared" ref="Q7:Q28" si="3">J7-K7-L7-M7-N7-O7</f>
        <v>1078831.6299999999</v>
      </c>
      <c r="R7" s="622" t="s">
        <v>139</v>
      </c>
      <c r="S7" s="623" t="s">
        <v>158</v>
      </c>
      <c r="T7" s="624">
        <f t="shared" ref="T7:T28" si="4">P7</f>
        <v>54911594.170000002</v>
      </c>
      <c r="U7" s="624">
        <v>0</v>
      </c>
      <c r="V7" s="625">
        <f t="shared" si="0"/>
        <v>54911594.170000002</v>
      </c>
      <c r="X7" s="111"/>
      <c r="Y7" s="84"/>
      <c r="Z7" s="208"/>
      <c r="AA7" s="604"/>
    </row>
    <row r="8" spans="1:28" ht="35.1" customHeight="1" x14ac:dyDescent="0.25">
      <c r="A8" s="301">
        <v>3</v>
      </c>
      <c r="B8" s="620" t="s">
        <v>176</v>
      </c>
      <c r="C8" s="302" t="str">
        <f>ССР!C26</f>
        <v>Демонтаж сетей и систем  инженерного обоспечения.</v>
      </c>
      <c r="D8" s="621">
        <v>1177977.71</v>
      </c>
      <c r="E8" s="621">
        <v>96594.17</v>
      </c>
      <c r="F8" s="621">
        <v>30589.73</v>
      </c>
      <c r="G8" s="621">
        <v>1305161.6100000001</v>
      </c>
      <c r="H8" s="621">
        <v>1372195.26</v>
      </c>
      <c r="I8" s="304">
        <f>I6</f>
        <v>1.2</v>
      </c>
      <c r="J8" s="305">
        <f>ROUND(H8*I8,2)</f>
        <v>1646634.31</v>
      </c>
      <c r="K8" s="622"/>
      <c r="L8" s="622"/>
      <c r="M8" s="622">
        <v>1646696.3</v>
      </c>
      <c r="N8" s="622"/>
      <c r="O8" s="622"/>
      <c r="P8" s="622">
        <f t="shared" si="2"/>
        <v>1646696.3</v>
      </c>
      <c r="Q8" s="622">
        <v>0</v>
      </c>
      <c r="R8" s="622" t="s">
        <v>139</v>
      </c>
      <c r="S8" s="623" t="s">
        <v>158</v>
      </c>
      <c r="T8" s="624">
        <f t="shared" si="4"/>
        <v>1646696.3</v>
      </c>
      <c r="U8" s="624">
        <v>0</v>
      </c>
      <c r="V8" s="625">
        <f t="shared" si="0"/>
        <v>1646696.3</v>
      </c>
      <c r="X8" s="111"/>
      <c r="Y8" s="84"/>
      <c r="Z8" s="208"/>
      <c r="AA8" s="604"/>
    </row>
    <row r="9" spans="1:28" s="525" customFormat="1" ht="54.75" customHeight="1" x14ac:dyDescent="0.25">
      <c r="A9" s="591">
        <v>4</v>
      </c>
      <c r="B9" s="647" t="s">
        <v>177</v>
      </c>
      <c r="C9" s="592" t="str">
        <f>ССР!C32</f>
        <v>Трансбордер. Архитектурно-строительные решения. Часть 2. АС2 .</v>
      </c>
      <c r="D9" s="593">
        <v>1615223.87</v>
      </c>
      <c r="E9" s="593">
        <v>132448.35999999999</v>
      </c>
      <c r="F9" s="593">
        <v>41944.13</v>
      </c>
      <c r="G9" s="593">
        <v>1789616.36</v>
      </c>
      <c r="H9" s="593">
        <v>1881531.81</v>
      </c>
      <c r="I9" s="594">
        <f>I19</f>
        <v>1.2</v>
      </c>
      <c r="J9" s="595">
        <f t="shared" si="1"/>
        <v>2257838.17</v>
      </c>
      <c r="K9" s="648"/>
      <c r="L9" s="648"/>
      <c r="M9" s="648">
        <v>1627347.05</v>
      </c>
      <c r="N9" s="648"/>
      <c r="O9" s="648"/>
      <c r="P9" s="648">
        <f>K9+L9+M9+N9+O9</f>
        <v>1627347.05</v>
      </c>
      <c r="Q9" s="648">
        <f t="shared" si="3"/>
        <v>630491.12</v>
      </c>
      <c r="R9" s="649" t="s">
        <v>139</v>
      </c>
      <c r="S9" s="600" t="str">
        <f>S10</f>
        <v>ВОР подписан, смета отправлена на проверку 21.06</v>
      </c>
      <c r="T9" s="650">
        <f t="shared" si="4"/>
        <v>1627347.05</v>
      </c>
      <c r="U9" s="651">
        <v>400933.67</v>
      </c>
      <c r="V9" s="652">
        <f t="shared" si="0"/>
        <v>2028280.72</v>
      </c>
      <c r="W9" s="231"/>
      <c r="X9" s="229" t="s">
        <v>139</v>
      </c>
      <c r="Y9" s="523">
        <f>1447989.61*1.082*1.024*1.0514*1.2</f>
        <v>2024146.22</v>
      </c>
      <c r="Z9" s="524" t="s">
        <v>186</v>
      </c>
      <c r="AA9" s="604">
        <v>2023649.39</v>
      </c>
      <c r="AB9" s="606">
        <f>AA9-V9</f>
        <v>-4631.33</v>
      </c>
    </row>
    <row r="10" spans="1:28" ht="58.5" customHeight="1" x14ac:dyDescent="0.25">
      <c r="A10" s="591">
        <v>5</v>
      </c>
      <c r="B10" s="647" t="s">
        <v>195</v>
      </c>
      <c r="C10" s="592" t="str">
        <f>ССР!C35</f>
        <v>Электроснабжение. ЭС 1.</v>
      </c>
      <c r="D10" s="593">
        <v>475031.03999999998</v>
      </c>
      <c r="E10" s="593">
        <v>38952.550000000003</v>
      </c>
      <c r="F10" s="593">
        <v>12335.61</v>
      </c>
      <c r="G10" s="593">
        <v>526319.19999999995</v>
      </c>
      <c r="H10" s="593">
        <v>553351.18000000005</v>
      </c>
      <c r="I10" s="594">
        <f>I22</f>
        <v>1.2</v>
      </c>
      <c r="J10" s="595">
        <f t="shared" si="1"/>
        <v>664021.42000000004</v>
      </c>
      <c r="K10" s="648"/>
      <c r="L10" s="648"/>
      <c r="M10" s="648"/>
      <c r="N10" s="648"/>
      <c r="O10" s="648"/>
      <c r="P10" s="648">
        <f t="shared" si="2"/>
        <v>0</v>
      </c>
      <c r="Q10" s="648">
        <f t="shared" si="3"/>
        <v>664021.42000000004</v>
      </c>
      <c r="R10" s="649" t="s">
        <v>139</v>
      </c>
      <c r="S10" s="600" t="s">
        <v>299</v>
      </c>
      <c r="T10" s="650">
        <f t="shared" si="4"/>
        <v>0</v>
      </c>
      <c r="U10" s="651">
        <v>370254</v>
      </c>
      <c r="V10" s="652">
        <f t="shared" si="0"/>
        <v>370254</v>
      </c>
      <c r="W10" s="236"/>
      <c r="X10" s="228" t="s">
        <v>139</v>
      </c>
      <c r="Y10" s="232">
        <f>(235378.05+47139.18)*1.082*1.024*1.0514*1.2</f>
        <v>394931.14</v>
      </c>
      <c r="Z10" s="233" t="s">
        <v>186</v>
      </c>
      <c r="AA10" s="604">
        <v>388509.33</v>
      </c>
      <c r="AB10" s="606">
        <f t="shared" ref="AB10:AB17" si="5">AA10-V10</f>
        <v>18255.330000000002</v>
      </c>
    </row>
    <row r="11" spans="1:28" ht="58.5" customHeight="1" x14ac:dyDescent="0.25">
      <c r="A11" s="591">
        <v>6</v>
      </c>
      <c r="B11" s="647" t="s">
        <v>178</v>
      </c>
      <c r="C11" s="592" t="str">
        <f>ССР!C36</f>
        <v>Переустройство кабельных линий.ЭС2</v>
      </c>
      <c r="D11" s="593">
        <v>2276671.21</v>
      </c>
      <c r="E11" s="593">
        <v>186687.04</v>
      </c>
      <c r="F11" s="593">
        <v>59120.6</v>
      </c>
      <c r="G11" s="593">
        <v>2522478.85</v>
      </c>
      <c r="H11" s="593">
        <v>2652034.42</v>
      </c>
      <c r="I11" s="594">
        <f>I22</f>
        <v>1.2</v>
      </c>
      <c r="J11" s="595">
        <f t="shared" si="1"/>
        <v>3182441.3</v>
      </c>
      <c r="K11" s="648"/>
      <c r="L11" s="648"/>
      <c r="M11" s="648"/>
      <c r="N11" s="648"/>
      <c r="O11" s="648"/>
      <c r="P11" s="648">
        <f t="shared" si="2"/>
        <v>0</v>
      </c>
      <c r="Q11" s="648">
        <f t="shared" si="3"/>
        <v>3182441.3</v>
      </c>
      <c r="R11" s="649" t="s">
        <v>139</v>
      </c>
      <c r="S11" s="600" t="str">
        <f>S10</f>
        <v>ВОР подписан, смета отправлена на проверку 21.06</v>
      </c>
      <c r="T11" s="650">
        <f t="shared" si="4"/>
        <v>0</v>
      </c>
      <c r="U11" s="651">
        <v>4582694</v>
      </c>
      <c r="V11" s="652">
        <f t="shared" si="0"/>
        <v>4582694</v>
      </c>
      <c r="W11" s="178"/>
      <c r="X11" s="111" t="s">
        <v>139</v>
      </c>
      <c r="Y11" s="84">
        <f>(3206824.35+130942.19)*1.082*1.024*1.0514*1.2</f>
        <v>4665867.41</v>
      </c>
      <c r="Z11" s="233" t="s">
        <v>186</v>
      </c>
      <c r="AA11" s="604">
        <f>'вар НВ (с 0,65 и без упл)'!U11</f>
        <v>4814643</v>
      </c>
      <c r="AB11" s="606">
        <f t="shared" si="5"/>
        <v>231949</v>
      </c>
    </row>
    <row r="12" spans="1:28" ht="58.5" customHeight="1" x14ac:dyDescent="0.25">
      <c r="A12" s="591">
        <v>7</v>
      </c>
      <c r="B12" s="647" t="s">
        <v>179</v>
      </c>
      <c r="C12" s="592" t="str">
        <f>ССР!C40</f>
        <v>Переустройство хозпитьевого водопровода.НВК2</v>
      </c>
      <c r="D12" s="593">
        <v>760016.55</v>
      </c>
      <c r="E12" s="593">
        <v>62321.36</v>
      </c>
      <c r="F12" s="593">
        <v>19736.11</v>
      </c>
      <c r="G12" s="593">
        <v>842074.02</v>
      </c>
      <c r="H12" s="593">
        <v>885323.3</v>
      </c>
      <c r="I12" s="594">
        <f>I23</f>
        <v>1.2</v>
      </c>
      <c r="J12" s="595">
        <f t="shared" si="1"/>
        <v>1062387.96</v>
      </c>
      <c r="K12" s="648"/>
      <c r="L12" s="648"/>
      <c r="M12" s="648"/>
      <c r="N12" s="648"/>
      <c r="O12" s="648"/>
      <c r="P12" s="648">
        <f t="shared" si="2"/>
        <v>0</v>
      </c>
      <c r="Q12" s="648">
        <f t="shared" si="3"/>
        <v>1062387.96</v>
      </c>
      <c r="R12" s="648" t="s">
        <v>139</v>
      </c>
      <c r="S12" s="600" t="str">
        <f>S10</f>
        <v>ВОР подписан, смета отправлена на проверку 21.06</v>
      </c>
      <c r="T12" s="650">
        <f t="shared" si="4"/>
        <v>0</v>
      </c>
      <c r="U12" s="651">
        <v>1553260.73</v>
      </c>
      <c r="V12" s="652">
        <f t="shared" si="0"/>
        <v>1553260.73</v>
      </c>
      <c r="W12" s="231"/>
      <c r="X12" s="228" t="s">
        <v>139</v>
      </c>
      <c r="Y12" s="232">
        <f>1047143.73*1.082*1.024*1.0514*1.2</f>
        <v>1463803.34</v>
      </c>
      <c r="Z12" s="233" t="s">
        <v>186</v>
      </c>
      <c r="AA12" s="619">
        <v>1463803.34</v>
      </c>
      <c r="AB12" s="606">
        <f t="shared" si="5"/>
        <v>-89457.39</v>
      </c>
    </row>
    <row r="13" spans="1:28" ht="58.5" customHeight="1" x14ac:dyDescent="0.25">
      <c r="A13" s="591">
        <v>8</v>
      </c>
      <c r="B13" s="647" t="s">
        <v>180</v>
      </c>
      <c r="C13" s="592" t="str">
        <f>ССР!C41</f>
        <v>Переустройство хозпитьевого водопровода.НВК3</v>
      </c>
      <c r="D13" s="593">
        <v>10454161.890000001</v>
      </c>
      <c r="E13" s="593">
        <v>857241.27</v>
      </c>
      <c r="F13" s="593">
        <v>271473.68</v>
      </c>
      <c r="G13" s="593">
        <v>11582876.84</v>
      </c>
      <c r="H13" s="593">
        <v>12177778.26</v>
      </c>
      <c r="I13" s="594">
        <f t="shared" ref="I13:I18" si="6">I6</f>
        <v>1.2</v>
      </c>
      <c r="J13" s="595">
        <f t="shared" si="1"/>
        <v>14613333.91</v>
      </c>
      <c r="K13" s="648"/>
      <c r="L13" s="648"/>
      <c r="M13" s="648"/>
      <c r="N13" s="648"/>
      <c r="O13" s="648"/>
      <c r="P13" s="648">
        <f t="shared" si="2"/>
        <v>0</v>
      </c>
      <c r="Q13" s="648">
        <f t="shared" si="3"/>
        <v>14613333.91</v>
      </c>
      <c r="R13" s="648" t="s">
        <v>139</v>
      </c>
      <c r="S13" s="600" t="str">
        <f>S10</f>
        <v>ВОР подписан, смета отправлена на проверку 21.06</v>
      </c>
      <c r="T13" s="650">
        <f t="shared" si="4"/>
        <v>0</v>
      </c>
      <c r="U13" s="651">
        <v>19970832</v>
      </c>
      <c r="V13" s="652">
        <f t="shared" si="0"/>
        <v>19970832</v>
      </c>
      <c r="W13" s="231"/>
      <c r="X13" s="228" t="s">
        <v>139</v>
      </c>
      <c r="Y13" s="232">
        <f>13422525.94*1.082*1.024*1.0514*1.2</f>
        <v>18763363.32</v>
      </c>
      <c r="Z13" s="233" t="s">
        <v>186</v>
      </c>
      <c r="AA13" s="619">
        <f>'вар НВ (с 0,65 и без упл)'!U13</f>
        <v>19308691</v>
      </c>
      <c r="AB13" s="606">
        <f t="shared" si="5"/>
        <v>-662141</v>
      </c>
    </row>
    <row r="14" spans="1:28" s="525" customFormat="1" ht="58.5" customHeight="1" x14ac:dyDescent="0.25">
      <c r="A14" s="591">
        <v>9</v>
      </c>
      <c r="B14" s="647" t="s">
        <v>181</v>
      </c>
      <c r="C14" s="592" t="str">
        <f>ССР!C43</f>
        <v>Переустройство хозяйственно-бытовой канализации.НВК4</v>
      </c>
      <c r="D14" s="593">
        <v>9143309.8300000001</v>
      </c>
      <c r="E14" s="593">
        <v>749751.41</v>
      </c>
      <c r="F14" s="593">
        <v>237433.47</v>
      </c>
      <c r="G14" s="593">
        <v>10130494.710000001</v>
      </c>
      <c r="H14" s="593">
        <v>10650801.17</v>
      </c>
      <c r="I14" s="594">
        <f t="shared" si="6"/>
        <v>1.2</v>
      </c>
      <c r="J14" s="595">
        <f t="shared" si="1"/>
        <v>12780961.4</v>
      </c>
      <c r="K14" s="648"/>
      <c r="L14" s="648"/>
      <c r="M14" s="648"/>
      <c r="N14" s="648"/>
      <c r="O14" s="648">
        <v>337909.86</v>
      </c>
      <c r="P14" s="648">
        <f t="shared" si="2"/>
        <v>337909.86</v>
      </c>
      <c r="Q14" s="648">
        <f t="shared" si="3"/>
        <v>12443051.539999999</v>
      </c>
      <c r="R14" s="648" t="s">
        <v>139</v>
      </c>
      <c r="S14" s="600" t="str">
        <f>S10</f>
        <v>ВОР подписан, смета отправлена на проверку 21.06</v>
      </c>
      <c r="T14" s="650">
        <f t="shared" si="4"/>
        <v>337909.86</v>
      </c>
      <c r="U14" s="651">
        <v>2221220.66</v>
      </c>
      <c r="V14" s="652">
        <f t="shared" ref="V14:V19" si="7">T14+U14</f>
        <v>2559130.52</v>
      </c>
      <c r="W14" s="178"/>
      <c r="X14" s="175" t="s">
        <v>139</v>
      </c>
      <c r="Y14" s="174">
        <f>1724717.19*1.082*1.024*1.0514*1.2</f>
        <v>2410984</v>
      </c>
      <c r="Z14" s="524" t="s">
        <v>186</v>
      </c>
      <c r="AA14" s="619">
        <f>'вар НВ (с 0,65 и без упл)'!U14</f>
        <v>2202170</v>
      </c>
      <c r="AB14" s="606">
        <f t="shared" si="5"/>
        <v>-356960.52</v>
      </c>
    </row>
    <row r="15" spans="1:28" s="525" customFormat="1" ht="58.5" customHeight="1" x14ac:dyDescent="0.25">
      <c r="A15" s="591">
        <v>10</v>
      </c>
      <c r="B15" s="647" t="s">
        <v>182</v>
      </c>
      <c r="C15" s="592" t="str">
        <f>ССР!C44</f>
        <v>Переустройство ливневой канализации.НВК5.</v>
      </c>
      <c r="D15" s="593">
        <v>21996729.18</v>
      </c>
      <c r="E15" s="593">
        <v>1803731.79</v>
      </c>
      <c r="F15" s="593">
        <v>571211.06000000006</v>
      </c>
      <c r="G15" s="593">
        <v>24371672.030000001</v>
      </c>
      <c r="H15" s="593">
        <v>25623411.34</v>
      </c>
      <c r="I15" s="594">
        <f t="shared" si="6"/>
        <v>1.2</v>
      </c>
      <c r="J15" s="595">
        <f t="shared" si="1"/>
        <v>30748093.609999999</v>
      </c>
      <c r="K15" s="648"/>
      <c r="L15" s="648"/>
      <c r="M15" s="648">
        <v>1211400.79</v>
      </c>
      <c r="N15" s="648"/>
      <c r="O15" s="648"/>
      <c r="P15" s="648">
        <f t="shared" si="2"/>
        <v>1211400.79</v>
      </c>
      <c r="Q15" s="648">
        <f t="shared" si="3"/>
        <v>29536692.82</v>
      </c>
      <c r="R15" s="649" t="s">
        <v>139</v>
      </c>
      <c r="S15" s="600" t="str">
        <f>S10</f>
        <v>ВОР подписан, смета отправлена на проверку 21.06</v>
      </c>
      <c r="T15" s="650">
        <f t="shared" si="4"/>
        <v>1211400.79</v>
      </c>
      <c r="U15" s="651">
        <v>3314342.94</v>
      </c>
      <c r="V15" s="652">
        <f t="shared" si="7"/>
        <v>4525743.7300000004</v>
      </c>
      <c r="W15" s="178"/>
      <c r="X15" s="175" t="s">
        <v>139</v>
      </c>
      <c r="Y15" s="174">
        <f>2827828.36*1.082*1.024*1.0514*1.2</f>
        <v>3953024.28</v>
      </c>
      <c r="Z15" s="524" t="s">
        <v>186</v>
      </c>
      <c r="AA15" s="619">
        <f>'вар НВ (с 0,65 и без упл)'!V15</f>
        <v>4448059.79</v>
      </c>
      <c r="AB15" s="606">
        <f t="shared" si="5"/>
        <v>-77683.94</v>
      </c>
    </row>
    <row r="16" spans="1:28" ht="58.5" customHeight="1" x14ac:dyDescent="0.25">
      <c r="A16" s="591">
        <v>11</v>
      </c>
      <c r="B16" s="647" t="s">
        <v>183</v>
      </c>
      <c r="C16" s="592" t="str">
        <f>ССР!C49</f>
        <v>Теплоснабжение. Переустройство трубопровода.ТС2</v>
      </c>
      <c r="D16" s="593">
        <v>1890203.39</v>
      </c>
      <c r="E16" s="593">
        <v>154996.68</v>
      </c>
      <c r="F16" s="593">
        <v>49084.800000000003</v>
      </c>
      <c r="G16" s="593">
        <v>2094284.87</v>
      </c>
      <c r="H16" s="593">
        <v>2201848.2200000002</v>
      </c>
      <c r="I16" s="594">
        <f t="shared" si="6"/>
        <v>1.2</v>
      </c>
      <c r="J16" s="595">
        <f>ROUND(H16*I16,2)</f>
        <v>2642217.86</v>
      </c>
      <c r="K16" s="648"/>
      <c r="L16" s="648"/>
      <c r="M16" s="648"/>
      <c r="N16" s="648"/>
      <c r="O16" s="648"/>
      <c r="P16" s="648">
        <f>K16+L16+M16+N16+O16</f>
        <v>0</v>
      </c>
      <c r="Q16" s="648">
        <f>J16-K16-L16-M16-N16-O16</f>
        <v>2642217.86</v>
      </c>
      <c r="R16" s="648" t="s">
        <v>139</v>
      </c>
      <c r="S16" s="600" t="str">
        <f>S10</f>
        <v>ВОР подписан, смета отправлена на проверку 21.06</v>
      </c>
      <c r="T16" s="650">
        <f>P16</f>
        <v>0</v>
      </c>
      <c r="U16" s="651">
        <v>2509941.54</v>
      </c>
      <c r="V16" s="652">
        <f t="shared" si="7"/>
        <v>2509941.54</v>
      </c>
      <c r="W16" s="178"/>
      <c r="X16" s="111" t="s">
        <v>139</v>
      </c>
      <c r="Y16" s="84">
        <f>1675854.44*1.082*1.024*1.0514*1.2</f>
        <v>2342678.71</v>
      </c>
      <c r="Z16" s="233" t="s">
        <v>186</v>
      </c>
      <c r="AA16" s="619">
        <f>'вар НВ (с 0,65 и без упл)'!U16</f>
        <v>2387178</v>
      </c>
      <c r="AB16" s="606">
        <f t="shared" si="5"/>
        <v>-122763.54</v>
      </c>
    </row>
    <row r="17" spans="1:28" ht="58.5" customHeight="1" x14ac:dyDescent="0.25">
      <c r="A17" s="591">
        <v>12</v>
      </c>
      <c r="B17" s="647" t="s">
        <v>184</v>
      </c>
      <c r="C17" s="592" t="str">
        <f>ССР!C50</f>
        <v>Теплоснабжение. Переустройство трубопровода.ТС3</v>
      </c>
      <c r="D17" s="593">
        <v>4003449.34</v>
      </c>
      <c r="E17" s="593">
        <v>328282.84999999998</v>
      </c>
      <c r="F17" s="593">
        <v>103961.57</v>
      </c>
      <c r="G17" s="593">
        <v>4435693.76</v>
      </c>
      <c r="H17" s="593">
        <v>4663512.8499999996</v>
      </c>
      <c r="I17" s="594">
        <f t="shared" si="6"/>
        <v>1.2</v>
      </c>
      <c r="J17" s="595">
        <f>ROUND(H17*I17,2)</f>
        <v>5596215.4199999999</v>
      </c>
      <c r="K17" s="648"/>
      <c r="L17" s="648"/>
      <c r="M17" s="648"/>
      <c r="N17" s="648"/>
      <c r="O17" s="648"/>
      <c r="P17" s="648">
        <f>K17+L17+M17+N17+O17</f>
        <v>0</v>
      </c>
      <c r="Q17" s="648">
        <f>J17-K17-L17-M17-N17-O17</f>
        <v>5596215.4199999999</v>
      </c>
      <c r="R17" s="648" t="s">
        <v>139</v>
      </c>
      <c r="S17" s="600" t="str">
        <f>S10</f>
        <v>ВОР подписан, смета отправлена на проверку 21.06</v>
      </c>
      <c r="T17" s="650">
        <f>P17</f>
        <v>0</v>
      </c>
      <c r="U17" s="651">
        <v>4764781</v>
      </c>
      <c r="V17" s="652">
        <f t="shared" si="7"/>
        <v>4764781</v>
      </c>
      <c r="W17" s="178"/>
      <c r="X17" s="111" t="s">
        <v>139</v>
      </c>
      <c r="Y17" s="84">
        <f>2820165.03*1.082*1.024*1.0514*1.2</f>
        <v>3942311.7</v>
      </c>
      <c r="Z17" s="233" t="s">
        <v>186</v>
      </c>
      <c r="AA17" s="619">
        <v>3942311.7</v>
      </c>
      <c r="AB17" s="606">
        <f t="shared" si="5"/>
        <v>-822469.3</v>
      </c>
    </row>
    <row r="18" spans="1:28" ht="58.5" customHeight="1" x14ac:dyDescent="0.25">
      <c r="A18" s="591">
        <v>13</v>
      </c>
      <c r="B18" s="647" t="s">
        <v>289</v>
      </c>
      <c r="C18" s="592" t="str">
        <f>ССР!C52</f>
        <v>Наружные газопроводы. Вынос газопровода среднего давления.</v>
      </c>
      <c r="D18" s="593">
        <v>8291915.46</v>
      </c>
      <c r="E18" s="593">
        <v>679937.07</v>
      </c>
      <c r="F18" s="593">
        <v>215324.46</v>
      </c>
      <c r="G18" s="593">
        <v>9187176.9900000002</v>
      </c>
      <c r="H18" s="593">
        <v>9659034.2599999998</v>
      </c>
      <c r="I18" s="594">
        <f t="shared" si="6"/>
        <v>1.2</v>
      </c>
      <c r="J18" s="595">
        <f>ROUND(H18*I18,2)</f>
        <v>11590841.109999999</v>
      </c>
      <c r="K18" s="596"/>
      <c r="L18" s="596"/>
      <c r="M18" s="596"/>
      <c r="N18" s="596"/>
      <c r="O18" s="596"/>
      <c r="P18" s="648">
        <f>K18+L18+M18+N18+O18</f>
        <v>0</v>
      </c>
      <c r="Q18" s="648">
        <f>J18-K18-L18-M18-N18-O18</f>
        <v>11590841.109999999</v>
      </c>
      <c r="R18" s="653" t="s">
        <v>139</v>
      </c>
      <c r="S18" s="600" t="str">
        <f>S10</f>
        <v>ВОР подписан, смета отправлена на проверку 21.06</v>
      </c>
      <c r="T18" s="650">
        <f>P18</f>
        <v>0</v>
      </c>
      <c r="U18" s="651">
        <v>6207964</v>
      </c>
      <c r="V18" s="652">
        <f t="shared" si="7"/>
        <v>6207964</v>
      </c>
      <c r="W18" s="188"/>
      <c r="X18" s="111"/>
      <c r="Y18" s="84"/>
      <c r="Z18" s="208"/>
      <c r="AA18" s="604"/>
      <c r="AB18" s="526"/>
    </row>
    <row r="19" spans="1:28" ht="45" customHeight="1" x14ac:dyDescent="0.25">
      <c r="A19" s="301">
        <v>14</v>
      </c>
      <c r="B19" s="626" t="s">
        <v>31</v>
      </c>
      <c r="C19" s="302" t="str">
        <f>ССР!C29</f>
        <v>Верхнее строение пути</v>
      </c>
      <c r="D19" s="621">
        <v>161452921.99000001</v>
      </c>
      <c r="E19" s="621">
        <v>13239139.6</v>
      </c>
      <c r="F19" s="621">
        <v>4192609.48</v>
      </c>
      <c r="G19" s="621">
        <v>178884671.06999999</v>
      </c>
      <c r="H19" s="621">
        <v>188072263.84999999</v>
      </c>
      <c r="I19" s="304">
        <f>I6</f>
        <v>1.2</v>
      </c>
      <c r="J19" s="305">
        <f>ROUND(H19*I19,2)</f>
        <v>225686716.62</v>
      </c>
      <c r="K19" s="622">
        <v>89998722.969999999</v>
      </c>
      <c r="L19" s="622">
        <v>66544414.909999996</v>
      </c>
      <c r="M19" s="622">
        <v>42672742.899999999</v>
      </c>
      <c r="N19" s="622"/>
      <c r="O19" s="622"/>
      <c r="P19" s="622">
        <f>K19+L19+M19+N19+O19</f>
        <v>199215880.78</v>
      </c>
      <c r="Q19" s="622">
        <f>J19-K19-L19-M19-N19-O19</f>
        <v>26470835.84</v>
      </c>
      <c r="R19" s="622" t="s">
        <v>139</v>
      </c>
      <c r="S19" s="600" t="s">
        <v>296</v>
      </c>
      <c r="T19" s="624">
        <f>P19</f>
        <v>199215880.78</v>
      </c>
      <c r="U19" s="627">
        <v>48513692.520000003</v>
      </c>
      <c r="V19" s="624">
        <f t="shared" si="7"/>
        <v>247729573.30000001</v>
      </c>
      <c r="X19" s="111"/>
      <c r="Y19" s="84"/>
      <c r="Z19" s="208"/>
      <c r="AA19" s="36"/>
      <c r="AB19" s="45"/>
    </row>
    <row r="20" spans="1:28" ht="4.5" customHeight="1" x14ac:dyDescent="0.25">
      <c r="A20" s="409"/>
      <c r="B20" s="410"/>
      <c r="C20" s="411"/>
      <c r="D20" s="412"/>
      <c r="E20" s="412"/>
      <c r="F20" s="412"/>
      <c r="G20" s="412"/>
      <c r="H20" s="412"/>
      <c r="I20" s="413"/>
      <c r="J20" s="414"/>
      <c r="K20" s="415"/>
      <c r="L20" s="415"/>
      <c r="M20" s="415"/>
      <c r="N20" s="415"/>
      <c r="O20" s="415"/>
      <c r="P20" s="415"/>
      <c r="Q20" s="415"/>
      <c r="R20" s="415"/>
      <c r="S20" s="190"/>
      <c r="T20" s="416"/>
      <c r="U20" s="417"/>
      <c r="V20" s="418"/>
      <c r="W20" s="178"/>
      <c r="X20" s="111"/>
      <c r="Y20" s="84"/>
      <c r="Z20" s="233"/>
    </row>
    <row r="21" spans="1:28" ht="32.25" customHeight="1" x14ac:dyDescent="0.25">
      <c r="A21" s="380"/>
      <c r="B21" s="381"/>
      <c r="C21" s="381"/>
      <c r="D21" s="381"/>
      <c r="E21" s="381"/>
      <c r="F21" s="381"/>
      <c r="G21" s="381"/>
      <c r="H21" s="382"/>
      <c r="I21" s="381"/>
      <c r="J21" s="382"/>
      <c r="K21" s="383"/>
      <c r="L21" s="383"/>
      <c r="M21" s="383"/>
      <c r="N21" s="383"/>
      <c r="O21" s="383"/>
      <c r="P21" s="383"/>
      <c r="Q21" s="383"/>
      <c r="R21" s="383"/>
      <c r="S21" s="383"/>
      <c r="T21" s="1132" t="s">
        <v>272</v>
      </c>
      <c r="U21" s="1133"/>
      <c r="V21" s="605"/>
      <c r="W21" s="605">
        <f>SUM(W9:W17)</f>
        <v>0</v>
      </c>
      <c r="X21" s="605">
        <f>SUM(X9:X17)</f>
        <v>0</v>
      </c>
      <c r="Y21" s="605">
        <f>SUM(Y9:Y17)</f>
        <v>39961110.119999997</v>
      </c>
      <c r="Z21" s="605">
        <f>SUM(Z9:Z17)</f>
        <v>0</v>
      </c>
      <c r="AA21" s="36"/>
    </row>
    <row r="22" spans="1:28" s="449" customFormat="1" ht="32.25" customHeight="1" x14ac:dyDescent="0.25">
      <c r="A22" s="434">
        <v>15</v>
      </c>
      <c r="B22" s="435" t="s">
        <v>32</v>
      </c>
      <c r="C22" s="436" t="str">
        <f>ССР!C30</f>
        <v>Восстановительные работы цеха №121/18. АС 3.</v>
      </c>
      <c r="D22" s="437">
        <v>4505948.67</v>
      </c>
      <c r="E22" s="437">
        <v>369487.79</v>
      </c>
      <c r="F22" s="437">
        <v>117010.48</v>
      </c>
      <c r="G22" s="437">
        <v>4992446.9400000004</v>
      </c>
      <c r="H22" s="437">
        <v>5248861.1100000003</v>
      </c>
      <c r="I22" s="438">
        <f>I7</f>
        <v>1.2</v>
      </c>
      <c r="J22" s="439">
        <f>ROUND(H22*I22,2)</f>
        <v>6298633.3300000001</v>
      </c>
      <c r="K22" s="440"/>
      <c r="L22" s="440"/>
      <c r="M22" s="440"/>
      <c r="N22" s="440">
        <v>5245250.92</v>
      </c>
      <c r="O22" s="440"/>
      <c r="P22" s="441">
        <f>K22+L22+M22+N22+O22</f>
        <v>5245250.92</v>
      </c>
      <c r="Q22" s="441">
        <f>J22-K22-L22-M22-N22-O22</f>
        <v>1053382.4099999999</v>
      </c>
      <c r="R22" s="578" t="s">
        <v>168</v>
      </c>
      <c r="S22" s="442" t="s">
        <v>189</v>
      </c>
      <c r="T22" s="443">
        <f>P22</f>
        <v>5245250.92</v>
      </c>
      <c r="U22" s="444" t="s">
        <v>243</v>
      </c>
      <c r="V22" s="443">
        <f>T22</f>
        <v>5245250.92</v>
      </c>
      <c r="W22" s="445" t="s">
        <v>172</v>
      </c>
      <c r="X22" s="446"/>
      <c r="Y22" s="443"/>
      <c r="Z22" s="447"/>
      <c r="AA22" s="448"/>
    </row>
    <row r="23" spans="1:28" s="585" customFormat="1" ht="31.5" x14ac:dyDescent="0.25">
      <c r="A23" s="273">
        <v>16</v>
      </c>
      <c r="B23" s="361" t="s">
        <v>33</v>
      </c>
      <c r="C23" s="275" t="str">
        <f>ССР!C31</f>
        <v>Архитектурно-строительные решения. Часть 1.АС1</v>
      </c>
      <c r="D23" s="385">
        <v>10526911.91</v>
      </c>
      <c r="E23" s="385">
        <v>863206.78</v>
      </c>
      <c r="F23" s="385">
        <v>273362.84999999998</v>
      </c>
      <c r="G23" s="385">
        <v>11663481.539999999</v>
      </c>
      <c r="H23" s="385">
        <v>12262522.85</v>
      </c>
      <c r="I23" s="277">
        <f>I8</f>
        <v>1.2</v>
      </c>
      <c r="J23" s="278">
        <f>ROUND(H23*I23,2)</f>
        <v>14715027.42</v>
      </c>
      <c r="K23" s="365"/>
      <c r="L23" s="365">
        <v>10775049.08</v>
      </c>
      <c r="M23" s="365"/>
      <c r="N23" s="365"/>
      <c r="O23" s="365"/>
      <c r="P23" s="365">
        <f>K23+L23+M23+N23+O23</f>
        <v>10775049.08</v>
      </c>
      <c r="Q23" s="365">
        <f>J23-K23-L23-M23-N23-O23</f>
        <v>3939978.34</v>
      </c>
      <c r="R23" s="608" t="str">
        <f>R25</f>
        <v>ждем ВОР</v>
      </c>
      <c r="S23" s="609" t="s">
        <v>294</v>
      </c>
      <c r="T23" s="363">
        <f>P23</f>
        <v>10775049.08</v>
      </c>
      <c r="U23" s="610">
        <f>Q23</f>
        <v>3939978.34</v>
      </c>
      <c r="V23" s="363">
        <f>T23+U23</f>
        <v>14715027.42</v>
      </c>
      <c r="W23" s="582"/>
      <c r="X23" s="111"/>
      <c r="Y23" s="83"/>
      <c r="Z23" s="583"/>
      <c r="AA23" s="584" t="s">
        <v>295</v>
      </c>
    </row>
    <row r="24" spans="1:28" s="449" customFormat="1" ht="31.5" x14ac:dyDescent="0.25">
      <c r="A24" s="434">
        <v>17</v>
      </c>
      <c r="B24" s="435" t="s">
        <v>55</v>
      </c>
      <c r="C24" s="436" t="str">
        <f>ССР!C45</f>
        <v>Трубопровод ливневых сточных вод от трансбордера. НВК1</v>
      </c>
      <c r="D24" s="437">
        <v>1758763.66</v>
      </c>
      <c r="E24" s="437">
        <v>144218.62</v>
      </c>
      <c r="F24" s="437">
        <v>45671.57</v>
      </c>
      <c r="G24" s="437">
        <v>1948653.85</v>
      </c>
      <c r="H24" s="437">
        <v>2048737.53</v>
      </c>
      <c r="I24" s="438">
        <f>I19</f>
        <v>1.2</v>
      </c>
      <c r="J24" s="439">
        <f t="shared" si="1"/>
        <v>2458485.04</v>
      </c>
      <c r="K24" s="452"/>
      <c r="L24" s="452"/>
      <c r="M24" s="452"/>
      <c r="N24" s="452"/>
      <c r="O24" s="452">
        <v>505496.99</v>
      </c>
      <c r="P24" s="441">
        <f t="shared" si="2"/>
        <v>505496.99</v>
      </c>
      <c r="Q24" s="441">
        <f t="shared" si="3"/>
        <v>1952988.05</v>
      </c>
      <c r="R24" s="578" t="str">
        <f>R22</f>
        <v>ВОРа на доп. не будет</v>
      </c>
      <c r="S24" s="453" t="s">
        <v>251</v>
      </c>
      <c r="T24" s="443">
        <f t="shared" si="4"/>
        <v>505496.99</v>
      </c>
      <c r="U24" s="454" t="s">
        <v>243</v>
      </c>
      <c r="V24" s="455">
        <f>T24</f>
        <v>505496.99</v>
      </c>
      <c r="W24" s="451"/>
      <c r="X24" s="446"/>
      <c r="Y24" s="443"/>
      <c r="Z24" s="447"/>
      <c r="AA24" s="448"/>
    </row>
    <row r="25" spans="1:28" s="585" customFormat="1" ht="43.5" customHeight="1" x14ac:dyDescent="0.25">
      <c r="A25" s="273">
        <v>18</v>
      </c>
      <c r="B25" s="361" t="s">
        <v>58</v>
      </c>
      <c r="C25" s="275" t="s">
        <v>297</v>
      </c>
      <c r="D25" s="385">
        <v>4044845.15</v>
      </c>
      <c r="E25" s="385">
        <v>331677.3</v>
      </c>
      <c r="F25" s="385">
        <v>105036.54</v>
      </c>
      <c r="G25" s="385">
        <v>4481558.99</v>
      </c>
      <c r="H25" s="385">
        <v>4711733.74</v>
      </c>
      <c r="I25" s="277">
        <f>I13</f>
        <v>1.2</v>
      </c>
      <c r="J25" s="278">
        <f t="shared" si="1"/>
        <v>5654080.4900000002</v>
      </c>
      <c r="K25" s="365"/>
      <c r="L25" s="365"/>
      <c r="M25" s="365"/>
      <c r="N25" s="365"/>
      <c r="O25" s="365">
        <v>3594854.48</v>
      </c>
      <c r="P25" s="365">
        <f t="shared" si="2"/>
        <v>3594854.48</v>
      </c>
      <c r="Q25" s="365">
        <f t="shared" si="3"/>
        <v>2059226.01</v>
      </c>
      <c r="R25" s="365" t="s">
        <v>169</v>
      </c>
      <c r="S25" s="609" t="s">
        <v>247</v>
      </c>
      <c r="T25" s="363">
        <f t="shared" si="4"/>
        <v>3594854.48</v>
      </c>
      <c r="U25" s="610">
        <f>Q25</f>
        <v>2059226.01</v>
      </c>
      <c r="V25" s="363">
        <f t="shared" ref="V25:V28" si="8">T25+U25</f>
        <v>5654080.4900000002</v>
      </c>
      <c r="W25" s="582"/>
      <c r="X25" s="111"/>
      <c r="Y25" s="83"/>
      <c r="Z25" s="583"/>
      <c r="AA25" s="584" t="str">
        <f>AA23</f>
        <v>сумма остатка взята по утвержденной смете!!!</v>
      </c>
    </row>
    <row r="26" spans="1:28" s="449" customFormat="1" ht="174.75" customHeight="1" x14ac:dyDescent="0.25">
      <c r="A26" s="217">
        <v>19</v>
      </c>
      <c r="B26" s="245" t="s">
        <v>59</v>
      </c>
      <c r="C26" s="219" t="str">
        <f>ССР!C48</f>
        <v>Архитектурно-строительные решения. Эстакада для ТС1. АС 4</v>
      </c>
      <c r="D26" s="220">
        <v>4859580.66</v>
      </c>
      <c r="E26" s="220">
        <v>398485.61</v>
      </c>
      <c r="F26" s="220">
        <v>126193.59</v>
      </c>
      <c r="G26" s="220">
        <v>5384259.8600000003</v>
      </c>
      <c r="H26" s="220">
        <v>5660797.71</v>
      </c>
      <c r="I26" s="221">
        <f>I14</f>
        <v>1.2</v>
      </c>
      <c r="J26" s="222">
        <f t="shared" si="1"/>
        <v>6792957.25</v>
      </c>
      <c r="K26" s="579"/>
      <c r="L26" s="579"/>
      <c r="M26" s="579"/>
      <c r="N26" s="579"/>
      <c r="O26" s="579">
        <v>562345.21</v>
      </c>
      <c r="P26" s="371">
        <f t="shared" si="2"/>
        <v>562345.21</v>
      </c>
      <c r="Q26" s="371">
        <f t="shared" si="3"/>
        <v>6230612.04</v>
      </c>
      <c r="R26" s="618" t="s">
        <v>286</v>
      </c>
      <c r="S26" s="580" t="s">
        <v>247</v>
      </c>
      <c r="T26" s="83">
        <f t="shared" si="4"/>
        <v>562345.21</v>
      </c>
      <c r="U26" s="581">
        <v>0</v>
      </c>
      <c r="V26" s="368">
        <f t="shared" si="8"/>
        <v>562345.21</v>
      </c>
      <c r="W26" s="451"/>
      <c r="X26" s="446"/>
      <c r="Y26" s="443"/>
      <c r="Z26" s="447"/>
      <c r="AA26" s="448"/>
    </row>
    <row r="27" spans="1:28" ht="31.5" x14ac:dyDescent="0.25">
      <c r="A27" s="273">
        <v>20</v>
      </c>
      <c r="B27" s="361" t="s">
        <v>70</v>
      </c>
      <c r="C27" s="275" t="s">
        <v>8</v>
      </c>
      <c r="D27" s="385">
        <v>5005903.75</v>
      </c>
      <c r="E27" s="385">
        <v>410484.11</v>
      </c>
      <c r="F27" s="385">
        <v>129993.31</v>
      </c>
      <c r="G27" s="385">
        <v>5546381.1699999999</v>
      </c>
      <c r="H27" s="385">
        <v>5831245.6399999997</v>
      </c>
      <c r="I27" s="277">
        <f>I12</f>
        <v>1.2</v>
      </c>
      <c r="J27" s="278">
        <f t="shared" si="1"/>
        <v>6997494.7699999996</v>
      </c>
      <c r="K27" s="365"/>
      <c r="L27" s="365">
        <v>2298854.48</v>
      </c>
      <c r="M27" s="365"/>
      <c r="N27" s="365"/>
      <c r="O27" s="365"/>
      <c r="P27" s="365">
        <f t="shared" si="2"/>
        <v>2298854.48</v>
      </c>
      <c r="Q27" s="365">
        <f t="shared" si="3"/>
        <v>4698640.29</v>
      </c>
      <c r="R27" s="608" t="str">
        <f>R25</f>
        <v>ждем ВОР</v>
      </c>
      <c r="S27" s="609" t="s">
        <v>247</v>
      </c>
      <c r="T27" s="363">
        <f t="shared" si="4"/>
        <v>2298854.48</v>
      </c>
      <c r="U27" s="610">
        <f>Q27</f>
        <v>4698640.29</v>
      </c>
      <c r="V27" s="363">
        <f t="shared" si="8"/>
        <v>6997494.7699999996</v>
      </c>
      <c r="W27" s="206"/>
      <c r="X27" s="111"/>
      <c r="Y27" s="84"/>
      <c r="Z27" s="208"/>
      <c r="AA27" s="584" t="str">
        <f>AA23</f>
        <v>сумма остатка взята по утвержденной смете!!!</v>
      </c>
    </row>
    <row r="28" spans="1:28" ht="24.75" thickBot="1" x14ac:dyDescent="0.3">
      <c r="A28" s="425">
        <v>21</v>
      </c>
      <c r="B28" s="611" t="s">
        <v>71</v>
      </c>
      <c r="C28" s="427" t="s">
        <v>109</v>
      </c>
      <c r="D28" s="428">
        <v>48898423.600000001</v>
      </c>
      <c r="E28" s="428">
        <v>4009670.74</v>
      </c>
      <c r="F28" s="428">
        <v>1269794.26</v>
      </c>
      <c r="G28" s="428">
        <v>54177888.600000001</v>
      </c>
      <c r="H28" s="428">
        <v>56960487.710000001</v>
      </c>
      <c r="I28" s="429">
        <f>I16</f>
        <v>1.2</v>
      </c>
      <c r="J28" s="430">
        <f t="shared" si="1"/>
        <v>68352585.25</v>
      </c>
      <c r="K28" s="612"/>
      <c r="L28" s="612"/>
      <c r="M28" s="612">
        <v>11709977.720000001</v>
      </c>
      <c r="N28" s="612"/>
      <c r="O28" s="612">
        <v>3615838.44</v>
      </c>
      <c r="P28" s="612">
        <f t="shared" si="2"/>
        <v>15325816.16</v>
      </c>
      <c r="Q28" s="612">
        <f t="shared" si="3"/>
        <v>53026769.090000004</v>
      </c>
      <c r="R28" s="613" t="str">
        <f>R25</f>
        <v>ждем ВОР</v>
      </c>
      <c r="S28" s="614" t="s">
        <v>247</v>
      </c>
      <c r="T28" s="615">
        <f t="shared" si="4"/>
        <v>15325816.16</v>
      </c>
      <c r="U28" s="616">
        <f>Q28</f>
        <v>53026769.090000004</v>
      </c>
      <c r="V28" s="617">
        <f t="shared" si="8"/>
        <v>68352585.25</v>
      </c>
      <c r="W28" s="206"/>
      <c r="X28" s="111"/>
      <c r="Y28" s="85"/>
      <c r="Z28" s="209"/>
      <c r="AA28" s="584" t="str">
        <f>AA23</f>
        <v>сумма остатка взята по утвержденной смете!!!</v>
      </c>
    </row>
    <row r="29" spans="1:28" ht="35.1" customHeight="1" thickTop="1" x14ac:dyDescent="0.25">
      <c r="A29" s="387">
        <v>22</v>
      </c>
      <c r="B29" s="388">
        <v>1</v>
      </c>
      <c r="C29" s="389" t="s">
        <v>175</v>
      </c>
      <c r="D29" s="390"/>
      <c r="E29" s="390"/>
      <c r="F29" s="390"/>
      <c r="G29" s="390"/>
      <c r="H29" s="390"/>
      <c r="I29" s="391"/>
      <c r="J29" s="392"/>
      <c r="K29" s="393"/>
      <c r="L29" s="393"/>
      <c r="M29" s="393"/>
      <c r="N29" s="393"/>
      <c r="O29" s="393"/>
      <c r="P29" s="393">
        <f>T29</f>
        <v>4216719.66</v>
      </c>
      <c r="Q29" s="393"/>
      <c r="R29" s="477" t="s">
        <v>139</v>
      </c>
      <c r="S29" s="394" t="s">
        <v>255</v>
      </c>
      <c r="T29" s="420">
        <v>4216719.66</v>
      </c>
      <c r="U29" s="420">
        <v>0</v>
      </c>
      <c r="V29" s="420">
        <f>T29+U29</f>
        <v>4216719.66</v>
      </c>
      <c r="X29" s="119"/>
      <c r="Y29" s="179"/>
      <c r="Z29" s="179"/>
    </row>
    <row r="30" spans="1:28" ht="35.1" customHeight="1" thickBot="1" x14ac:dyDescent="0.3">
      <c r="A30" s="513">
        <v>23</v>
      </c>
      <c r="B30" s="479">
        <v>1</v>
      </c>
      <c r="C30" s="480" t="s">
        <v>174</v>
      </c>
      <c r="D30" s="481"/>
      <c r="E30" s="481"/>
      <c r="F30" s="481"/>
      <c r="G30" s="481"/>
      <c r="H30" s="481"/>
      <c r="I30" s="482"/>
      <c r="J30" s="483"/>
      <c r="K30" s="484"/>
      <c r="L30" s="484"/>
      <c r="M30" s="484"/>
      <c r="N30" s="484"/>
      <c r="O30" s="484"/>
      <c r="P30" s="484">
        <f>T30</f>
        <v>2160473.5</v>
      </c>
      <c r="Q30" s="484"/>
      <c r="R30" s="514" t="s">
        <v>139</v>
      </c>
      <c r="S30" s="515" t="s">
        <v>255</v>
      </c>
      <c r="T30" s="485">
        <v>2160473.5</v>
      </c>
      <c r="U30" s="485">
        <v>0</v>
      </c>
      <c r="V30" s="486">
        <f t="shared" ref="V30" si="9">T30+U30</f>
        <v>2160473.5</v>
      </c>
      <c r="X30" s="117"/>
      <c r="Y30" s="105"/>
      <c r="Z30" s="211"/>
    </row>
    <row r="31" spans="1:28" ht="31.5" customHeight="1" thickTop="1" thickBot="1" x14ac:dyDescent="0.3">
      <c r="A31" s="516"/>
      <c r="B31" s="517" t="s">
        <v>120</v>
      </c>
      <c r="C31" s="518"/>
      <c r="D31" s="519">
        <f>SUM(D6:D28)</f>
        <v>392033916.06</v>
      </c>
      <c r="E31" s="518"/>
      <c r="F31" s="520"/>
      <c r="G31" s="519">
        <f>SUM(G6:G28)</f>
        <v>434361033.93000001</v>
      </c>
      <c r="H31" s="519">
        <f>SUM(H6:H28)</f>
        <v>456670000.00999999</v>
      </c>
      <c r="I31" s="519"/>
      <c r="J31" s="519">
        <f>SUM(J6:J28)</f>
        <v>548004000</v>
      </c>
      <c r="K31" s="521">
        <f>SUM(K6:K28)</f>
        <v>210417570.36000001</v>
      </c>
      <c r="L31" s="521">
        <f>SUM(L6:L28)+0.01</f>
        <v>79978331.209999993</v>
      </c>
      <c r="M31" s="521">
        <f>SUM(M6:M28)</f>
        <v>58868164.759999998</v>
      </c>
      <c r="N31" s="521">
        <f>SUM(N6:N28)</f>
        <v>5245250.92</v>
      </c>
      <c r="O31" s="521">
        <f>SUM(O6:O28)</f>
        <v>8616444.9800000004</v>
      </c>
      <c r="P31" s="521">
        <f>SUM(P6:P30)+0.01</f>
        <v>369502955.38999999</v>
      </c>
      <c r="Q31" s="521">
        <f>J31-P31</f>
        <v>178501044.61000001</v>
      </c>
      <c r="R31" s="521"/>
      <c r="S31" s="521"/>
      <c r="T31" s="522">
        <f>SUM(T6:T30)</f>
        <v>369502955.38</v>
      </c>
      <c r="U31" s="522">
        <f>SUM(U6:U30)</f>
        <v>158134530.78999999</v>
      </c>
      <c r="V31" s="522">
        <f>SUM(V6:V30)</f>
        <v>527637486.17000002</v>
      </c>
      <c r="W31" s="177"/>
      <c r="X31" s="115"/>
      <c r="Y31" s="101">
        <f>SUM(Y6:Y28)</f>
        <v>79922220.239999995</v>
      </c>
      <c r="Z31" s="210">
        <f>SUM(Z6:Z28)</f>
        <v>0</v>
      </c>
    </row>
    <row r="32" spans="1:28" ht="32.25" customHeight="1" x14ac:dyDescent="0.25">
      <c r="A32" s="498"/>
      <c r="B32" s="499"/>
      <c r="C32" s="499"/>
      <c r="D32" s="499"/>
      <c r="E32" s="499"/>
      <c r="F32" s="499"/>
      <c r="G32" s="499"/>
      <c r="H32" s="500"/>
      <c r="I32" s="499"/>
      <c r="J32" s="500"/>
      <c r="K32" s="501"/>
      <c r="L32" s="501"/>
      <c r="M32" s="501"/>
      <c r="N32" s="501"/>
      <c r="O32" s="501"/>
      <c r="P32" s="501"/>
      <c r="Q32" s="501"/>
      <c r="R32" s="501"/>
      <c r="S32" s="501"/>
      <c r="T32" s="1123" t="s">
        <v>245</v>
      </c>
      <c r="U32" s="1124"/>
      <c r="V32" s="503"/>
      <c r="X32" s="65"/>
      <c r="Y32" s="81"/>
      <c r="Z32" s="81"/>
    </row>
    <row r="33" spans="1:27" ht="35.1" customHeight="1" x14ac:dyDescent="0.25">
      <c r="A33" s="591">
        <v>24</v>
      </c>
      <c r="B33" s="542">
        <v>2</v>
      </c>
      <c r="C33" s="592" t="s">
        <v>141</v>
      </c>
      <c r="D33" s="593"/>
      <c r="E33" s="593"/>
      <c r="F33" s="593"/>
      <c r="G33" s="593"/>
      <c r="H33" s="593"/>
      <c r="I33" s="594"/>
      <c r="J33" s="595"/>
      <c r="K33" s="596"/>
      <c r="L33" s="596"/>
      <c r="M33" s="596"/>
      <c r="N33" s="596"/>
      <c r="O33" s="596"/>
      <c r="P33" s="596"/>
      <c r="Q33" s="596"/>
      <c r="R33" s="597" t="s">
        <v>139</v>
      </c>
      <c r="S33" s="600" t="s">
        <v>299</v>
      </c>
      <c r="T33" s="598">
        <v>0</v>
      </c>
      <c r="U33" s="598">
        <v>705505</v>
      </c>
      <c r="V33" s="598">
        <f t="shared" ref="V33:V41" si="10">T33+U33</f>
        <v>705505</v>
      </c>
      <c r="X33" s="119"/>
      <c r="Y33" s="179"/>
      <c r="Z33" s="179"/>
      <c r="AA33" s="406" t="s">
        <v>280</v>
      </c>
    </row>
    <row r="34" spans="1:27" ht="35.1" customHeight="1" x14ac:dyDescent="0.25">
      <c r="A34" s="599">
        <v>25</v>
      </c>
      <c r="B34" s="542">
        <v>3</v>
      </c>
      <c r="C34" s="592" t="s">
        <v>142</v>
      </c>
      <c r="D34" s="593"/>
      <c r="E34" s="593"/>
      <c r="F34" s="593"/>
      <c r="G34" s="593"/>
      <c r="H34" s="593"/>
      <c r="I34" s="594"/>
      <c r="J34" s="595"/>
      <c r="K34" s="596"/>
      <c r="L34" s="596"/>
      <c r="M34" s="596"/>
      <c r="N34" s="596"/>
      <c r="O34" s="596"/>
      <c r="P34" s="596"/>
      <c r="Q34" s="596"/>
      <c r="R34" s="597" t="s">
        <v>139</v>
      </c>
      <c r="S34" s="600" t="str">
        <f>S33</f>
        <v>ВОР подписан, смета отправлена на проверку 21.06</v>
      </c>
      <c r="T34" s="598">
        <v>0</v>
      </c>
      <c r="U34" s="598">
        <v>85851.36</v>
      </c>
      <c r="V34" s="598">
        <f t="shared" si="10"/>
        <v>85851.36</v>
      </c>
      <c r="X34" s="119"/>
      <c r="Y34" s="180"/>
      <c r="Z34" s="180"/>
    </row>
    <row r="35" spans="1:27" ht="35.1" customHeight="1" x14ac:dyDescent="0.25">
      <c r="A35" s="591">
        <v>26</v>
      </c>
      <c r="B35" s="542">
        <v>4</v>
      </c>
      <c r="C35" s="592" t="s">
        <v>143</v>
      </c>
      <c r="D35" s="593"/>
      <c r="E35" s="593"/>
      <c r="F35" s="593"/>
      <c r="G35" s="593"/>
      <c r="H35" s="593"/>
      <c r="I35" s="594"/>
      <c r="J35" s="595"/>
      <c r="K35" s="596"/>
      <c r="L35" s="596"/>
      <c r="M35" s="596"/>
      <c r="N35" s="596"/>
      <c r="O35" s="596"/>
      <c r="P35" s="596"/>
      <c r="Q35" s="596"/>
      <c r="R35" s="597" t="s">
        <v>139</v>
      </c>
      <c r="S35" s="600" t="str">
        <f>S33</f>
        <v>ВОР подписан, смета отправлена на проверку 21.06</v>
      </c>
      <c r="T35" s="598">
        <v>0</v>
      </c>
      <c r="U35" s="598">
        <v>26314.48</v>
      </c>
      <c r="V35" s="598">
        <f t="shared" si="10"/>
        <v>26314.48</v>
      </c>
      <c r="X35" s="119"/>
      <c r="Y35" s="180"/>
      <c r="Z35" s="180"/>
    </row>
    <row r="36" spans="1:27" ht="35.1" customHeight="1" x14ac:dyDescent="0.25">
      <c r="A36" s="599">
        <v>27</v>
      </c>
      <c r="B36" s="542">
        <v>5</v>
      </c>
      <c r="C36" s="592" t="s">
        <v>146</v>
      </c>
      <c r="D36" s="593"/>
      <c r="E36" s="593"/>
      <c r="F36" s="593"/>
      <c r="G36" s="593"/>
      <c r="H36" s="593"/>
      <c r="I36" s="594"/>
      <c r="J36" s="595"/>
      <c r="K36" s="596"/>
      <c r="L36" s="596"/>
      <c r="M36" s="596"/>
      <c r="N36" s="596"/>
      <c r="O36" s="596"/>
      <c r="P36" s="596"/>
      <c r="Q36" s="596"/>
      <c r="R36" s="597" t="s">
        <v>139</v>
      </c>
      <c r="S36" s="600" t="str">
        <f>S33</f>
        <v>ВОР подписан, смета отправлена на проверку 21.06</v>
      </c>
      <c r="T36" s="598">
        <v>0</v>
      </c>
      <c r="U36" s="598">
        <v>208912.6</v>
      </c>
      <c r="V36" s="598">
        <f t="shared" si="10"/>
        <v>208912.6</v>
      </c>
      <c r="X36" s="119"/>
      <c r="Y36" s="180"/>
      <c r="Z36" s="180"/>
    </row>
    <row r="37" spans="1:27" ht="35.1" customHeight="1" thickBot="1" x14ac:dyDescent="0.3">
      <c r="A37" s="591">
        <v>29</v>
      </c>
      <c r="B37" s="543">
        <v>6</v>
      </c>
      <c r="C37" s="628" t="s">
        <v>140</v>
      </c>
      <c r="D37" s="629"/>
      <c r="E37" s="629"/>
      <c r="F37" s="629"/>
      <c r="G37" s="629"/>
      <c r="H37" s="629"/>
      <c r="I37" s="630"/>
      <c r="J37" s="631"/>
      <c r="K37" s="632"/>
      <c r="L37" s="632"/>
      <c r="M37" s="632"/>
      <c r="N37" s="632"/>
      <c r="O37" s="632"/>
      <c r="P37" s="632"/>
      <c r="Q37" s="632"/>
      <c r="R37" s="633" t="s">
        <v>139</v>
      </c>
      <c r="S37" s="600" t="str">
        <f>S33</f>
        <v>ВОР подписан, смета отправлена на проверку 21.06</v>
      </c>
      <c r="T37" s="634">
        <v>0</v>
      </c>
      <c r="U37" s="634">
        <v>570651.94999999995</v>
      </c>
      <c r="V37" s="598">
        <f t="shared" si="10"/>
        <v>570651.94999999995</v>
      </c>
      <c r="X37" s="117"/>
      <c r="Y37" s="105"/>
      <c r="Z37" s="211"/>
    </row>
    <row r="38" spans="1:27" ht="35.1" customHeight="1" thickTop="1" x14ac:dyDescent="0.25">
      <c r="A38" s="545">
        <v>32</v>
      </c>
      <c r="B38" s="568">
        <v>9</v>
      </c>
      <c r="C38" s="569" t="s">
        <v>145</v>
      </c>
      <c r="D38" s="570"/>
      <c r="E38" s="570"/>
      <c r="F38" s="570"/>
      <c r="G38" s="570"/>
      <c r="H38" s="570"/>
      <c r="I38" s="571"/>
      <c r="J38" s="572"/>
      <c r="K38" s="573"/>
      <c r="L38" s="573"/>
      <c r="M38" s="573"/>
      <c r="N38" s="573"/>
      <c r="O38" s="573"/>
      <c r="P38" s="574"/>
      <c r="Q38" s="574"/>
      <c r="R38" s="575" t="s">
        <v>139</v>
      </c>
      <c r="S38" s="576" t="s">
        <v>285</v>
      </c>
      <c r="T38" s="577">
        <v>0</v>
      </c>
      <c r="U38" s="577">
        <v>2348452.58</v>
      </c>
      <c r="V38" s="577">
        <f t="shared" si="10"/>
        <v>2348452.58</v>
      </c>
      <c r="X38" s="119"/>
      <c r="Y38" s="180"/>
      <c r="Z38" s="180"/>
    </row>
    <row r="39" spans="1:27" ht="46.5" customHeight="1" x14ac:dyDescent="0.25">
      <c r="A39" s="475">
        <v>33</v>
      </c>
      <c r="B39" s="558">
        <v>10</v>
      </c>
      <c r="C39" s="559" t="s">
        <v>144</v>
      </c>
      <c r="D39" s="560"/>
      <c r="E39" s="560"/>
      <c r="F39" s="560"/>
      <c r="G39" s="560"/>
      <c r="H39" s="560"/>
      <c r="I39" s="561"/>
      <c r="J39" s="562"/>
      <c r="K39" s="563"/>
      <c r="L39" s="563"/>
      <c r="M39" s="563"/>
      <c r="N39" s="563"/>
      <c r="O39" s="563"/>
      <c r="P39" s="293"/>
      <c r="Q39" s="293"/>
      <c r="R39" s="564" t="s">
        <v>139</v>
      </c>
      <c r="S39" s="565" t="s">
        <v>288</v>
      </c>
      <c r="T39" s="566">
        <v>0</v>
      </c>
      <c r="U39" s="566">
        <v>389490.94</v>
      </c>
      <c r="V39" s="567">
        <f t="shared" si="10"/>
        <v>389490.94</v>
      </c>
      <c r="W39" s="189"/>
      <c r="X39" s="182"/>
      <c r="Y39" s="183"/>
      <c r="Z39" s="212"/>
    </row>
    <row r="40" spans="1:27" ht="50.25" customHeight="1" thickBot="1" x14ac:dyDescent="0.3">
      <c r="A40" s="546">
        <v>30</v>
      </c>
      <c r="B40" s="547"/>
      <c r="C40" s="548" t="s">
        <v>279</v>
      </c>
      <c r="D40" s="549"/>
      <c r="E40" s="549"/>
      <c r="F40" s="549"/>
      <c r="G40" s="549"/>
      <c r="H40" s="549"/>
      <c r="I40" s="550"/>
      <c r="J40" s="551"/>
      <c r="K40" s="552"/>
      <c r="L40" s="552"/>
      <c r="M40" s="552"/>
      <c r="N40" s="552"/>
      <c r="O40" s="552"/>
      <c r="P40" s="552"/>
      <c r="Q40" s="552"/>
      <c r="R40" s="553" t="s">
        <v>255</v>
      </c>
      <c r="S40" s="554" t="s">
        <v>281</v>
      </c>
      <c r="T40" s="555">
        <v>0</v>
      </c>
      <c r="U40" s="555">
        <v>9690548.2599999998</v>
      </c>
      <c r="V40" s="556">
        <f t="shared" si="10"/>
        <v>9690548.2599999998</v>
      </c>
      <c r="X40" s="117"/>
      <c r="Y40" s="105"/>
      <c r="Z40" s="211"/>
    </row>
    <row r="41" spans="1:27" ht="35.1" customHeight="1" thickTop="1" thickBot="1" x14ac:dyDescent="0.3">
      <c r="A41" s="82">
        <v>34</v>
      </c>
      <c r="B41" s="321"/>
      <c r="C41" s="171" t="s">
        <v>149</v>
      </c>
      <c r="D41" s="322"/>
      <c r="E41" s="322"/>
      <c r="F41" s="322"/>
      <c r="G41" s="322"/>
      <c r="H41" s="322"/>
      <c r="I41" s="323"/>
      <c r="J41" s="172"/>
      <c r="K41" s="324"/>
      <c r="L41" s="324"/>
      <c r="M41" s="324"/>
      <c r="N41" s="324"/>
      <c r="O41" s="324"/>
      <c r="P41" s="173"/>
      <c r="Q41" s="173"/>
      <c r="R41" s="401" t="s">
        <v>139</v>
      </c>
      <c r="S41" s="401" t="s">
        <v>170</v>
      </c>
      <c r="T41" s="326"/>
      <c r="U41" s="326">
        <v>4746000</v>
      </c>
      <c r="V41" s="399">
        <f t="shared" si="10"/>
        <v>4746000</v>
      </c>
      <c r="X41" s="119"/>
      <c r="Y41" s="107"/>
      <c r="Z41" s="213"/>
    </row>
    <row r="42" spans="1:27" ht="35.1" customHeight="1" thickBot="1" x14ac:dyDescent="0.3">
      <c r="A42" s="504"/>
      <c r="B42" s="103"/>
      <c r="C42" s="505"/>
      <c r="D42" s="506"/>
      <c r="E42" s="506"/>
      <c r="F42" s="506"/>
      <c r="G42" s="506"/>
      <c r="H42" s="506"/>
      <c r="I42" s="507"/>
      <c r="J42" s="508"/>
      <c r="K42" s="509"/>
      <c r="L42" s="509"/>
      <c r="M42" s="509"/>
      <c r="N42" s="509"/>
      <c r="O42" s="509"/>
      <c r="P42" s="509"/>
      <c r="Q42" s="509"/>
      <c r="R42" s="510"/>
      <c r="S42" s="511"/>
      <c r="T42" s="512"/>
      <c r="U42" s="73">
        <f>SUM(U33:U41)</f>
        <v>18771727.170000002</v>
      </c>
      <c r="V42" s="73">
        <f>SUM(V33:V41)</f>
        <v>18771727.170000002</v>
      </c>
      <c r="X42" s="117"/>
      <c r="Y42" s="105"/>
      <c r="Z42" s="211"/>
    </row>
    <row r="43" spans="1:27" ht="33" customHeight="1" x14ac:dyDescent="0.25">
      <c r="A43" s="498"/>
      <c r="B43" s="499"/>
      <c r="C43" s="499"/>
      <c r="D43" s="499"/>
      <c r="E43" s="499"/>
      <c r="F43" s="499"/>
      <c r="G43" s="499"/>
      <c r="H43" s="500"/>
      <c r="I43" s="499"/>
      <c r="J43" s="500"/>
      <c r="K43" s="501"/>
      <c r="L43" s="501"/>
      <c r="M43" s="501"/>
      <c r="N43" s="501"/>
      <c r="O43" s="501"/>
      <c r="P43" s="501"/>
      <c r="Q43" s="501"/>
      <c r="R43" s="501"/>
      <c r="S43" s="502"/>
      <c r="T43" s="1123" t="s">
        <v>253</v>
      </c>
      <c r="U43" s="1124"/>
      <c r="V43" s="503"/>
      <c r="X43" s="65"/>
      <c r="Y43" s="81"/>
      <c r="Z43" s="81"/>
    </row>
    <row r="44" spans="1:27" ht="40.5" customHeight="1" thickBot="1" x14ac:dyDescent="0.3">
      <c r="A44" s="87">
        <v>37</v>
      </c>
      <c r="B44" s="327"/>
      <c r="C44" s="328" t="s">
        <v>152</v>
      </c>
      <c r="D44" s="329"/>
      <c r="E44" s="329"/>
      <c r="F44" s="329"/>
      <c r="G44" s="329"/>
      <c r="H44" s="329"/>
      <c r="I44" s="330"/>
      <c r="J44" s="331"/>
      <c r="K44" s="332"/>
      <c r="L44" s="332"/>
      <c r="M44" s="332"/>
      <c r="N44" s="332"/>
      <c r="O44" s="332"/>
      <c r="P44" s="333"/>
      <c r="Q44" s="333"/>
      <c r="R44" s="405" t="s">
        <v>243</v>
      </c>
      <c r="S44" s="334"/>
      <c r="T44" s="335"/>
      <c r="U44" s="335"/>
      <c r="V44" s="408">
        <f t="shared" ref="V44" si="11">T44+U44</f>
        <v>0</v>
      </c>
      <c r="X44" s="125"/>
      <c r="Y44" s="109"/>
      <c r="Z44" s="214"/>
    </row>
    <row r="45" spans="1:27" ht="31.5" customHeight="1" thickTop="1" thickBot="1" x14ac:dyDescent="0.3">
      <c r="A45" s="102"/>
      <c r="B45" s="66" t="s">
        <v>120</v>
      </c>
      <c r="C45" s="67"/>
      <c r="D45" s="68">
        <f t="shared" ref="D45:J45" si="12">SUM(D33:D44)</f>
        <v>0</v>
      </c>
      <c r="E45" s="68">
        <f t="shared" si="12"/>
        <v>0</v>
      </c>
      <c r="F45" s="68">
        <f t="shared" si="12"/>
        <v>0</v>
      </c>
      <c r="G45" s="68">
        <f t="shared" si="12"/>
        <v>0</v>
      </c>
      <c r="H45" s="68">
        <f t="shared" si="12"/>
        <v>0</v>
      </c>
      <c r="I45" s="68">
        <f t="shared" si="12"/>
        <v>0</v>
      </c>
      <c r="J45" s="68">
        <f t="shared" si="12"/>
        <v>0</v>
      </c>
      <c r="K45" s="69"/>
      <c r="L45" s="69"/>
      <c r="M45" s="69"/>
      <c r="N45" s="69"/>
      <c r="O45" s="69"/>
      <c r="P45" s="69"/>
      <c r="Q45" s="69"/>
      <c r="R45" s="69"/>
      <c r="S45" s="386"/>
      <c r="T45" s="86">
        <f>SUM(T33:T44)</f>
        <v>0</v>
      </c>
      <c r="U45" s="86">
        <f>SUM(U33:U44)-U42</f>
        <v>18771727.170000002</v>
      </c>
      <c r="V45" s="86">
        <f>SUM(V33:V44)-V42</f>
        <v>18771727.170000002</v>
      </c>
      <c r="W45" s="177"/>
      <c r="X45" s="69"/>
      <c r="Y45" s="86">
        <f>SUM(Y33:Y44)</f>
        <v>0</v>
      </c>
      <c r="Z45" s="215">
        <f>SUM(Z33:Z44)</f>
        <v>0</v>
      </c>
    </row>
    <row r="46" spans="1:27" ht="31.5" customHeight="1" thickBot="1" x14ac:dyDescent="0.3">
      <c r="A46" s="104"/>
      <c r="B46" s="103" t="s">
        <v>153</v>
      </c>
      <c r="C46" s="70"/>
      <c r="D46" s="71">
        <f>D31+D45</f>
        <v>392033916.06</v>
      </c>
      <c r="E46" s="70"/>
      <c r="F46" s="72"/>
      <c r="G46" s="71">
        <f>SUM(G26:G45)</f>
        <v>499469563.56</v>
      </c>
      <c r="H46" s="71">
        <f>SUM(H26:H45)</f>
        <v>525122531.06999999</v>
      </c>
      <c r="I46" s="71"/>
      <c r="J46" s="71">
        <f t="shared" ref="J46:Q46" si="13">J31+J45</f>
        <v>548004000</v>
      </c>
      <c r="K46" s="71">
        <f t="shared" si="13"/>
        <v>210417570.36000001</v>
      </c>
      <c r="L46" s="71">
        <f t="shared" si="13"/>
        <v>79978331.209999993</v>
      </c>
      <c r="M46" s="71">
        <f t="shared" si="13"/>
        <v>58868164.759999998</v>
      </c>
      <c r="N46" s="71">
        <f t="shared" si="13"/>
        <v>5245250.92</v>
      </c>
      <c r="O46" s="71">
        <f t="shared" si="13"/>
        <v>8616444.9800000004</v>
      </c>
      <c r="P46" s="71">
        <f t="shared" si="13"/>
        <v>369502955.38999999</v>
      </c>
      <c r="Q46" s="71">
        <f t="shared" si="13"/>
        <v>178501044.61000001</v>
      </c>
      <c r="R46" s="71"/>
      <c r="S46" s="402"/>
      <c r="T46" s="73">
        <f>T31+T45</f>
        <v>369502955.38</v>
      </c>
      <c r="U46" s="73">
        <f>U31+U45</f>
        <v>176906257.96000001</v>
      </c>
      <c r="V46" s="73">
        <f>V31+V45</f>
        <v>546409213.34000003</v>
      </c>
      <c r="W46" s="177"/>
      <c r="X46" s="71"/>
      <c r="Y46" s="73">
        <f>Y31+Y45</f>
        <v>79922220.239999995</v>
      </c>
      <c r="Z46" s="216">
        <f>Z31+Z45</f>
        <v>0</v>
      </c>
      <c r="AA46" s="406">
        <f>V46/1.0514</f>
        <v>519696797.92657399</v>
      </c>
    </row>
    <row r="47" spans="1:27" x14ac:dyDescent="0.25">
      <c r="AA47" s="557">
        <f>J46/AA46</f>
        <v>1.0545</v>
      </c>
    </row>
    <row r="48" spans="1:27" ht="45" customHeight="1" x14ac:dyDescent="0.25">
      <c r="A48" s="82">
        <v>35</v>
      </c>
      <c r="B48" s="41">
        <v>11</v>
      </c>
      <c r="C48" s="42" t="s">
        <v>277</v>
      </c>
      <c r="D48" s="43"/>
      <c r="E48" s="43"/>
      <c r="F48" s="43"/>
      <c r="G48" s="43"/>
      <c r="H48" s="43"/>
      <c r="I48" s="44"/>
      <c r="J48" s="55"/>
      <c r="K48" s="56"/>
      <c r="L48" s="56"/>
      <c r="M48" s="56"/>
      <c r="N48" s="56"/>
      <c r="O48" s="56"/>
      <c r="P48" s="53"/>
      <c r="Q48" s="53"/>
      <c r="R48" s="400" t="s">
        <v>139</v>
      </c>
      <c r="S48" s="190" t="s">
        <v>278</v>
      </c>
      <c r="T48" s="107">
        <v>0</v>
      </c>
      <c r="U48" s="107">
        <v>22184864.98</v>
      </c>
      <c r="V48" s="399">
        <f>T48+U48</f>
        <v>22184864.98</v>
      </c>
      <c r="X48" s="119"/>
      <c r="Y48" s="107"/>
      <c r="Z48" s="213"/>
    </row>
    <row r="49" spans="1:27" ht="16.5" thickBot="1" x14ac:dyDescent="0.3"/>
    <row r="50" spans="1:27" ht="31.5" customHeight="1" thickBot="1" x14ac:dyDescent="0.3">
      <c r="A50" s="104"/>
      <c r="B50" s="103" t="s">
        <v>153</v>
      </c>
      <c r="C50" s="70"/>
      <c r="D50" s="71">
        <f>D35+D49</f>
        <v>0</v>
      </c>
      <c r="E50" s="70"/>
      <c r="F50" s="72"/>
      <c r="G50" s="71">
        <f>SUM(G30:G49)</f>
        <v>933830597.49000001</v>
      </c>
      <c r="H50" s="71">
        <f>SUM(H30:H49)</f>
        <v>981792531.08000004</v>
      </c>
      <c r="I50" s="71"/>
      <c r="J50" s="71">
        <f t="shared" ref="J50:Q50" si="14">J35+J49</f>
        <v>0</v>
      </c>
      <c r="K50" s="71">
        <f t="shared" si="14"/>
        <v>0</v>
      </c>
      <c r="L50" s="71">
        <f t="shared" si="14"/>
        <v>0</v>
      </c>
      <c r="M50" s="71">
        <f t="shared" si="14"/>
        <v>0</v>
      </c>
      <c r="N50" s="71">
        <f t="shared" si="14"/>
        <v>0</v>
      </c>
      <c r="O50" s="71">
        <f t="shared" si="14"/>
        <v>0</v>
      </c>
      <c r="P50" s="71">
        <f t="shared" si="14"/>
        <v>0</v>
      </c>
      <c r="Q50" s="71">
        <f t="shared" si="14"/>
        <v>0</v>
      </c>
      <c r="R50" s="71"/>
      <c r="S50" s="402"/>
      <c r="T50" s="73">
        <f>T35+T49</f>
        <v>0</v>
      </c>
      <c r="U50" s="73">
        <f>U46+U48</f>
        <v>199091122.94</v>
      </c>
      <c r="V50" s="73">
        <f>V46+V48</f>
        <v>568594078.32000005</v>
      </c>
      <c r="W50" s="177"/>
      <c r="X50" s="71"/>
      <c r="Y50" s="73">
        <f>Y35+Y49</f>
        <v>0</v>
      </c>
      <c r="Z50" s="216">
        <f>Z35+Z49</f>
        <v>0</v>
      </c>
    </row>
    <row r="52" spans="1:27" x14ac:dyDescent="0.25">
      <c r="V52" s="45"/>
    </row>
    <row r="53" spans="1:27" x14ac:dyDescent="0.25">
      <c r="T53" s="45"/>
      <c r="V53" s="45"/>
    </row>
    <row r="54" spans="1:27" x14ac:dyDescent="0.25">
      <c r="T54" s="45"/>
    </row>
    <row r="55" spans="1:27" ht="35.1" customHeight="1" thickBot="1" x14ac:dyDescent="0.3">
      <c r="A55" s="637">
        <v>31</v>
      </c>
      <c r="B55" s="544">
        <v>8</v>
      </c>
      <c r="C55" s="638" t="s">
        <v>250</v>
      </c>
      <c r="D55" s="639"/>
      <c r="E55" s="639"/>
      <c r="F55" s="639"/>
      <c r="G55" s="639"/>
      <c r="H55" s="639"/>
      <c r="I55" s="640"/>
      <c r="J55" s="641"/>
      <c r="K55" s="642"/>
      <c r="L55" s="642"/>
      <c r="M55" s="642"/>
      <c r="N55" s="642"/>
      <c r="O55" s="642"/>
      <c r="P55" s="643"/>
      <c r="Q55" s="643"/>
      <c r="R55" s="644" t="s">
        <v>139</v>
      </c>
      <c r="S55" s="600" t="s">
        <v>298</v>
      </c>
      <c r="T55" s="645">
        <v>0</v>
      </c>
      <c r="U55" s="645">
        <v>107940.55</v>
      </c>
      <c r="V55" s="646">
        <f>T55+U55</f>
        <v>107940.55</v>
      </c>
      <c r="X55" s="119"/>
      <c r="Y55" s="107"/>
      <c r="Z55" s="213"/>
      <c r="AA55" s="1137" t="s">
        <v>300</v>
      </c>
    </row>
    <row r="56" spans="1:27" ht="35.1" customHeight="1" thickTop="1" x14ac:dyDescent="0.25">
      <c r="A56" s="591">
        <v>28</v>
      </c>
      <c r="B56" s="542">
        <v>7</v>
      </c>
      <c r="C56" s="592" t="s">
        <v>148</v>
      </c>
      <c r="D56" s="593"/>
      <c r="E56" s="593"/>
      <c r="F56" s="593"/>
      <c r="G56" s="593"/>
      <c r="H56" s="593"/>
      <c r="I56" s="594"/>
      <c r="J56" s="595"/>
      <c r="K56" s="596"/>
      <c r="L56" s="596"/>
      <c r="M56" s="596"/>
      <c r="N56" s="596"/>
      <c r="O56" s="596"/>
      <c r="P56" s="596"/>
      <c r="Q56" s="596"/>
      <c r="R56" s="635" t="s">
        <v>139</v>
      </c>
      <c r="S56" s="600" t="str">
        <f>S33</f>
        <v>ВОР подписан, смета отправлена на проверку 21.06</v>
      </c>
      <c r="T56" s="636">
        <v>0</v>
      </c>
      <c r="U56" s="636">
        <v>231084.76</v>
      </c>
      <c r="V56" s="598">
        <f>T56+U56</f>
        <v>231084.76</v>
      </c>
      <c r="X56" s="119"/>
      <c r="Y56" s="107"/>
      <c r="Z56" s="213"/>
      <c r="AA56" s="1137"/>
    </row>
    <row r="57" spans="1:27" ht="52.5" customHeight="1" x14ac:dyDescent="0.25">
      <c r="A57" s="82">
        <v>36</v>
      </c>
      <c r="B57" s="321"/>
      <c r="C57" s="171" t="s">
        <v>151</v>
      </c>
      <c r="D57" s="322"/>
      <c r="E57" s="322"/>
      <c r="F57" s="322"/>
      <c r="G57" s="322"/>
      <c r="H57" s="322"/>
      <c r="I57" s="323"/>
      <c r="J57" s="172"/>
      <c r="K57" s="324"/>
      <c r="L57" s="324"/>
      <c r="M57" s="324"/>
      <c r="N57" s="324"/>
      <c r="O57" s="324"/>
      <c r="P57" s="173"/>
      <c r="Q57" s="173"/>
      <c r="R57" s="404" t="s">
        <v>243</v>
      </c>
      <c r="S57" s="325"/>
      <c r="T57" s="326"/>
      <c r="U57" s="326"/>
      <c r="V57" s="399">
        <f>T57+U57</f>
        <v>0</v>
      </c>
      <c r="X57" s="119"/>
      <c r="Y57" s="107"/>
      <c r="Z57" s="213"/>
      <c r="AA57" s="657" t="s">
        <v>301</v>
      </c>
    </row>
    <row r="58" spans="1:27" x14ac:dyDescent="0.25">
      <c r="T58" s="45"/>
    </row>
    <row r="59" spans="1:27" x14ac:dyDescent="0.25">
      <c r="V59" s="45"/>
    </row>
    <row r="69" spans="1:27" s="39" customFormat="1" ht="54.95" customHeight="1" x14ac:dyDescent="0.25">
      <c r="A69" s="46"/>
      <c r="B69" s="47"/>
      <c r="C69" s="46"/>
      <c r="D69" s="48"/>
      <c r="E69" s="46"/>
      <c r="F69" s="49"/>
      <c r="G69" s="48"/>
      <c r="H69" s="48"/>
      <c r="I69" s="48"/>
      <c r="J69" s="48"/>
      <c r="K69" s="50"/>
      <c r="M69" s="35"/>
      <c r="O69" s="35"/>
      <c r="P69" s="36"/>
      <c r="Q69" s="36"/>
      <c r="R69" s="36"/>
      <c r="S69" s="36"/>
      <c r="T69" s="36"/>
      <c r="U69" s="36"/>
      <c r="V69" s="36"/>
      <c r="W69" s="176"/>
      <c r="X69" s="36"/>
      <c r="Y69" s="36"/>
      <c r="Z69" s="36"/>
      <c r="AA69" s="407"/>
    </row>
    <row r="70" spans="1:27" s="39" customFormat="1" x14ac:dyDescent="0.25">
      <c r="A70" s="36"/>
      <c r="B70" s="36"/>
      <c r="C70" s="36"/>
      <c r="D70" s="45">
        <f>ССР!H58</f>
        <v>392033.92</v>
      </c>
      <c r="E70" s="36"/>
      <c r="F70" s="45"/>
      <c r="G70" s="45">
        <f>ССР!H76</f>
        <v>434361.04</v>
      </c>
      <c r="H70" s="45">
        <f>ССР!H78</f>
        <v>456670</v>
      </c>
      <c r="I70" s="36"/>
      <c r="J70" s="45"/>
      <c r="K70" s="35"/>
      <c r="M70" s="35"/>
      <c r="O70" s="35"/>
      <c r="P70" s="36"/>
      <c r="Q70" s="36"/>
      <c r="R70" s="36"/>
      <c r="S70" s="36"/>
      <c r="T70" s="36"/>
      <c r="U70" s="36"/>
      <c r="V70" s="36"/>
      <c r="W70" s="176"/>
      <c r="X70" s="36"/>
      <c r="Y70" s="36"/>
      <c r="Z70" s="36"/>
      <c r="AA70" s="407"/>
    </row>
    <row r="71" spans="1:27" s="39" customFormat="1" x14ac:dyDescent="0.25">
      <c r="A71" s="36"/>
      <c r="B71" s="36"/>
      <c r="C71" s="36"/>
      <c r="D71" s="45">
        <f>D31/1000</f>
        <v>392033.92</v>
      </c>
      <c r="E71" s="36"/>
      <c r="F71" s="51"/>
      <c r="G71" s="52">
        <f>G31/1000</f>
        <v>434361.03</v>
      </c>
      <c r="H71" s="52">
        <f>H31/1000</f>
        <v>456670</v>
      </c>
      <c r="I71" s="36"/>
      <c r="J71" s="45"/>
      <c r="K71" s="50"/>
      <c r="M71" s="35"/>
      <c r="O71" s="35"/>
      <c r="P71" s="36"/>
      <c r="Q71" s="36"/>
      <c r="R71" s="36"/>
      <c r="S71" s="36"/>
      <c r="T71" s="36"/>
      <c r="U71" s="36"/>
      <c r="V71" s="36"/>
      <c r="W71" s="176"/>
      <c r="X71" s="36"/>
      <c r="Y71" s="36"/>
      <c r="Z71" s="36"/>
      <c r="AA71" s="407"/>
    </row>
    <row r="72" spans="1:27" s="39" customFormat="1" x14ac:dyDescent="0.25">
      <c r="A72" s="36"/>
      <c r="B72" s="36"/>
      <c r="C72" s="36"/>
      <c r="D72" s="45"/>
      <c r="E72" s="45"/>
      <c r="F72" s="51"/>
      <c r="G72" s="36"/>
      <c r="H72" s="36"/>
      <c r="I72" s="36"/>
      <c r="J72" s="36"/>
      <c r="M72" s="35"/>
      <c r="O72" s="35"/>
      <c r="P72" s="36"/>
      <c r="Q72" s="36"/>
      <c r="R72" s="36"/>
      <c r="S72" s="36"/>
      <c r="T72" s="36"/>
      <c r="U72" s="36"/>
      <c r="V72" s="36"/>
      <c r="W72" s="176"/>
      <c r="X72" s="36"/>
      <c r="Y72" s="36"/>
      <c r="Z72" s="36"/>
      <c r="AA72" s="407"/>
    </row>
    <row r="92" spans="1:1" x14ac:dyDescent="0.25">
      <c r="A92" s="36">
        <v>7</v>
      </c>
    </row>
  </sheetData>
  <autoFilter ref="A3:W46" xr:uid="{00000000-0001-0000-0100-000000000000}"/>
  <mergeCells count="13">
    <mergeCell ref="A1:J1"/>
    <mergeCell ref="A3:A4"/>
    <mergeCell ref="B3:B4"/>
    <mergeCell ref="C3:C4"/>
    <mergeCell ref="G3:G4"/>
    <mergeCell ref="H3:H4"/>
    <mergeCell ref="I3:I4"/>
    <mergeCell ref="J3:J4"/>
    <mergeCell ref="AA55:AA56"/>
    <mergeCell ref="T5:U5"/>
    <mergeCell ref="T21:U21"/>
    <mergeCell ref="T32:U32"/>
    <mergeCell ref="T43:U43"/>
  </mergeCells>
  <pageMargins left="0.23622047244094491" right="0.23622047244094491" top="0.74803149606299213" bottom="0.74803149606299213" header="0.31496062992125984" footer="0.31496062992125984"/>
  <pageSetup paperSize="9" scale="58" fitToHeight="100" orientation="landscape" r:id="rId1"/>
  <rowBreaks count="2" manualBreakCount="2">
    <brk id="48" max="17" man="1"/>
    <brk id="58" max="9" man="1"/>
  </rowBreaks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808B2-7D95-4D1B-AD7B-C4C4D4E70C85}">
  <dimension ref="A1:M22"/>
  <sheetViews>
    <sheetView view="pageBreakPreview" topLeftCell="A7" zoomScale="115" zoomScaleNormal="100" zoomScaleSheetLayoutView="115" workbookViewId="0">
      <selection activeCell="C23" sqref="C23"/>
    </sheetView>
  </sheetViews>
  <sheetFormatPr defaultRowHeight="15" x14ac:dyDescent="0.25"/>
  <cols>
    <col min="1" max="1" width="17" customWidth="1"/>
    <col min="2" max="2" width="11.85546875" customWidth="1"/>
    <col min="3" max="3" width="51" customWidth="1"/>
    <col min="4" max="4" width="19" customWidth="1"/>
    <col min="5" max="10" width="20.7109375" customWidth="1"/>
    <col min="12" max="12" width="9.28515625" bestFit="1" customWidth="1"/>
    <col min="13" max="13" width="16.85546875" bestFit="1" customWidth="1"/>
  </cols>
  <sheetData>
    <row r="1" spans="1:13" x14ac:dyDescent="0.25">
      <c r="A1" s="336"/>
      <c r="B1" s="336"/>
      <c r="C1" s="336"/>
      <c r="D1" s="336"/>
      <c r="E1" s="336"/>
      <c r="F1" s="336"/>
      <c r="G1" s="336"/>
      <c r="H1" s="336"/>
      <c r="I1" s="337"/>
      <c r="J1" s="336"/>
    </row>
    <row r="2" spans="1:13" ht="60" x14ac:dyDescent="0.25">
      <c r="A2" s="338" t="s">
        <v>111</v>
      </c>
      <c r="B2" s="338" t="s">
        <v>112</v>
      </c>
      <c r="C2" s="338" t="s">
        <v>113</v>
      </c>
      <c r="D2" s="338" t="s">
        <v>114</v>
      </c>
      <c r="E2" s="338" t="s">
        <v>115</v>
      </c>
      <c r="F2" s="338" t="s">
        <v>116</v>
      </c>
      <c r="G2" s="338" t="s">
        <v>117</v>
      </c>
      <c r="H2" s="339" t="s">
        <v>226</v>
      </c>
      <c r="I2" s="338" t="s">
        <v>118</v>
      </c>
      <c r="J2" s="339" t="s">
        <v>119</v>
      </c>
    </row>
    <row r="3" spans="1:13" s="346" customFormat="1" ht="28.5" customHeight="1" x14ac:dyDescent="0.25">
      <c r="A3" s="340">
        <v>1</v>
      </c>
      <c r="B3" s="341" t="s">
        <v>25</v>
      </c>
      <c r="C3" s="342" t="s">
        <v>26</v>
      </c>
      <c r="D3" s="356">
        <v>47118689.25</v>
      </c>
      <c r="E3" s="343">
        <v>3863732.52</v>
      </c>
      <c r="F3" s="343">
        <v>1223578.1200000001</v>
      </c>
      <c r="G3" s="343">
        <v>52205999.890000001</v>
      </c>
      <c r="H3" s="343">
        <v>54889388.289999999</v>
      </c>
      <c r="I3" s="344">
        <v>1.2</v>
      </c>
      <c r="J3" s="345">
        <f>ROUND(H3*I3,2)</f>
        <v>65867265.950000003</v>
      </c>
    </row>
    <row r="4" spans="1:13" ht="27" customHeight="1" x14ac:dyDescent="0.25">
      <c r="A4" s="340">
        <v>2</v>
      </c>
      <c r="B4" s="341" t="s">
        <v>27</v>
      </c>
      <c r="C4" s="342" t="s">
        <v>9</v>
      </c>
      <c r="D4" s="356">
        <v>39281459.539999999</v>
      </c>
      <c r="E4" s="343">
        <v>3221079.68</v>
      </c>
      <c r="F4" s="343">
        <v>1020060.94</v>
      </c>
      <c r="G4" s="343">
        <v>43522600.159999996</v>
      </c>
      <c r="H4" s="343">
        <v>45759661.810000002</v>
      </c>
      <c r="I4" s="344">
        <v>1.2</v>
      </c>
      <c r="J4" s="345">
        <f t="shared" ref="J4:J16" si="0">ROUND(H4*I4,2)</f>
        <v>54911594.170000002</v>
      </c>
    </row>
    <row r="5" spans="1:13" s="346" customFormat="1" ht="24" customHeight="1" x14ac:dyDescent="0.25">
      <c r="A5" s="340">
        <v>3</v>
      </c>
      <c r="B5" s="347" t="s">
        <v>31</v>
      </c>
      <c r="C5" s="342" t="s">
        <v>11</v>
      </c>
      <c r="D5" s="356">
        <v>142510715.22</v>
      </c>
      <c r="E5" s="343">
        <v>11685878.65</v>
      </c>
      <c r="F5" s="343">
        <v>3700718.26</v>
      </c>
      <c r="G5" s="343">
        <v>157897312.13</v>
      </c>
      <c r="H5" s="343">
        <v>166013233.97999999</v>
      </c>
      <c r="I5" s="344">
        <v>1.2</v>
      </c>
      <c r="J5" s="345">
        <f t="shared" si="0"/>
        <v>199215880.78</v>
      </c>
    </row>
    <row r="6" spans="1:13" s="349" customFormat="1" ht="24" customHeight="1" x14ac:dyDescent="0.25">
      <c r="A6" s="340">
        <v>4</v>
      </c>
      <c r="B6" s="341" t="s">
        <v>70</v>
      </c>
      <c r="C6" s="342" t="s">
        <v>8</v>
      </c>
      <c r="D6" s="357">
        <v>1644504.42</v>
      </c>
      <c r="E6" s="348">
        <v>134849.35999999999</v>
      </c>
      <c r="F6" s="348">
        <v>42704.49</v>
      </c>
      <c r="G6" s="348">
        <v>1822058.27</v>
      </c>
      <c r="H6" s="348">
        <v>1915712.07</v>
      </c>
      <c r="I6" s="344">
        <v>1.2</v>
      </c>
      <c r="J6" s="345">
        <f t="shared" si="0"/>
        <v>2298854.48</v>
      </c>
      <c r="K6" s="349" t="s">
        <v>227</v>
      </c>
    </row>
    <row r="7" spans="1:13" s="349" customFormat="1" ht="24" customHeight="1" x14ac:dyDescent="0.25">
      <c r="A7" s="340">
        <v>5</v>
      </c>
      <c r="B7" s="341" t="s">
        <v>228</v>
      </c>
      <c r="C7" s="342" t="s">
        <v>34</v>
      </c>
      <c r="D7" s="357">
        <v>7708019.79</v>
      </c>
      <c r="E7" s="348">
        <v>632057.62</v>
      </c>
      <c r="F7" s="348">
        <v>200161.86</v>
      </c>
      <c r="G7" s="348">
        <v>8540239.2699999996</v>
      </c>
      <c r="H7" s="348">
        <v>8979207.5700000003</v>
      </c>
      <c r="I7" s="344">
        <v>1.2</v>
      </c>
      <c r="J7" s="345">
        <f t="shared" si="0"/>
        <v>10775049.08</v>
      </c>
      <c r="K7" s="349" t="s">
        <v>229</v>
      </c>
    </row>
    <row r="8" spans="1:13" s="349" customFormat="1" ht="24" customHeight="1" x14ac:dyDescent="0.25">
      <c r="A8" s="340">
        <v>6</v>
      </c>
      <c r="B8" s="341" t="s">
        <v>230</v>
      </c>
      <c r="C8" s="342" t="s">
        <v>231</v>
      </c>
      <c r="D8" s="357">
        <v>1177977.71</v>
      </c>
      <c r="E8" s="348">
        <v>96594.17</v>
      </c>
      <c r="F8" s="348">
        <v>30589.73</v>
      </c>
      <c r="G8" s="348">
        <v>1305161.6100000001</v>
      </c>
      <c r="H8" s="348">
        <v>1372246.92</v>
      </c>
      <c r="I8" s="344">
        <v>1.2</v>
      </c>
      <c r="J8" s="345">
        <f t="shared" si="0"/>
        <v>1646696.3</v>
      </c>
      <c r="K8" s="349" t="s">
        <v>232</v>
      </c>
      <c r="L8" s="350">
        <f>'[11]01-01-03 '!O264</f>
        <v>0</v>
      </c>
      <c r="M8" s="351">
        <f>H8-L8</f>
        <v>1372246.92</v>
      </c>
    </row>
    <row r="9" spans="1:13" s="349" customFormat="1" ht="28.5" customHeight="1" x14ac:dyDescent="0.25">
      <c r="A9" s="340">
        <v>7</v>
      </c>
      <c r="B9" s="341" t="s">
        <v>35</v>
      </c>
      <c r="C9" s="342" t="s">
        <v>36</v>
      </c>
      <c r="D9" s="357">
        <v>1164136.06</v>
      </c>
      <c r="E9" s="348">
        <v>95459.16</v>
      </c>
      <c r="F9" s="348">
        <v>30230.29</v>
      </c>
      <c r="G9" s="348">
        <v>1289825.51</v>
      </c>
      <c r="H9" s="348">
        <v>1356122.54</v>
      </c>
      <c r="I9" s="344">
        <v>1.2</v>
      </c>
      <c r="J9" s="345">
        <f t="shared" si="0"/>
        <v>1627347.05</v>
      </c>
      <c r="K9" s="349" t="s">
        <v>233</v>
      </c>
      <c r="L9" s="350">
        <f>'[11]02-03-02 АС2'!O287</f>
        <v>0</v>
      </c>
      <c r="M9" s="351">
        <f t="shared" ref="M9:M11" si="1">H9-L9</f>
        <v>1356122.54</v>
      </c>
    </row>
    <row r="10" spans="1:13" s="349" customFormat="1" ht="24" customHeight="1" x14ac:dyDescent="0.25">
      <c r="A10" s="340">
        <v>8</v>
      </c>
      <c r="B10" s="341" t="s">
        <v>53</v>
      </c>
      <c r="C10" s="342" t="s">
        <v>54</v>
      </c>
      <c r="D10" s="357">
        <v>866585.5</v>
      </c>
      <c r="E10" s="348">
        <v>71060.009999999995</v>
      </c>
      <c r="F10" s="348">
        <v>22503.49</v>
      </c>
      <c r="G10" s="348">
        <v>960149</v>
      </c>
      <c r="H10" s="348">
        <v>1009500.66</v>
      </c>
      <c r="I10" s="344">
        <v>1.2</v>
      </c>
      <c r="J10" s="345">
        <f t="shared" si="0"/>
        <v>1211400.79</v>
      </c>
      <c r="K10" s="349" t="s">
        <v>234</v>
      </c>
      <c r="L10" s="350">
        <f>'[11]06-02-02  НВК5 корр '!O239</f>
        <v>0</v>
      </c>
      <c r="M10" s="351">
        <f t="shared" si="1"/>
        <v>1009500.66</v>
      </c>
    </row>
    <row r="11" spans="1:13" s="349" customFormat="1" ht="24" customHeight="1" x14ac:dyDescent="0.25">
      <c r="A11" s="340">
        <v>9</v>
      </c>
      <c r="B11" s="341" t="s">
        <v>71</v>
      </c>
      <c r="C11" s="342" t="s">
        <v>235</v>
      </c>
      <c r="D11" s="357">
        <v>10963448.359999999</v>
      </c>
      <c r="E11" s="348">
        <v>899002.77</v>
      </c>
      <c r="F11" s="348">
        <v>284698.83</v>
      </c>
      <c r="G11" s="348">
        <v>12147149.960000001</v>
      </c>
      <c r="H11" s="348">
        <v>12771513.470000001</v>
      </c>
      <c r="I11" s="344">
        <v>1.2</v>
      </c>
      <c r="J11" s="345">
        <f t="shared" si="0"/>
        <v>15325816.16</v>
      </c>
      <c r="K11" s="349" t="s">
        <v>236</v>
      </c>
      <c r="L11" s="350">
        <f>'[11]07-01-02 ГП2'!O193</f>
        <v>0</v>
      </c>
      <c r="M11" s="351">
        <f t="shared" si="1"/>
        <v>12771513.470000001</v>
      </c>
    </row>
    <row r="12" spans="1:13" s="349" customFormat="1" ht="24" customHeight="1" x14ac:dyDescent="0.25">
      <c r="A12" s="340">
        <v>10</v>
      </c>
      <c r="B12" s="341" t="s">
        <v>32</v>
      </c>
      <c r="C12" s="342" t="s">
        <v>12</v>
      </c>
      <c r="D12" s="357">
        <v>3752233.29</v>
      </c>
      <c r="E12" s="348">
        <v>307683.13</v>
      </c>
      <c r="F12" s="348">
        <v>97437.99</v>
      </c>
      <c r="G12" s="348">
        <v>4157354.41</v>
      </c>
      <c r="H12" s="348">
        <v>4371042.43</v>
      </c>
      <c r="I12" s="344">
        <v>1.2</v>
      </c>
      <c r="J12" s="345">
        <f t="shared" si="0"/>
        <v>5245250.92</v>
      </c>
      <c r="K12" s="349" t="s">
        <v>237</v>
      </c>
      <c r="L12" s="350">
        <f>'[12]02-02-01 АС3'!O1223</f>
        <v>0</v>
      </c>
      <c r="M12" s="351">
        <f>H12-L12</f>
        <v>4371042.43</v>
      </c>
    </row>
    <row r="13" spans="1:13" s="349" customFormat="1" ht="24" customHeight="1" x14ac:dyDescent="0.25">
      <c r="A13" s="340">
        <v>11</v>
      </c>
      <c r="B13" s="341" t="s">
        <v>55</v>
      </c>
      <c r="C13" s="342" t="s">
        <v>56</v>
      </c>
      <c r="D13" s="357">
        <v>361611.41</v>
      </c>
      <c r="E13" s="348">
        <v>29652.14</v>
      </c>
      <c r="F13" s="348">
        <v>9390.33</v>
      </c>
      <c r="G13" s="348">
        <v>400653.88</v>
      </c>
      <c r="H13" s="348">
        <v>421247.49</v>
      </c>
      <c r="I13" s="344">
        <v>1.2</v>
      </c>
      <c r="J13" s="345">
        <f t="shared" si="0"/>
        <v>505496.99</v>
      </c>
      <c r="K13" s="349" t="s">
        <v>238</v>
      </c>
      <c r="L13" s="350">
        <f>'[13]06-02-03 НВК1'!O312</f>
        <v>0</v>
      </c>
      <c r="M13" s="351">
        <f>H13-L13</f>
        <v>421247.49</v>
      </c>
    </row>
    <row r="14" spans="1:13" s="349" customFormat="1" ht="27" customHeight="1" x14ac:dyDescent="0.25">
      <c r="A14" s="340">
        <v>12</v>
      </c>
      <c r="B14" s="341" t="s">
        <v>51</v>
      </c>
      <c r="C14" s="342" t="s">
        <v>52</v>
      </c>
      <c r="D14" s="357">
        <v>241726.59</v>
      </c>
      <c r="E14" s="348">
        <v>19821.580000000002</v>
      </c>
      <c r="F14" s="348">
        <v>6277.16</v>
      </c>
      <c r="G14" s="348">
        <v>267825.33</v>
      </c>
      <c r="H14" s="348">
        <v>281591.55</v>
      </c>
      <c r="I14" s="344">
        <v>1.2</v>
      </c>
      <c r="J14" s="345">
        <f t="shared" si="0"/>
        <v>337909.86</v>
      </c>
      <c r="K14" s="349" t="s">
        <v>239</v>
      </c>
      <c r="L14" s="350">
        <f>'[13]06-02-01 НВК4'!O328</f>
        <v>0</v>
      </c>
      <c r="M14" s="351">
        <f t="shared" ref="M14:M16" si="2">H14-L14</f>
        <v>281591.55</v>
      </c>
    </row>
    <row r="15" spans="1:13" s="349" customFormat="1" ht="24" customHeight="1" x14ac:dyDescent="0.25">
      <c r="A15" s="340">
        <v>13</v>
      </c>
      <c r="B15" s="341" t="s">
        <v>58</v>
      </c>
      <c r="C15" s="342" t="s">
        <v>108</v>
      </c>
      <c r="D15" s="357">
        <v>2571608.66</v>
      </c>
      <c r="E15" s="348">
        <v>210871.91</v>
      </c>
      <c r="F15" s="348">
        <v>66779.53</v>
      </c>
      <c r="G15" s="348">
        <v>2849260.1</v>
      </c>
      <c r="H15" s="348">
        <v>2995712.07</v>
      </c>
      <c r="I15" s="344">
        <v>1.2</v>
      </c>
      <c r="J15" s="345">
        <f t="shared" si="0"/>
        <v>3594854.48</v>
      </c>
      <c r="K15" s="349" t="s">
        <v>240</v>
      </c>
      <c r="L15" s="350">
        <f>'[13]06-03-01 ТС1 '!O902</f>
        <v>0</v>
      </c>
      <c r="M15" s="351">
        <f t="shared" si="2"/>
        <v>2995712.07</v>
      </c>
    </row>
    <row r="16" spans="1:13" s="349" customFormat="1" ht="27" customHeight="1" x14ac:dyDescent="0.25">
      <c r="A16" s="340">
        <v>14</v>
      </c>
      <c r="B16" s="341" t="s">
        <v>59</v>
      </c>
      <c r="C16" s="342" t="s">
        <v>60</v>
      </c>
      <c r="D16" s="357">
        <v>402278.26</v>
      </c>
      <c r="E16" s="348">
        <v>32986.82</v>
      </c>
      <c r="F16" s="348">
        <v>10446.36</v>
      </c>
      <c r="G16" s="348">
        <v>445711.44</v>
      </c>
      <c r="H16" s="348">
        <v>468621.01</v>
      </c>
      <c r="I16" s="344">
        <v>1.2</v>
      </c>
      <c r="J16" s="345">
        <f t="shared" si="0"/>
        <v>562345.21</v>
      </c>
      <c r="K16" s="349" t="s">
        <v>241</v>
      </c>
      <c r="L16" s="350">
        <f>'[13]06-03-02 АС4 корр'!O265</f>
        <v>0</v>
      </c>
      <c r="M16" s="351">
        <f t="shared" si="2"/>
        <v>468621.01</v>
      </c>
    </row>
    <row r="17" spans="1:12" s="349" customFormat="1" ht="0.75" customHeight="1" x14ac:dyDescent="0.25">
      <c r="A17" s="340"/>
      <c r="B17" s="341"/>
      <c r="C17" s="342"/>
      <c r="D17" s="348"/>
      <c r="E17" s="348"/>
      <c r="F17" s="348"/>
      <c r="G17" s="348"/>
      <c r="H17" s="348"/>
      <c r="I17" s="344"/>
      <c r="J17" s="345"/>
    </row>
    <row r="18" spans="1:12" s="349" customFormat="1" ht="24" customHeight="1" x14ac:dyDescent="0.25">
      <c r="A18" s="352"/>
      <c r="B18" s="353" t="s">
        <v>120</v>
      </c>
      <c r="C18" s="352"/>
      <c r="D18" s="354">
        <f t="shared" ref="D18:J18" si="3">SUM(D3:D17)</f>
        <v>259764994.06</v>
      </c>
      <c r="E18" s="354">
        <f t="shared" si="3"/>
        <v>21300729.52</v>
      </c>
      <c r="F18" s="354">
        <f t="shared" si="3"/>
        <v>6745577.3799999999</v>
      </c>
      <c r="G18" s="354">
        <f t="shared" si="3"/>
        <v>287811300.95999998</v>
      </c>
      <c r="H18" s="354">
        <f t="shared" si="3"/>
        <v>302604801.86000001</v>
      </c>
      <c r="I18" s="354">
        <f t="shared" si="3"/>
        <v>16.8</v>
      </c>
      <c r="J18" s="354">
        <f t="shared" si="3"/>
        <v>363125762.22000003</v>
      </c>
      <c r="L18" s="350">
        <f>SUM(L13:L15)</f>
        <v>0</v>
      </c>
    </row>
    <row r="21" spans="1:12" x14ac:dyDescent="0.25">
      <c r="J21" s="355">
        <f>'[14]реестр корр '!P26</f>
        <v>363125762.23000002</v>
      </c>
    </row>
    <row r="22" spans="1:12" x14ac:dyDescent="0.25">
      <c r="J22" s="355">
        <f>J18-J21</f>
        <v>-0.01</v>
      </c>
    </row>
  </sheetData>
  <autoFilter ref="A2:M16" xr:uid="{8022D469-BD3C-4A21-B422-98A9C76FEDE7}"/>
  <pageMargins left="0.7" right="0.7" top="0.75" bottom="0.75" header="0.3" footer="0.3"/>
  <pageSetup paperSize="9" scale="5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CB8F1-2880-4C21-9C1B-DCF523B30073}">
  <sheetPr>
    <tabColor rgb="FFFFFF00"/>
    <pageSetUpPr fitToPage="1"/>
  </sheetPr>
  <dimension ref="A1:W55"/>
  <sheetViews>
    <sheetView topLeftCell="C1" zoomScale="85" zoomScaleNormal="85" zoomScaleSheetLayoutView="80" workbookViewId="0">
      <pane ySplit="3" topLeftCell="A4" activePane="bottomLeft" state="frozen"/>
      <selection pane="bottomLeft" activeCell="W12" sqref="W12"/>
    </sheetView>
  </sheetViews>
  <sheetFormatPr defaultColWidth="9.140625" defaultRowHeight="15.75" outlineLevelCol="1" x14ac:dyDescent="0.25"/>
  <cols>
    <col min="1" max="1" width="7.42578125" style="36" customWidth="1"/>
    <col min="2" max="2" width="35.7109375" style="36" customWidth="1"/>
    <col min="3" max="3" width="39.7109375" style="36" customWidth="1"/>
    <col min="4" max="4" width="20.5703125" style="36" customWidth="1" outlineLevel="1"/>
    <col min="5" max="5" width="18.85546875" style="36" customWidth="1" outlineLevel="1"/>
    <col min="6" max="6" width="17.5703125" style="36" customWidth="1" outlineLevel="1"/>
    <col min="7" max="7" width="20.7109375" style="36" customWidth="1" outlineLevel="1"/>
    <col min="8" max="8" width="19.5703125" style="36" customWidth="1" outlineLevel="1"/>
    <col min="9" max="9" width="8.5703125" style="36" customWidth="1" outlineLevel="1"/>
    <col min="10" max="10" width="21" style="36" customWidth="1"/>
    <col min="11" max="11" width="20.42578125" style="39" hidden="1" customWidth="1" outlineLevel="1"/>
    <col min="12" max="12" width="16.85546875" style="39" hidden="1" customWidth="1" outlineLevel="1"/>
    <col min="13" max="13" width="18.140625" style="35" hidden="1" customWidth="1" outlineLevel="1"/>
    <col min="14" max="14" width="16.85546875" style="39" hidden="1" customWidth="1" outlineLevel="1"/>
    <col min="15" max="15" width="18.140625" style="35" hidden="1" customWidth="1" outlineLevel="1"/>
    <col min="16" max="16" width="18.42578125" style="36" hidden="1" customWidth="1" collapsed="1"/>
    <col min="17" max="17" width="17.140625" style="36" hidden="1" customWidth="1"/>
    <col min="18" max="18" width="19" style="36" customWidth="1"/>
    <col min="19" max="19" width="28.5703125" style="36" customWidth="1"/>
    <col min="20" max="20" width="24.7109375" style="36" bestFit="1" customWidth="1"/>
    <col min="21" max="21" width="33.42578125" style="36" customWidth="1"/>
    <col min="22" max="22" width="24.42578125" style="36" customWidth="1"/>
    <col min="23" max="23" width="12.7109375" style="36" bestFit="1" customWidth="1"/>
    <col min="24" max="16384" width="9.140625" style="36"/>
  </cols>
  <sheetData>
    <row r="1" spans="1:23" ht="8.25" customHeight="1" x14ac:dyDescent="0.25">
      <c r="A1" s="1125"/>
      <c r="B1" s="1125"/>
      <c r="C1" s="1125"/>
      <c r="D1" s="1125"/>
      <c r="E1" s="1125"/>
      <c r="F1" s="1125"/>
      <c r="G1" s="1125"/>
      <c r="H1" s="1125"/>
      <c r="I1" s="1125"/>
      <c r="J1" s="1125"/>
      <c r="K1" s="238"/>
      <c r="L1" s="238"/>
      <c r="N1" s="238"/>
    </row>
    <row r="2" spans="1:23" ht="5.25" customHeight="1" thickBot="1" x14ac:dyDescent="0.3">
      <c r="A2" s="37"/>
      <c r="B2" s="37"/>
      <c r="C2" s="37"/>
      <c r="D2" s="37"/>
      <c r="E2" s="37"/>
      <c r="F2" s="37"/>
      <c r="G2" s="37"/>
      <c r="H2" s="37"/>
      <c r="I2" s="38"/>
      <c r="J2" s="37"/>
    </row>
    <row r="3" spans="1:23" ht="77.25" customHeight="1" x14ac:dyDescent="0.25">
      <c r="A3" s="239" t="s">
        <v>111</v>
      </c>
      <c r="B3" s="241" t="s">
        <v>112</v>
      </c>
      <c r="C3" s="241" t="s">
        <v>113</v>
      </c>
      <c r="D3" s="241" t="s">
        <v>114</v>
      </c>
      <c r="E3" s="241" t="s">
        <v>115</v>
      </c>
      <c r="F3" s="241" t="s">
        <v>116</v>
      </c>
      <c r="G3" s="241" t="s">
        <v>117</v>
      </c>
      <c r="H3" s="243" t="s">
        <v>125</v>
      </c>
      <c r="I3" s="241" t="s">
        <v>118</v>
      </c>
      <c r="J3" s="243" t="s">
        <v>209</v>
      </c>
      <c r="K3" s="74" t="s">
        <v>126</v>
      </c>
      <c r="L3" s="74" t="s">
        <v>127</v>
      </c>
      <c r="M3" s="75" t="s">
        <v>128</v>
      </c>
      <c r="N3" s="76" t="s">
        <v>134</v>
      </c>
      <c r="O3" s="77" t="s">
        <v>135</v>
      </c>
      <c r="P3" s="78" t="s">
        <v>136</v>
      </c>
      <c r="Q3" s="78" t="s">
        <v>121</v>
      </c>
      <c r="R3" s="80" t="s">
        <v>199</v>
      </c>
      <c r="S3" s="80" t="s">
        <v>198</v>
      </c>
      <c r="T3" s="80" t="s">
        <v>200</v>
      </c>
      <c r="U3" s="80" t="s">
        <v>196</v>
      </c>
      <c r="V3" s="267" t="s">
        <v>216</v>
      </c>
    </row>
    <row r="4" spans="1:23" ht="15" customHeight="1" x14ac:dyDescent="0.25">
      <c r="A4" s="240">
        <v>1</v>
      </c>
      <c r="B4" s="242">
        <v>2</v>
      </c>
      <c r="C4" s="242">
        <v>3</v>
      </c>
      <c r="D4" s="242"/>
      <c r="E4" s="242"/>
      <c r="F4" s="242"/>
      <c r="G4" s="242"/>
      <c r="H4" s="244"/>
      <c r="I4" s="242"/>
      <c r="J4" s="244">
        <v>4</v>
      </c>
      <c r="K4" s="264"/>
      <c r="L4" s="264"/>
      <c r="M4" s="264"/>
      <c r="N4" s="264"/>
      <c r="O4" s="264"/>
      <c r="P4" s="265"/>
      <c r="Q4" s="265"/>
      <c r="R4" s="266" t="s">
        <v>211</v>
      </c>
      <c r="S4" s="266" t="s">
        <v>212</v>
      </c>
      <c r="T4" s="266" t="s">
        <v>213</v>
      </c>
      <c r="U4" s="266" t="s">
        <v>214</v>
      </c>
      <c r="V4" s="266" t="s">
        <v>215</v>
      </c>
    </row>
    <row r="5" spans="1:23" ht="44.25" customHeight="1" x14ac:dyDescent="0.25">
      <c r="A5" s="217">
        <v>1</v>
      </c>
      <c r="B5" s="245" t="s">
        <v>177</v>
      </c>
      <c r="C5" s="219" t="s">
        <v>197</v>
      </c>
      <c r="D5" s="220">
        <v>1615223.87</v>
      </c>
      <c r="E5" s="220">
        <v>132448.35999999999</v>
      </c>
      <c r="F5" s="220">
        <v>41944.13</v>
      </c>
      <c r="G5" s="220">
        <v>1789616.36</v>
      </c>
      <c r="H5" s="220">
        <v>1881531.81</v>
      </c>
      <c r="I5" s="221">
        <v>1.2</v>
      </c>
      <c r="J5" s="222">
        <v>2257838.17</v>
      </c>
      <c r="K5" s="246"/>
      <c r="L5" s="246"/>
      <c r="M5" s="246">
        <v>1627347.05</v>
      </c>
      <c r="N5" s="246"/>
      <c r="O5" s="246"/>
      <c r="P5" s="246">
        <v>1627347.05</v>
      </c>
      <c r="Q5" s="246">
        <v>630491.12</v>
      </c>
      <c r="R5" s="248">
        <v>2005347.47</v>
      </c>
      <c r="S5" s="247">
        <v>2024146.22</v>
      </c>
      <c r="T5" s="247">
        <f>S5-R5</f>
        <v>18798.75</v>
      </c>
      <c r="U5" s="248">
        <f>1447989.61*1.082*1.024*1.0514*1.2</f>
        <v>2024146.22</v>
      </c>
      <c r="V5" s="247">
        <f>U5-S5</f>
        <v>0</v>
      </c>
    </row>
    <row r="6" spans="1:23" ht="35.1" customHeight="1" x14ac:dyDescent="0.25">
      <c r="A6" s="217">
        <v>2</v>
      </c>
      <c r="B6" s="245" t="s">
        <v>179</v>
      </c>
      <c r="C6" s="219" t="s">
        <v>47</v>
      </c>
      <c r="D6" s="220">
        <v>760016.55</v>
      </c>
      <c r="E6" s="220">
        <v>62321.36</v>
      </c>
      <c r="F6" s="220">
        <v>19736.11</v>
      </c>
      <c r="G6" s="220">
        <v>842074.02</v>
      </c>
      <c r="H6" s="220">
        <v>885323.3</v>
      </c>
      <c r="I6" s="221">
        <v>1.2</v>
      </c>
      <c r="J6" s="222">
        <v>1062387.96</v>
      </c>
      <c r="K6" s="246"/>
      <c r="L6" s="246"/>
      <c r="M6" s="246"/>
      <c r="N6" s="246"/>
      <c r="O6" s="246"/>
      <c r="P6" s="246">
        <v>0</v>
      </c>
      <c r="Q6" s="246">
        <v>1062387.96</v>
      </c>
      <c r="R6" s="248">
        <v>2202001.75</v>
      </c>
      <c r="S6" s="247">
        <f>1047143.73*1.082*1.024*1.0514*1.2</f>
        <v>1463803.34</v>
      </c>
      <c r="T6" s="247">
        <f t="shared" ref="T6:T13" si="0">S6-R6</f>
        <v>-738198.41</v>
      </c>
      <c r="U6" s="248">
        <f>1493244.91*1.082*1.024*1.0514*1.2</f>
        <v>2087408.65</v>
      </c>
      <c r="V6" s="247">
        <f t="shared" ref="V6:V13" si="1">U6-S6</f>
        <v>623605.31000000006</v>
      </c>
    </row>
    <row r="7" spans="1:23" ht="35.1" customHeight="1" x14ac:dyDescent="0.25">
      <c r="A7" s="217">
        <v>3</v>
      </c>
      <c r="B7" s="245" t="s">
        <v>180</v>
      </c>
      <c r="C7" s="219" t="s">
        <v>49</v>
      </c>
      <c r="D7" s="220">
        <v>10454161.890000001</v>
      </c>
      <c r="E7" s="220">
        <v>857241.27</v>
      </c>
      <c r="F7" s="220">
        <v>271473.68</v>
      </c>
      <c r="G7" s="220">
        <v>11582876.84</v>
      </c>
      <c r="H7" s="220">
        <v>12177778.26</v>
      </c>
      <c r="I7" s="221">
        <v>1.2</v>
      </c>
      <c r="J7" s="222">
        <v>14613333.91</v>
      </c>
      <c r="K7" s="246"/>
      <c r="L7" s="246"/>
      <c r="M7" s="246"/>
      <c r="N7" s="246"/>
      <c r="O7" s="246"/>
      <c r="P7" s="246">
        <v>0</v>
      </c>
      <c r="Q7" s="246">
        <v>14613333.91</v>
      </c>
      <c r="R7" s="248">
        <v>22272187.57</v>
      </c>
      <c r="S7" s="247">
        <v>18763363.32</v>
      </c>
      <c r="T7" s="247">
        <f t="shared" si="0"/>
        <v>-3508824.25</v>
      </c>
      <c r="U7" s="248">
        <f>15497123.98*1.082*1.024*1.0514*1.2</f>
        <v>21663446.140000001</v>
      </c>
      <c r="V7" s="247">
        <f t="shared" si="1"/>
        <v>2900082.82</v>
      </c>
      <c r="W7" s="36" t="s">
        <v>220</v>
      </c>
    </row>
    <row r="8" spans="1:23" ht="35.1" customHeight="1" x14ac:dyDescent="0.25">
      <c r="A8" s="217">
        <v>4</v>
      </c>
      <c r="B8" s="245" t="s">
        <v>181</v>
      </c>
      <c r="C8" s="219" t="s">
        <v>52</v>
      </c>
      <c r="D8" s="220">
        <v>9143309.8300000001</v>
      </c>
      <c r="E8" s="220">
        <v>749751.41</v>
      </c>
      <c r="F8" s="220">
        <v>237433.47</v>
      </c>
      <c r="G8" s="220">
        <v>10130494.710000001</v>
      </c>
      <c r="H8" s="220">
        <v>10650801.17</v>
      </c>
      <c r="I8" s="221">
        <v>1.2</v>
      </c>
      <c r="J8" s="222">
        <v>12780961.4</v>
      </c>
      <c r="K8" s="246"/>
      <c r="L8" s="246"/>
      <c r="M8" s="246"/>
      <c r="N8" s="246"/>
      <c r="O8" s="246">
        <v>337909.86</v>
      </c>
      <c r="P8" s="246">
        <v>337909.86</v>
      </c>
      <c r="Q8" s="246">
        <v>12443051.539999999</v>
      </c>
      <c r="R8" s="248">
        <v>2529998.64</v>
      </c>
      <c r="S8" s="247">
        <v>2410984</v>
      </c>
      <c r="T8" s="247">
        <f t="shared" si="0"/>
        <v>-119014.64</v>
      </c>
      <c r="U8" s="248">
        <f>2109787.77*1.082*1.024*1.0514*1.2</f>
        <v>2949274.57</v>
      </c>
      <c r="V8" s="247">
        <f t="shared" si="1"/>
        <v>538290.56999999995</v>
      </c>
    </row>
    <row r="9" spans="1:23" ht="35.1" customHeight="1" x14ac:dyDescent="0.25">
      <c r="A9" s="217">
        <v>5</v>
      </c>
      <c r="B9" s="245" t="s">
        <v>182</v>
      </c>
      <c r="C9" s="219" t="s">
        <v>54</v>
      </c>
      <c r="D9" s="220">
        <v>21996729.18</v>
      </c>
      <c r="E9" s="220">
        <v>1803731.79</v>
      </c>
      <c r="F9" s="220">
        <v>571211.06000000006</v>
      </c>
      <c r="G9" s="220">
        <v>24371672.030000001</v>
      </c>
      <c r="H9" s="220">
        <v>25623411.34</v>
      </c>
      <c r="I9" s="221">
        <v>1.2</v>
      </c>
      <c r="J9" s="222">
        <v>30748093.609999999</v>
      </c>
      <c r="K9" s="246"/>
      <c r="L9" s="246"/>
      <c r="M9" s="246">
        <v>1211400.79</v>
      </c>
      <c r="N9" s="246"/>
      <c r="O9" s="246"/>
      <c r="P9" s="246">
        <v>1211400.79</v>
      </c>
      <c r="Q9" s="246">
        <v>29536692.82</v>
      </c>
      <c r="R9" s="248">
        <v>4175761.11</v>
      </c>
      <c r="S9" s="247">
        <v>3953024.28</v>
      </c>
      <c r="T9" s="247">
        <f t="shared" si="0"/>
        <v>-222736.83</v>
      </c>
      <c r="U9" s="248">
        <f>3406108.49*1.082*1.024*1.0514*1.2</f>
        <v>4761402.6900000004</v>
      </c>
      <c r="V9" s="247">
        <f t="shared" si="1"/>
        <v>808378.41</v>
      </c>
    </row>
    <row r="10" spans="1:23" ht="35.1" customHeight="1" x14ac:dyDescent="0.25">
      <c r="A10" s="217">
        <v>6</v>
      </c>
      <c r="B10" s="245" t="s">
        <v>195</v>
      </c>
      <c r="C10" s="219" t="s">
        <v>40</v>
      </c>
      <c r="D10" s="220">
        <v>475031.03999999998</v>
      </c>
      <c r="E10" s="220">
        <v>38952.550000000003</v>
      </c>
      <c r="F10" s="220">
        <v>12335.61</v>
      </c>
      <c r="G10" s="220">
        <v>526319.19999999995</v>
      </c>
      <c r="H10" s="220">
        <v>553351.18000000005</v>
      </c>
      <c r="I10" s="221">
        <v>1.2</v>
      </c>
      <c r="J10" s="222">
        <v>664021.42000000004</v>
      </c>
      <c r="K10" s="246"/>
      <c r="L10" s="246"/>
      <c r="M10" s="246"/>
      <c r="N10" s="246"/>
      <c r="O10" s="246"/>
      <c r="P10" s="246">
        <v>0</v>
      </c>
      <c r="Q10" s="246">
        <v>664021.42000000004</v>
      </c>
      <c r="R10" s="248">
        <v>745201.99</v>
      </c>
      <c r="S10" s="247">
        <f>235378.05*1.082*1.024*1.0514*1.2+49139.18*1.2*1.0514</f>
        <v>391033.15</v>
      </c>
      <c r="T10" s="247">
        <f t="shared" si="0"/>
        <v>-354168.84</v>
      </c>
      <c r="U10" s="248">
        <f>235378.05*1.082*1.024*1.0514*1.2+49139.18*1.0514*1.2</f>
        <v>391033.15</v>
      </c>
      <c r="V10" s="247">
        <f t="shared" si="1"/>
        <v>0</v>
      </c>
      <c r="W10" s="36" t="s">
        <v>220</v>
      </c>
    </row>
    <row r="11" spans="1:23" ht="35.1" customHeight="1" x14ac:dyDescent="0.25">
      <c r="A11" s="217">
        <v>7</v>
      </c>
      <c r="B11" s="245" t="s">
        <v>178</v>
      </c>
      <c r="C11" s="219" t="s">
        <v>42</v>
      </c>
      <c r="D11" s="220">
        <v>2276671.21</v>
      </c>
      <c r="E11" s="220">
        <v>186687.04</v>
      </c>
      <c r="F11" s="220">
        <v>59120.6</v>
      </c>
      <c r="G11" s="220">
        <v>2522478.85</v>
      </c>
      <c r="H11" s="220">
        <v>2652034.42</v>
      </c>
      <c r="I11" s="221">
        <v>1.2</v>
      </c>
      <c r="J11" s="222">
        <v>3182441.3</v>
      </c>
      <c r="K11" s="246"/>
      <c r="L11" s="246"/>
      <c r="M11" s="246"/>
      <c r="N11" s="246"/>
      <c r="O11" s="246"/>
      <c r="P11" s="246">
        <v>0</v>
      </c>
      <c r="Q11" s="246">
        <v>3182441.3</v>
      </c>
      <c r="R11" s="248">
        <v>9045929.4199999999</v>
      </c>
      <c r="S11" s="247">
        <v>4665867.41</v>
      </c>
      <c r="T11" s="247">
        <f t="shared" si="0"/>
        <v>-4380062.01</v>
      </c>
      <c r="U11" s="248">
        <f>3447892.99*1.082*1.024*1.0514*1.2+130942.19*1.0514*1.2</f>
        <v>4985020.43</v>
      </c>
      <c r="V11" s="247">
        <f t="shared" si="1"/>
        <v>319153.02</v>
      </c>
    </row>
    <row r="12" spans="1:23" ht="35.1" customHeight="1" x14ac:dyDescent="0.25">
      <c r="A12" s="217">
        <v>8</v>
      </c>
      <c r="B12" s="245" t="s">
        <v>183</v>
      </c>
      <c r="C12" s="219" t="s">
        <v>62</v>
      </c>
      <c r="D12" s="220">
        <v>1890203.39</v>
      </c>
      <c r="E12" s="220">
        <v>154996.68</v>
      </c>
      <c r="F12" s="220">
        <v>49084.800000000003</v>
      </c>
      <c r="G12" s="220">
        <v>2094284.87</v>
      </c>
      <c r="H12" s="220">
        <v>2201848.2200000002</v>
      </c>
      <c r="I12" s="221">
        <v>1.2</v>
      </c>
      <c r="J12" s="222">
        <v>2642217.86</v>
      </c>
      <c r="K12" s="246"/>
      <c r="L12" s="246"/>
      <c r="M12" s="246"/>
      <c r="N12" s="246"/>
      <c r="O12" s="246"/>
      <c r="P12" s="246">
        <v>0</v>
      </c>
      <c r="Q12" s="246">
        <v>2642217.86</v>
      </c>
      <c r="R12" s="248">
        <v>2701306.82</v>
      </c>
      <c r="S12" s="247">
        <v>2342678.71</v>
      </c>
      <c r="T12" s="247">
        <f t="shared" si="0"/>
        <v>-358628.11</v>
      </c>
      <c r="U12" s="248">
        <f>1740079.47*1.082*1.024*1.0514*1.2</f>
        <v>2432458.9500000002</v>
      </c>
      <c r="V12" s="247">
        <f t="shared" si="1"/>
        <v>89780.24</v>
      </c>
    </row>
    <row r="13" spans="1:23" ht="35.1" customHeight="1" thickBot="1" x14ac:dyDescent="0.3">
      <c r="A13" s="217">
        <v>9</v>
      </c>
      <c r="B13" s="245" t="s">
        <v>184</v>
      </c>
      <c r="C13" s="219" t="s">
        <v>64</v>
      </c>
      <c r="D13" s="220">
        <v>4003449.34</v>
      </c>
      <c r="E13" s="220">
        <v>328282.84999999998</v>
      </c>
      <c r="F13" s="220">
        <v>103961.57</v>
      </c>
      <c r="G13" s="220">
        <v>4435693.76</v>
      </c>
      <c r="H13" s="220">
        <v>4663512.8499999996</v>
      </c>
      <c r="I13" s="221">
        <v>1.2</v>
      </c>
      <c r="J13" s="222">
        <v>5596215.4199999999</v>
      </c>
      <c r="K13" s="246"/>
      <c r="L13" s="246"/>
      <c r="M13" s="246"/>
      <c r="N13" s="246"/>
      <c r="O13" s="246"/>
      <c r="P13" s="246">
        <v>0</v>
      </c>
      <c r="Q13" s="246">
        <v>5596215.4199999999</v>
      </c>
      <c r="R13" s="248">
        <v>4206088.5999999996</v>
      </c>
      <c r="S13" s="247">
        <v>3942311.7</v>
      </c>
      <c r="T13" s="247">
        <f t="shared" si="0"/>
        <v>-263776.90000000002</v>
      </c>
      <c r="U13" s="248">
        <f>3081105.3*1.082*1.024*1.0514*1.2</f>
        <v>4307080.38</v>
      </c>
      <c r="V13" s="247">
        <f t="shared" si="1"/>
        <v>364768.68</v>
      </c>
    </row>
    <row r="14" spans="1:23" ht="31.5" customHeight="1" thickTop="1" thickBot="1" x14ac:dyDescent="0.3">
      <c r="A14" s="249"/>
      <c r="B14" s="250" t="s">
        <v>120</v>
      </c>
      <c r="C14" s="251"/>
      <c r="D14" s="252">
        <v>392033916.06</v>
      </c>
      <c r="E14" s="251"/>
      <c r="F14" s="253"/>
      <c r="G14" s="252">
        <v>434361033.93000001</v>
      </c>
      <c r="H14" s="252">
        <v>456670000.00999999</v>
      </c>
      <c r="I14" s="252"/>
      <c r="J14" s="252">
        <f>SUM(J5:J13)</f>
        <v>73547511.049999997</v>
      </c>
      <c r="K14" s="252">
        <f t="shared" ref="K14:R14" si="2">SUM(K5:K13)</f>
        <v>0</v>
      </c>
      <c r="L14" s="252">
        <f t="shared" si="2"/>
        <v>0</v>
      </c>
      <c r="M14" s="252">
        <f t="shared" si="2"/>
        <v>2838747.84</v>
      </c>
      <c r="N14" s="252">
        <f t="shared" si="2"/>
        <v>0</v>
      </c>
      <c r="O14" s="252">
        <f t="shared" si="2"/>
        <v>337909.86</v>
      </c>
      <c r="P14" s="252">
        <f t="shared" si="2"/>
        <v>3176657.7</v>
      </c>
      <c r="Q14" s="252">
        <f t="shared" si="2"/>
        <v>70370853.349999994</v>
      </c>
      <c r="R14" s="260">
        <f t="shared" si="2"/>
        <v>49883823.369999997</v>
      </c>
      <c r="S14" s="254">
        <f>SUM(S5:S13)</f>
        <v>39957212.130000003</v>
      </c>
      <c r="T14" s="254">
        <f t="shared" ref="T14:V14" si="3">SUM(T5:T13)</f>
        <v>-9926611.2400000002</v>
      </c>
      <c r="U14" s="261">
        <f t="shared" si="3"/>
        <v>45601271.18</v>
      </c>
      <c r="V14" s="254">
        <f t="shared" si="3"/>
        <v>5644059.0499999998</v>
      </c>
    </row>
    <row r="15" spans="1:23" ht="16.5" thickTop="1" x14ac:dyDescent="0.25"/>
    <row r="17" spans="1:22" s="263" customFormat="1" x14ac:dyDescent="0.25">
      <c r="A17" s="262" t="s">
        <v>205</v>
      </c>
      <c r="B17" s="262" t="s">
        <v>208</v>
      </c>
      <c r="C17" s="1152" t="s">
        <v>5</v>
      </c>
      <c r="D17" s="1152"/>
      <c r="E17" s="1152"/>
      <c r="F17" s="1152"/>
      <c r="G17" s="1152"/>
      <c r="H17" s="1152"/>
      <c r="I17" s="1152"/>
      <c r="J17" s="1152"/>
      <c r="K17" s="1152"/>
      <c r="L17" s="1152"/>
      <c r="M17" s="1152"/>
      <c r="N17" s="1152"/>
      <c r="O17" s="1152"/>
      <c r="P17" s="1152"/>
      <c r="Q17" s="1152"/>
      <c r="R17" s="1152"/>
      <c r="S17" s="1152"/>
      <c r="T17" s="1152"/>
      <c r="U17" s="1152"/>
      <c r="V17" s="1152"/>
    </row>
    <row r="18" spans="1:22" ht="94.5" x14ac:dyDescent="0.25">
      <c r="A18" s="242">
        <v>1</v>
      </c>
      <c r="B18" s="258" t="s">
        <v>202</v>
      </c>
      <c r="C18" s="1151" t="s">
        <v>203</v>
      </c>
      <c r="D18" s="1151"/>
      <c r="E18" s="1151"/>
      <c r="F18" s="1151"/>
      <c r="G18" s="1151"/>
      <c r="H18" s="1151"/>
      <c r="I18" s="1151"/>
      <c r="J18" s="1151"/>
      <c r="K18" s="1151"/>
      <c r="L18" s="1151"/>
      <c r="M18" s="1151"/>
      <c r="N18" s="1151"/>
      <c r="O18" s="1151"/>
      <c r="P18" s="1151"/>
      <c r="Q18" s="1151"/>
      <c r="R18" s="1151"/>
      <c r="S18" s="1151"/>
      <c r="T18" s="1151"/>
      <c r="U18" s="1151"/>
      <c r="V18" s="1151"/>
    </row>
    <row r="19" spans="1:22" ht="110.25" x14ac:dyDescent="0.25">
      <c r="A19" s="242">
        <v>2</v>
      </c>
      <c r="B19" s="258" t="s">
        <v>201</v>
      </c>
      <c r="C19" s="1151" t="s">
        <v>210</v>
      </c>
      <c r="D19" s="1151"/>
      <c r="E19" s="1151"/>
      <c r="F19" s="1151"/>
      <c r="G19" s="1151"/>
      <c r="H19" s="1151"/>
      <c r="I19" s="1151"/>
      <c r="J19" s="1151"/>
      <c r="K19" s="1151"/>
      <c r="L19" s="1151"/>
      <c r="M19" s="1151"/>
      <c r="N19" s="1151"/>
      <c r="O19" s="1151"/>
      <c r="P19" s="1151"/>
      <c r="Q19" s="1151"/>
      <c r="R19" s="1151"/>
      <c r="S19" s="1151"/>
      <c r="T19" s="1151"/>
      <c r="U19" s="1151"/>
      <c r="V19" s="1151"/>
    </row>
    <row r="20" spans="1:22" ht="106.5" customHeight="1" x14ac:dyDescent="0.25">
      <c r="A20" s="242">
        <v>3</v>
      </c>
      <c r="B20" s="259" t="s">
        <v>206</v>
      </c>
      <c r="C20" s="1151" t="s">
        <v>207</v>
      </c>
      <c r="D20" s="1151"/>
      <c r="E20" s="1151"/>
      <c r="F20" s="1151"/>
      <c r="G20" s="1151"/>
      <c r="H20" s="1151"/>
      <c r="I20" s="1151"/>
      <c r="J20" s="1151"/>
      <c r="K20" s="1151"/>
      <c r="L20" s="1151"/>
      <c r="M20" s="1151"/>
      <c r="N20" s="1151"/>
      <c r="O20" s="1151"/>
      <c r="P20" s="1151"/>
      <c r="Q20" s="1151"/>
      <c r="R20" s="1151"/>
      <c r="S20" s="1151"/>
      <c r="T20" s="1151"/>
      <c r="U20" s="1151"/>
      <c r="V20" s="1151"/>
    </row>
    <row r="21" spans="1:22" x14ac:dyDescent="0.25">
      <c r="B21" s="255"/>
      <c r="C21" s="255"/>
      <c r="D21" s="255"/>
      <c r="E21" s="255"/>
      <c r="F21" s="255"/>
      <c r="G21" s="255"/>
      <c r="H21" s="255"/>
      <c r="I21" s="255"/>
      <c r="J21" s="255"/>
      <c r="K21" s="256"/>
      <c r="L21" s="256"/>
      <c r="M21" s="257"/>
      <c r="N21" s="256"/>
      <c r="O21" s="257"/>
      <c r="P21" s="255"/>
      <c r="Q21" s="255"/>
      <c r="R21" s="255"/>
      <c r="S21" s="255"/>
    </row>
    <row r="22" spans="1:22" x14ac:dyDescent="0.25">
      <c r="B22" s="255"/>
      <c r="C22" s="255"/>
      <c r="D22" s="255"/>
      <c r="E22" s="255"/>
      <c r="F22" s="255"/>
      <c r="G22" s="255"/>
      <c r="H22" s="255"/>
      <c r="I22" s="255"/>
      <c r="J22" s="255"/>
      <c r="K22" s="256"/>
      <c r="L22" s="256"/>
      <c r="M22" s="257"/>
      <c r="N22" s="256"/>
      <c r="O22" s="257"/>
      <c r="P22" s="255"/>
      <c r="Q22" s="255"/>
      <c r="R22" s="255"/>
      <c r="S22" s="255"/>
    </row>
    <row r="23" spans="1:22" x14ac:dyDescent="0.25">
      <c r="B23" s="255"/>
      <c r="C23" s="255"/>
      <c r="D23" s="255"/>
      <c r="E23" s="255"/>
      <c r="F23" s="255"/>
      <c r="G23" s="255"/>
      <c r="H23" s="255"/>
      <c r="I23" s="255"/>
      <c r="J23" s="255"/>
      <c r="K23" s="256"/>
      <c r="L23" s="256"/>
      <c r="M23" s="257"/>
      <c r="N23" s="256"/>
      <c r="O23" s="257"/>
      <c r="P23" s="255"/>
      <c r="Q23" s="255"/>
      <c r="R23" s="255"/>
      <c r="S23" s="255"/>
    </row>
    <row r="24" spans="1:22" x14ac:dyDescent="0.25">
      <c r="B24" s="255"/>
      <c r="C24" s="255"/>
      <c r="D24" s="255"/>
      <c r="E24" s="255"/>
      <c r="F24" s="255"/>
      <c r="G24" s="255"/>
      <c r="H24" s="255"/>
      <c r="I24" s="255"/>
      <c r="J24" s="255"/>
      <c r="K24" s="256"/>
      <c r="L24" s="256"/>
      <c r="M24" s="257"/>
      <c r="N24" s="256"/>
      <c r="O24" s="257"/>
      <c r="P24" s="255"/>
      <c r="Q24" s="255"/>
      <c r="R24" s="255"/>
      <c r="S24" s="255"/>
    </row>
    <row r="25" spans="1:22" x14ac:dyDescent="0.25">
      <c r="B25" s="255"/>
      <c r="C25" s="255"/>
      <c r="D25" s="255"/>
      <c r="E25" s="255"/>
      <c r="F25" s="255"/>
      <c r="G25" s="255"/>
      <c r="H25" s="255"/>
      <c r="I25" s="255"/>
      <c r="J25" s="255"/>
      <c r="K25" s="256"/>
      <c r="L25" s="256"/>
      <c r="M25" s="257"/>
      <c r="N25" s="256"/>
      <c r="O25" s="257"/>
      <c r="P25" s="255"/>
      <c r="Q25" s="255"/>
      <c r="R25" s="255"/>
      <c r="S25" s="255"/>
    </row>
    <row r="26" spans="1:22" x14ac:dyDescent="0.25">
      <c r="B26" s="255"/>
      <c r="C26" s="255"/>
      <c r="D26" s="255"/>
      <c r="E26" s="255"/>
      <c r="F26" s="255"/>
      <c r="G26" s="255"/>
      <c r="H26" s="255"/>
      <c r="I26" s="255"/>
      <c r="J26" s="255"/>
      <c r="K26" s="256"/>
      <c r="L26" s="256"/>
      <c r="M26" s="257"/>
      <c r="N26" s="256"/>
      <c r="O26" s="257"/>
      <c r="P26" s="255"/>
      <c r="Q26" s="255"/>
      <c r="R26" s="255"/>
      <c r="S26" s="255"/>
    </row>
    <row r="32" spans="1:22" s="39" customFormat="1" ht="54.95" customHeight="1" x14ac:dyDescent="0.25">
      <c r="A32" s="46"/>
      <c r="B32" s="47"/>
      <c r="C32" s="46"/>
      <c r="D32" s="48"/>
      <c r="E32" s="46"/>
      <c r="F32" s="49"/>
      <c r="G32" s="48"/>
      <c r="H32" s="48"/>
      <c r="I32" s="48"/>
      <c r="J32" s="48"/>
      <c r="K32" s="50"/>
      <c r="M32" s="35"/>
      <c r="O32" s="35"/>
      <c r="P32" s="36"/>
      <c r="Q32" s="36"/>
      <c r="R32" s="36"/>
      <c r="S32" s="36"/>
      <c r="T32" s="36"/>
      <c r="U32" s="36"/>
      <c r="V32" s="36"/>
    </row>
    <row r="33" spans="1:22" s="39" customFormat="1" x14ac:dyDescent="0.25">
      <c r="A33" s="36"/>
      <c r="B33" s="36"/>
      <c r="C33" s="36"/>
      <c r="D33" s="45">
        <f>ССР!H58</f>
        <v>392033.92</v>
      </c>
      <c r="E33" s="36"/>
      <c r="F33" s="45"/>
      <c r="G33" s="45">
        <f>ССР!H76</f>
        <v>434361.04</v>
      </c>
      <c r="H33" s="45">
        <f>ССР!H78</f>
        <v>456670</v>
      </c>
      <c r="I33" s="36"/>
      <c r="J33" s="45"/>
      <c r="K33" s="35"/>
      <c r="M33" s="35"/>
      <c r="O33" s="35"/>
      <c r="P33" s="36"/>
      <c r="Q33" s="36"/>
      <c r="R33" s="36"/>
      <c r="S33" s="36"/>
      <c r="T33" s="36"/>
      <c r="U33" s="36"/>
      <c r="V33" s="36"/>
    </row>
    <row r="34" spans="1:22" s="39" customFormat="1" x14ac:dyDescent="0.25">
      <c r="A34" s="36"/>
      <c r="B34" s="36"/>
      <c r="C34" s="36"/>
      <c r="D34" s="45">
        <f>D14/1000</f>
        <v>392033.92</v>
      </c>
      <c r="E34" s="36"/>
      <c r="F34" s="51"/>
      <c r="G34" s="52">
        <f>G14/1000</f>
        <v>434361.03</v>
      </c>
      <c r="H34" s="52">
        <f>H14/1000</f>
        <v>456670</v>
      </c>
      <c r="I34" s="36"/>
      <c r="J34" s="45"/>
      <c r="K34" s="50"/>
      <c r="M34" s="35"/>
      <c r="O34" s="35"/>
      <c r="P34" s="36"/>
      <c r="Q34" s="36"/>
      <c r="R34" s="36"/>
      <c r="S34" s="36"/>
      <c r="T34" s="36"/>
      <c r="U34" s="36"/>
      <c r="V34" s="36"/>
    </row>
    <row r="35" spans="1:22" s="39" customFormat="1" x14ac:dyDescent="0.25">
      <c r="A35" s="36"/>
      <c r="B35" s="36"/>
      <c r="C35" s="36"/>
      <c r="D35" s="45"/>
      <c r="E35" s="45"/>
      <c r="F35" s="51"/>
      <c r="G35" s="36"/>
      <c r="H35" s="36"/>
      <c r="I35" s="36"/>
      <c r="J35" s="36"/>
      <c r="M35" s="35"/>
      <c r="O35" s="35"/>
      <c r="P35" s="36"/>
      <c r="Q35" s="36"/>
      <c r="R35" s="36"/>
      <c r="S35" s="36"/>
      <c r="T35" s="36"/>
      <c r="U35" s="36"/>
      <c r="V35" s="36"/>
    </row>
    <row r="55" spans="1:1" x14ac:dyDescent="0.25">
      <c r="A55" s="36">
        <v>7</v>
      </c>
    </row>
  </sheetData>
  <mergeCells count="5">
    <mergeCell ref="C18:V18"/>
    <mergeCell ref="C17:V17"/>
    <mergeCell ref="C19:V19"/>
    <mergeCell ref="C20:V20"/>
    <mergeCell ref="A1:J1"/>
  </mergeCells>
  <pageMargins left="0.23622047244094491" right="0.23622047244094491" top="0.74803149606299213" bottom="0.74803149606299213" header="0.31496062992125984" footer="0.31496062992125984"/>
  <pageSetup paperSize="9" scale="55" fitToHeight="100" orientation="landscape" r:id="rId1"/>
  <rowBreaks count="2" manualBreakCount="2">
    <brk id="15" max="17" man="1"/>
    <brk id="21" max="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1F838-528A-4CB8-B03F-346609D5C798}">
  <sheetPr>
    <tabColor rgb="FF92D050"/>
    <pageSetUpPr fitToPage="1"/>
  </sheetPr>
  <dimension ref="A1:W55"/>
  <sheetViews>
    <sheetView zoomScale="85" zoomScaleNormal="85" zoomScaleSheetLayoutView="80" workbookViewId="0">
      <pane ySplit="3" topLeftCell="A4" activePane="bottomLeft" state="frozen"/>
      <selection pane="bottomLeft" activeCell="U9" sqref="U9"/>
    </sheetView>
  </sheetViews>
  <sheetFormatPr defaultColWidth="9.140625" defaultRowHeight="15.75" outlineLevelCol="1" x14ac:dyDescent="0.25"/>
  <cols>
    <col min="1" max="1" width="7.42578125" style="36" customWidth="1"/>
    <col min="2" max="2" width="35.7109375" style="36" customWidth="1"/>
    <col min="3" max="3" width="39.7109375" style="36" customWidth="1"/>
    <col min="4" max="4" width="20.5703125" style="36" hidden="1" customWidth="1" outlineLevel="1"/>
    <col min="5" max="5" width="18.85546875" style="36" hidden="1" customWidth="1" outlineLevel="1"/>
    <col min="6" max="6" width="17.5703125" style="36" hidden="1" customWidth="1" outlineLevel="1"/>
    <col min="7" max="7" width="20.7109375" style="36" hidden="1" customWidth="1" outlineLevel="1"/>
    <col min="8" max="8" width="19.5703125" style="36" hidden="1" customWidth="1" outlineLevel="1"/>
    <col min="9" max="9" width="8.5703125" style="36" hidden="1" customWidth="1" outlineLevel="1"/>
    <col min="10" max="10" width="21" style="36" customWidth="1" collapsed="1"/>
    <col min="11" max="11" width="20.42578125" style="39" hidden="1" customWidth="1" outlineLevel="1"/>
    <col min="12" max="12" width="16.85546875" style="39" hidden="1" customWidth="1" outlineLevel="1"/>
    <col min="13" max="13" width="18.140625" style="35" hidden="1" customWidth="1" outlineLevel="1"/>
    <col min="14" max="14" width="16.85546875" style="39" hidden="1" customWidth="1" outlineLevel="1"/>
    <col min="15" max="15" width="18.140625" style="35" hidden="1" customWidth="1" outlineLevel="1"/>
    <col min="16" max="16" width="18.42578125" style="36" hidden="1" customWidth="1" collapsed="1"/>
    <col min="17" max="17" width="17.140625" style="36" hidden="1" customWidth="1"/>
    <col min="18" max="18" width="19" style="36" customWidth="1"/>
    <col min="19" max="19" width="28.5703125" style="36" customWidth="1"/>
    <col min="20" max="20" width="24.7109375" style="36" bestFit="1" customWidth="1"/>
    <col min="21" max="21" width="45.5703125" style="36" bestFit="1" customWidth="1"/>
    <col min="22" max="22" width="24.42578125" style="36" customWidth="1"/>
    <col min="23" max="23" width="12.7109375" style="36" bestFit="1" customWidth="1"/>
    <col min="24" max="16384" width="9.140625" style="36"/>
  </cols>
  <sheetData>
    <row r="1" spans="1:23" ht="8.25" customHeight="1" x14ac:dyDescent="0.25">
      <c r="A1" s="1125"/>
      <c r="B1" s="1125"/>
      <c r="C1" s="1125"/>
      <c r="D1" s="1125"/>
      <c r="E1" s="1125"/>
      <c r="F1" s="1125"/>
      <c r="G1" s="1125"/>
      <c r="H1" s="1125"/>
      <c r="I1" s="1125"/>
      <c r="J1" s="1125"/>
      <c r="K1" s="238"/>
      <c r="L1" s="238"/>
      <c r="N1" s="238"/>
    </row>
    <row r="2" spans="1:23" ht="5.25" customHeight="1" thickBot="1" x14ac:dyDescent="0.3">
      <c r="A2" s="37"/>
      <c r="B2" s="37"/>
      <c r="C2" s="37"/>
      <c r="D2" s="37"/>
      <c r="E2" s="37"/>
      <c r="F2" s="37"/>
      <c r="G2" s="37"/>
      <c r="H2" s="37"/>
      <c r="I2" s="38"/>
      <c r="J2" s="37"/>
    </row>
    <row r="3" spans="1:23" ht="77.25" customHeight="1" x14ac:dyDescent="0.25">
      <c r="A3" s="239">
        <v>1</v>
      </c>
      <c r="B3" s="241" t="s">
        <v>112</v>
      </c>
      <c r="C3" s="241" t="s">
        <v>113</v>
      </c>
      <c r="D3" s="241" t="s">
        <v>114</v>
      </c>
      <c r="E3" s="241" t="s">
        <v>115</v>
      </c>
      <c r="F3" s="241" t="s">
        <v>116</v>
      </c>
      <c r="G3" s="241" t="s">
        <v>117</v>
      </c>
      <c r="H3" s="243" t="s">
        <v>125</v>
      </c>
      <c r="I3" s="241" t="s">
        <v>118</v>
      </c>
      <c r="J3" s="243" t="s">
        <v>209</v>
      </c>
      <c r="K3" s="74" t="s">
        <v>126</v>
      </c>
      <c r="L3" s="74" t="s">
        <v>127</v>
      </c>
      <c r="M3" s="75" t="s">
        <v>128</v>
      </c>
      <c r="N3" s="76" t="s">
        <v>134</v>
      </c>
      <c r="O3" s="77" t="s">
        <v>135</v>
      </c>
      <c r="P3" s="78" t="s">
        <v>136</v>
      </c>
      <c r="Q3" s="78" t="s">
        <v>121</v>
      </c>
      <c r="R3" s="80" t="s">
        <v>199</v>
      </c>
      <c r="S3" s="80" t="s">
        <v>198</v>
      </c>
      <c r="T3" s="80" t="s">
        <v>200</v>
      </c>
      <c r="U3" s="80" t="s">
        <v>219</v>
      </c>
      <c r="V3" s="267" t="s">
        <v>216</v>
      </c>
    </row>
    <row r="4" spans="1:23" ht="15" customHeight="1" x14ac:dyDescent="0.25">
      <c r="A4" s="240">
        <v>1</v>
      </c>
      <c r="B4" s="242">
        <v>2</v>
      </c>
      <c r="C4" s="242">
        <v>3</v>
      </c>
      <c r="D4" s="242"/>
      <c r="E4" s="242"/>
      <c r="F4" s="242"/>
      <c r="G4" s="242"/>
      <c r="H4" s="244"/>
      <c r="I4" s="242"/>
      <c r="J4" s="244">
        <v>4</v>
      </c>
      <c r="K4" s="264"/>
      <c r="L4" s="264"/>
      <c r="M4" s="264"/>
      <c r="N4" s="264"/>
      <c r="O4" s="264"/>
      <c r="P4" s="265"/>
      <c r="Q4" s="265"/>
      <c r="R4" s="266" t="s">
        <v>211</v>
      </c>
      <c r="S4" s="266" t="s">
        <v>212</v>
      </c>
      <c r="T4" s="266" t="s">
        <v>213</v>
      </c>
      <c r="U4" s="266" t="s">
        <v>214</v>
      </c>
      <c r="V4" s="266" t="s">
        <v>215</v>
      </c>
    </row>
    <row r="5" spans="1:23" ht="44.25" customHeight="1" x14ac:dyDescent="0.25">
      <c r="A5" s="217">
        <v>1</v>
      </c>
      <c r="B5" s="245" t="s">
        <v>177</v>
      </c>
      <c r="C5" s="219" t="s">
        <v>197</v>
      </c>
      <c r="D5" s="220">
        <v>1615223.87</v>
      </c>
      <c r="E5" s="220">
        <v>132448.35999999999</v>
      </c>
      <c r="F5" s="220">
        <v>41944.13</v>
      </c>
      <c r="G5" s="220">
        <v>1789616.36</v>
      </c>
      <c r="H5" s="220">
        <v>1881531.81</v>
      </c>
      <c r="I5" s="221">
        <v>1.2</v>
      </c>
      <c r="J5" s="222">
        <v>2257838.17</v>
      </c>
      <c r="K5" s="246"/>
      <c r="L5" s="246"/>
      <c r="M5" s="246">
        <v>1627347.05</v>
      </c>
      <c r="N5" s="246"/>
      <c r="O5" s="246"/>
      <c r="P5" s="246">
        <v>1627347.05</v>
      </c>
      <c r="Q5" s="246">
        <v>630491.12</v>
      </c>
      <c r="R5" s="248">
        <v>2005347.47</v>
      </c>
      <c r="S5" s="247">
        <v>2024146.22</v>
      </c>
      <c r="T5" s="247">
        <f>S5-R5</f>
        <v>18798.75</v>
      </c>
      <c r="U5" s="248">
        <f>1447989.61*1.082*1.024*1.0514*1.2</f>
        <v>2024146.22</v>
      </c>
      <c r="V5" s="247">
        <f>U5-S5</f>
        <v>0</v>
      </c>
    </row>
    <row r="6" spans="1:23" ht="35.1" customHeight="1" x14ac:dyDescent="0.25">
      <c r="A6" s="217">
        <v>2</v>
      </c>
      <c r="B6" s="245" t="s">
        <v>179</v>
      </c>
      <c r="C6" s="219" t="s">
        <v>47</v>
      </c>
      <c r="D6" s="220">
        <v>760016.55</v>
      </c>
      <c r="E6" s="220">
        <v>62321.36</v>
      </c>
      <c r="F6" s="220">
        <v>19736.11</v>
      </c>
      <c r="G6" s="220">
        <v>842074.02</v>
      </c>
      <c r="H6" s="220">
        <v>885323.3</v>
      </c>
      <c r="I6" s="221">
        <v>1.2</v>
      </c>
      <c r="J6" s="222">
        <v>1062387.96</v>
      </c>
      <c r="K6" s="246"/>
      <c r="L6" s="246"/>
      <c r="M6" s="246"/>
      <c r="N6" s="246"/>
      <c r="O6" s="246"/>
      <c r="P6" s="246">
        <v>0</v>
      </c>
      <c r="Q6" s="246">
        <v>1062387.96</v>
      </c>
      <c r="R6" s="248">
        <v>2202001.75</v>
      </c>
      <c r="S6" s="247">
        <f>1047143.73*1.082*1.024*1.0514*1.2</f>
        <v>1463803.34</v>
      </c>
      <c r="T6" s="247">
        <f t="shared" ref="T6:T13" si="0">S6-R6</f>
        <v>-738198.41</v>
      </c>
      <c r="U6" s="248">
        <f>1075607.48*1.082*1.024*1.0514*1.2</f>
        <v>1503592.84</v>
      </c>
      <c r="V6" s="247">
        <f t="shared" ref="V6:V13" si="1">U6-S6</f>
        <v>39789.5</v>
      </c>
    </row>
    <row r="7" spans="1:23" ht="35.1" customHeight="1" x14ac:dyDescent="0.25">
      <c r="A7" s="217">
        <v>3</v>
      </c>
      <c r="B7" s="245" t="s">
        <v>180</v>
      </c>
      <c r="C7" s="219" t="s">
        <v>49</v>
      </c>
      <c r="D7" s="220">
        <v>10454161.890000001</v>
      </c>
      <c r="E7" s="220">
        <v>857241.27</v>
      </c>
      <c r="F7" s="220">
        <v>271473.68</v>
      </c>
      <c r="G7" s="220">
        <v>11582876.84</v>
      </c>
      <c r="H7" s="220">
        <v>12177778.26</v>
      </c>
      <c r="I7" s="221">
        <v>1.2</v>
      </c>
      <c r="J7" s="222">
        <v>14613333.91</v>
      </c>
      <c r="K7" s="246"/>
      <c r="L7" s="246"/>
      <c r="M7" s="246"/>
      <c r="N7" s="246"/>
      <c r="O7" s="246"/>
      <c r="P7" s="246">
        <v>0</v>
      </c>
      <c r="Q7" s="246">
        <v>14613333.91</v>
      </c>
      <c r="R7" s="248">
        <v>22272187.57</v>
      </c>
      <c r="S7" s="247">
        <v>18763363.32</v>
      </c>
      <c r="T7" s="247">
        <f t="shared" si="0"/>
        <v>-3508824.25</v>
      </c>
      <c r="U7" s="248">
        <f>13924082.63*1.082*1.024*1.0514*1.2</f>
        <v>19464489.949999999</v>
      </c>
      <c r="V7" s="247">
        <f t="shared" si="1"/>
        <v>701126.63</v>
      </c>
      <c r="W7" s="36" t="s">
        <v>220</v>
      </c>
    </row>
    <row r="8" spans="1:23" ht="35.1" customHeight="1" x14ac:dyDescent="0.25">
      <c r="A8" s="217">
        <v>4</v>
      </c>
      <c r="B8" s="245" t="s">
        <v>181</v>
      </c>
      <c r="C8" s="219" t="s">
        <v>52</v>
      </c>
      <c r="D8" s="220">
        <v>9143309.8300000001</v>
      </c>
      <c r="E8" s="220">
        <v>749751.41</v>
      </c>
      <c r="F8" s="220">
        <v>237433.47</v>
      </c>
      <c r="G8" s="220">
        <v>10130494.710000001</v>
      </c>
      <c r="H8" s="220">
        <v>10650801.17</v>
      </c>
      <c r="I8" s="221">
        <v>1.2</v>
      </c>
      <c r="J8" s="222">
        <v>12780961.4</v>
      </c>
      <c r="K8" s="246"/>
      <c r="L8" s="246"/>
      <c r="M8" s="246"/>
      <c r="N8" s="246"/>
      <c r="O8" s="246">
        <v>337909.86</v>
      </c>
      <c r="P8" s="246">
        <v>337909.86</v>
      </c>
      <c r="Q8" s="246">
        <v>12443051.539999999</v>
      </c>
      <c r="R8" s="248">
        <v>2529998.64</v>
      </c>
      <c r="S8" s="247">
        <v>2410984</v>
      </c>
      <c r="T8" s="247">
        <f t="shared" si="0"/>
        <v>-119014.64</v>
      </c>
      <c r="U8" s="248">
        <f>1822332.96*1.082*1.024*1.0514*1.2</f>
        <v>2547441.19</v>
      </c>
      <c r="V8" s="247">
        <f t="shared" si="1"/>
        <v>136457.19</v>
      </c>
    </row>
    <row r="9" spans="1:23" ht="35.1" customHeight="1" x14ac:dyDescent="0.25">
      <c r="A9" s="217">
        <v>5</v>
      </c>
      <c r="B9" s="245" t="s">
        <v>182</v>
      </c>
      <c r="C9" s="219" t="s">
        <v>54</v>
      </c>
      <c r="D9" s="220">
        <v>21996729.18</v>
      </c>
      <c r="E9" s="220">
        <v>1803731.79</v>
      </c>
      <c r="F9" s="220">
        <v>571211.06000000006</v>
      </c>
      <c r="G9" s="220">
        <v>24371672.030000001</v>
      </c>
      <c r="H9" s="220">
        <v>25623411.34</v>
      </c>
      <c r="I9" s="221">
        <v>1.2</v>
      </c>
      <c r="J9" s="222">
        <v>30748093.609999999</v>
      </c>
      <c r="K9" s="246"/>
      <c r="L9" s="246"/>
      <c r="M9" s="246">
        <v>1211400.79</v>
      </c>
      <c r="N9" s="246"/>
      <c r="O9" s="246"/>
      <c r="P9" s="246">
        <v>1211400.79</v>
      </c>
      <c r="Q9" s="246">
        <v>29536692.82</v>
      </c>
      <c r="R9" s="248">
        <v>4175761.11</v>
      </c>
      <c r="S9" s="247">
        <v>3953024.28</v>
      </c>
      <c r="T9" s="247">
        <f t="shared" si="0"/>
        <v>-222736.83</v>
      </c>
      <c r="U9" s="248">
        <f>2968911.25*1.082*1.024*1.0514*1.2</f>
        <v>4150244.2</v>
      </c>
      <c r="V9" s="247">
        <f t="shared" si="1"/>
        <v>197219.92</v>
      </c>
    </row>
    <row r="10" spans="1:23" ht="35.1" customHeight="1" x14ac:dyDescent="0.25">
      <c r="A10" s="217">
        <v>6</v>
      </c>
      <c r="B10" s="245" t="s">
        <v>217</v>
      </c>
      <c r="C10" s="219" t="s">
        <v>40</v>
      </c>
      <c r="D10" s="220">
        <v>475031.03999999998</v>
      </c>
      <c r="E10" s="220">
        <v>38952.550000000003</v>
      </c>
      <c r="F10" s="220">
        <v>12335.61</v>
      </c>
      <c r="G10" s="220">
        <v>526319.19999999995</v>
      </c>
      <c r="H10" s="220">
        <v>553351.18000000005</v>
      </c>
      <c r="I10" s="221">
        <v>1.2</v>
      </c>
      <c r="J10" s="222">
        <v>664021.42000000004</v>
      </c>
      <c r="K10" s="246"/>
      <c r="L10" s="246"/>
      <c r="M10" s="246"/>
      <c r="N10" s="246"/>
      <c r="O10" s="246"/>
      <c r="P10" s="246">
        <v>0</v>
      </c>
      <c r="Q10" s="246">
        <v>664021.42000000004</v>
      </c>
      <c r="R10" s="248">
        <v>745201.99</v>
      </c>
      <c r="S10" s="247">
        <f>235378.05*1.082*1.024*1.0514*1.2+49139.18*1.2*1.0514</f>
        <v>391033.15</v>
      </c>
      <c r="T10" s="247">
        <f t="shared" si="0"/>
        <v>-354168.84</v>
      </c>
      <c r="U10" s="248">
        <f>235378.05*1.082*1.024*1.0514*1.2+49139.18*1.0514*1.2</f>
        <v>391033.15</v>
      </c>
      <c r="V10" s="247">
        <f t="shared" si="1"/>
        <v>0</v>
      </c>
      <c r="W10" s="36" t="s">
        <v>220</v>
      </c>
    </row>
    <row r="11" spans="1:23" ht="35.1" customHeight="1" x14ac:dyDescent="0.25">
      <c r="A11" s="217">
        <v>7</v>
      </c>
      <c r="B11" s="245" t="s">
        <v>218</v>
      </c>
      <c r="C11" s="219" t="s">
        <v>42</v>
      </c>
      <c r="D11" s="220">
        <v>2276671.21</v>
      </c>
      <c r="E11" s="220">
        <v>186687.04</v>
      </c>
      <c r="F11" s="220">
        <v>59120.6</v>
      </c>
      <c r="G11" s="220">
        <v>2522478.85</v>
      </c>
      <c r="H11" s="220">
        <v>2652034.42</v>
      </c>
      <c r="I11" s="221">
        <v>1.2</v>
      </c>
      <c r="J11" s="222">
        <v>3182441.3</v>
      </c>
      <c r="K11" s="246"/>
      <c r="L11" s="246"/>
      <c r="M11" s="246"/>
      <c r="N11" s="246"/>
      <c r="O11" s="246"/>
      <c r="P11" s="246">
        <v>0</v>
      </c>
      <c r="Q11" s="246">
        <v>3182441.3</v>
      </c>
      <c r="R11" s="248">
        <v>9045929.4199999999</v>
      </c>
      <c r="S11" s="247">
        <v>4665867.41</v>
      </c>
      <c r="T11" s="247">
        <f t="shared" si="0"/>
        <v>-4380062.01</v>
      </c>
      <c r="U11" s="248">
        <f>3447892.99*1.082*1.024*1.0514*1.2+130942.19*1.0514*1.2</f>
        <v>4985020.43</v>
      </c>
      <c r="V11" s="247">
        <f t="shared" si="1"/>
        <v>319153.02</v>
      </c>
    </row>
    <row r="12" spans="1:23" ht="35.1" customHeight="1" x14ac:dyDescent="0.25">
      <c r="A12" s="217">
        <v>8</v>
      </c>
      <c r="B12" s="245" t="s">
        <v>183</v>
      </c>
      <c r="C12" s="219" t="s">
        <v>62</v>
      </c>
      <c r="D12" s="220">
        <v>1890203.39</v>
      </c>
      <c r="E12" s="220">
        <v>154996.68</v>
      </c>
      <c r="F12" s="220">
        <v>49084.800000000003</v>
      </c>
      <c r="G12" s="220">
        <v>2094284.87</v>
      </c>
      <c r="H12" s="220">
        <v>2201848.2200000002</v>
      </c>
      <c r="I12" s="221">
        <v>1.2</v>
      </c>
      <c r="J12" s="222">
        <v>2642217.86</v>
      </c>
      <c r="K12" s="246"/>
      <c r="L12" s="246"/>
      <c r="M12" s="246"/>
      <c r="N12" s="246"/>
      <c r="O12" s="246"/>
      <c r="P12" s="246">
        <v>0</v>
      </c>
      <c r="Q12" s="246">
        <v>2642217.86</v>
      </c>
      <c r="R12" s="248">
        <v>2701306.82</v>
      </c>
      <c r="S12" s="247">
        <v>2342678.71</v>
      </c>
      <c r="T12" s="247">
        <f t="shared" si="0"/>
        <v>-358628.11</v>
      </c>
      <c r="U12" s="248">
        <f>1708416.13*1.082*1.024*1.0514*1.2</f>
        <v>2388196.73</v>
      </c>
      <c r="V12" s="247">
        <f t="shared" si="1"/>
        <v>45518.02</v>
      </c>
    </row>
    <row r="13" spans="1:23" ht="35.1" customHeight="1" thickBot="1" x14ac:dyDescent="0.3">
      <c r="A13" s="217">
        <v>9</v>
      </c>
      <c r="B13" s="245" t="s">
        <v>184</v>
      </c>
      <c r="C13" s="219" t="s">
        <v>64</v>
      </c>
      <c r="D13" s="220">
        <v>4003449.34</v>
      </c>
      <c r="E13" s="220">
        <v>328282.84999999998</v>
      </c>
      <c r="F13" s="220">
        <v>103961.57</v>
      </c>
      <c r="G13" s="220">
        <v>4435693.76</v>
      </c>
      <c r="H13" s="220">
        <v>4663512.8499999996</v>
      </c>
      <c r="I13" s="221">
        <v>1.2</v>
      </c>
      <c r="J13" s="222">
        <v>5596215.4199999999</v>
      </c>
      <c r="K13" s="246"/>
      <c r="L13" s="246"/>
      <c r="M13" s="246"/>
      <c r="N13" s="246"/>
      <c r="O13" s="246"/>
      <c r="P13" s="246">
        <v>0</v>
      </c>
      <c r="Q13" s="246">
        <v>5596215.4199999999</v>
      </c>
      <c r="R13" s="248">
        <v>4206088.5999999996</v>
      </c>
      <c r="S13" s="247">
        <v>3942311.7</v>
      </c>
      <c r="T13" s="247">
        <f t="shared" si="0"/>
        <v>-263776.90000000002</v>
      </c>
      <c r="U13" s="248">
        <f>2864573.69*1.082*1.024*1.0514*1.2</f>
        <v>4004390.62</v>
      </c>
      <c r="V13" s="247">
        <f t="shared" si="1"/>
        <v>62078.92</v>
      </c>
    </row>
    <row r="14" spans="1:23" ht="31.5" customHeight="1" thickTop="1" thickBot="1" x14ac:dyDescent="0.3">
      <c r="A14" s="249"/>
      <c r="B14" s="250" t="s">
        <v>120</v>
      </c>
      <c r="C14" s="251"/>
      <c r="D14" s="252">
        <v>392033916.06</v>
      </c>
      <c r="E14" s="251"/>
      <c r="F14" s="253"/>
      <c r="G14" s="252">
        <v>434361033.93000001</v>
      </c>
      <c r="H14" s="252">
        <v>456670000.00999999</v>
      </c>
      <c r="I14" s="252"/>
      <c r="J14" s="252">
        <f>SUM(J5:J13)</f>
        <v>73547511.049999997</v>
      </c>
      <c r="K14" s="252">
        <f t="shared" ref="K14:R14" si="2">SUM(K5:K13)</f>
        <v>0</v>
      </c>
      <c r="L14" s="252">
        <f t="shared" si="2"/>
        <v>0</v>
      </c>
      <c r="M14" s="252">
        <f t="shared" si="2"/>
        <v>2838747.84</v>
      </c>
      <c r="N14" s="252">
        <f t="shared" si="2"/>
        <v>0</v>
      </c>
      <c r="O14" s="252">
        <f t="shared" si="2"/>
        <v>337909.86</v>
      </c>
      <c r="P14" s="252">
        <f t="shared" si="2"/>
        <v>3176657.7</v>
      </c>
      <c r="Q14" s="252">
        <f t="shared" si="2"/>
        <v>70370853.349999994</v>
      </c>
      <c r="R14" s="260">
        <f t="shared" si="2"/>
        <v>49883823.369999997</v>
      </c>
      <c r="S14" s="254">
        <f>SUM(S5:S13)</f>
        <v>39957212.130000003</v>
      </c>
      <c r="T14" s="254">
        <f t="shared" ref="T14:V14" si="3">SUM(T5:T13)</f>
        <v>-9926611.2400000002</v>
      </c>
      <c r="U14" s="261">
        <f t="shared" si="3"/>
        <v>41458555.329999998</v>
      </c>
      <c r="V14" s="254">
        <f t="shared" si="3"/>
        <v>1501343.2</v>
      </c>
    </row>
    <row r="15" spans="1:23" ht="16.5" thickTop="1" x14ac:dyDescent="0.25"/>
    <row r="17" spans="1:22" s="263" customFormat="1" x14ac:dyDescent="0.25">
      <c r="A17" s="262" t="s">
        <v>205</v>
      </c>
      <c r="B17" s="262" t="s">
        <v>208</v>
      </c>
      <c r="C17" s="1152" t="s">
        <v>5</v>
      </c>
      <c r="D17" s="1152"/>
      <c r="E17" s="1152"/>
      <c r="F17" s="1152"/>
      <c r="G17" s="1152"/>
      <c r="H17" s="1152"/>
      <c r="I17" s="1152"/>
      <c r="J17" s="1152"/>
      <c r="K17" s="1152"/>
      <c r="L17" s="1152"/>
      <c r="M17" s="1152"/>
      <c r="N17" s="1152"/>
      <c r="O17" s="1152"/>
      <c r="P17" s="1152"/>
      <c r="Q17" s="1152"/>
      <c r="R17" s="1152"/>
      <c r="S17" s="1152"/>
      <c r="T17" s="1152"/>
      <c r="U17" s="1152"/>
      <c r="V17" s="1152"/>
    </row>
    <row r="18" spans="1:22" ht="94.5" x14ac:dyDescent="0.25">
      <c r="A18" s="242">
        <v>1</v>
      </c>
      <c r="B18" s="258" t="s">
        <v>202</v>
      </c>
      <c r="C18" s="1151" t="s">
        <v>203</v>
      </c>
      <c r="D18" s="1151"/>
      <c r="E18" s="1151"/>
      <c r="F18" s="1151"/>
      <c r="G18" s="1151"/>
      <c r="H18" s="1151"/>
      <c r="I18" s="1151"/>
      <c r="J18" s="1151"/>
      <c r="K18" s="1151"/>
      <c r="L18" s="1151"/>
      <c r="M18" s="1151"/>
      <c r="N18" s="1151"/>
      <c r="O18" s="1151"/>
      <c r="P18" s="1151"/>
      <c r="Q18" s="1151"/>
      <c r="R18" s="1151"/>
      <c r="S18" s="1151"/>
      <c r="T18" s="1151"/>
      <c r="U18" s="1151"/>
      <c r="V18" s="1151"/>
    </row>
    <row r="19" spans="1:22" ht="111" thickTop="1" x14ac:dyDescent="0.25">
      <c r="A19" s="242">
        <v>2</v>
      </c>
      <c r="B19" s="258" t="s">
        <v>201</v>
      </c>
      <c r="C19" s="1151" t="s">
        <v>204</v>
      </c>
      <c r="D19" s="1151"/>
      <c r="E19" s="1151"/>
      <c r="F19" s="1151"/>
      <c r="G19" s="1151"/>
      <c r="H19" s="1151"/>
      <c r="I19" s="1151"/>
      <c r="J19" s="1151"/>
      <c r="K19" s="1151"/>
      <c r="L19" s="1151"/>
      <c r="M19" s="1151"/>
      <c r="N19" s="1151"/>
      <c r="O19" s="1151"/>
      <c r="P19" s="1151"/>
      <c r="Q19" s="1151"/>
      <c r="R19" s="1151"/>
      <c r="S19" s="1151"/>
      <c r="T19" s="1151"/>
      <c r="U19" s="1151"/>
      <c r="V19" s="1151"/>
    </row>
    <row r="20" spans="1:22" ht="84.75" customHeight="1" x14ac:dyDescent="0.25">
      <c r="A20" s="242">
        <v>3</v>
      </c>
      <c r="B20" s="259" t="s">
        <v>206</v>
      </c>
      <c r="C20" s="1151" t="s">
        <v>207</v>
      </c>
      <c r="D20" s="1151"/>
      <c r="E20" s="1151"/>
      <c r="F20" s="1151"/>
      <c r="G20" s="1151"/>
      <c r="H20" s="1151"/>
      <c r="I20" s="1151"/>
      <c r="J20" s="1151"/>
      <c r="K20" s="1151"/>
      <c r="L20" s="1151"/>
      <c r="M20" s="1151"/>
      <c r="N20" s="1151"/>
      <c r="O20" s="1151"/>
      <c r="P20" s="1151"/>
      <c r="Q20" s="1151"/>
      <c r="R20" s="1151"/>
      <c r="S20" s="1151"/>
      <c r="T20" s="1151"/>
      <c r="U20" s="1151"/>
      <c r="V20" s="1151"/>
    </row>
    <row r="21" spans="1:22" x14ac:dyDescent="0.25">
      <c r="B21" s="255"/>
      <c r="C21" s="255"/>
      <c r="D21" s="255"/>
      <c r="E21" s="255"/>
      <c r="F21" s="255"/>
      <c r="G21" s="255"/>
      <c r="H21" s="255"/>
      <c r="I21" s="255"/>
      <c r="J21" s="255"/>
      <c r="K21" s="256"/>
      <c r="L21" s="256"/>
      <c r="M21" s="257"/>
      <c r="N21" s="256"/>
      <c r="O21" s="257"/>
      <c r="P21" s="255"/>
      <c r="Q21" s="255"/>
      <c r="R21" s="255"/>
      <c r="S21" s="255"/>
    </row>
    <row r="22" spans="1:22" x14ac:dyDescent="0.25">
      <c r="B22" s="255"/>
      <c r="C22" s="255"/>
      <c r="D22" s="255"/>
      <c r="E22" s="255"/>
      <c r="F22" s="255"/>
      <c r="G22" s="255"/>
      <c r="H22" s="255"/>
      <c r="I22" s="255"/>
      <c r="J22" s="255"/>
      <c r="K22" s="256"/>
      <c r="L22" s="256"/>
      <c r="M22" s="257"/>
      <c r="N22" s="256"/>
      <c r="O22" s="257"/>
      <c r="P22" s="255"/>
      <c r="Q22" s="255"/>
      <c r="R22" s="255"/>
      <c r="S22" s="255"/>
    </row>
    <row r="23" spans="1:22" x14ac:dyDescent="0.25">
      <c r="B23" s="255"/>
      <c r="C23" s="255"/>
      <c r="D23" s="255"/>
      <c r="E23" s="255"/>
      <c r="F23" s="255"/>
      <c r="G23" s="255"/>
      <c r="H23" s="255"/>
      <c r="I23" s="255"/>
      <c r="J23" s="255"/>
      <c r="K23" s="256"/>
      <c r="L23" s="256"/>
      <c r="M23" s="257"/>
      <c r="N23" s="256"/>
      <c r="O23" s="257"/>
      <c r="P23" s="255"/>
      <c r="Q23" s="255"/>
      <c r="R23" s="255"/>
      <c r="S23" s="255"/>
    </row>
    <row r="24" spans="1:22" x14ac:dyDescent="0.25">
      <c r="B24" s="255"/>
      <c r="C24" s="255"/>
      <c r="D24" s="255"/>
      <c r="E24" s="255"/>
      <c r="F24" s="255"/>
      <c r="G24" s="255"/>
      <c r="H24" s="255"/>
      <c r="I24" s="255"/>
      <c r="J24" s="255"/>
      <c r="K24" s="256"/>
      <c r="L24" s="256"/>
      <c r="M24" s="257"/>
      <c r="N24" s="256"/>
      <c r="O24" s="257"/>
      <c r="P24" s="255"/>
      <c r="Q24" s="255"/>
      <c r="R24" s="255"/>
      <c r="S24" s="255"/>
    </row>
    <row r="25" spans="1:22" x14ac:dyDescent="0.25">
      <c r="B25" s="255"/>
      <c r="C25" s="255"/>
      <c r="D25" s="255"/>
      <c r="E25" s="255"/>
      <c r="F25" s="255"/>
      <c r="G25" s="255"/>
      <c r="H25" s="255"/>
      <c r="I25" s="255"/>
      <c r="J25" s="255"/>
      <c r="K25" s="256"/>
      <c r="L25" s="256"/>
      <c r="M25" s="257"/>
      <c r="N25" s="256"/>
      <c r="O25" s="257"/>
      <c r="P25" s="255"/>
      <c r="Q25" s="255"/>
      <c r="R25" s="255"/>
      <c r="S25" s="255"/>
    </row>
    <row r="26" spans="1:22" x14ac:dyDescent="0.25">
      <c r="B26" s="255"/>
      <c r="C26" s="255"/>
      <c r="D26" s="255"/>
      <c r="E26" s="255"/>
      <c r="F26" s="255"/>
      <c r="G26" s="255"/>
      <c r="H26" s="255"/>
      <c r="I26" s="255"/>
      <c r="J26" s="255"/>
      <c r="K26" s="256"/>
      <c r="L26" s="256"/>
      <c r="M26" s="257"/>
      <c r="N26" s="256"/>
      <c r="O26" s="257"/>
      <c r="P26" s="255"/>
      <c r="Q26" s="255"/>
      <c r="R26" s="255"/>
      <c r="S26" s="255"/>
    </row>
    <row r="32" spans="1:22" s="39" customFormat="1" ht="54.95" customHeight="1" x14ac:dyDescent="0.25">
      <c r="A32" s="46"/>
      <c r="B32" s="47"/>
      <c r="C32" s="46"/>
      <c r="D32" s="48"/>
      <c r="E32" s="46"/>
      <c r="F32" s="49"/>
      <c r="G32" s="48"/>
      <c r="H32" s="48"/>
      <c r="I32" s="48"/>
      <c r="J32" s="48"/>
      <c r="K32" s="50"/>
      <c r="M32" s="35"/>
      <c r="O32" s="35"/>
      <c r="P32" s="36"/>
      <c r="Q32" s="36"/>
      <c r="R32" s="36"/>
      <c r="S32" s="36"/>
      <c r="T32" s="36"/>
      <c r="U32" s="36"/>
      <c r="V32" s="36"/>
    </row>
    <row r="33" spans="1:22" s="39" customFormat="1" x14ac:dyDescent="0.25">
      <c r="A33" s="36"/>
      <c r="B33" s="36"/>
      <c r="C33" s="36"/>
      <c r="D33" s="45">
        <f>ССР!H58</f>
        <v>392033.92</v>
      </c>
      <c r="E33" s="36"/>
      <c r="F33" s="45"/>
      <c r="G33" s="45">
        <f>ССР!H76</f>
        <v>434361.04</v>
      </c>
      <c r="H33" s="45">
        <f>ССР!H78</f>
        <v>456670</v>
      </c>
      <c r="I33" s="36"/>
      <c r="J33" s="45"/>
      <c r="K33" s="35"/>
      <c r="M33" s="35"/>
      <c r="O33" s="35"/>
      <c r="P33" s="36"/>
      <c r="Q33" s="36"/>
      <c r="R33" s="36"/>
      <c r="S33" s="36"/>
      <c r="T33" s="36"/>
      <c r="U33" s="36"/>
      <c r="V33" s="36"/>
    </row>
    <row r="34" spans="1:22" s="39" customFormat="1" x14ac:dyDescent="0.25">
      <c r="A34" s="36"/>
      <c r="B34" s="36"/>
      <c r="C34" s="36"/>
      <c r="D34" s="45">
        <f>D14/1000</f>
        <v>392033.92</v>
      </c>
      <c r="E34" s="36"/>
      <c r="F34" s="51"/>
      <c r="G34" s="52">
        <f>G14/1000</f>
        <v>434361.03</v>
      </c>
      <c r="H34" s="52">
        <f>H14/1000</f>
        <v>456670</v>
      </c>
      <c r="I34" s="36"/>
      <c r="J34" s="45"/>
      <c r="K34" s="50"/>
      <c r="M34" s="35"/>
      <c r="O34" s="35"/>
      <c r="P34" s="36"/>
      <c r="Q34" s="36"/>
      <c r="R34" s="36"/>
      <c r="S34" s="36"/>
      <c r="T34" s="36"/>
      <c r="U34" s="36"/>
      <c r="V34" s="36"/>
    </row>
    <row r="35" spans="1:22" s="39" customFormat="1" x14ac:dyDescent="0.25">
      <c r="A35" s="36"/>
      <c r="B35" s="36"/>
      <c r="C35" s="36"/>
      <c r="D35" s="45"/>
      <c r="E35" s="45"/>
      <c r="F35" s="51"/>
      <c r="G35" s="36"/>
      <c r="H35" s="36"/>
      <c r="I35" s="36"/>
      <c r="J35" s="36"/>
      <c r="M35" s="35"/>
      <c r="O35" s="35"/>
      <c r="P35" s="36"/>
      <c r="Q35" s="36"/>
      <c r="R35" s="36"/>
      <c r="S35" s="36"/>
      <c r="T35" s="36"/>
      <c r="U35" s="36"/>
      <c r="V35" s="36"/>
    </row>
    <row r="55" spans="1:1" x14ac:dyDescent="0.25">
      <c r="A55" s="36">
        <v>7</v>
      </c>
    </row>
  </sheetData>
  <mergeCells count="5">
    <mergeCell ref="C17:V17"/>
    <mergeCell ref="C18:V18"/>
    <mergeCell ref="C19:V19"/>
    <mergeCell ref="C20:V20"/>
    <mergeCell ref="A1:J1"/>
  </mergeCells>
  <pageMargins left="0.23622047244094491" right="0.23622047244094491" top="0.74803149606299213" bottom="0.74803149606299213" header="0.31496062992125984" footer="0.31496062992125984"/>
  <pageSetup paperSize="9" scale="55" fitToHeight="100" orientation="landscape" r:id="rId1"/>
  <rowBreaks count="2" manualBreakCount="2">
    <brk id="15" max="17" man="1"/>
    <brk id="2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13</vt:i4>
      </vt:variant>
    </vt:vector>
  </HeadingPairs>
  <TitlesOfParts>
    <vt:vector size="25" baseType="lpstr">
      <vt:lpstr>ССР</vt:lpstr>
      <vt:lpstr>на 04.06</vt:lpstr>
      <vt:lpstr>вар НВ (с 0,65 и без упл)</vt:lpstr>
      <vt:lpstr>реестр под ФАКТ (ПЖ с замеч.)</vt:lpstr>
      <vt:lpstr>реестр под ФАКТ до соглас. </vt:lpstr>
      <vt:lpstr>реестр под ФАКТ</vt:lpstr>
      <vt:lpstr>свод реестров по кс-2</vt:lpstr>
      <vt:lpstr>аналитика</vt:lpstr>
      <vt:lpstr>ан-ка (на 95% мех и 5% вруч )</vt:lpstr>
      <vt:lpstr>реестр под ФАКТ с виброплит</vt:lpstr>
      <vt:lpstr>реестр под ФАКТ (2)</vt:lpstr>
      <vt:lpstr>реестр к Договору</vt:lpstr>
      <vt:lpstr>ССР!Заголовки_для_печати</vt:lpstr>
      <vt:lpstr>аналитика!Область_печати</vt:lpstr>
      <vt:lpstr>'ан-ка (на 95% мех и 5% вруч )'!Область_печати</vt:lpstr>
      <vt:lpstr>'вар НВ (с 0,65 и без упл)'!Область_печати</vt:lpstr>
      <vt:lpstr>'на 04.06'!Область_печати</vt:lpstr>
      <vt:lpstr>'реестр к Договору'!Область_печати</vt:lpstr>
      <vt:lpstr>'реестр под ФАКТ'!Область_печати</vt:lpstr>
      <vt:lpstr>'реестр под ФАКТ (2)'!Область_печати</vt:lpstr>
      <vt:lpstr>'реестр под ФАКТ (ПЖ с замеч.)'!Область_печати</vt:lpstr>
      <vt:lpstr>'реестр под ФАКТ до соглас. '!Область_печати</vt:lpstr>
      <vt:lpstr>'реестр под ФАКТ с виброплит'!Область_печати</vt:lpstr>
      <vt:lpstr>'свод реестров по кс-2'!Область_печати</vt:lpstr>
      <vt:lpstr>ССР!Область_печати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Анастасия</cp:lastModifiedBy>
  <cp:lastPrinted>2024-01-25T19:52:03Z</cp:lastPrinted>
  <dcterms:created xsi:type="dcterms:W3CDTF">2023-11-08T07:21:05Z</dcterms:created>
  <dcterms:modified xsi:type="dcterms:W3CDTF">2024-07-22T07:00:56Z</dcterms:modified>
</cp:coreProperties>
</file>